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ccueil" sheetId="1" r:id="rId4"/>
    <sheet state="visible" name="Données projet" sheetId="2" r:id="rId5"/>
    <sheet state="visible" name="Scénario référence" sheetId="3" r:id="rId6"/>
    <sheet state="visible" name="REE" sheetId="4" r:id="rId7"/>
    <sheet state="hidden" name="Calculateur" sheetId="5" r:id="rId8"/>
    <sheet state="hidden" name="Paramètres" sheetId="6" r:id="rId9"/>
    <sheet state="visible" name="VAN" sheetId="7" r:id="rId10"/>
  </sheets>
  <definedNames>
    <definedName name="Essence">'Paramètres'!$A$2:$A$86</definedName>
    <definedName name="Incendie">'Paramètres'!$P$5:$P$8</definedName>
    <definedName name="Essences">'Paramètres'!$A$2:$A$88</definedName>
    <definedName name="VAN">'Paramètres'!$P$2:$P$3</definedName>
    <definedName name="Fertilité">'Paramètres'!$P$10:$P$11</definedName>
  </definedNames>
  <calcPr/>
  <extLst>
    <ext uri="GoogleSheetsCustomDataVersion1">
      <go:sheetsCustomData xmlns:go="http://customooxmlschemas.google.com/" r:id="rId11" roundtripDataSignature="AMtx7mh/d9OGt0AlbpNXsz1PxfDjCk+BDw=="/>
    </ext>
  </extLst>
</workbook>
</file>

<file path=xl/sharedStrings.xml><?xml version="1.0" encoding="utf-8"?>
<sst xmlns="http://schemas.openxmlformats.org/spreadsheetml/2006/main" count="1174" uniqueCount="348">
  <si>
    <r>
      <rPr>
        <rFont val="Calibri"/>
        <color theme="1"/>
        <sz val="14.0"/>
      </rPr>
      <t xml:space="preserve">Ce calculateur a été développé par le </t>
    </r>
    <r>
      <rPr>
        <rFont val="Calibri"/>
        <b/>
        <color theme="1"/>
        <sz val="14.0"/>
      </rPr>
      <t>Centre national de la propriété forestière (CNPF)</t>
    </r>
    <r>
      <rPr>
        <rFont val="Calibri"/>
        <color theme="1"/>
        <sz val="14.0"/>
      </rPr>
      <t xml:space="preserve"> dans le cadre d'un financement de l'interprofession </t>
    </r>
    <r>
      <rPr>
        <rFont val="Calibri"/>
        <b/>
        <color theme="1"/>
        <sz val="14.0"/>
      </rPr>
      <t>France Bois Forêt</t>
    </r>
    <r>
      <rPr>
        <rFont val="Calibri"/>
        <color theme="1"/>
        <sz val="14.0"/>
      </rPr>
      <t xml:space="preserve"> pour l'accompagnement du label Bas-Carbone en 2020 et 2021.
Il s'agit du calculateur pour les méthodes "</t>
    </r>
    <r>
      <rPr>
        <rFont val="Calibri"/>
        <b/>
        <color theme="1"/>
        <sz val="14.0"/>
      </rPr>
      <t>boisement"</t>
    </r>
    <r>
      <rPr>
        <rFont val="Calibri"/>
        <color theme="1"/>
        <sz val="14.0"/>
      </rPr>
      <t xml:space="preserve"> et "</t>
    </r>
    <r>
      <rPr>
        <rFont val="Calibri"/>
        <b/>
        <color theme="1"/>
        <sz val="14.0"/>
      </rPr>
      <t>reconstitution de peuplements forestiers dégradés</t>
    </r>
    <r>
      <rPr>
        <rFont val="Calibri"/>
        <color theme="1"/>
        <sz val="14.0"/>
      </rPr>
      <t>" rédigées par le CNPF, dans leur version 2.</t>
    </r>
  </si>
  <si>
    <r>
      <rPr>
        <rFont val="Calibri"/>
        <color theme="1"/>
        <sz val="14.0"/>
      </rPr>
      <t>T</t>
    </r>
    <r>
      <rPr>
        <rFont val="Calibri"/>
        <color theme="1"/>
        <sz val="14.0"/>
      </rPr>
      <t>out projet demandant le label Bas-Carbone au titre des deux méthodes susmentionnées devra utiliser ce calculateur. Il se compose de 6 onglets :
→ un onglet "</t>
    </r>
    <r>
      <rPr>
        <rFont val="Calibri"/>
        <b/>
        <color theme="1"/>
        <sz val="14.0"/>
      </rPr>
      <t xml:space="preserve">Données </t>
    </r>
    <r>
      <rPr>
        <rFont val="Calibri"/>
        <b/>
        <color theme="1"/>
        <sz val="14.0"/>
      </rPr>
      <t>projet</t>
    </r>
    <r>
      <rPr>
        <rFont val="Calibri"/>
        <color theme="1"/>
        <sz val="14.0"/>
      </rPr>
      <t>" qui est le seul onglet dans lequel le Porteur de projet doit renseigner les données inhérentes à son projet.
→ un onglet "</t>
    </r>
    <r>
      <rPr>
        <rFont val="Calibri"/>
        <b/>
        <color theme="1"/>
        <sz val="14.0"/>
      </rPr>
      <t>Scénario référence</t>
    </r>
    <r>
      <rPr>
        <rFont val="Calibri"/>
        <color theme="1"/>
        <sz val="14.0"/>
      </rPr>
      <t>" dans lequel le Porteur de projet choisit la méthode et le scénario de référence utilisés.
→ un onglet "</t>
    </r>
    <r>
      <rPr>
        <rFont val="Calibri"/>
        <b/>
        <color theme="1"/>
        <sz val="14.0"/>
      </rPr>
      <t>Calculateur</t>
    </r>
    <r>
      <rPr>
        <rFont val="Calibri"/>
        <color theme="1"/>
        <sz val="14.0"/>
      </rPr>
      <t>" que le Porteur de projet n'a pas à modifier.
→ un onglet "</t>
    </r>
    <r>
      <rPr>
        <rFont val="Calibri"/>
        <b/>
        <color theme="1"/>
        <sz val="14.0"/>
      </rPr>
      <t>Paramètres</t>
    </r>
    <r>
      <rPr>
        <rFont val="Calibri"/>
        <color theme="1"/>
        <sz val="14.0"/>
      </rPr>
      <t>" que le Porteur de projet n'a pas à modifier (cet onglet sera actualisé au fur et à mesure  que des données sourcées permettront de l'améliorer).
→ un onglet "</t>
    </r>
    <r>
      <rPr>
        <rFont val="Calibri"/>
        <b/>
        <color theme="1"/>
        <sz val="14.0"/>
      </rPr>
      <t>REE</t>
    </r>
    <r>
      <rPr>
        <rFont val="Calibri"/>
        <color theme="1"/>
        <sz val="14.0"/>
      </rPr>
      <t>" dans lequel le Porteur de projet doit puiser les résultats des calculs pour les renseigner au Document descriptif de projet.
→ un onglet "</t>
    </r>
    <r>
      <rPr>
        <rFont val="Calibri"/>
        <b/>
        <color theme="1"/>
        <sz val="14.0"/>
      </rPr>
      <t>VAN</t>
    </r>
    <r>
      <rPr>
        <rFont val="Calibri"/>
        <color theme="1"/>
        <sz val="14.0"/>
      </rPr>
      <t>" servant à faire le calcul économique et dont les résultats peuvent être renseignés dans le Document descriptif de projet si le Porteur de projet choisit de démontrer l'additionnalité économique de son projet.</t>
    </r>
  </si>
  <si>
    <t>Seules les cellules en jaune pâle sont à remplir</t>
  </si>
  <si>
    <t>V15/10/2021</t>
  </si>
  <si>
    <t>SCÉNARIO DE PROJET</t>
  </si>
  <si>
    <t xml:space="preserve">* Des corrections ont été apportées pour répondre aux problèmes soulevés pour les essences à durée de révolution courte, ou à première éclaircie tardive, </t>
  </si>
  <si>
    <t>à la VAN, ainsi que pour laisser la possibilité de noter des commentaires dans les cellules non verrouillées.</t>
  </si>
  <si>
    <t>La surface du projet</t>
  </si>
  <si>
    <t>Entrer une surface en hectares</t>
  </si>
  <si>
    <t xml:space="preserve">Différentes publications montrent que le régime des éclaircies ne modifie pas le volume total d'un peuplement.
Nous calculons donc les volumes prévisionnels en nous appuyant sur les volumes totaux fourni par les tables de production et le régime d'éclaircie recommandé par le gestionnaire ou l'expert forestier
</t>
  </si>
  <si>
    <t>Les essences du projet</t>
  </si>
  <si>
    <t>Choisir dans le menu déroulant</t>
  </si>
  <si>
    <t>Proportion</t>
  </si>
  <si>
    <t>Surface de l'essence</t>
  </si>
  <si>
    <t>Durée de révolution</t>
  </si>
  <si>
    <t>Vérification</t>
  </si>
  <si>
    <t>Essence 1</t>
  </si>
  <si>
    <t>Chêne sessile</t>
  </si>
  <si>
    <t>NB : La durée de révolution doit être identique à la dernière année indiquée dans la table de production renseignée en dessous</t>
  </si>
  <si>
    <t>Essence 2</t>
  </si>
  <si>
    <t>Erable sycomore</t>
  </si>
  <si>
    <t>Essence 3</t>
  </si>
  <si>
    <t>Alisier torminal</t>
  </si>
  <si>
    <t>Essence 4</t>
  </si>
  <si>
    <t>Essence 5</t>
  </si>
  <si>
    <t>Essence 6</t>
  </si>
  <si>
    <t>Essence 7</t>
  </si>
  <si>
    <t>Essence 8</t>
  </si>
  <si>
    <t>Essence 9</t>
  </si>
  <si>
    <t>Essence 10</t>
  </si>
  <si>
    <t>TOTAL</t>
  </si>
  <si>
    <t>Les rabais à appliquer</t>
  </si>
  <si>
    <t>Rabais 1</t>
  </si>
  <si>
    <t>Analyse économique (VAN)</t>
  </si>
  <si>
    <t>Indiquer 20 % si absence de calcul de VAN, 0 % sinon</t>
  </si>
  <si>
    <t>Rabais 2</t>
  </si>
  <si>
    <t>Risque de non permanence</t>
  </si>
  <si>
    <t>Rabais 3</t>
  </si>
  <si>
    <t>Risque d'incendie</t>
  </si>
  <si>
    <t>Indiquer 5 %, 10 %, 15 % selon le risque (cf. méthodes), 0 % sinon</t>
  </si>
  <si>
    <t>Rabais 4</t>
  </si>
  <si>
    <t>Classe de fertilité</t>
  </si>
  <si>
    <t>Indiquer 10 % si absence de justification de la classe de fertilité, 0 % sinon</t>
  </si>
  <si>
    <t>Références des tables de production</t>
  </si>
  <si>
    <t>Les tables de production</t>
  </si>
  <si>
    <t>- Erable sycomore : OAK in Forest Management Table (G. J. Hamilton, M sc and J. M. Christie) - 1971</t>
  </si>
  <si>
    <t>- Chêne : SAB in Forest Management Table (G. J. Hamilton, M sc and J. M. Christie) - 1971</t>
  </si>
  <si>
    <t>NB : Ne remplir qu'avec les années d'éclaircies de la table de production utilisée, ne pas simuler les premières années</t>
  </si>
  <si>
    <t>- Alisier torminal : en l'absence de table de production et de possibilité de minorerla croissance de cette essence objective, nous l'ignorons dans les calculs de REE</t>
  </si>
  <si>
    <t>AVANT ECLAIRCIE</t>
  </si>
  <si>
    <t>ECLAIRCIE</t>
  </si>
  <si>
    <t>VENTILATION PRODUITS BOIS</t>
  </si>
  <si>
    <t>Age</t>
  </si>
  <si>
    <r>
      <rPr>
        <rFont val="Calibri"/>
        <b/>
        <color theme="1"/>
        <sz val="11.0"/>
      </rPr>
      <t>Volume bois fort (m</t>
    </r>
    <r>
      <rPr>
        <rFont val="Calibri"/>
        <b/>
        <color theme="1"/>
        <sz val="11.0"/>
      </rPr>
      <t>³</t>
    </r>
    <r>
      <rPr>
        <rFont val="Calibri"/>
        <b/>
        <color theme="1"/>
        <sz val="11.0"/>
      </rPr>
      <t>/ha)</t>
    </r>
  </si>
  <si>
    <t>Numéro d'éclaircie</t>
  </si>
  <si>
    <t>Volume bois fort 
prélevé (m³/ha)</t>
  </si>
  <si>
    <t>% sciages</t>
  </si>
  <si>
    <t>% panneaux</t>
  </si>
  <si>
    <t>% papier</t>
  </si>
  <si>
    <t>% BE</t>
  </si>
  <si>
    <r>
      <rPr>
        <rFont val="Calibri"/>
        <b/>
        <color theme="1"/>
        <sz val="11.0"/>
      </rPr>
      <t>Accroissement courant (m</t>
    </r>
    <r>
      <rPr>
        <rFont val="Calibri"/>
        <b/>
        <color theme="1"/>
        <sz val="11.0"/>
      </rPr>
      <t>³</t>
    </r>
    <r>
      <rPr>
        <rFont val="Calibri"/>
        <b/>
        <color theme="1"/>
        <sz val="11.0"/>
      </rPr>
      <t>/ha/an)</t>
    </r>
  </si>
  <si>
    <t>V après éclaircie</t>
  </si>
  <si>
    <t>V Eclaircie</t>
  </si>
  <si>
    <r>
      <rPr>
        <rFont val="Calibri"/>
        <b/>
        <color theme="1"/>
        <sz val="11.0"/>
      </rPr>
      <t>Volume bois fort (m</t>
    </r>
    <r>
      <rPr>
        <rFont val="Calibri"/>
        <b/>
        <color theme="1"/>
        <sz val="11.0"/>
      </rPr>
      <t>³</t>
    </r>
    <r>
      <rPr>
        <rFont val="Calibri"/>
        <b/>
        <color theme="1"/>
        <sz val="11.0"/>
      </rPr>
      <t>/ha)</t>
    </r>
  </si>
  <si>
    <r>
      <rPr>
        <rFont val="Calibri"/>
        <b/>
        <color theme="1"/>
        <sz val="11.0"/>
      </rPr>
      <t>Accroissement courant (m</t>
    </r>
    <r>
      <rPr>
        <rFont val="Calibri"/>
        <b/>
        <color theme="1"/>
        <sz val="11.0"/>
      </rPr>
      <t>³</t>
    </r>
    <r>
      <rPr>
        <rFont val="Calibri"/>
        <b/>
        <color theme="1"/>
        <sz val="11.0"/>
      </rPr>
      <t>/ha/an)</t>
    </r>
  </si>
  <si>
    <r>
      <rPr>
        <rFont val="Calibri"/>
        <b/>
        <color theme="1"/>
        <sz val="11.0"/>
      </rPr>
      <t>Volume bois fort (m</t>
    </r>
    <r>
      <rPr>
        <rFont val="Calibri"/>
        <b/>
        <color theme="1"/>
        <sz val="11.0"/>
      </rPr>
      <t>³</t>
    </r>
    <r>
      <rPr>
        <rFont val="Calibri"/>
        <b/>
        <color theme="1"/>
        <sz val="11.0"/>
      </rPr>
      <t>/ha)</t>
    </r>
  </si>
  <si>
    <r>
      <rPr>
        <rFont val="Calibri"/>
        <b/>
        <color theme="1"/>
        <sz val="11.0"/>
      </rPr>
      <t>Accroissement courant (m</t>
    </r>
    <r>
      <rPr>
        <rFont val="Calibri"/>
        <b/>
        <color theme="1"/>
        <sz val="11.0"/>
      </rPr>
      <t>³</t>
    </r>
    <r>
      <rPr>
        <rFont val="Calibri"/>
        <b/>
        <color theme="1"/>
        <sz val="11.0"/>
      </rPr>
      <t>/ha/an)</t>
    </r>
  </si>
  <si>
    <r>
      <rPr>
        <rFont val="Calibri"/>
        <b/>
        <color theme="1"/>
        <sz val="11.0"/>
      </rPr>
      <t>Volume bois fort (m</t>
    </r>
    <r>
      <rPr>
        <rFont val="Calibri"/>
        <b/>
        <color theme="1"/>
        <sz val="11.0"/>
      </rPr>
      <t>³</t>
    </r>
    <r>
      <rPr>
        <rFont val="Calibri"/>
        <b/>
        <color theme="1"/>
        <sz val="11.0"/>
      </rPr>
      <t>/ha)</t>
    </r>
  </si>
  <si>
    <r>
      <rPr>
        <rFont val="Calibri"/>
        <b/>
        <color theme="1"/>
        <sz val="11.0"/>
      </rPr>
      <t>Accroissement courant (m</t>
    </r>
    <r>
      <rPr>
        <rFont val="Calibri"/>
        <b/>
        <color theme="1"/>
        <sz val="11.0"/>
      </rPr>
      <t>³</t>
    </r>
    <r>
      <rPr>
        <rFont val="Calibri"/>
        <b/>
        <color theme="1"/>
        <sz val="11.0"/>
      </rPr>
      <t>/ha/an)</t>
    </r>
  </si>
  <si>
    <r>
      <rPr>
        <rFont val="Calibri"/>
        <b/>
        <color theme="1"/>
        <sz val="11.0"/>
      </rPr>
      <t>Volume bois fort (m</t>
    </r>
    <r>
      <rPr>
        <rFont val="Calibri"/>
        <b/>
        <color theme="1"/>
        <sz val="11.0"/>
      </rPr>
      <t>³</t>
    </r>
    <r>
      <rPr>
        <rFont val="Calibri"/>
        <b/>
        <color theme="1"/>
        <sz val="11.0"/>
      </rPr>
      <t>/ha)</t>
    </r>
  </si>
  <si>
    <r>
      <rPr>
        <rFont val="Calibri"/>
        <b/>
        <color theme="1"/>
        <sz val="11.0"/>
      </rPr>
      <t>Accroissement courant (m</t>
    </r>
    <r>
      <rPr>
        <rFont val="Calibri"/>
        <b/>
        <color theme="1"/>
        <sz val="11.0"/>
      </rPr>
      <t>³</t>
    </r>
    <r>
      <rPr>
        <rFont val="Calibri"/>
        <b/>
        <color theme="1"/>
        <sz val="11.0"/>
      </rPr>
      <t>/ha/an)</t>
    </r>
  </si>
  <si>
    <r>
      <rPr>
        <rFont val="Calibri"/>
        <b/>
        <color theme="1"/>
        <sz val="11.0"/>
      </rPr>
      <t>Volume bois fort (m</t>
    </r>
    <r>
      <rPr>
        <rFont val="Calibri"/>
        <b/>
        <color theme="1"/>
        <sz val="11.0"/>
      </rPr>
      <t>³</t>
    </r>
    <r>
      <rPr>
        <rFont val="Calibri"/>
        <b/>
        <color theme="1"/>
        <sz val="11.0"/>
      </rPr>
      <t>/ha)</t>
    </r>
  </si>
  <si>
    <r>
      <rPr>
        <rFont val="Calibri"/>
        <b/>
        <color theme="1"/>
        <sz val="11.0"/>
      </rPr>
      <t>Accroissement courant (m</t>
    </r>
    <r>
      <rPr>
        <rFont val="Calibri"/>
        <b/>
        <color theme="1"/>
        <sz val="11.0"/>
      </rPr>
      <t>³</t>
    </r>
    <r>
      <rPr>
        <rFont val="Calibri"/>
        <b/>
        <color theme="1"/>
        <sz val="11.0"/>
      </rPr>
      <t>/ha/an)</t>
    </r>
  </si>
  <si>
    <r>
      <rPr>
        <rFont val="Calibri"/>
        <b/>
        <color theme="1"/>
        <sz val="11.0"/>
      </rPr>
      <t>Volume bois fort (m</t>
    </r>
    <r>
      <rPr>
        <rFont val="Calibri"/>
        <b/>
        <color theme="1"/>
        <sz val="11.0"/>
      </rPr>
      <t>³</t>
    </r>
    <r>
      <rPr>
        <rFont val="Calibri"/>
        <b/>
        <color theme="1"/>
        <sz val="11.0"/>
      </rPr>
      <t>/ha)</t>
    </r>
  </si>
  <si>
    <r>
      <rPr>
        <rFont val="Calibri"/>
        <b/>
        <color theme="1"/>
        <sz val="11.0"/>
      </rPr>
      <t>Accroissement courant (m</t>
    </r>
    <r>
      <rPr>
        <rFont val="Calibri"/>
        <b/>
        <color theme="1"/>
        <sz val="11.0"/>
      </rPr>
      <t>³</t>
    </r>
    <r>
      <rPr>
        <rFont val="Calibri"/>
        <b/>
        <color theme="1"/>
        <sz val="11.0"/>
      </rPr>
      <t>/ha/an)</t>
    </r>
  </si>
  <si>
    <r>
      <rPr>
        <rFont val="Calibri"/>
        <b/>
        <color theme="1"/>
        <sz val="11.0"/>
      </rPr>
      <t>Volume bois fort (m</t>
    </r>
    <r>
      <rPr>
        <rFont val="Calibri"/>
        <b/>
        <color theme="1"/>
        <sz val="11.0"/>
      </rPr>
      <t>³</t>
    </r>
    <r>
      <rPr>
        <rFont val="Calibri"/>
        <b/>
        <color theme="1"/>
        <sz val="11.0"/>
      </rPr>
      <t>/ha)</t>
    </r>
  </si>
  <si>
    <r>
      <rPr>
        <rFont val="Calibri"/>
        <b/>
        <color theme="1"/>
        <sz val="11.0"/>
      </rPr>
      <t>Accroissement courant (m</t>
    </r>
    <r>
      <rPr>
        <rFont val="Calibri"/>
        <b/>
        <color theme="1"/>
        <sz val="11.0"/>
      </rPr>
      <t>³</t>
    </r>
    <r>
      <rPr>
        <rFont val="Calibri"/>
        <b/>
        <color theme="1"/>
        <sz val="11.0"/>
      </rPr>
      <t>/ha/an)</t>
    </r>
  </si>
  <si>
    <r>
      <rPr>
        <rFont val="Calibri"/>
        <b/>
        <color theme="1"/>
        <sz val="11.0"/>
      </rPr>
      <t>Volume bois fort (m</t>
    </r>
    <r>
      <rPr>
        <rFont val="Calibri"/>
        <b/>
        <color theme="1"/>
        <sz val="11.0"/>
      </rPr>
      <t>³</t>
    </r>
    <r>
      <rPr>
        <rFont val="Calibri"/>
        <b/>
        <color theme="1"/>
        <sz val="11.0"/>
      </rPr>
      <t>/ha)</t>
    </r>
  </si>
  <si>
    <r>
      <rPr>
        <rFont val="Calibri"/>
        <b/>
        <color theme="1"/>
        <sz val="11.0"/>
      </rPr>
      <t>Accroissement courant (m</t>
    </r>
    <r>
      <rPr>
        <rFont val="Calibri"/>
        <b/>
        <color theme="1"/>
        <sz val="11.0"/>
      </rPr>
      <t>³</t>
    </r>
    <r>
      <rPr>
        <rFont val="Calibri"/>
        <b/>
        <color theme="1"/>
        <sz val="11.0"/>
      </rPr>
      <t>/ha/an)</t>
    </r>
  </si>
  <si>
    <r>
      <rPr>
        <rFont val="Calibri"/>
        <b/>
        <color theme="1"/>
        <sz val="11.0"/>
      </rPr>
      <t>Volume bois fort (m</t>
    </r>
    <r>
      <rPr>
        <rFont val="Calibri"/>
        <b/>
        <color theme="1"/>
        <sz val="11.0"/>
      </rPr>
      <t>³</t>
    </r>
    <r>
      <rPr>
        <rFont val="Calibri"/>
        <b/>
        <color theme="1"/>
        <sz val="11.0"/>
      </rPr>
      <t>/ha)</t>
    </r>
  </si>
  <si>
    <r>
      <rPr>
        <rFont val="Calibri"/>
        <b/>
        <color theme="1"/>
        <sz val="11.0"/>
      </rPr>
      <t>Accroissement courant (m</t>
    </r>
    <r>
      <rPr>
        <rFont val="Calibri"/>
        <b/>
        <color theme="1"/>
        <sz val="11.0"/>
      </rPr>
      <t>³</t>
    </r>
    <r>
      <rPr>
        <rFont val="Calibri"/>
        <b/>
        <color theme="1"/>
        <sz val="11.0"/>
      </rPr>
      <t>/ha/an)</t>
    </r>
  </si>
  <si>
    <r>
      <rPr>
        <rFont val="Calibri"/>
        <b/>
        <color theme="1"/>
        <sz val="20.0"/>
      </rPr>
      <t>SC</t>
    </r>
    <r>
      <rPr>
        <rFont val="Calibri"/>
        <b/>
        <color theme="1"/>
        <sz val="20.0"/>
      </rPr>
      <t>É</t>
    </r>
    <r>
      <rPr>
        <rFont val="Calibri"/>
        <b/>
        <color theme="1"/>
        <sz val="20.0"/>
      </rPr>
      <t>NARIO DE RÉFÉRENCE</t>
    </r>
  </si>
  <si>
    <t>Renseignez les surfaces concernées par le ou les scénarios puis choisissez la nature de culture et/ou l'essence de colonisation</t>
  </si>
  <si>
    <t>% de surface</t>
  </si>
  <si>
    <t>Méthode boisement</t>
  </si>
  <si>
    <t>Méthode reconstitution</t>
  </si>
  <si>
    <t>Poursuite de la culture agricole</t>
  </si>
  <si>
    <t>Récolte d'une forêt dégradée et colonisation par des accrus (hors Méditerranée)</t>
  </si>
  <si>
    <t>Embroussaillement par colonisation naturelle (hors Méditerranée)</t>
  </si>
  <si>
    <t>Récolte d'une forêt dégradée et colonisation par des accrus en Méditerranée</t>
  </si>
  <si>
    <t>Embroussaillement par colonisation naturelle en Méditerranée</t>
  </si>
  <si>
    <t>→ Si scénario 1 :</t>
  </si>
  <si>
    <t>→ Si scénarios 2, 3, 4 ou 5 :</t>
  </si>
  <si>
    <t>Renseignez les % de surfaces de culture à l'année 0 (en % de la surface totale du projet)</t>
  </si>
  <si>
    <t>Choisir l'essence de colonisation</t>
  </si>
  <si>
    <t>Tilleul</t>
  </si>
  <si>
    <t>Culture agricole</t>
  </si>
  <si>
    <t>Prairie</t>
  </si>
  <si>
    <t>Verger ou vigne</t>
  </si>
  <si>
    <r>
      <rPr>
        <rFont val="Calibri"/>
        <b/>
        <color theme="1"/>
        <sz val="20.0"/>
      </rPr>
      <t>CALCUL DES REA, REI et REE G</t>
    </r>
    <r>
      <rPr>
        <rFont val="Calibri"/>
        <b/>
        <color theme="1"/>
        <sz val="20.0"/>
      </rPr>
      <t>É</t>
    </r>
    <r>
      <rPr>
        <rFont val="Calibri"/>
        <b/>
        <color theme="1"/>
        <sz val="20.0"/>
      </rPr>
      <t>NÉRABLES PAR LE PROJET</t>
    </r>
  </si>
  <si>
    <t>Essences</t>
  </si>
  <si>
    <t>Surface 
(ha)</t>
  </si>
  <si>
    <t>Stock biomasse 
(tCO₂/ha)</t>
  </si>
  <si>
    <t>REA forêt avant rabais (tCO₂)</t>
  </si>
  <si>
    <t>REA forêt après rabais (tCO₂)</t>
  </si>
  <si>
    <t>REA produits 
bois avant rabais (tCO₂)</t>
  </si>
  <si>
    <t>REA produits 
bois après rabais (tCO₂)</t>
  </si>
  <si>
    <t>REI substitution avant rabais 
(tCO₂)</t>
  </si>
  <si>
    <t>REI substitution après rabais 
(tCO₂)</t>
  </si>
  <si>
    <t>REE après 
rabais (tCO₂)</t>
  </si>
  <si>
    <t>Prendre les valeurs avant et après rabais dans la dernière ligne du tableau et les reporter 
dans le Document descriptif de projet</t>
  </si>
  <si>
    <t>Scénario de référence</t>
  </si>
  <si>
    <t>Année</t>
  </si>
  <si>
    <t>Biomasse culture
(tC/ha)</t>
  </si>
  <si>
    <t>Biomasse aérienne accrus 
(tMS/ha)</t>
  </si>
  <si>
    <t>Biomasse 
racinaire accrus
(tMS/ha)</t>
  </si>
  <si>
    <t>Sol (tC/ha)</t>
  </si>
  <si>
    <t>Litière (tC/ha)</t>
  </si>
  <si>
    <t>Biomasse totale (tCO₂/ha)</t>
  </si>
  <si>
    <r>
      <rPr>
        <rFont val="Calibri"/>
        <b/>
        <color theme="1"/>
        <sz val="11.0"/>
      </rPr>
      <t>Biomasse 
totale + sol + litière
(tCO</t>
    </r>
    <r>
      <rPr>
        <rFont val="Calibri"/>
        <b/>
        <color theme="1"/>
        <sz val="11.0"/>
      </rPr>
      <t>₂</t>
    </r>
    <r>
      <rPr>
        <rFont val="Calibri"/>
        <b/>
        <color theme="1"/>
        <sz val="11.0"/>
      </rPr>
      <t>/ha)</t>
    </r>
  </si>
  <si>
    <t>Volume BF (m³/ha)</t>
  </si>
  <si>
    <t>Accroissement 
courant 
(m³/ha/an)</t>
  </si>
  <si>
    <t>Volume BF 
linéarisé (m³/ha)</t>
  </si>
  <si>
    <t>Biomasse 
aérienne 
(tMS/ha)</t>
  </si>
  <si>
    <t>Biomasse 
racinaire (tMS/ha)</t>
  </si>
  <si>
    <t>Biomasse totale + sol + litière (tCO₂/ha)</t>
  </si>
  <si>
    <t>ΔStock moyen de long terme (tCO₂/ha)</t>
  </si>
  <si>
    <t>Δstock CO₂ 30 ans (tCO₂/ha)</t>
  </si>
  <si>
    <t>N° coupe</t>
  </si>
  <si>
    <t>Volume BF
éclairci 
(m³/ha)</t>
  </si>
  <si>
    <t>% pâte à papier</t>
  </si>
  <si>
    <t>Stock sciages 
(tCO₂/ha)</t>
  </si>
  <si>
    <t>Stock panneaux 
(tCO₂/ha)</t>
  </si>
  <si>
    <t>Stocks pâte à papier 
(tCO₂/ha)</t>
  </si>
  <si>
    <t>Stock produits 
bois (tCO₂/ha)</t>
  </si>
  <si>
    <t>% pâte à 
papier</t>
  </si>
  <si>
    <t>% pâte 
à papier</t>
  </si>
  <si>
    <t>a</t>
  </si>
  <si>
    <t>Essence</t>
  </si>
  <si>
    <t>Nom scientifique</t>
  </si>
  <si>
    <r>
      <rPr>
        <rFont val="Calibri"/>
        <b/>
        <color theme="1"/>
        <sz val="11.0"/>
      </rPr>
      <t>Infradensité 
(tMS/m</t>
    </r>
    <r>
      <rPr>
        <rFont val="Calibri"/>
        <b/>
        <color theme="1"/>
        <sz val="11.0"/>
      </rPr>
      <t>³</t>
    </r>
    <r>
      <rPr>
        <rFont val="Calibri"/>
        <b/>
        <color theme="1"/>
        <sz val="11.0"/>
      </rPr>
      <t>)</t>
    </r>
  </si>
  <si>
    <t>Source</t>
  </si>
  <si>
    <t>Facteur 
d'expansion 
branches</t>
  </si>
  <si>
    <t>Rendement 
sciages</t>
  </si>
  <si>
    <r>
      <rPr>
        <rFont val="Calibri"/>
        <b/>
        <color theme="1"/>
        <sz val="11.0"/>
      </rPr>
      <t>Coefficient 
de substitution 
(tCO</t>
    </r>
    <r>
      <rPr>
        <rFont val="Calibri"/>
        <b/>
        <color theme="1"/>
        <sz val="11.0"/>
      </rPr>
      <t>₂</t>
    </r>
    <r>
      <rPr>
        <rFont val="Calibri"/>
        <b/>
        <color theme="1"/>
        <sz val="11.0"/>
      </rPr>
      <t>/m</t>
    </r>
    <r>
      <rPr>
        <rFont val="Calibri"/>
        <b/>
        <color theme="1"/>
        <sz val="11.0"/>
      </rPr>
      <t>³</t>
    </r>
    <r>
      <rPr>
        <rFont val="Calibri"/>
        <b/>
        <color theme="1"/>
        <sz val="11.0"/>
      </rPr>
      <t>)</t>
    </r>
  </si>
  <si>
    <t>Sorbus torminalis</t>
  </si>
  <si>
    <t>IGN, d'après Dupouey 2002</t>
  </si>
  <si>
    <t>Inra, 2016</t>
  </si>
  <si>
    <t>Assimilation au chêne</t>
  </si>
  <si>
    <t>Rabais analyse écomique</t>
  </si>
  <si>
    <t>Arbousier</t>
  </si>
  <si>
    <t>Arbutus unedo</t>
  </si>
  <si>
    <t>Aulne à feuilles en cœur</t>
  </si>
  <si>
    <t>Alnus cordata</t>
  </si>
  <si>
    <t>Aulne glutineux</t>
  </si>
  <si>
    <t>Alnus glutinosa</t>
  </si>
  <si>
    <t>Rabais incendie</t>
  </si>
  <si>
    <t>Aulne vert</t>
  </si>
  <si>
    <t>Alnus viridis</t>
  </si>
  <si>
    <t>Bouleau verruqueux</t>
  </si>
  <si>
    <t>Betula pendula</t>
  </si>
  <si>
    <t>Cèdre de l'Atlas</t>
  </si>
  <si>
    <t>Cedrus atlantica</t>
  </si>
  <si>
    <t>Assimilation à épicéa</t>
  </si>
  <si>
    <t>Charme</t>
  </si>
  <si>
    <t>Carpinus betulus</t>
  </si>
  <si>
    <t>Charme-houblon</t>
  </si>
  <si>
    <t>Ostrya carpinifolia</t>
  </si>
  <si>
    <t>Rabais Fertilité</t>
  </si>
  <si>
    <t>Châtaignier</t>
  </si>
  <si>
    <t>Castanea sativa</t>
  </si>
  <si>
    <t>Chêne chevelu</t>
  </si>
  <si>
    <t>Quercus cerris</t>
  </si>
  <si>
    <t>FCBA, 2020</t>
  </si>
  <si>
    <t>Chêne-liège</t>
  </si>
  <si>
    <t>Quercus suber</t>
  </si>
  <si>
    <t>Chêne pédonculé</t>
  </si>
  <si>
    <t>Quercus robur</t>
  </si>
  <si>
    <t>Chêne pubescent</t>
  </si>
  <si>
    <t>Quercus pubescens</t>
  </si>
  <si>
    <t>Chêne rouge d'Amérique</t>
  </si>
  <si>
    <t>Quercus rubra</t>
  </si>
  <si>
    <t>Quercus petraea</t>
  </si>
  <si>
    <t>Chêne tauzin</t>
  </si>
  <si>
    <t>Quercus pyrenaica</t>
  </si>
  <si>
    <t>Chêne vert</t>
  </si>
  <si>
    <t>Quercus ilex</t>
  </si>
  <si>
    <t>Cormier</t>
  </si>
  <si>
    <t>Sorbus domestica</t>
  </si>
  <si>
    <t>Leban, Xylodensmap, 2021</t>
  </si>
  <si>
    <t>Assimilation à chêne</t>
  </si>
  <si>
    <t>Cryptomère du Japon</t>
  </si>
  <si>
    <t>Cryptomeria japonica</t>
  </si>
  <si>
    <t>Cyprès de Provence</t>
  </si>
  <si>
    <t>Cupressus sempervirens</t>
  </si>
  <si>
    <t>Douglas</t>
  </si>
  <si>
    <t>Pseudotsuga menziesii</t>
  </si>
  <si>
    <t>Epicéa commun</t>
  </si>
  <si>
    <t>Picea abies</t>
  </si>
  <si>
    <t>Epicéa de Sitka</t>
  </si>
  <si>
    <t>Picea sitchensis</t>
  </si>
  <si>
    <t>Erable champêtre</t>
  </si>
  <si>
    <t>Acer campestre</t>
  </si>
  <si>
    <t>Assimilation au hêtre</t>
  </si>
  <si>
    <t>Erable plane</t>
  </si>
  <si>
    <t>Acer platanoides</t>
  </si>
  <si>
    <t>Acer pseudoplatanus</t>
  </si>
  <si>
    <t>Eucalyptus</t>
  </si>
  <si>
    <t>Hêtre</t>
  </si>
  <si>
    <t>Fagus sylvatica</t>
  </si>
  <si>
    <t>Frêne</t>
  </si>
  <si>
    <t>Fraxinus excelsior</t>
  </si>
  <si>
    <t>Mélèze d'Europe</t>
  </si>
  <si>
    <t>Larix decidua</t>
  </si>
  <si>
    <r>
      <rPr>
        <rFont val="Calibri"/>
        <color theme="1"/>
        <sz val="11.0"/>
      </rPr>
      <t xml:space="preserve">Bourgeois, 2001 in </t>
    </r>
    <r>
      <rPr>
        <rFont val="Calibri"/>
        <i/>
        <color theme="1"/>
        <sz val="11.0"/>
      </rPr>
      <t>Forêt méditerranéenne</t>
    </r>
  </si>
  <si>
    <t>Mélèze du Japon</t>
  </si>
  <si>
    <t>Larix kaempferi</t>
  </si>
  <si>
    <r>
      <rPr>
        <rFont val="Calibri"/>
        <color theme="1"/>
        <sz val="11.0"/>
      </rPr>
      <t xml:space="preserve">Bourgeois, 2001 in </t>
    </r>
    <r>
      <rPr>
        <rFont val="Calibri"/>
        <i/>
        <color theme="1"/>
        <sz val="11.0"/>
      </rPr>
      <t>Forêt méditerranéenne</t>
    </r>
  </si>
  <si>
    <t>Mélèze hybride</t>
  </si>
  <si>
    <t>Larix eurolepsis</t>
  </si>
  <si>
    <t>Mémoire de Léopold Baquet, 2014</t>
  </si>
  <si>
    <t>Bourgeois, 2001 in Forêt méditerranéenne</t>
  </si>
  <si>
    <t>Merisier</t>
  </si>
  <si>
    <t>Prunus avium</t>
  </si>
  <si>
    <t>Micocoulier de Provence</t>
  </si>
  <si>
    <t>Celtis australis</t>
  </si>
  <si>
    <t>Noyer</t>
  </si>
  <si>
    <t>Juglans sp.</t>
  </si>
  <si>
    <t>Orme</t>
  </si>
  <si>
    <t>Ulmus sp.</t>
  </si>
  <si>
    <t>Peuplier A4A</t>
  </si>
  <si>
    <t>-</t>
  </si>
  <si>
    <t>CNPF, FCBA, Arts et Métiers ParisTech, 2013</t>
  </si>
  <si>
    <t>Thèse El Haouzali, 2010</t>
  </si>
  <si>
    <t>Peuplier Alcinde</t>
  </si>
  <si>
    <t>Peuplier Beaupré</t>
  </si>
  <si>
    <t>Peuplier Blanc du Poitou</t>
  </si>
  <si>
    <t>Peuplier Brenta</t>
  </si>
  <si>
    <t>Peuplier Dorskamp</t>
  </si>
  <si>
    <t>Peuplier Dvena</t>
  </si>
  <si>
    <t>Peuplier Flevo</t>
  </si>
  <si>
    <t>Peuplier Fritzi Pauley</t>
  </si>
  <si>
    <t>Peuplier Ghoy</t>
  </si>
  <si>
    <t>Peuplier I-214</t>
  </si>
  <si>
    <t>Peuplier I-45/51</t>
  </si>
  <si>
    <t>Peuplier Koster</t>
  </si>
  <si>
    <t>Peuplier Lambro</t>
  </si>
  <si>
    <t>Peuplier Lena</t>
  </si>
  <si>
    <t>Peuplier Mella</t>
  </si>
  <si>
    <t>Peuplier Polargo</t>
  </si>
  <si>
    <t>Peuplier Raspalje</t>
  </si>
  <si>
    <t>Peuplier Robusta</t>
  </si>
  <si>
    <t>Peuplier Soligo</t>
  </si>
  <si>
    <t>Peuplier Taro</t>
  </si>
  <si>
    <t>Peuplier Trichobel</t>
  </si>
  <si>
    <t>Peuplier Triplo</t>
  </si>
  <si>
    <t>Peuplier non cultivé</t>
  </si>
  <si>
    <t>Populus sp.</t>
  </si>
  <si>
    <t>Pin d'Alep</t>
  </si>
  <si>
    <t>Pinus halepensis</t>
  </si>
  <si>
    <t>Assimilation au pin maritime</t>
  </si>
  <si>
    <t>Pin cembro</t>
  </si>
  <si>
    <t>Pinus cembra</t>
  </si>
  <si>
    <t>Pin à crochets</t>
  </si>
  <si>
    <t>Pinus uncinata</t>
  </si>
  <si>
    <t>Pin laricio</t>
  </si>
  <si>
    <t>Pinus laricio</t>
  </si>
  <si>
    <t>Pin maritime</t>
  </si>
  <si>
    <t>Pinus pinaster</t>
  </si>
  <si>
    <t>Pin mugho</t>
  </si>
  <si>
    <t>Pinus mugo</t>
  </si>
  <si>
    <t>Pin noir d'Autriche</t>
  </si>
  <si>
    <t>Pinus nigra</t>
  </si>
  <si>
    <t>Pin pignon</t>
  </si>
  <si>
    <t>Pinus pinea</t>
  </si>
  <si>
    <t>Correia, 2010</t>
  </si>
  <si>
    <t>Pin de Salzmann</t>
  </si>
  <si>
    <t>Pinus nigra subsp. Salzmannii</t>
  </si>
  <si>
    <t>Assimilation à pin noir</t>
  </si>
  <si>
    <t>Pin sylvestre</t>
  </si>
  <si>
    <t>Pinus sylvestris</t>
  </si>
  <si>
    <t>Pin taeda</t>
  </si>
  <si>
    <t>Pinus taeda</t>
  </si>
  <si>
    <t>Assimilation à pin maritime</t>
  </si>
  <si>
    <t>Pin de Weymouth</t>
  </si>
  <si>
    <t>Pinus strobus</t>
  </si>
  <si>
    <t>Platane</t>
  </si>
  <si>
    <t>Platanus sp.</t>
  </si>
  <si>
    <t>Robinier faux-acacia</t>
  </si>
  <si>
    <t>Robinia pseudacacia</t>
  </si>
  <si>
    <t>Dire d'expert</t>
  </si>
  <si>
    <t>Sapin méditerranéen</t>
  </si>
  <si>
    <t>Abies sp.</t>
  </si>
  <si>
    <t>Sapin de Nordmann</t>
  </si>
  <si>
    <t>Abies nordmanniana</t>
  </si>
  <si>
    <t>Sapin pectiné</t>
  </si>
  <si>
    <t>Abies alba</t>
  </si>
  <si>
    <t>Sapin de Vancouver</t>
  </si>
  <si>
    <t>Abies grandis</t>
  </si>
  <si>
    <t>Saule</t>
  </si>
  <si>
    <t>Salix sp.</t>
  </si>
  <si>
    <t>Séquoia géant</t>
  </si>
  <si>
    <t>Sequoiadendron giganteum</t>
  </si>
  <si>
    <t>FCBA, 2013</t>
  </si>
  <si>
    <t>Séquoia toujours vert</t>
  </si>
  <si>
    <t>Sequoia sempervirens</t>
  </si>
  <si>
    <t>Thuya géant</t>
  </si>
  <si>
    <t>Thuja plicata</t>
  </si>
  <si>
    <t>Tilia sp.</t>
  </si>
  <si>
    <t>Tremble</t>
  </si>
  <si>
    <t>Populus tremula</t>
  </si>
  <si>
    <t>Assimilation au peuplier</t>
  </si>
  <si>
    <t>Conifères (moyenne)</t>
  </si>
  <si>
    <t>Feuillus (moyenne)</t>
  </si>
  <si>
    <r>
      <rPr>
        <rFont val="Calibri"/>
        <b/>
        <color theme="1"/>
        <sz val="20.0"/>
      </rPr>
      <t xml:space="preserve">ANALYSE </t>
    </r>
    <r>
      <rPr>
        <rFont val="Calibri"/>
        <b/>
        <color theme="1"/>
        <sz val="20.0"/>
      </rPr>
      <t>É</t>
    </r>
    <r>
      <rPr>
        <rFont val="Calibri"/>
        <b/>
        <color theme="1"/>
        <sz val="20.0"/>
      </rPr>
      <t>CONOMIQUE</t>
    </r>
  </si>
  <si>
    <t>Seules les cellules en jaune doivent être remplies</t>
  </si>
  <si>
    <t>Taux d'actualisation</t>
  </si>
  <si>
    <r>
      <rPr>
        <rFont val="Calibri"/>
        <b/>
        <color theme="1"/>
        <sz val="20.0"/>
      </rPr>
      <t>SC</t>
    </r>
    <r>
      <rPr>
        <rFont val="Calibri"/>
        <b/>
        <color theme="1"/>
        <sz val="20.0"/>
      </rPr>
      <t>É</t>
    </r>
    <r>
      <rPr>
        <rFont val="Calibri"/>
        <b/>
        <color theme="1"/>
        <sz val="20.0"/>
      </rPr>
      <t>NARIO DE RÉFÉRENCE</t>
    </r>
  </si>
  <si>
    <t>VAN TOTALE</t>
  </si>
  <si>
    <t xml:space="preserve">Remplir pour les essences concernées par le projet, les recettes et les coûts du projets imputables aux essences, </t>
  </si>
  <si>
    <t xml:space="preserve">Remplir pour les essences concernées par le projet, les recettes et les coûts du projets non imputables </t>
  </si>
  <si>
    <t>VAN (€/ha)</t>
  </si>
  <si>
    <t>Surface (ha)</t>
  </si>
  <si>
    <t>VAN (€)</t>
  </si>
  <si>
    <t>pour les différentes années.</t>
  </si>
  <si>
    <t>aux essences, pour les différentes années.</t>
  </si>
  <si>
    <t>NB : coûts imputables à l'essence = achats des plants, opération de plantation, éclaircies, etc.</t>
  </si>
  <si>
    <t>NB : coûts non imputables aux essences = préparation de la parcelle, protections, assurance, etc.</t>
  </si>
  <si>
    <t>Si scénarios 2, 3, 4 ou 5, remplir les cases jaunes</t>
  </si>
  <si>
    <t>Aide publique (€/ha)</t>
  </si>
  <si>
    <t>NB : Indiquer le numéro de l'année à partir du début du projet et non l'année réelle (ex: année 1 et non année 2022)</t>
  </si>
  <si>
    <t>Volume bois fort prélevé (m³/ha)</t>
  </si>
  <si>
    <t>Prix unitaire (€/m³)</t>
  </si>
  <si>
    <t>Recettes</t>
  </si>
  <si>
    <t>Coûts</t>
  </si>
  <si>
    <t>Âge de récolte des accrus</t>
  </si>
  <si>
    <t>Volume (m³/ha)</t>
  </si>
  <si>
    <t>Coût du boisement/reboisement (€/ha)</t>
  </si>
  <si>
    <t>Recettes (€/ha)</t>
  </si>
  <si>
    <t>Si scénario 1, remplir la case jaune</t>
  </si>
  <si>
    <t>VAN scénario de projet</t>
  </si>
  <si>
    <t>VAN scénario de référence</t>
  </si>
  <si>
    <t>Recettes nettes déclarées par le Porteur de projet (€/ha)</t>
  </si>
  <si>
    <t>ΔVAN</t>
  </si>
  <si>
    <t>Par défaut le calcul économique des recettes nettes du Porteur de projet sera établi sur la durée de révolution la plus courte parmi les essences de projet</t>
  </si>
  <si>
    <t>Additionnalité économique</t>
  </si>
  <si>
    <t>Reprendre les valeurs du tableau dans le Document descriptif de projet</t>
  </si>
  <si>
    <t>VAN</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</si>
</sst>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0.0"/>
    <numFmt numFmtId="165" formatCode="0.0%"/>
    <numFmt numFmtId="166" formatCode="#,##0\ &quot;€&quot;"/>
    <numFmt numFmtId="167" formatCode="#,##0.0\ &quot;€&quot;"/>
    <numFmt numFmtId="168" formatCode="#,##0.00\ &quot;€&quot;"/>
  </numFmts>
  <fonts count="31">
    <font>
      <sz val="11.0"/>
      <color theme="1"/>
      <name val="Calibri"/>
      <scheme val="minor"/>
    </font>
    <font>
      <sz val="14.0"/>
      <color theme="1"/>
      <name val="Calibri"/>
    </font>
    <font/>
    <font>
      <sz val="11.0"/>
      <color theme="1"/>
      <name val="Calibri"/>
    </font>
    <font>
      <b/>
      <u/>
      <sz val="11.0"/>
      <color theme="1"/>
      <name val="Calibri"/>
    </font>
    <font>
      <b/>
      <sz val="8.0"/>
      <color theme="1"/>
      <name val="Calibri"/>
    </font>
    <font>
      <b/>
      <sz val="20.0"/>
      <color theme="1"/>
      <name val="Calibri"/>
    </font>
    <font>
      <b/>
      <i/>
      <u/>
      <sz val="16.0"/>
      <color theme="1"/>
      <name val="Calibri"/>
    </font>
    <font>
      <b/>
      <sz val="16.0"/>
      <color theme="1"/>
      <name val="Calibri"/>
    </font>
    <font>
      <b/>
      <i/>
      <sz val="11.0"/>
      <color rgb="FF2F5496"/>
      <name val="Calibri"/>
    </font>
    <font>
      <sz val="8.0"/>
      <color theme="1"/>
      <name val="Calibri"/>
    </font>
    <font>
      <b/>
      <i/>
      <u/>
      <sz val="11.0"/>
      <color theme="1"/>
      <name val="Calibri"/>
    </font>
    <font>
      <b/>
      <sz val="11.0"/>
      <color theme="1"/>
      <name val="Calibri"/>
    </font>
    <font>
      <b/>
      <i/>
      <sz val="11.0"/>
      <color rgb="FF0070C0"/>
      <name val="Calibri"/>
    </font>
    <font>
      <i/>
      <sz val="11.0"/>
      <color theme="1"/>
      <name val="Calibri"/>
    </font>
    <font>
      <u/>
      <sz val="11.0"/>
      <color theme="10"/>
      <name val="Arial"/>
    </font>
    <font>
      <b/>
      <sz val="11.0"/>
      <color rgb="FFFF0000"/>
      <name val="Calibri"/>
    </font>
    <font>
      <b/>
      <i/>
      <sz val="10.0"/>
      <color rgb="FF2F5496"/>
      <name val="Calibri"/>
    </font>
    <font>
      <sz val="11.0"/>
      <color rgb="FF000000"/>
      <name val="&quot;liberation serif&quot;"/>
    </font>
    <font>
      <b/>
      <i/>
      <u/>
      <sz val="16.0"/>
      <color theme="1"/>
      <name val="Calibri"/>
    </font>
    <font>
      <sz val="11.0"/>
      <color theme="0"/>
      <name val="Calibri"/>
    </font>
    <font>
      <sz val="11.0"/>
      <color rgb="FF2F5496"/>
      <name val="Calibri"/>
    </font>
    <font>
      <sz val="11.0"/>
      <color rgb="FF000000"/>
      <name val="Arial"/>
    </font>
    <font>
      <b/>
      <u/>
      <sz val="11.0"/>
      <color rgb="FF2F5496"/>
      <name val="Calibri"/>
    </font>
    <font>
      <color theme="1"/>
      <name val="Calibri"/>
    </font>
    <font>
      <b/>
      <sz val="10.0"/>
      <color rgb="FFFF0000"/>
      <name val="Calibri"/>
    </font>
    <font>
      <b/>
      <i/>
      <sz val="11.0"/>
      <color rgb="FFFF0000"/>
      <name val="Calibri"/>
    </font>
    <font>
      <b/>
      <sz val="12.0"/>
      <color theme="1"/>
      <name val="Calibri"/>
    </font>
    <font>
      <b/>
      <sz val="11.0"/>
      <color rgb="FF2E75B5"/>
      <name val="Calibri"/>
    </font>
    <font>
      <b/>
      <u/>
      <sz val="11.0"/>
      <color theme="1"/>
      <name val="Calibri"/>
    </font>
    <font>
      <b/>
      <sz val="11.0"/>
      <color rgb="FF2F5496"/>
      <name val="Calibri"/>
    </font>
  </fonts>
  <fills count="21">
    <fill>
      <patternFill patternType="none"/>
    </fill>
    <fill>
      <patternFill patternType="lightGray"/>
    </fill>
    <fill>
      <patternFill patternType="solid">
        <fgColor rgb="FFA8D08D"/>
        <bgColor rgb="FFA8D08D"/>
      </patternFill>
    </fill>
    <fill>
      <patternFill patternType="solid">
        <fgColor rgb="FFFFFF99"/>
        <bgColor rgb="FFFFFF99"/>
      </patternFill>
    </fill>
    <fill>
      <patternFill patternType="solid">
        <fgColor rgb="FFFFC000"/>
        <bgColor rgb="FFFFC000"/>
      </patternFill>
    </fill>
    <fill>
      <patternFill patternType="solid">
        <fgColor rgb="FFFF0000"/>
        <bgColor rgb="FFFF0000"/>
      </patternFill>
    </fill>
    <fill>
      <patternFill patternType="solid">
        <fgColor rgb="FFFFFF00"/>
        <bgColor rgb="FFFFFF00"/>
      </patternFill>
    </fill>
    <fill>
      <patternFill patternType="solid">
        <fgColor rgb="FFFFD965"/>
        <bgColor rgb="FFFFD965"/>
      </patternFill>
    </fill>
    <fill>
      <patternFill patternType="solid">
        <fgColor rgb="FFC5E0B3"/>
        <bgColor rgb="FFC5E0B3"/>
      </patternFill>
    </fill>
    <fill>
      <patternFill patternType="solid">
        <fgColor rgb="FFF4B083"/>
        <bgColor rgb="FFF4B083"/>
      </patternFill>
    </fill>
    <fill>
      <patternFill patternType="solid">
        <fgColor rgb="FFE2EFD9"/>
        <bgColor rgb="FFE2EFD9"/>
      </patternFill>
    </fill>
    <fill>
      <patternFill patternType="solid">
        <fgColor rgb="FFBDD6EE"/>
        <bgColor rgb="FFBDD6EE"/>
      </patternFill>
    </fill>
    <fill>
      <patternFill patternType="solid">
        <fgColor rgb="FFF7CAAC"/>
        <bgColor rgb="FFF7CAAC"/>
      </patternFill>
    </fill>
    <fill>
      <patternFill patternType="solid">
        <fgColor rgb="FF00B050"/>
        <bgColor rgb="FF00B050"/>
      </patternFill>
    </fill>
    <fill>
      <patternFill patternType="solid">
        <fgColor rgb="FFBF9000"/>
        <bgColor rgb="FFBF9000"/>
      </patternFill>
    </fill>
    <fill>
      <patternFill patternType="solid">
        <fgColor rgb="FF8EAADB"/>
        <bgColor rgb="FF8EAADB"/>
      </patternFill>
    </fill>
    <fill>
      <patternFill patternType="solid">
        <fgColor rgb="FF385623"/>
        <bgColor rgb="FF385623"/>
      </patternFill>
    </fill>
    <fill>
      <patternFill patternType="solid">
        <fgColor rgb="FF9CC2E5"/>
        <bgColor rgb="FF9CC2E5"/>
      </patternFill>
    </fill>
    <fill>
      <patternFill patternType="solid">
        <fgColor rgb="FF92D050"/>
        <bgColor rgb="FF92D050"/>
      </patternFill>
    </fill>
    <fill>
      <patternFill patternType="solid">
        <fgColor rgb="FFF2F2F2"/>
        <bgColor rgb="FFF2F2F2"/>
      </patternFill>
    </fill>
    <fill>
      <patternFill patternType="solid">
        <fgColor rgb="FFE7E6E6"/>
        <bgColor rgb="FFE7E6E6"/>
      </patternFill>
    </fill>
  </fills>
  <borders count="73">
    <border/>
    <border>
      <left/>
      <top/>
    </border>
    <border>
      <top/>
    </border>
    <border>
      <left/>
    </border>
    <border>
      <left/>
      <top/>
      <bottom/>
    </border>
    <border>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thin">
        <color rgb="FF000000"/>
      </left>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bottom style="thin">
        <color rgb="FF000000"/>
      </bottom>
    </border>
    <border>
      <left/>
      <right/>
      <top/>
      <bottom/>
    </border>
    <border>
      <left style="medium">
        <color rgb="FF000000"/>
      </left>
      <right style="thin">
        <color rgb="FF000000"/>
      </right>
      <top style="medium">
        <color rgb="FF000000"/>
      </top>
      <bottom style="medium">
        <color rgb="FF000000"/>
      </bottom>
    </border>
    <border>
      <left style="thin">
        <color rgb="FF000000"/>
      </left>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right style="thin">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top/>
      <bottom style="thin">
        <color rgb="FF000000"/>
      </bottom>
    </border>
    <border>
      <left style="thin">
        <color rgb="FF000000"/>
      </left>
      <right/>
      <top/>
      <bottom style="thin">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right style="thin">
        <color rgb="FF000000"/>
      </right>
      <top/>
      <bottom style="thin">
        <color rgb="FF000000"/>
      </bottom>
    </border>
    <border>
      <left style="medium">
        <color rgb="FF000000"/>
      </left>
      <right style="medium">
        <color rgb="FF000000"/>
      </right>
      <top/>
      <bottom style="thin">
        <color rgb="FF000000"/>
      </bottom>
    </border>
    <border>
      <left style="medium">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top/>
      <bottom/>
    </border>
    <border>
      <left style="medium">
        <color rgb="FF000000"/>
      </left>
      <right style="thin">
        <color rgb="FF000000"/>
      </right>
      <top style="thin">
        <color rgb="FF000000"/>
      </top>
      <bottom/>
    </border>
    <border>
      <left style="thin">
        <color rgb="FF000000"/>
      </left>
      <right style="medium">
        <color rgb="FF000000"/>
      </right>
      <top style="thin">
        <color rgb="FF000000"/>
      </top>
      <bottom/>
    </border>
    <border>
      <left/>
      <right style="thin">
        <color rgb="FF000000"/>
      </right>
      <top style="thin">
        <color rgb="FF000000"/>
      </top>
      <bottom/>
    </border>
    <border>
      <left style="thin">
        <color rgb="FF000000"/>
      </left>
      <right/>
      <top style="thin">
        <color rgb="FF000000"/>
      </top>
      <bottom/>
    </border>
    <border>
      <left style="medium">
        <color rgb="FF000000"/>
      </left>
      <right style="medium">
        <color rgb="FF000000"/>
      </right>
      <top/>
      <bottom/>
    </border>
    <border>
      <top style="medium">
        <color rgb="FF000000"/>
      </top>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top/>
      <bottom style="medium">
        <color rgb="FF000000"/>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medium">
        <color rgb="FF000000"/>
      </left>
      <right/>
      <top style="medium">
        <color rgb="FF000000"/>
      </top>
      <bottom style="medium">
        <color rgb="FF000000"/>
      </bottom>
    </border>
    <border>
      <left/>
      <right/>
      <top style="medium">
        <color rgb="FF000000"/>
      </top>
      <bottom style="medium">
        <color rgb="FF000000"/>
      </bottom>
    </border>
    <border>
      <left style="medium">
        <color rgb="FF000000"/>
      </left>
      <right/>
      <top/>
      <bottom/>
    </border>
    <border>
      <left/>
      <right style="medium">
        <color rgb="FF000000"/>
      </right>
      <top/>
      <bottom/>
    </border>
    <border>
      <left style="medium">
        <color rgb="FF000000"/>
      </left>
      <right style="medium">
        <color rgb="FF000000"/>
      </right>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medium">
        <color rgb="FF000000"/>
      </top>
    </border>
    <border>
      <left style="thin">
        <color rgb="FF000000"/>
      </left>
      <right style="medium">
        <color rgb="FF000000"/>
      </right>
      <top style="medium">
        <color rgb="FF000000"/>
      </top>
      <bottom style="thin">
        <color rgb="FF000000"/>
      </bottom>
    </border>
    <border>
      <left style="medium">
        <color rgb="FF000000"/>
      </left>
      <right style="thin">
        <color rgb="FF000000"/>
      </right>
      <top style="medium">
        <color rgb="FF000000"/>
      </top>
    </border>
    <border>
      <left style="thin">
        <color rgb="FF000000"/>
      </left>
      <right style="thin">
        <color rgb="FF000000"/>
      </right>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thin">
        <color rgb="FF000000"/>
      </right>
    </border>
    <border>
      <left/>
      <right style="thin">
        <color rgb="FF000000"/>
      </right>
      <top style="thin">
        <color rgb="FF000000"/>
      </top>
      <bottom style="thin">
        <color rgb="FF000000"/>
      </bottom>
    </border>
    <border>
      <left/>
      <right style="medium">
        <color rgb="FF000000"/>
      </right>
      <top style="medium">
        <color rgb="FF000000"/>
      </top>
      <bottom style="medium">
        <color rgb="FF000000"/>
      </bottom>
    </border>
    <border>
      <left style="dotted">
        <color rgb="FF000000"/>
      </left>
    </border>
    <border>
      <right style="dotted">
        <color rgb="FF000000"/>
      </right>
    </border>
    <border>
      <left style="dotted">
        <color rgb="FF000000"/>
      </left>
      <right style="thin">
        <color rgb="FF000000"/>
      </right>
    </border>
    <border>
      <top style="thin">
        <color rgb="FF000000"/>
      </top>
    </border>
    <border>
      <right style="thin">
        <color rgb="FF000000"/>
      </right>
      <top style="thin">
        <color rgb="FF000000"/>
      </top>
    </border>
    <border>
      <bottom style="thin">
        <color rgb="FF000000"/>
      </bottom>
    </border>
    <border>
      <right style="thin">
        <color rgb="FF000000"/>
      </right>
      <bottom style="thin">
        <color rgb="FF000000"/>
      </bottom>
    </border>
    <border>
      <right style="thin">
        <color rgb="FF000000"/>
      </right>
    </border>
  </borders>
  <cellStyleXfs count="1">
    <xf borderId="0" fillId="0" fontId="0" numFmtId="0" applyAlignment="1" applyFont="1"/>
  </cellStyleXfs>
  <cellXfs count="262">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center" wrapText="1"/>
    </xf>
    <xf borderId="2" fillId="0" fontId="2" numFmtId="0" xfId="0" applyBorder="1" applyFont="1"/>
    <xf borderId="3" fillId="0" fontId="2" numFmtId="0" xfId="0" applyBorder="1" applyFont="1"/>
    <xf borderId="0" fillId="0" fontId="3" numFmtId="0" xfId="0" applyFont="1"/>
    <xf borderId="4" fillId="3" fontId="4" numFmtId="0" xfId="0" applyAlignment="1" applyBorder="1" applyFill="1" applyFont="1">
      <alignment horizontal="center"/>
    </xf>
    <xf borderId="5" fillId="0" fontId="2" numFmtId="0" xfId="0" applyBorder="1" applyFont="1"/>
    <xf borderId="0" fillId="0" fontId="5" numFmtId="0" xfId="0" applyAlignment="1" applyFont="1">
      <alignment horizontal="left" vertical="center"/>
    </xf>
    <xf borderId="6" fillId="2" fontId="6" numFmtId="0" xfId="0" applyAlignment="1" applyBorder="1" applyFont="1">
      <alignment horizontal="center" vertical="center"/>
    </xf>
    <xf borderId="7" fillId="0" fontId="2" numFmtId="0" xfId="0" applyBorder="1" applyFont="1"/>
    <xf borderId="8" fillId="0" fontId="2" numFmtId="0" xfId="0" applyBorder="1" applyFont="1"/>
    <xf borderId="0" fillId="0" fontId="6" numFmtId="0" xfId="0" applyAlignment="1" applyFont="1">
      <alignment vertical="center"/>
    </xf>
    <xf borderId="0" fillId="0" fontId="6" numFmtId="0" xfId="0" applyAlignment="1" applyFont="1">
      <alignment horizontal="center" vertical="center"/>
    </xf>
    <xf borderId="0" fillId="0" fontId="7" numFmtId="0" xfId="0" applyAlignment="1" applyFont="1">
      <alignment horizontal="left" vertical="center"/>
    </xf>
    <xf borderId="9" fillId="3" fontId="8" numFmtId="0" xfId="0" applyAlignment="1" applyBorder="1" applyFont="1">
      <alignment horizontal="center" vertical="center"/>
    </xf>
    <xf borderId="10" fillId="0" fontId="9" numFmtId="0" xfId="0" applyAlignment="1" applyBorder="1" applyFont="1">
      <alignment horizontal="left" vertical="center"/>
    </xf>
    <xf borderId="0" fillId="0" fontId="10" numFmtId="0" xfId="0" applyAlignment="1" applyFont="1">
      <alignment horizontal="left" vertical="center"/>
    </xf>
    <xf borderId="0" fillId="0" fontId="11" numFmtId="0" xfId="0" applyAlignment="1" applyFont="1">
      <alignment horizontal="left" vertical="center"/>
    </xf>
    <xf borderId="0" fillId="0" fontId="9" numFmtId="0" xfId="0" applyAlignment="1" applyFont="1">
      <alignment horizontal="left" vertical="center"/>
    </xf>
    <xf borderId="0" fillId="0" fontId="12" numFmtId="0" xfId="0" applyAlignment="1" applyFont="1">
      <alignment horizontal="center" vertical="center"/>
    </xf>
    <xf borderId="0" fillId="0" fontId="13" numFmtId="0" xfId="0" applyAlignment="1" applyFont="1">
      <alignment horizontal="center" vertical="center"/>
    </xf>
    <xf borderId="0" fillId="0" fontId="12" numFmtId="0" xfId="0" applyAlignment="1" applyFont="1">
      <alignment horizontal="center" shrinkToFit="0" vertical="center" wrapText="1"/>
    </xf>
    <xf borderId="0" fillId="0" fontId="14" numFmtId="0" xfId="0" applyAlignment="1" applyFont="1">
      <alignment horizontal="center" vertical="center"/>
    </xf>
    <xf borderId="9" fillId="2" fontId="15" numFmtId="0" xfId="0" applyAlignment="1" applyBorder="1" applyFont="1">
      <alignment horizontal="center" vertical="center"/>
    </xf>
    <xf borderId="9" fillId="3" fontId="3" numFmtId="0" xfId="0" applyAlignment="1" applyBorder="1" applyFont="1">
      <alignment horizontal="center" vertical="center"/>
    </xf>
    <xf borderId="9" fillId="3" fontId="3" numFmtId="9" xfId="0" applyAlignment="1" applyBorder="1" applyFont="1" applyNumberFormat="1">
      <alignment horizontal="center" vertical="center"/>
    </xf>
    <xf borderId="9" fillId="2" fontId="3" numFmtId="2" xfId="0" applyAlignment="1" applyBorder="1" applyFont="1" applyNumberFormat="1">
      <alignment horizontal="center" vertical="center"/>
    </xf>
    <xf borderId="9" fillId="3" fontId="3" numFmtId="1" xfId="0" applyAlignment="1" applyBorder="1" applyFont="1" applyNumberFormat="1">
      <alignment horizontal="center" vertical="center"/>
    </xf>
    <xf borderId="9" fillId="4" fontId="16" numFmtId="1" xfId="0" applyAlignment="1" applyBorder="1" applyFill="1" applyFont="1" applyNumberFormat="1">
      <alignment horizontal="center" vertical="center"/>
    </xf>
    <xf borderId="10" fillId="0" fontId="17" numFmtId="0" xfId="0" applyBorder="1" applyFont="1"/>
    <xf borderId="0" fillId="0" fontId="3" numFmtId="1" xfId="0" applyAlignment="1" applyFont="1" applyNumberFormat="1">
      <alignment horizontal="center" vertical="center"/>
    </xf>
    <xf borderId="0" fillId="0" fontId="18" numFmtId="0" xfId="0" applyFont="1"/>
    <xf borderId="0" fillId="0" fontId="3" numFmtId="0" xfId="0" applyAlignment="1" applyFont="1">
      <alignment horizontal="center" vertical="center"/>
    </xf>
    <xf borderId="9" fillId="2" fontId="12" numFmtId="0" xfId="0" applyAlignment="1" applyBorder="1" applyFont="1">
      <alignment horizontal="center" vertical="center"/>
    </xf>
    <xf borderId="9" fillId="2" fontId="12" numFmtId="9" xfId="0" applyAlignment="1" applyBorder="1" applyFont="1" applyNumberFormat="1">
      <alignment horizontal="center" vertical="center"/>
    </xf>
    <xf borderId="9" fillId="2" fontId="12" numFmtId="2" xfId="0" applyAlignment="1" applyBorder="1" applyFont="1" applyNumberFormat="1">
      <alignment horizontal="center" vertical="center"/>
    </xf>
    <xf borderId="0" fillId="0" fontId="12" numFmtId="9" xfId="0" applyAlignment="1" applyFont="1" applyNumberFormat="1">
      <alignment horizontal="center" vertical="center"/>
    </xf>
    <xf borderId="9" fillId="4" fontId="12" numFmtId="0" xfId="0" applyAlignment="1" applyBorder="1" applyFont="1">
      <alignment horizontal="center" vertical="center"/>
    </xf>
    <xf borderId="9" fillId="4" fontId="16" numFmtId="0" xfId="0" applyAlignment="1" applyBorder="1" applyFont="1">
      <alignment horizontal="center" vertical="center"/>
    </xf>
    <xf borderId="11" fillId="0" fontId="16" numFmtId="0" xfId="0" applyAlignment="1" applyBorder="1" applyFont="1">
      <alignment horizontal="center" vertical="center"/>
    </xf>
    <xf borderId="0" fillId="0" fontId="3" numFmtId="9" xfId="0" applyFont="1" applyNumberFormat="1"/>
    <xf borderId="0" fillId="0" fontId="19" numFmtId="0" xfId="0" applyAlignment="1" applyFont="1">
      <alignment horizontal="left"/>
    </xf>
    <xf borderId="9" fillId="5" fontId="20" numFmtId="0" xfId="0" applyAlignment="1" applyBorder="1" applyFill="1" applyFont="1">
      <alignment horizontal="center" vertical="center"/>
    </xf>
    <xf borderId="9" fillId="2" fontId="3" numFmtId="0" xfId="0" applyAlignment="1" applyBorder="1" applyFont="1">
      <alignment horizontal="center" vertical="center"/>
    </xf>
    <xf borderId="10" fillId="0" fontId="9" numFmtId="0" xfId="0" applyBorder="1" applyFont="1"/>
    <xf borderId="0" fillId="0" fontId="9" numFmtId="0" xfId="0" applyFont="1"/>
    <xf borderId="0" fillId="0" fontId="21" numFmtId="0" xfId="0" applyFont="1"/>
    <xf borderId="0" fillId="0" fontId="12" numFmtId="0" xfId="0" applyFont="1"/>
    <xf borderId="0" fillId="0" fontId="22" numFmtId="0" xfId="0" applyFont="1"/>
    <xf borderId="0" fillId="0" fontId="23" numFmtId="0" xfId="0" applyAlignment="1" applyFont="1">
      <alignment horizontal="center"/>
    </xf>
    <xf borderId="9" fillId="2" fontId="9" numFmtId="0" xfId="0" applyAlignment="1" applyBorder="1" applyFont="1">
      <alignment horizontal="center"/>
    </xf>
    <xf borderId="0" fillId="0" fontId="17" numFmtId="0" xfId="0" applyFont="1"/>
    <xf borderId="9" fillId="2" fontId="12" numFmtId="0" xfId="0" applyAlignment="1" applyBorder="1" applyFont="1">
      <alignment horizontal="center"/>
    </xf>
    <xf borderId="12" fillId="2" fontId="12" numFmtId="0" xfId="0" applyAlignment="1" applyBorder="1" applyFont="1">
      <alignment horizontal="center"/>
    </xf>
    <xf borderId="13" fillId="0" fontId="2" numFmtId="0" xfId="0" applyBorder="1" applyFont="1"/>
    <xf borderId="14" fillId="0" fontId="2" numFmtId="0" xfId="0" applyBorder="1" applyFont="1"/>
    <xf borderId="15" fillId="0" fontId="12" numFmtId="0" xfId="0" applyAlignment="1" applyBorder="1" applyFont="1">
      <alignment horizontal="center"/>
    </xf>
    <xf borderId="9" fillId="2" fontId="12" numFmtId="0" xfId="0" applyAlignment="1" applyBorder="1" applyFont="1">
      <alignment horizontal="center" shrinkToFit="0" vertical="center" wrapText="1"/>
    </xf>
    <xf borderId="9" fillId="6" fontId="12" numFmtId="0" xfId="0" applyAlignment="1" applyBorder="1" applyFill="1" applyFont="1">
      <alignment vertical="bottom"/>
    </xf>
    <xf borderId="16" fillId="3" fontId="16" numFmtId="0" xfId="0" applyAlignment="1" applyBorder="1" applyFont="1">
      <alignment horizontal="center"/>
    </xf>
    <xf borderId="9" fillId="3" fontId="16" numFmtId="3" xfId="0" applyAlignment="1" applyBorder="1" applyFont="1" applyNumberFormat="1">
      <alignment horizontal="center"/>
    </xf>
    <xf borderId="9" fillId="3" fontId="16" numFmtId="0" xfId="0" applyAlignment="1" applyBorder="1" applyFont="1">
      <alignment horizontal="center"/>
    </xf>
    <xf borderId="9" fillId="3" fontId="16" numFmtId="1" xfId="0" applyAlignment="1" applyBorder="1" applyFont="1" applyNumberFormat="1">
      <alignment horizontal="center"/>
    </xf>
    <xf borderId="9" fillId="3" fontId="3" numFmtId="9" xfId="0" applyBorder="1" applyFont="1" applyNumberFormat="1"/>
    <xf borderId="9" fillId="2" fontId="3" numFmtId="164" xfId="0" applyAlignment="1" applyBorder="1" applyFont="1" applyNumberFormat="1">
      <alignment horizontal="center" vertical="center"/>
    </xf>
    <xf borderId="0" fillId="6" fontId="24" numFmtId="0" xfId="0" applyAlignment="1" applyFont="1">
      <alignment horizontal="right" vertical="bottom"/>
    </xf>
    <xf borderId="9" fillId="6" fontId="3" numFmtId="3" xfId="0" applyAlignment="1" applyBorder="1" applyFont="1" applyNumberFormat="1">
      <alignment vertical="bottom"/>
    </xf>
    <xf borderId="9" fillId="2" fontId="9" numFmtId="0" xfId="0" applyAlignment="1" applyBorder="1" applyFont="1">
      <alignment horizontal="center" vertical="center"/>
    </xf>
    <xf borderId="14" fillId="0" fontId="3" numFmtId="0" xfId="0" applyAlignment="1" applyBorder="1" applyFont="1">
      <alignment horizontal="center" vertical="center"/>
    </xf>
    <xf borderId="9" fillId="3" fontId="16" numFmtId="9" xfId="0" applyAlignment="1" applyBorder="1" applyFont="1" applyNumberFormat="1">
      <alignment horizontal="center"/>
    </xf>
    <xf borderId="9" fillId="3" fontId="16" numFmtId="0" xfId="0" applyAlignment="1" applyBorder="1" applyFont="1">
      <alignment horizontal="center" vertical="center"/>
    </xf>
    <xf borderId="9" fillId="3" fontId="16" numFmtId="1" xfId="0" applyAlignment="1" applyBorder="1" applyFont="1" applyNumberFormat="1">
      <alignment horizontal="center" vertical="center"/>
    </xf>
    <xf borderId="9" fillId="3" fontId="16" numFmtId="9" xfId="0" applyAlignment="1" applyBorder="1" applyFont="1" applyNumberFormat="1">
      <alignment horizontal="center" vertical="center"/>
    </xf>
    <xf borderId="9" fillId="3" fontId="25" numFmtId="0" xfId="0" applyAlignment="1" applyBorder="1" applyFont="1">
      <alignment horizontal="center"/>
    </xf>
    <xf borderId="0" fillId="0" fontId="26" numFmtId="0" xfId="0" applyFont="1"/>
    <xf borderId="6" fillId="2" fontId="6" numFmtId="0" xfId="0" applyAlignment="1" applyBorder="1" applyFont="1">
      <alignment horizontal="center"/>
    </xf>
    <xf borderId="0" fillId="0" fontId="9" numFmtId="0" xfId="0" applyAlignment="1" applyFont="1">
      <alignment horizontal="center"/>
    </xf>
    <xf borderId="0" fillId="0" fontId="9" numFmtId="0" xfId="0" applyAlignment="1" applyFont="1">
      <alignment vertical="center"/>
    </xf>
    <xf borderId="0" fillId="0" fontId="3" numFmtId="0" xfId="0" applyAlignment="1" applyFont="1">
      <alignment vertical="center"/>
    </xf>
    <xf borderId="0" fillId="0" fontId="27" numFmtId="0" xfId="0" applyAlignment="1" applyFont="1">
      <alignment horizontal="center" vertical="center"/>
    </xf>
    <xf borderId="0" fillId="0" fontId="27" numFmtId="0" xfId="0" applyAlignment="1" applyFont="1">
      <alignment vertical="center"/>
    </xf>
    <xf borderId="0" fillId="0" fontId="28" numFmtId="0" xfId="0" applyAlignment="1" applyFont="1">
      <alignment horizontal="center" vertical="center"/>
    </xf>
    <xf borderId="9" fillId="7" fontId="3" numFmtId="0" xfId="0" applyAlignment="1" applyBorder="1" applyFill="1" applyFont="1">
      <alignment horizontal="center" vertical="center"/>
    </xf>
    <xf borderId="9" fillId="8" fontId="3" numFmtId="0" xfId="0" applyAlignment="1" applyBorder="1" applyFill="1" applyFont="1">
      <alignment horizontal="center" vertical="center"/>
    </xf>
    <xf borderId="9" fillId="9" fontId="3" numFmtId="0" xfId="0" applyAlignment="1" applyBorder="1" applyFill="1" applyFont="1">
      <alignment horizontal="center" vertical="center"/>
    </xf>
    <xf borderId="9" fillId="10" fontId="3" numFmtId="0" xfId="0" applyAlignment="1" applyBorder="1" applyFill="1" applyFont="1">
      <alignment horizontal="center" vertical="center"/>
    </xf>
    <xf borderId="9" fillId="4" fontId="26" numFmtId="9" xfId="0" applyAlignment="1" applyBorder="1" applyFont="1" applyNumberFormat="1">
      <alignment horizontal="center"/>
    </xf>
    <xf borderId="9" fillId="4" fontId="26" numFmtId="0" xfId="0" applyAlignment="1" applyBorder="1" applyFont="1">
      <alignment horizontal="center"/>
    </xf>
    <xf borderId="0" fillId="0" fontId="9" numFmtId="0" xfId="0" applyAlignment="1" applyFont="1">
      <alignment horizontal="right" vertical="center"/>
    </xf>
    <xf borderId="9" fillId="11" fontId="3" numFmtId="0" xfId="0" applyAlignment="1" applyBorder="1" applyFill="1" applyFont="1">
      <alignment horizontal="center" vertical="center"/>
    </xf>
    <xf borderId="17" fillId="12" fontId="12" numFmtId="0" xfId="0" applyAlignment="1" applyBorder="1" applyFill="1" applyFont="1">
      <alignment horizontal="center" vertical="center"/>
    </xf>
    <xf borderId="18" fillId="12" fontId="12" numFmtId="0" xfId="0" applyAlignment="1" applyBorder="1" applyFont="1">
      <alignment horizontal="center" shrinkToFit="0" vertical="center" wrapText="1"/>
    </xf>
    <xf borderId="19" fillId="13" fontId="12" numFmtId="0" xfId="0" applyAlignment="1" applyBorder="1" applyFill="1" applyFont="1">
      <alignment horizontal="center" shrinkToFit="0" vertical="center" wrapText="1"/>
    </xf>
    <xf borderId="17" fillId="14" fontId="12" numFmtId="0" xfId="0" applyAlignment="1" applyBorder="1" applyFill="1" applyFont="1">
      <alignment horizontal="center" shrinkToFit="0" vertical="center" wrapText="1"/>
    </xf>
    <xf borderId="20" fillId="14" fontId="12" numFmtId="0" xfId="0" applyAlignment="1" applyBorder="1" applyFont="1">
      <alignment horizontal="center" shrinkToFit="0" vertical="center" wrapText="1"/>
    </xf>
    <xf borderId="21" fillId="15" fontId="12" numFmtId="0" xfId="0" applyAlignment="1" applyBorder="1" applyFill="1" applyFont="1">
      <alignment horizontal="center" shrinkToFit="0" vertical="center" wrapText="1"/>
    </xf>
    <xf borderId="18" fillId="15" fontId="12" numFmtId="0" xfId="0" applyAlignment="1" applyBorder="1" applyFont="1">
      <alignment horizontal="center" shrinkToFit="0" vertical="center" wrapText="1"/>
    </xf>
    <xf borderId="22" fillId="6" fontId="12" numFmtId="0" xfId="0" applyAlignment="1" applyBorder="1" applyFont="1">
      <alignment horizontal="center" shrinkToFit="0" vertical="center" wrapText="1"/>
    </xf>
    <xf borderId="23" fillId="12" fontId="12" numFmtId="0" xfId="0" applyAlignment="1" applyBorder="1" applyFont="1">
      <alignment horizontal="center"/>
    </xf>
    <xf borderId="24" fillId="12" fontId="12" numFmtId="2" xfId="0" applyAlignment="1" applyBorder="1" applyFont="1" applyNumberFormat="1">
      <alignment horizontal="center"/>
    </xf>
    <xf borderId="25" fillId="2" fontId="3" numFmtId="1" xfId="0" applyAlignment="1" applyBorder="1" applyFont="1" applyNumberFormat="1">
      <alignment horizontal="center"/>
    </xf>
    <xf borderId="23" fillId="4" fontId="3" numFmtId="1" xfId="0" applyAlignment="1" applyBorder="1" applyFont="1" applyNumberFormat="1">
      <alignment horizontal="center"/>
    </xf>
    <xf borderId="26" fillId="4" fontId="3" numFmtId="1" xfId="0" applyAlignment="1" applyBorder="1" applyFont="1" applyNumberFormat="1">
      <alignment horizontal="center"/>
    </xf>
    <xf borderId="27" fillId="11" fontId="3" numFmtId="1" xfId="0" applyAlignment="1" applyBorder="1" applyFont="1" applyNumberFormat="1">
      <alignment horizontal="center"/>
    </xf>
    <xf borderId="24" fillId="11" fontId="3" numFmtId="1" xfId="0" applyAlignment="1" applyBorder="1" applyFont="1" applyNumberFormat="1">
      <alignment horizontal="center"/>
    </xf>
    <xf borderId="28" fillId="6" fontId="3" numFmtId="1" xfId="0" applyAlignment="1" applyBorder="1" applyFont="1" applyNumberFormat="1">
      <alignment horizontal="center"/>
    </xf>
    <xf borderId="29" fillId="12" fontId="12" numFmtId="0" xfId="0" applyAlignment="1" applyBorder="1" applyFont="1">
      <alignment horizontal="center"/>
    </xf>
    <xf borderId="30" fillId="12" fontId="12" numFmtId="2" xfId="0" applyAlignment="1" applyBorder="1" applyFont="1" applyNumberFormat="1">
      <alignment horizontal="center"/>
    </xf>
    <xf borderId="29" fillId="4" fontId="3" numFmtId="1" xfId="0" applyAlignment="1" applyBorder="1" applyFont="1" applyNumberFormat="1">
      <alignment horizontal="center"/>
    </xf>
    <xf borderId="31" fillId="12" fontId="12" numFmtId="0" xfId="0" applyAlignment="1" applyBorder="1" applyFont="1">
      <alignment horizontal="center"/>
    </xf>
    <xf borderId="32" fillId="12" fontId="12" numFmtId="2" xfId="0" applyAlignment="1" applyBorder="1" applyFont="1" applyNumberFormat="1">
      <alignment horizontal="center"/>
    </xf>
    <xf borderId="33" fillId="2" fontId="3" numFmtId="1" xfId="0" applyAlignment="1" applyBorder="1" applyFont="1" applyNumberFormat="1">
      <alignment horizontal="center"/>
    </xf>
    <xf borderId="34" fillId="2" fontId="3" numFmtId="1" xfId="0" applyAlignment="1" applyBorder="1" applyFont="1" applyNumberFormat="1">
      <alignment horizontal="center"/>
    </xf>
    <xf borderId="35" fillId="4" fontId="3" numFmtId="1" xfId="0" applyAlignment="1" applyBorder="1" applyFont="1" applyNumberFormat="1">
      <alignment horizontal="center"/>
    </xf>
    <xf borderId="36" fillId="4" fontId="3" numFmtId="1" xfId="0" applyAlignment="1" applyBorder="1" applyFont="1" applyNumberFormat="1">
      <alignment horizontal="center"/>
    </xf>
    <xf borderId="37" fillId="11" fontId="3" numFmtId="1" xfId="0" applyAlignment="1" applyBorder="1" applyFont="1" applyNumberFormat="1">
      <alignment horizontal="center"/>
    </xf>
    <xf borderId="38" fillId="11" fontId="3" numFmtId="1" xfId="0" applyAlignment="1" applyBorder="1" applyFont="1" applyNumberFormat="1">
      <alignment horizontal="center"/>
    </xf>
    <xf borderId="39" fillId="6" fontId="3" numFmtId="1" xfId="0" applyAlignment="1" applyBorder="1" applyFont="1" applyNumberFormat="1">
      <alignment horizontal="center"/>
    </xf>
    <xf borderId="0" fillId="0" fontId="12" numFmtId="0" xfId="0" applyAlignment="1" applyFont="1">
      <alignment horizontal="center"/>
    </xf>
    <xf borderId="0" fillId="0" fontId="12" numFmtId="2" xfId="0" applyAlignment="1" applyFont="1" applyNumberFormat="1">
      <alignment horizontal="center"/>
    </xf>
    <xf borderId="0" fillId="0" fontId="3" numFmtId="1" xfId="0" applyAlignment="1" applyFont="1" applyNumberFormat="1">
      <alignment horizontal="center"/>
    </xf>
    <xf borderId="17" fillId="13" fontId="12" numFmtId="1" xfId="0" applyAlignment="1" applyBorder="1" applyFont="1" applyNumberFormat="1">
      <alignment horizontal="center"/>
    </xf>
    <xf borderId="19" fillId="13" fontId="12" numFmtId="1" xfId="0" applyAlignment="1" applyBorder="1" applyFont="1" applyNumberFormat="1">
      <alignment horizontal="center"/>
    </xf>
    <xf borderId="19" fillId="14" fontId="12" numFmtId="1" xfId="0" applyAlignment="1" applyBorder="1" applyFont="1" applyNumberFormat="1">
      <alignment horizontal="center"/>
    </xf>
    <xf borderId="19" fillId="15" fontId="12" numFmtId="1" xfId="0" applyAlignment="1" applyBorder="1" applyFont="1" applyNumberFormat="1">
      <alignment horizontal="center"/>
    </xf>
    <xf borderId="20" fillId="6" fontId="12" numFmtId="1" xfId="0" applyAlignment="1" applyBorder="1" applyFont="1" applyNumberFormat="1">
      <alignment horizontal="center"/>
    </xf>
    <xf borderId="40" fillId="0" fontId="9" numFmtId="0" xfId="0" applyAlignment="1" applyBorder="1" applyFont="1">
      <alignment horizontal="center" shrinkToFit="0" wrapText="1"/>
    </xf>
    <xf borderId="40" fillId="0" fontId="2" numFmtId="0" xfId="0" applyBorder="1" applyFont="1"/>
    <xf borderId="22" fillId="12" fontId="12" numFmtId="0" xfId="0" applyAlignment="1" applyBorder="1" applyFont="1">
      <alignment horizontal="center"/>
    </xf>
    <xf borderId="16" fillId="16" fontId="3" numFmtId="0" xfId="0" applyBorder="1" applyFill="1" applyFont="1"/>
    <xf borderId="41" fillId="17" fontId="6" numFmtId="0" xfId="0" applyAlignment="1" applyBorder="1" applyFill="1" applyFont="1">
      <alignment horizontal="center"/>
    </xf>
    <xf borderId="42" fillId="0" fontId="2" numFmtId="0" xfId="0" applyBorder="1" applyFont="1"/>
    <xf borderId="43" fillId="0" fontId="2" numFmtId="0" xfId="0" applyBorder="1" applyFont="1"/>
    <xf borderId="41" fillId="18" fontId="6" numFmtId="0" xfId="0" applyAlignment="1" applyBorder="1" applyFill="1" applyFont="1">
      <alignment horizontal="center"/>
    </xf>
    <xf borderId="44" fillId="18" fontId="6" numFmtId="0" xfId="0" applyAlignment="1" applyBorder="1" applyFont="1">
      <alignment horizontal="center"/>
    </xf>
    <xf borderId="7" fillId="0" fontId="12" numFmtId="0" xfId="0" applyAlignment="1" applyBorder="1" applyFont="1">
      <alignment horizontal="center" vertical="center"/>
    </xf>
    <xf borderId="45" fillId="17" fontId="12" numFmtId="0" xfId="0" applyAlignment="1" applyBorder="1" applyFont="1">
      <alignment horizontal="center" shrinkToFit="0" vertical="center" wrapText="1"/>
    </xf>
    <xf borderId="46" fillId="17" fontId="12" numFmtId="0" xfId="0" applyAlignment="1" applyBorder="1" applyFont="1">
      <alignment horizontal="center" shrinkToFit="0" vertical="center" wrapText="1"/>
    </xf>
    <xf borderId="47" fillId="17" fontId="12" numFmtId="0" xfId="0" applyAlignment="1" applyBorder="1" applyFont="1">
      <alignment horizontal="center" shrinkToFit="0" vertical="center" wrapText="1"/>
    </xf>
    <xf borderId="48" fillId="18" fontId="12" numFmtId="0" xfId="0" applyAlignment="1" applyBorder="1" applyFont="1">
      <alignment horizontal="center" shrinkToFit="0" vertical="center" wrapText="1"/>
    </xf>
    <xf borderId="49" fillId="18" fontId="12" numFmtId="0" xfId="0" applyAlignment="1" applyBorder="1" applyFont="1">
      <alignment horizontal="center" shrinkToFit="0" vertical="center" wrapText="1"/>
    </xf>
    <xf borderId="46" fillId="18" fontId="12" numFmtId="0" xfId="0" applyAlignment="1" applyBorder="1" applyFont="1">
      <alignment horizontal="center" shrinkToFit="0" vertical="center" wrapText="1"/>
    </xf>
    <xf borderId="46" fillId="8" fontId="12" numFmtId="0" xfId="0" applyAlignment="1" applyBorder="1" applyFont="1">
      <alignment horizontal="center" vertical="center"/>
    </xf>
    <xf borderId="46" fillId="8" fontId="12" numFmtId="0" xfId="0" applyAlignment="1" applyBorder="1" applyFont="1">
      <alignment horizontal="center" shrinkToFit="0" vertical="center" wrapText="1"/>
    </xf>
    <xf borderId="47" fillId="8" fontId="12" numFmtId="0" xfId="0" applyAlignment="1" applyBorder="1" applyFont="1">
      <alignment horizontal="center" shrinkToFit="0" vertical="center" wrapText="1"/>
    </xf>
    <xf borderId="0" fillId="0" fontId="3" numFmtId="0" xfId="0" applyAlignment="1" applyFont="1">
      <alignment horizontal="center"/>
    </xf>
    <xf borderId="50" fillId="17" fontId="3" numFmtId="0" xfId="0" applyAlignment="1" applyBorder="1" applyFont="1">
      <alignment horizontal="center"/>
    </xf>
    <xf borderId="16" fillId="17" fontId="3" numFmtId="164" xfId="0" applyAlignment="1" applyBorder="1" applyFont="1" applyNumberFormat="1">
      <alignment horizontal="center"/>
    </xf>
    <xf borderId="51" fillId="17" fontId="3" numFmtId="164" xfId="0" applyAlignment="1" applyBorder="1" applyFont="1" applyNumberFormat="1">
      <alignment horizontal="center" vertical="center"/>
    </xf>
    <xf borderId="50" fillId="18" fontId="3" numFmtId="164" xfId="0" applyAlignment="1" applyBorder="1" applyFont="1" applyNumberFormat="1">
      <alignment horizontal="center" vertical="center"/>
    </xf>
    <xf borderId="16" fillId="18" fontId="3" numFmtId="164" xfId="0" applyAlignment="1" applyBorder="1" applyFont="1" applyNumberFormat="1">
      <alignment horizontal="center" vertical="center"/>
    </xf>
    <xf borderId="16" fillId="18" fontId="3" numFmtId="0" xfId="0" applyAlignment="1" applyBorder="1" applyFont="1">
      <alignment horizontal="center" vertical="center"/>
    </xf>
    <xf borderId="16" fillId="18" fontId="3" numFmtId="0" xfId="0" applyAlignment="1" applyBorder="1" applyFont="1">
      <alignment horizontal="center"/>
    </xf>
    <xf borderId="16" fillId="18" fontId="3" numFmtId="1" xfId="0" applyAlignment="1" applyBorder="1" applyFont="1" applyNumberFormat="1">
      <alignment horizontal="center"/>
    </xf>
    <xf borderId="16" fillId="8" fontId="3" numFmtId="0" xfId="0" applyAlignment="1" applyBorder="1" applyFont="1">
      <alignment horizontal="center" vertical="center"/>
    </xf>
    <xf borderId="16" fillId="8" fontId="3" numFmtId="9" xfId="0" applyAlignment="1" applyBorder="1" applyFont="1" applyNumberFormat="1">
      <alignment horizontal="center" vertical="center"/>
    </xf>
    <xf borderId="51" fillId="8" fontId="3" numFmtId="0" xfId="0" applyAlignment="1" applyBorder="1" applyFont="1">
      <alignment horizontal="center" vertical="center"/>
    </xf>
    <xf borderId="50" fillId="18" fontId="3" numFmtId="1" xfId="0" applyAlignment="1" applyBorder="1" applyFont="1" applyNumberFormat="1">
      <alignment horizontal="center" vertical="center"/>
    </xf>
    <xf borderId="16" fillId="18" fontId="3" numFmtId="1" xfId="0" applyAlignment="1" applyBorder="1" applyFont="1" applyNumberFormat="1">
      <alignment horizontal="center" vertical="center"/>
    </xf>
    <xf borderId="50" fillId="18" fontId="3" numFmtId="0" xfId="0" applyAlignment="1" applyBorder="1" applyFont="1">
      <alignment horizontal="center" vertical="center"/>
    </xf>
    <xf borderId="16" fillId="17" fontId="3" numFmtId="164" xfId="0" applyAlignment="1" applyBorder="1" applyFont="1" applyNumberFormat="1">
      <alignment horizontal="center" vertical="center"/>
    </xf>
    <xf borderId="16" fillId="18" fontId="3" numFmtId="164" xfId="0" applyAlignment="1" applyBorder="1" applyFont="1" applyNumberFormat="1">
      <alignment horizontal="center"/>
    </xf>
    <xf borderId="16" fillId="8" fontId="3" numFmtId="164" xfId="0" applyAlignment="1" applyBorder="1" applyFont="1" applyNumberFormat="1">
      <alignment horizontal="center" vertical="center"/>
    </xf>
    <xf borderId="51" fillId="8" fontId="3" numFmtId="164" xfId="0" applyAlignment="1" applyBorder="1" applyFont="1" applyNumberFormat="1">
      <alignment horizontal="center" vertical="center"/>
    </xf>
    <xf borderId="16" fillId="8" fontId="3" numFmtId="1" xfId="0" applyAlignment="1" applyBorder="1" applyFont="1" applyNumberFormat="1">
      <alignment horizontal="center" vertical="center"/>
    </xf>
    <xf borderId="16" fillId="18" fontId="3" numFmtId="3" xfId="0" applyAlignment="1" applyBorder="1" applyFont="1" applyNumberFormat="1">
      <alignment horizontal="center" vertical="center"/>
    </xf>
    <xf borderId="0" fillId="0" fontId="3" numFmtId="164" xfId="0" applyAlignment="1" applyFont="1" applyNumberFormat="1">
      <alignment horizontal="center" vertical="center"/>
    </xf>
    <xf borderId="0" fillId="0" fontId="3" numFmtId="164" xfId="0" applyAlignment="1" applyFont="1" applyNumberFormat="1">
      <alignment horizontal="center"/>
    </xf>
    <xf borderId="0" fillId="0" fontId="3" numFmtId="9" xfId="0" applyAlignment="1" applyFont="1" applyNumberFormat="1">
      <alignment horizontal="center" vertical="center"/>
    </xf>
    <xf borderId="22" fillId="6" fontId="12" numFmtId="0" xfId="0" applyAlignment="1" applyBorder="1" applyFont="1">
      <alignment horizontal="center" vertical="center"/>
    </xf>
    <xf borderId="52" fillId="6" fontId="3" numFmtId="0" xfId="0" applyAlignment="1" applyBorder="1" applyFont="1">
      <alignment horizontal="center" vertical="center"/>
    </xf>
    <xf borderId="22" fillId="6" fontId="3" numFmtId="0" xfId="0" applyAlignment="1" applyBorder="1" applyFont="1">
      <alignment horizontal="center" vertical="center"/>
    </xf>
    <xf borderId="17" fillId="2" fontId="12" numFmtId="0" xfId="0" applyAlignment="1" applyBorder="1" applyFont="1">
      <alignment horizontal="center" vertical="center"/>
    </xf>
    <xf borderId="19" fillId="2" fontId="12" numFmtId="0" xfId="0" applyAlignment="1" applyBorder="1" applyFont="1">
      <alignment horizontal="center" vertical="center"/>
    </xf>
    <xf borderId="19" fillId="2" fontId="12" numFmtId="0" xfId="0" applyAlignment="1" applyBorder="1" applyFont="1">
      <alignment horizontal="center" shrinkToFit="0" vertical="center" wrapText="1"/>
    </xf>
    <xf borderId="20" fillId="2" fontId="12" numFmtId="0" xfId="0" applyAlignment="1" applyBorder="1" applyFont="1">
      <alignment horizontal="center" shrinkToFit="0" vertical="center" wrapText="1"/>
    </xf>
    <xf borderId="53" fillId="0" fontId="3" numFmtId="0" xfId="0" applyAlignment="1" applyBorder="1" applyFont="1">
      <alignment horizontal="center" vertical="center"/>
    </xf>
    <xf borderId="54" fillId="0" fontId="14" numFmtId="0" xfId="0" applyAlignment="1" applyBorder="1" applyFont="1">
      <alignment horizontal="center" vertical="center"/>
    </xf>
    <xf borderId="54" fillId="0" fontId="3" numFmtId="0" xfId="0" applyAlignment="1" applyBorder="1" applyFont="1">
      <alignment horizontal="center" vertical="center"/>
    </xf>
    <xf borderId="55" fillId="0" fontId="3" numFmtId="9" xfId="0" applyAlignment="1" applyBorder="1" applyFont="1" applyNumberFormat="1">
      <alignment horizontal="center" vertical="center"/>
    </xf>
    <xf borderId="55" fillId="0" fontId="3" numFmtId="0" xfId="0" applyAlignment="1" applyBorder="1" applyFont="1">
      <alignment horizontal="center" vertical="center"/>
    </xf>
    <xf borderId="56" fillId="0" fontId="3" numFmtId="0" xfId="0" applyAlignment="1" applyBorder="1" applyFont="1">
      <alignment horizontal="center" vertical="center"/>
    </xf>
    <xf borderId="57" fillId="14" fontId="12" numFmtId="0" xfId="0" applyAlignment="1" applyBorder="1" applyFont="1">
      <alignment horizontal="center" vertical="center"/>
    </xf>
    <xf borderId="56" fillId="7" fontId="3" numFmtId="9" xfId="0" applyAlignment="1" applyBorder="1" applyFont="1" applyNumberFormat="1">
      <alignment horizontal="center" vertical="center"/>
    </xf>
    <xf borderId="29" fillId="0" fontId="3" numFmtId="0" xfId="0" applyAlignment="1" applyBorder="1" applyFont="1">
      <alignment horizontal="center" vertical="center"/>
    </xf>
    <xf borderId="9" fillId="0" fontId="14" numFmtId="0" xfId="0" applyAlignment="1" applyBorder="1" applyFont="1">
      <alignment horizontal="center" vertical="center"/>
    </xf>
    <xf borderId="9" fillId="0" fontId="3" numFmtId="0" xfId="0" applyAlignment="1" applyBorder="1" applyFont="1">
      <alignment horizontal="center" vertical="center"/>
    </xf>
    <xf borderId="58" fillId="0" fontId="3" numFmtId="0" xfId="0" applyAlignment="1" applyBorder="1" applyFont="1">
      <alignment horizontal="center" vertical="center"/>
    </xf>
    <xf borderId="9" fillId="0" fontId="3" numFmtId="9" xfId="0" applyAlignment="1" applyBorder="1" applyFont="1" applyNumberFormat="1">
      <alignment horizontal="center" vertical="center"/>
    </xf>
    <xf borderId="59" fillId="0" fontId="3" numFmtId="0" xfId="0" applyAlignment="1" applyBorder="1" applyFont="1">
      <alignment horizontal="center" vertical="center"/>
    </xf>
    <xf borderId="60" fillId="0" fontId="2" numFmtId="0" xfId="0" applyBorder="1" applyFont="1"/>
    <xf borderId="61" fillId="7" fontId="3" numFmtId="9" xfId="0" applyAlignment="1" applyBorder="1" applyFont="1" applyNumberFormat="1">
      <alignment horizontal="center" vertical="center"/>
    </xf>
    <xf borderId="62" fillId="0" fontId="2" numFmtId="0" xfId="0" applyBorder="1" applyFont="1"/>
    <xf borderId="59" fillId="7" fontId="3" numFmtId="9" xfId="0" applyAlignment="1" applyBorder="1" applyFont="1" applyNumberFormat="1">
      <alignment horizontal="center" vertical="center"/>
    </xf>
    <xf borderId="9" fillId="0" fontId="3" numFmtId="0" xfId="0" applyBorder="1" applyFont="1"/>
    <xf borderId="9" fillId="0" fontId="3" numFmtId="9" xfId="0" applyBorder="1" applyFont="1" applyNumberFormat="1"/>
    <xf borderId="59" fillId="0" fontId="3" numFmtId="0" xfId="0" applyBorder="1" applyFont="1"/>
    <xf borderId="31" fillId="0" fontId="3" numFmtId="0" xfId="0" applyAlignment="1" applyBorder="1" applyFont="1">
      <alignment horizontal="center" vertical="center"/>
    </xf>
    <xf borderId="33" fillId="0" fontId="3" numFmtId="0" xfId="0" applyBorder="1" applyFont="1"/>
    <xf borderId="33" fillId="0" fontId="3" numFmtId="0" xfId="0" applyAlignment="1" applyBorder="1" applyFont="1">
      <alignment horizontal="center" vertical="center"/>
    </xf>
    <xf borderId="33" fillId="0" fontId="3" numFmtId="0" xfId="0" applyAlignment="1" applyBorder="1" applyFont="1">
      <alignment horizontal="center"/>
    </xf>
    <xf borderId="61" fillId="0" fontId="3" numFmtId="0" xfId="0" applyBorder="1" applyFont="1"/>
    <xf borderId="12" fillId="2" fontId="12" numFmtId="0" xfId="0" applyAlignment="1" applyBorder="1" applyFont="1">
      <alignment horizontal="center" vertical="center"/>
    </xf>
    <xf borderId="63" fillId="2" fontId="12" numFmtId="165" xfId="0" applyAlignment="1" applyBorder="1" applyFont="1" applyNumberFormat="1">
      <alignment horizontal="center" vertical="center"/>
    </xf>
    <xf borderId="0" fillId="0" fontId="29" numFmtId="0" xfId="0" applyAlignment="1" applyFont="1">
      <alignment horizontal="center"/>
    </xf>
    <xf borderId="48" fillId="19" fontId="3" numFmtId="0" xfId="0" applyBorder="1" applyFill="1" applyFont="1"/>
    <xf borderId="49" fillId="19" fontId="3" numFmtId="0" xfId="0" applyBorder="1" applyFont="1"/>
    <xf borderId="49" fillId="19" fontId="6" numFmtId="0" xfId="0" applyBorder="1" applyFont="1"/>
    <xf borderId="64" fillId="19" fontId="3" numFmtId="0" xfId="0" applyBorder="1" applyFont="1"/>
    <xf borderId="48" fillId="20" fontId="3" numFmtId="0" xfId="0" applyBorder="1" applyFill="1" applyFont="1"/>
    <xf borderId="49" fillId="20" fontId="3" numFmtId="0" xfId="0" applyBorder="1" applyFont="1"/>
    <xf borderId="49" fillId="20" fontId="6" numFmtId="0" xfId="0" applyAlignment="1" applyBorder="1" applyFont="1">
      <alignment horizontal="center"/>
    </xf>
    <xf borderId="64" fillId="20" fontId="3" numFmtId="0" xfId="0" applyBorder="1" applyFont="1"/>
    <xf borderId="6" fillId="19" fontId="6" numFmtId="0" xfId="0" applyAlignment="1" applyBorder="1" applyFont="1">
      <alignment horizontal="center"/>
    </xf>
    <xf borderId="0" fillId="0" fontId="12" numFmtId="165" xfId="0" applyAlignment="1" applyFont="1" applyNumberFormat="1">
      <alignment horizontal="center" vertical="center"/>
    </xf>
    <xf borderId="65" fillId="0" fontId="3" numFmtId="0" xfId="0" applyBorder="1" applyFont="1"/>
    <xf borderId="66" fillId="0" fontId="3" numFmtId="0" xfId="0" applyBorder="1" applyFont="1"/>
    <xf borderId="9" fillId="2" fontId="12" numFmtId="166" xfId="0" applyAlignment="1" applyBorder="1" applyFont="1" applyNumberFormat="1">
      <alignment horizontal="center" vertical="center"/>
    </xf>
    <xf borderId="9" fillId="10" fontId="3" numFmtId="167" xfId="0" applyAlignment="1" applyBorder="1" applyFont="1" applyNumberFormat="1">
      <alignment horizontal="center" vertical="center"/>
    </xf>
    <xf borderId="9" fillId="10" fontId="3" numFmtId="2" xfId="0" applyAlignment="1" applyBorder="1" applyFont="1" applyNumberFormat="1">
      <alignment horizontal="center" vertical="center"/>
    </xf>
    <xf borderId="9" fillId="2" fontId="30" numFmtId="0" xfId="0" applyAlignment="1" applyBorder="1" applyFont="1">
      <alignment horizontal="center"/>
    </xf>
    <xf borderId="67" fillId="0" fontId="17" numFmtId="0" xfId="0" applyAlignment="1" applyBorder="1" applyFont="1">
      <alignment horizontal="center" shrinkToFit="0" vertical="center" wrapText="1"/>
    </xf>
    <xf borderId="9" fillId="3" fontId="3" numFmtId="166" xfId="0" applyAlignment="1" applyBorder="1" applyFont="1" applyNumberFormat="1">
      <alignment horizontal="center" vertical="center"/>
    </xf>
    <xf borderId="67" fillId="0" fontId="2" numFmtId="0" xfId="0" applyBorder="1" applyFont="1"/>
    <xf quotePrefix="1" borderId="9" fillId="2" fontId="3" numFmtId="0" xfId="0" applyAlignment="1" applyBorder="1" applyFont="1">
      <alignment horizontal="center" shrinkToFit="0" vertical="center" wrapText="1"/>
    </xf>
    <xf quotePrefix="1" borderId="9" fillId="3" fontId="3" numFmtId="166" xfId="0" applyAlignment="1" applyBorder="1" applyFont="1" applyNumberFormat="1">
      <alignment horizontal="center"/>
    </xf>
    <xf quotePrefix="1" borderId="9" fillId="2" fontId="3" numFmtId="166" xfId="0" applyAlignment="1" applyBorder="1" applyFont="1" applyNumberFormat="1">
      <alignment horizontal="center" vertical="center"/>
    </xf>
    <xf borderId="9" fillId="3" fontId="3" numFmtId="166" xfId="0" applyAlignment="1" applyBorder="1" applyFont="1" applyNumberFormat="1">
      <alignment horizontal="center"/>
    </xf>
    <xf borderId="9" fillId="2" fontId="3" numFmtId="1" xfId="0" applyAlignment="1" applyBorder="1" applyFont="1" applyNumberFormat="1">
      <alignment horizontal="center"/>
    </xf>
    <xf borderId="9" fillId="3" fontId="3" numFmtId="0" xfId="0" applyAlignment="1" applyBorder="1" applyFont="1">
      <alignment horizontal="center"/>
    </xf>
    <xf borderId="9" fillId="2" fontId="3" numFmtId="166" xfId="0" applyAlignment="1" applyBorder="1" applyFont="1" applyNumberFormat="1">
      <alignment horizontal="center"/>
    </xf>
    <xf borderId="9" fillId="2" fontId="3" numFmtId="0" xfId="0" applyAlignment="1" applyBorder="1" applyFont="1">
      <alignment horizontal="center"/>
    </xf>
    <xf borderId="16" fillId="3" fontId="3" numFmtId="166" xfId="0" applyAlignment="1" applyBorder="1" applyFont="1" applyNumberFormat="1">
      <alignment horizontal="center"/>
    </xf>
    <xf borderId="9" fillId="2" fontId="3" numFmtId="166" xfId="0" applyAlignment="1" applyBorder="1" applyFont="1" applyNumberFormat="1">
      <alignment horizontal="center" vertical="center"/>
    </xf>
    <xf borderId="0" fillId="0" fontId="9" numFmtId="0" xfId="0" applyAlignment="1" applyFont="1">
      <alignment horizontal="left"/>
    </xf>
    <xf borderId="12" fillId="0" fontId="3" numFmtId="167" xfId="0" applyAlignment="1" applyBorder="1" applyFont="1" applyNumberFormat="1">
      <alignment horizontal="center" vertical="center"/>
    </xf>
    <xf borderId="66" fillId="0" fontId="3" numFmtId="166" xfId="0" applyAlignment="1" applyBorder="1" applyFont="1" applyNumberFormat="1">
      <alignment horizontal="center" vertical="center"/>
    </xf>
    <xf borderId="12" fillId="0" fontId="3" numFmtId="168" xfId="0" applyAlignment="1" applyBorder="1" applyFont="1" applyNumberFormat="1">
      <alignment horizontal="center" vertical="center"/>
    </xf>
    <xf borderId="12" fillId="0" fontId="3" numFmtId="167" xfId="0" applyAlignment="1" applyBorder="1" applyFont="1" applyNumberFormat="1">
      <alignment horizontal="center"/>
    </xf>
    <xf borderId="11" fillId="0" fontId="9" numFmtId="0" xfId="0" applyAlignment="1" applyBorder="1" applyFont="1">
      <alignment horizontal="center" shrinkToFit="0" wrapText="1"/>
    </xf>
    <xf borderId="68" fillId="0" fontId="2" numFmtId="0" xfId="0" applyBorder="1" applyFont="1"/>
    <xf borderId="69" fillId="0" fontId="2" numFmtId="0" xfId="0" applyBorder="1" applyFont="1"/>
    <xf borderId="12" fillId="0" fontId="12" numFmtId="0" xfId="0" applyAlignment="1" applyBorder="1" applyFont="1">
      <alignment horizontal="center"/>
    </xf>
    <xf borderId="15" fillId="0" fontId="2" numFmtId="0" xfId="0" applyBorder="1" applyFont="1"/>
    <xf borderId="70" fillId="0" fontId="2" numFmtId="0" xfId="0" applyBorder="1" applyFont="1"/>
    <xf borderId="71" fillId="0" fontId="2" numFmtId="0" xfId="0" applyBorder="1" applyFont="1"/>
    <xf borderId="68" fillId="0" fontId="9" numFmtId="0" xfId="0" applyAlignment="1" applyBorder="1" applyFont="1">
      <alignment horizontal="center"/>
    </xf>
    <xf borderId="0" fillId="0" fontId="3" numFmtId="166" xfId="0" applyAlignment="1" applyFont="1" applyNumberFormat="1">
      <alignment horizontal="center" vertical="center"/>
    </xf>
    <xf borderId="65" fillId="0" fontId="9" numFmtId="0" xfId="0" applyBorder="1" applyFont="1"/>
    <xf borderId="9" fillId="2" fontId="12" numFmtId="168" xfId="0" applyAlignment="1" applyBorder="1" applyFont="1" applyNumberFormat="1">
      <alignment horizontal="center" vertical="center"/>
    </xf>
    <xf borderId="9" fillId="0" fontId="3" numFmtId="166" xfId="0" applyAlignment="1" applyBorder="1" applyFont="1" applyNumberFormat="1">
      <alignment horizontal="center" vertical="center"/>
    </xf>
    <xf borderId="72" fillId="0" fontId="9" numFmtId="0" xfId="0" applyAlignment="1" applyBorder="1" applyFont="1">
      <alignment vertical="center"/>
    </xf>
    <xf borderId="0" fillId="0" fontId="3" numFmtId="0" xfId="0" applyAlignment="1" applyFont="1">
      <alignment shrinkToFit="0" wrapText="1"/>
    </xf>
    <xf borderId="66" fillId="0" fontId="9" numFmtId="0" xfId="0" applyAlignment="1" applyBorder="1" applyFont="1">
      <alignment horizontal="center"/>
    </xf>
    <xf borderId="9" fillId="0" fontId="3" numFmtId="166" xfId="0" applyAlignment="1" applyBorder="1" applyFont="1" applyNumberFormat="1">
      <alignment horizontal="center" shrinkToFit="0" vertical="center" wrapText="1"/>
    </xf>
    <xf borderId="66" fillId="0" fontId="12" numFmtId="0" xfId="0" applyAlignment="1" applyBorder="1" applyFont="1">
      <alignment horizontal="center" vertical="center"/>
    </xf>
    <xf borderId="65" fillId="0" fontId="3" numFmtId="0" xfId="0" applyAlignment="1" applyBorder="1" applyFont="1">
      <alignment shrinkToFit="0" wrapText="1"/>
    </xf>
    <xf borderId="66" fillId="0" fontId="3" numFmtId="0" xfId="0" applyAlignment="1" applyBorder="1" applyFont="1">
      <alignment shrinkToFit="0" wrapText="1"/>
    </xf>
    <xf borderId="66" fillId="0" fontId="3" numFmtId="166" xfId="0" applyAlignment="1" applyBorder="1" applyFont="1" applyNumberFormat="1">
      <alignment horizontal="center"/>
    </xf>
    <xf borderId="0" fillId="0" fontId="3" numFmtId="166" xfId="0" applyAlignment="1" applyFont="1" applyNumberFormat="1">
      <alignment horizontal="center"/>
    </xf>
    <xf borderId="0" fillId="0" fontId="3" numFmtId="167" xfId="0" applyAlignment="1" applyFont="1" applyNumberFormat="1">
      <alignment horizontal="center" vertical="center"/>
    </xf>
    <xf borderId="9" fillId="3"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600">
                <a:solidFill>
                  <a:srgbClr val="000000"/>
                </a:solidFill>
                <a:latin typeface="+mn-lt"/>
              </a:defRPr>
            </a:pPr>
            <a:r>
              <a:rPr b="1" i="0" sz="1600">
                <a:solidFill>
                  <a:srgbClr val="000000"/>
                </a:solidFill>
                <a:latin typeface="+mn-lt"/>
              </a:rPr>
              <a:t>Evolution du stockage du CO₂ pour l'essence 1</a:t>
            </a:r>
          </a:p>
        </c:rich>
      </c:tx>
      <c:overlay val="0"/>
    </c:title>
    <c:plotArea>
      <c:layout/>
      <c:lineChart>
        <c:varyColors val="0"/>
        <c:ser>
          <c:idx val="0"/>
          <c:order val="0"/>
          <c:tx>
            <c:v>Biomasse totale (tCO₂/ha)</c:v>
          </c:tx>
          <c:spPr>
            <a:ln cmpd="sng">
              <a:solidFill>
                <a:srgbClr val="5B9BD5"/>
              </a:solidFill>
            </a:ln>
          </c:spPr>
          <c:marker>
            <c:symbol val="none"/>
          </c:marker>
          <c:cat>
            <c:strRef>
              <c:f>Calculateur!$A$3:$A$203</c:f>
            </c:strRef>
          </c:cat>
          <c:val>
            <c:numRef>
              <c:f>Calculateur!$Q$3:$Q$203</c:f>
              <c:numCache/>
            </c:numRef>
          </c:val>
          <c:smooth val="0"/>
        </c:ser>
        <c:axId val="995976351"/>
        <c:axId val="197437071"/>
      </c:lineChart>
      <c:catAx>
        <c:axId val="995976351"/>
        <c:scaling>
          <c:orientation val="minMax"/>
          <c:max val="160.0"/>
        </c:scaling>
        <c:delete val="0"/>
        <c:axPos val="b"/>
        <c:title>
          <c:tx>
            <c:rich>
              <a:bodyPr/>
              <a:lstStyle/>
              <a:p>
                <a:pPr lvl="0">
                  <a:defRPr b="1" i="0" sz="900">
                    <a:solidFill>
                      <a:srgbClr val="000000"/>
                    </a:solidFill>
                    <a:latin typeface="+mn-lt"/>
                  </a:defRPr>
                </a:pPr>
                <a:r>
                  <a:rPr b="1" i="0" sz="900">
                    <a:solidFill>
                      <a:srgbClr val="000000"/>
                    </a:solidFill>
                    <a:latin typeface="+mn-lt"/>
                  </a:rPr>
                  <a:t>Age (années)</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97437071"/>
      </c:catAx>
      <c:valAx>
        <c:axId val="197437071"/>
        <c:scaling>
          <c:orientation val="minMax"/>
        </c:scaling>
        <c:delete val="0"/>
        <c:axPos val="l"/>
        <c:majorGridlines>
          <c:spPr>
            <a:ln>
              <a:solidFill>
                <a:srgbClr val="B7B7B7"/>
              </a:solidFill>
            </a:ln>
          </c:spPr>
        </c:majorGridlines>
        <c:title>
          <c:tx>
            <c:rich>
              <a:bodyPr/>
              <a:lstStyle/>
              <a:p>
                <a:pPr lvl="0">
                  <a:defRPr b="1" i="0" sz="900">
                    <a:solidFill>
                      <a:srgbClr val="000000"/>
                    </a:solidFill>
                    <a:latin typeface="+mn-lt"/>
                  </a:defRPr>
                </a:pPr>
                <a:r>
                  <a:rPr b="1" i="0" sz="900">
                    <a:solidFill>
                      <a:srgbClr val="000000"/>
                    </a:solidFill>
                    <a:latin typeface="+mn-lt"/>
                  </a:rPr>
                  <a:t>Stockage de CO₂</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995976351"/>
      </c:valAx>
    </c:plotArea>
    <c:legend>
      <c:legendPos val="b"/>
      <c:overlay val="0"/>
      <c:txPr>
        <a:bodyPr/>
        <a:lstStyle/>
        <a:p>
          <a:pPr lvl="0">
            <a:defRPr b="0" i="0" sz="900">
              <a:solidFill>
                <a:srgbClr val="000000"/>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600">
                <a:solidFill>
                  <a:srgbClr val="000000"/>
                </a:solidFill>
                <a:latin typeface="+mn-lt"/>
              </a:defRPr>
            </a:pPr>
            <a:r>
              <a:rPr b="1" i="0" sz="1600">
                <a:solidFill>
                  <a:srgbClr val="000000"/>
                </a:solidFill>
                <a:latin typeface="+mn-lt"/>
              </a:rPr>
              <a:t>Evolution du stockage du CO₂ pour l'essence 2</a:t>
            </a:r>
          </a:p>
        </c:rich>
      </c:tx>
      <c:overlay val="0"/>
    </c:title>
    <c:plotArea>
      <c:layout/>
      <c:lineChart>
        <c:varyColors val="0"/>
        <c:ser>
          <c:idx val="0"/>
          <c:order val="0"/>
          <c:tx>
            <c:v>Biomasse totale (tCO₂/ha)</c:v>
          </c:tx>
          <c:spPr>
            <a:ln cmpd="sng">
              <a:solidFill>
                <a:srgbClr val="5B9BD5"/>
              </a:solidFill>
            </a:ln>
          </c:spPr>
          <c:marker>
            <c:symbol val="none"/>
          </c:marker>
          <c:cat>
            <c:strRef>
              <c:f>Calculateur!$A$3:$A$203</c:f>
            </c:strRef>
          </c:cat>
          <c:val>
            <c:numRef>
              <c:f>Calculateur!$AL$3:$AL$203</c:f>
              <c:numCache/>
            </c:numRef>
          </c:val>
          <c:smooth val="0"/>
        </c:ser>
        <c:axId val="191507868"/>
        <c:axId val="620717925"/>
      </c:lineChart>
      <c:catAx>
        <c:axId val="191507868"/>
        <c:scaling>
          <c:orientation val="minMax"/>
          <c:max val="160.0"/>
        </c:scaling>
        <c:delete val="0"/>
        <c:axPos val="b"/>
        <c:title>
          <c:tx>
            <c:rich>
              <a:bodyPr/>
              <a:lstStyle/>
              <a:p>
                <a:pPr lvl="0">
                  <a:defRPr b="1" i="0" sz="900">
                    <a:solidFill>
                      <a:srgbClr val="000000"/>
                    </a:solidFill>
                    <a:latin typeface="+mn-lt"/>
                  </a:defRPr>
                </a:pPr>
                <a:r>
                  <a:rPr b="1" i="0" sz="900">
                    <a:solidFill>
                      <a:srgbClr val="000000"/>
                    </a:solidFill>
                    <a:latin typeface="+mn-lt"/>
                  </a:rPr>
                  <a:t>Age (années)</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620717925"/>
      </c:catAx>
      <c:valAx>
        <c:axId val="620717925"/>
        <c:scaling>
          <c:orientation val="minMax"/>
        </c:scaling>
        <c:delete val="0"/>
        <c:axPos val="l"/>
        <c:majorGridlines>
          <c:spPr>
            <a:ln>
              <a:solidFill>
                <a:srgbClr val="B7B7B7"/>
              </a:solidFill>
            </a:ln>
          </c:spPr>
        </c:majorGridlines>
        <c:title>
          <c:tx>
            <c:rich>
              <a:bodyPr/>
              <a:lstStyle/>
              <a:p>
                <a:pPr lvl="0">
                  <a:defRPr b="1" i="0" sz="900">
                    <a:solidFill>
                      <a:srgbClr val="000000"/>
                    </a:solidFill>
                    <a:latin typeface="+mn-lt"/>
                  </a:defRPr>
                </a:pPr>
                <a:r>
                  <a:rPr b="1" i="0" sz="900">
                    <a:solidFill>
                      <a:srgbClr val="000000"/>
                    </a:solidFill>
                    <a:latin typeface="+mn-lt"/>
                  </a:rPr>
                  <a:t>Stockage de CO₂</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191507868"/>
      </c:valAx>
    </c:plotArea>
    <c:legend>
      <c:legendPos val="b"/>
      <c:overlay val="0"/>
      <c:txPr>
        <a:bodyPr/>
        <a:lstStyle/>
        <a:p>
          <a:pPr lvl="0">
            <a:defRPr b="0" i="0" sz="900">
              <a:solidFill>
                <a:srgbClr val="000000"/>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600">
                <a:solidFill>
                  <a:srgbClr val="000000"/>
                </a:solidFill>
                <a:latin typeface="+mn-lt"/>
              </a:defRPr>
            </a:pPr>
            <a:r>
              <a:rPr b="1" i="0" sz="1600">
                <a:solidFill>
                  <a:srgbClr val="000000"/>
                </a:solidFill>
                <a:latin typeface="+mn-lt"/>
              </a:rPr>
              <a:t>Evolution du stockage du CO₂ pour l'essence 3</a:t>
            </a:r>
          </a:p>
        </c:rich>
      </c:tx>
      <c:overlay val="0"/>
    </c:title>
    <c:plotArea>
      <c:layout/>
      <c:lineChart>
        <c:varyColors val="0"/>
        <c:ser>
          <c:idx val="0"/>
          <c:order val="0"/>
          <c:tx>
            <c:v>Biomasse totale (tCO₂/ha)</c:v>
          </c:tx>
          <c:spPr>
            <a:ln cmpd="sng">
              <a:solidFill>
                <a:srgbClr val="5B9BD5"/>
              </a:solidFill>
            </a:ln>
          </c:spPr>
          <c:marker>
            <c:symbol val="none"/>
          </c:marker>
          <c:cat>
            <c:strRef>
              <c:f>Calculateur!$A$3:$A$203</c:f>
            </c:strRef>
          </c:cat>
          <c:val>
            <c:numRef>
              <c:f>Calculateur!$BG$3:$BG$203</c:f>
              <c:numCache/>
            </c:numRef>
          </c:val>
          <c:smooth val="0"/>
        </c:ser>
        <c:axId val="839435811"/>
        <c:axId val="1291319329"/>
      </c:lineChart>
      <c:catAx>
        <c:axId val="839435811"/>
        <c:scaling>
          <c:orientation val="minMax"/>
          <c:max val="160.0"/>
        </c:scaling>
        <c:delete val="0"/>
        <c:axPos val="b"/>
        <c:title>
          <c:tx>
            <c:rich>
              <a:bodyPr/>
              <a:lstStyle/>
              <a:p>
                <a:pPr lvl="0">
                  <a:defRPr b="1" i="0" sz="900">
                    <a:solidFill>
                      <a:srgbClr val="000000"/>
                    </a:solidFill>
                    <a:latin typeface="+mn-lt"/>
                  </a:defRPr>
                </a:pPr>
                <a:r>
                  <a:rPr b="1" i="0" sz="900">
                    <a:solidFill>
                      <a:srgbClr val="000000"/>
                    </a:solidFill>
                    <a:latin typeface="+mn-lt"/>
                  </a:rPr>
                  <a:t>Age (années)</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291319329"/>
      </c:catAx>
      <c:valAx>
        <c:axId val="1291319329"/>
        <c:scaling>
          <c:orientation val="minMax"/>
        </c:scaling>
        <c:delete val="0"/>
        <c:axPos val="l"/>
        <c:majorGridlines>
          <c:spPr>
            <a:ln>
              <a:solidFill>
                <a:srgbClr val="B7B7B7"/>
              </a:solidFill>
            </a:ln>
          </c:spPr>
        </c:majorGridlines>
        <c:title>
          <c:tx>
            <c:rich>
              <a:bodyPr/>
              <a:lstStyle/>
              <a:p>
                <a:pPr lvl="0">
                  <a:defRPr b="1" i="0" sz="900">
                    <a:solidFill>
                      <a:srgbClr val="000000"/>
                    </a:solidFill>
                    <a:latin typeface="+mn-lt"/>
                  </a:defRPr>
                </a:pPr>
                <a:r>
                  <a:rPr b="1" i="0" sz="900">
                    <a:solidFill>
                      <a:srgbClr val="000000"/>
                    </a:solidFill>
                    <a:latin typeface="+mn-lt"/>
                  </a:rPr>
                  <a:t>Stockage de CO₂</a:t>
                </a:r>
              </a:p>
            </c:rich>
          </c:tx>
          <c:overlay val="0"/>
        </c:title>
        <c:numFmt formatCode="General" sourceLinked="1"/>
        <c:majorTickMark val="none"/>
        <c:minorTickMark val="none"/>
        <c:tickLblPos val="nextTo"/>
        <c:spPr>
          <a:ln/>
        </c:spPr>
        <c:txPr>
          <a:bodyPr/>
          <a:lstStyle/>
          <a:p>
            <a:pPr lvl="0">
              <a:defRPr b="0" i="0" sz="900">
                <a:solidFill>
                  <a:srgbClr val="000000"/>
                </a:solidFill>
                <a:latin typeface="+mn-lt"/>
              </a:defRPr>
            </a:pPr>
          </a:p>
        </c:txPr>
        <c:crossAx val="839435811"/>
      </c:valAx>
    </c:plotArea>
    <c:legend>
      <c:legendPos val="b"/>
      <c:overlay val="0"/>
      <c:txPr>
        <a:bodyPr/>
        <a:lstStyle/>
        <a:p>
          <a:pPr lvl="0">
            <a:defRPr b="0" i="0" sz="900">
              <a:solidFill>
                <a:srgbClr val="000000"/>
              </a:solidFill>
              <a:latin typeface="+mn-lt"/>
            </a:defRPr>
          </a:pPr>
        </a:p>
      </c:txPr>
    </c:legend>
    <c:plotVisOnly val="1"/>
  </c:chart>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 Id="rId3"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552450</xdr:colOff>
      <xdr:row>0</xdr:row>
      <xdr:rowOff>114300</xdr:rowOff>
    </xdr:from>
    <xdr:ext cx="4648200" cy="19335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323850</xdr:colOff>
      <xdr:row>0</xdr:row>
      <xdr:rowOff>123825</xdr:rowOff>
    </xdr:from>
    <xdr:ext cx="2095500" cy="194310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oneCellAnchor>
    <xdr:from>
      <xdr:col>4</xdr:col>
      <xdr:colOff>628650</xdr:colOff>
      <xdr:row>0</xdr:row>
      <xdr:rowOff>123825</xdr:rowOff>
    </xdr:from>
    <xdr:ext cx="2771775" cy="1962150"/>
    <xdr:pic>
      <xdr:nvPicPr>
        <xdr:cNvPr id="0" name="image3.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xdr:colOff>
      <xdr:row>20</xdr:row>
      <xdr:rowOff>0</xdr:rowOff>
    </xdr:from>
    <xdr:ext cx="5495925" cy="3514725"/>
    <xdr:graphicFrame>
      <xdr:nvGraphicFramePr>
        <xdr:cNvPr id="1208522971" name="Chart 1" title="Graphique"/>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9525</xdr:colOff>
      <xdr:row>38</xdr:row>
      <xdr:rowOff>9525</xdr:rowOff>
    </xdr:from>
    <xdr:ext cx="5495925" cy="3514725"/>
    <xdr:graphicFrame>
      <xdr:nvGraphicFramePr>
        <xdr:cNvPr id="799103500" name="Chart 2" title="Graphique"/>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1</xdr:col>
      <xdr:colOff>0</xdr:colOff>
      <xdr:row>56</xdr:row>
      <xdr:rowOff>9525</xdr:rowOff>
    </xdr:from>
    <xdr:ext cx="5495925" cy="3514725"/>
    <xdr:graphicFrame>
      <xdr:nvGraphicFramePr>
        <xdr:cNvPr id="715434340" name="Chart 3" title="Graphique"/>
        <xdr:cNvGraphicFramePr/>
      </xdr:nvGraphicFramePr>
      <xdr:xfrm>
        <a:off x="0" y="0"/>
        <a:ext cx="0" cy="0"/>
      </xdr:xfrm>
      <a:graphic>
        <a:graphicData uri="http://schemas.openxmlformats.org/drawingml/2006/chart">
          <c:chart r:id="rId3"/>
        </a:graphicData>
      </a:graphic>
    </xdr:graphicFrame>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6.71"/>
    <col customWidth="1" min="2" max="13" width="15.86"/>
    <col customWidth="1" min="14" max="26" width="10.71"/>
  </cols>
  <sheetData>
    <row r="12" ht="15.0" customHeight="1">
      <c r="B12" s="1" t="s">
        <v>0</v>
      </c>
      <c r="C12" s="2"/>
      <c r="D12" s="2"/>
      <c r="E12" s="2"/>
      <c r="F12" s="2"/>
      <c r="G12" s="2"/>
      <c r="H12" s="2"/>
      <c r="I12" s="2"/>
      <c r="J12" s="2"/>
      <c r="K12" s="2"/>
      <c r="L12" s="2"/>
      <c r="M12" s="2"/>
    </row>
    <row r="13" ht="15.0" customHeight="1">
      <c r="B13" s="3"/>
    </row>
    <row r="14" ht="15.0" customHeight="1">
      <c r="B14" s="3"/>
    </row>
    <row r="15" ht="18.75" customHeight="1">
      <c r="B15" s="3"/>
    </row>
    <row r="16" ht="18.75" customHeight="1">
      <c r="B16" s="3"/>
    </row>
    <row r="18" ht="12.0" customHeight="1">
      <c r="B18" s="1" t="s">
        <v>1</v>
      </c>
      <c r="C18" s="2"/>
      <c r="D18" s="2"/>
      <c r="E18" s="2"/>
      <c r="F18" s="2"/>
      <c r="G18" s="2"/>
      <c r="H18" s="2"/>
      <c r="I18" s="2"/>
      <c r="J18" s="2"/>
      <c r="K18" s="2"/>
      <c r="L18" s="2"/>
      <c r="M18" s="2"/>
    </row>
    <row r="19" ht="12.0" customHeight="1">
      <c r="B19" s="3"/>
    </row>
    <row r="20" ht="12.0" customHeight="1">
      <c r="B20" s="3"/>
    </row>
    <row r="21" ht="12.0" customHeight="1">
      <c r="B21" s="3"/>
    </row>
    <row r="22" ht="12.0" customHeight="1">
      <c r="B22" s="3"/>
    </row>
    <row r="23" ht="12.0" customHeight="1">
      <c r="B23" s="3"/>
    </row>
    <row r="24" ht="12.0" customHeight="1">
      <c r="B24" s="3"/>
    </row>
    <row r="25" ht="12.0" customHeight="1">
      <c r="B25" s="3"/>
    </row>
    <row r="26" ht="12.0" customHeight="1">
      <c r="B26" s="3"/>
    </row>
    <row r="27" ht="12.0" customHeight="1">
      <c r="B27" s="3"/>
    </row>
    <row r="28" ht="12.0" customHeight="1">
      <c r="B28" s="3"/>
    </row>
    <row r="29" ht="12.0" customHeight="1">
      <c r="B29" s="3"/>
    </row>
    <row r="30" ht="12.0" customHeight="1">
      <c r="B30" s="3"/>
    </row>
    <row r="31" ht="12.0" customHeight="1">
      <c r="B31" s="3"/>
    </row>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12:M16"/>
    <mergeCell ref="B18:M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71"/>
    <col customWidth="1" min="2" max="2" width="36.14"/>
    <col customWidth="1" min="3" max="3" width="14.86"/>
    <col customWidth="1" min="4" max="4" width="16.43"/>
    <col customWidth="1" min="5" max="5" width="23.29"/>
    <col customWidth="1" min="6" max="6" width="28.86"/>
    <col customWidth="1" min="7" max="8" width="14.71"/>
    <col customWidth="1" min="9" max="9" width="17.0"/>
    <col customWidth="1" min="10" max="10" width="13.86"/>
    <col customWidth="1" min="11" max="29" width="11.43"/>
  </cols>
  <sheetData>
    <row r="1">
      <c r="A1" s="4"/>
      <c r="B1" s="4"/>
      <c r="C1" s="5" t="s">
        <v>2</v>
      </c>
      <c r="D1" s="6"/>
      <c r="E1" s="6"/>
      <c r="F1" s="4"/>
      <c r="G1" s="4"/>
      <c r="H1" s="4"/>
      <c r="I1" s="4"/>
      <c r="J1" s="4"/>
      <c r="K1" s="4"/>
      <c r="L1" s="4"/>
      <c r="M1" s="4"/>
      <c r="N1" s="4"/>
      <c r="O1" s="4"/>
      <c r="P1" s="4"/>
      <c r="Q1" s="4"/>
      <c r="R1" s="4"/>
      <c r="S1" s="4"/>
      <c r="T1" s="4"/>
      <c r="U1" s="4"/>
      <c r="V1" s="4"/>
      <c r="W1" s="4"/>
      <c r="X1" s="4"/>
      <c r="Y1" s="4"/>
      <c r="Z1" s="4"/>
      <c r="AA1" s="4"/>
      <c r="AB1" s="4"/>
      <c r="AC1" s="4"/>
    </row>
    <row r="2">
      <c r="A2" s="4"/>
      <c r="B2" s="4"/>
      <c r="C2" s="4"/>
      <c r="D2" s="4"/>
      <c r="E2" s="4"/>
      <c r="F2" s="4"/>
      <c r="G2" s="4"/>
      <c r="H2" s="4"/>
      <c r="I2" s="7" t="s">
        <v>3</v>
      </c>
      <c r="J2" s="4"/>
      <c r="K2" s="4"/>
      <c r="L2" s="4"/>
      <c r="M2" s="4"/>
      <c r="N2" s="4"/>
      <c r="O2" s="4"/>
      <c r="P2" s="4"/>
      <c r="Q2" s="4"/>
      <c r="R2" s="4"/>
      <c r="S2" s="4"/>
      <c r="T2" s="4"/>
      <c r="U2" s="4"/>
      <c r="V2" s="4"/>
      <c r="W2" s="4"/>
      <c r="X2" s="4"/>
      <c r="Y2" s="4"/>
      <c r="Z2" s="4"/>
      <c r="AA2" s="4"/>
      <c r="AB2" s="4"/>
      <c r="AC2" s="4"/>
    </row>
    <row r="3">
      <c r="A3" s="4"/>
      <c r="B3" s="8" t="s">
        <v>4</v>
      </c>
      <c r="C3" s="9"/>
      <c r="D3" s="9"/>
      <c r="E3" s="9"/>
      <c r="F3" s="10"/>
      <c r="G3" s="11"/>
      <c r="H3" s="4"/>
      <c r="I3" s="7" t="s">
        <v>5</v>
      </c>
      <c r="J3" s="4"/>
      <c r="K3" s="4"/>
      <c r="L3" s="4"/>
      <c r="M3" s="4"/>
      <c r="N3" s="4"/>
      <c r="O3" s="4"/>
      <c r="P3" s="4"/>
      <c r="Q3" s="4"/>
      <c r="R3" s="4"/>
      <c r="S3" s="4"/>
      <c r="T3" s="4"/>
      <c r="U3" s="4"/>
      <c r="V3" s="4"/>
      <c r="W3" s="4"/>
      <c r="X3" s="4"/>
      <c r="Y3" s="4"/>
      <c r="Z3" s="4"/>
      <c r="AA3" s="4"/>
      <c r="AB3" s="4"/>
      <c r="AC3" s="4"/>
    </row>
    <row r="4">
      <c r="A4" s="12"/>
      <c r="B4" s="12"/>
      <c r="C4" s="12"/>
      <c r="D4" s="12"/>
      <c r="E4" s="12"/>
      <c r="F4" s="12"/>
      <c r="G4" s="12"/>
      <c r="H4" s="4"/>
      <c r="I4" s="7" t="s">
        <v>6</v>
      </c>
      <c r="J4" s="4"/>
      <c r="K4" s="4"/>
      <c r="L4" s="4"/>
      <c r="M4" s="4"/>
      <c r="N4" s="4"/>
      <c r="O4" s="4"/>
      <c r="P4" s="4"/>
      <c r="Q4" s="4"/>
      <c r="R4" s="4"/>
      <c r="S4" s="4"/>
      <c r="T4" s="4"/>
      <c r="U4" s="4"/>
      <c r="V4" s="4"/>
      <c r="W4" s="4"/>
      <c r="X4" s="4"/>
      <c r="Y4" s="4"/>
      <c r="Z4" s="4"/>
      <c r="AA4" s="4"/>
      <c r="AB4" s="4"/>
      <c r="AC4" s="4"/>
    </row>
    <row r="5">
      <c r="A5" s="13" t="s">
        <v>7</v>
      </c>
      <c r="C5" s="14">
        <v>0.72</v>
      </c>
      <c r="D5" s="15" t="s">
        <v>8</v>
      </c>
      <c r="F5" s="16" t="s">
        <v>9</v>
      </c>
      <c r="H5" s="12"/>
      <c r="I5" s="12"/>
      <c r="J5" s="4"/>
      <c r="K5" s="4"/>
      <c r="L5" s="4"/>
      <c r="M5" s="4"/>
      <c r="N5" s="4"/>
      <c r="O5" s="4"/>
      <c r="P5" s="4"/>
      <c r="Q5" s="4"/>
      <c r="R5" s="4"/>
      <c r="S5" s="4"/>
      <c r="T5" s="4"/>
      <c r="U5" s="4"/>
      <c r="V5" s="4"/>
      <c r="W5" s="4"/>
      <c r="X5" s="4"/>
      <c r="Y5" s="4"/>
      <c r="Z5" s="4"/>
      <c r="AA5" s="4"/>
      <c r="AB5" s="4"/>
      <c r="AC5" s="4"/>
    </row>
    <row r="6">
      <c r="A6" s="17"/>
      <c r="B6" s="17"/>
      <c r="C6" s="4"/>
      <c r="D6" s="18"/>
      <c r="E6" s="18"/>
      <c r="F6" s="19"/>
      <c r="G6" s="19"/>
      <c r="H6" s="19"/>
      <c r="I6" s="19"/>
      <c r="J6" s="4"/>
      <c r="K6" s="4"/>
      <c r="L6" s="4"/>
      <c r="M6" s="4"/>
      <c r="N6" s="4"/>
      <c r="O6" s="4"/>
      <c r="P6" s="4"/>
      <c r="Q6" s="4"/>
      <c r="R6" s="4"/>
      <c r="S6" s="4"/>
      <c r="T6" s="4"/>
      <c r="U6" s="4"/>
      <c r="V6" s="4"/>
      <c r="W6" s="4"/>
      <c r="X6" s="4"/>
      <c r="Y6" s="4"/>
      <c r="Z6" s="4"/>
      <c r="AA6" s="4"/>
      <c r="AB6" s="4"/>
      <c r="AC6" s="4"/>
    </row>
    <row r="7">
      <c r="A7" s="13" t="s">
        <v>10</v>
      </c>
      <c r="C7" s="12"/>
      <c r="D7" s="12"/>
      <c r="E7" s="4"/>
      <c r="F7" s="12"/>
      <c r="G7" s="12"/>
      <c r="H7" s="12"/>
      <c r="I7" s="12"/>
      <c r="J7" s="4"/>
      <c r="K7" s="4"/>
      <c r="L7" s="4"/>
      <c r="M7" s="4"/>
      <c r="N7" s="4"/>
      <c r="O7" s="4"/>
      <c r="P7" s="4"/>
      <c r="Q7" s="4"/>
      <c r="R7" s="4"/>
      <c r="S7" s="4"/>
      <c r="T7" s="4"/>
      <c r="U7" s="4"/>
      <c r="V7" s="4"/>
      <c r="W7" s="4"/>
      <c r="X7" s="4"/>
      <c r="Y7" s="4"/>
      <c r="Z7" s="4"/>
      <c r="AA7" s="4"/>
      <c r="AB7" s="4"/>
      <c r="AC7" s="4"/>
    </row>
    <row r="8" ht="28.5" customHeight="1">
      <c r="A8" s="4"/>
      <c r="B8" s="20" t="s">
        <v>11</v>
      </c>
      <c r="C8" s="19" t="s">
        <v>12</v>
      </c>
      <c r="D8" s="21" t="s">
        <v>13</v>
      </c>
      <c r="E8" s="21" t="s">
        <v>14</v>
      </c>
      <c r="F8" s="19" t="s">
        <v>15</v>
      </c>
      <c r="G8" s="4"/>
      <c r="H8" s="4"/>
      <c r="I8" s="22"/>
      <c r="J8" s="4"/>
      <c r="K8" s="4"/>
      <c r="L8" s="4"/>
      <c r="M8" s="4"/>
      <c r="N8" s="4"/>
      <c r="O8" s="4"/>
      <c r="P8" s="4"/>
      <c r="Q8" s="4"/>
      <c r="R8" s="4"/>
      <c r="S8" s="4"/>
      <c r="T8" s="4"/>
      <c r="U8" s="4"/>
      <c r="V8" s="4"/>
      <c r="W8" s="4"/>
      <c r="X8" s="4"/>
      <c r="Y8" s="4"/>
      <c r="Z8" s="4"/>
      <c r="AA8" s="4"/>
      <c r="AB8" s="4"/>
      <c r="AC8" s="4"/>
    </row>
    <row r="9">
      <c r="A9" s="23" t="s">
        <v>16</v>
      </c>
      <c r="B9" s="24" t="s">
        <v>17</v>
      </c>
      <c r="C9" s="25">
        <v>0.85</v>
      </c>
      <c r="D9" s="26">
        <f t="shared" ref="D9:D18" si="1">C9*$C$5</f>
        <v>0.612</v>
      </c>
      <c r="E9" s="27">
        <v>115.0</v>
      </c>
      <c r="F9" s="28" t="str">
        <f t="array" ref="F9">IF(E9="","",IF(INDEX(A:A,MAX(IF(ISNUMBER($A$36:$A$55),ROW($A$36:$A$55),"")))&lt;&gt;E9,"Corrigez : révolution incorrecte","OK"))</f>
        <v>OK</v>
      </c>
      <c r="G9" s="29" t="s">
        <v>18</v>
      </c>
      <c r="H9" s="4"/>
      <c r="I9" s="30"/>
      <c r="J9" s="4"/>
      <c r="K9" s="4"/>
      <c r="L9" s="4"/>
      <c r="M9" s="4"/>
      <c r="N9" s="4"/>
      <c r="O9" s="4"/>
      <c r="P9" s="4"/>
      <c r="Q9" s="4"/>
      <c r="R9" s="4"/>
      <c r="S9" s="4"/>
      <c r="T9" s="4"/>
      <c r="U9" s="4"/>
      <c r="V9" s="4"/>
      <c r="W9" s="4"/>
      <c r="X9" s="4"/>
      <c r="Y9" s="4"/>
      <c r="Z9" s="4"/>
      <c r="AA9" s="4"/>
      <c r="AB9" s="4"/>
      <c r="AC9" s="4"/>
    </row>
    <row r="10">
      <c r="A10" s="23" t="s">
        <v>19</v>
      </c>
      <c r="B10" s="24" t="s">
        <v>20</v>
      </c>
      <c r="C10" s="25">
        <v>0.075</v>
      </c>
      <c r="D10" s="26">
        <f t="shared" si="1"/>
        <v>0.054</v>
      </c>
      <c r="E10" s="27">
        <v>80.0</v>
      </c>
      <c r="F10" s="28" t="str">
        <f t="array" ref="F10">IF(E10="","",IF(INDEX(A:A,MAX(IF(ISNUMBER($A$62:$A$81),ROW($A$62:$A$81),"")))&lt;&gt;E10,"Corrigez : révolution incorrecte","OK"))</f>
        <v>OK</v>
      </c>
      <c r="G10" s="4"/>
      <c r="H10" s="4"/>
      <c r="I10" s="30"/>
      <c r="J10" s="4"/>
      <c r="K10" s="4"/>
      <c r="L10" s="4"/>
      <c r="M10" s="4"/>
      <c r="N10" s="4"/>
      <c r="O10" s="4"/>
      <c r="P10" s="4"/>
      <c r="Q10" s="4"/>
      <c r="R10" s="4"/>
      <c r="S10" s="4"/>
      <c r="T10" s="4"/>
      <c r="U10" s="4"/>
      <c r="V10" s="4"/>
      <c r="W10" s="4"/>
      <c r="X10" s="4"/>
      <c r="Y10" s="4"/>
      <c r="Z10" s="4"/>
      <c r="AA10" s="4"/>
      <c r="AB10" s="4"/>
      <c r="AC10" s="4"/>
    </row>
    <row r="11">
      <c r="A11" s="23" t="s">
        <v>21</v>
      </c>
      <c r="B11" s="24" t="s">
        <v>22</v>
      </c>
      <c r="C11" s="25">
        <v>0.075</v>
      </c>
      <c r="D11" s="26">
        <f t="shared" si="1"/>
        <v>0.054</v>
      </c>
      <c r="E11" s="27"/>
      <c r="F11" s="28" t="str">
        <f t="array" ref="F11">IF(E11="","",IF(INDEX(A:A,MAX(IF(ISNUMBER($A$88:$A$107),ROW($A$88:$A$107),"")))&lt;&gt;E11,"Corrigez : révolution incorrecte","OK"))</f>
        <v/>
      </c>
      <c r="G11" s="4"/>
      <c r="H11" s="4"/>
      <c r="I11" s="30"/>
      <c r="J11" s="4"/>
      <c r="K11" s="4"/>
      <c r="L11" s="4"/>
      <c r="M11" s="4"/>
      <c r="N11" s="4"/>
      <c r="O11" s="4"/>
      <c r="P11" s="4"/>
      <c r="Q11" s="4"/>
      <c r="R11" s="4"/>
      <c r="S11" s="4"/>
      <c r="T11" s="4"/>
      <c r="U11" s="4"/>
      <c r="V11" s="4"/>
      <c r="W11" s="4"/>
      <c r="X11" s="4"/>
      <c r="Y11" s="4"/>
      <c r="Z11" s="4"/>
      <c r="AA11" s="4"/>
      <c r="AB11" s="4"/>
      <c r="AC11" s="4"/>
    </row>
    <row r="12">
      <c r="A12" s="23" t="s">
        <v>23</v>
      </c>
      <c r="B12" s="24"/>
      <c r="C12" s="25"/>
      <c r="D12" s="26">
        <f t="shared" si="1"/>
        <v>0</v>
      </c>
      <c r="E12" s="27"/>
      <c r="F12" s="28" t="str">
        <f t="array" ref="F12">IF(E12="","",IF(INDEX(A:A,MAX(IF(ISNUMBER($A$114:$A$133),ROW($A$114:$A$133),"")))&lt;&gt;E12,"Corrigez : révolution incorrecte","OK"))</f>
        <v/>
      </c>
      <c r="H12" s="4"/>
      <c r="I12" s="30"/>
      <c r="J12" s="4"/>
      <c r="K12" s="4"/>
      <c r="L12" s="4"/>
      <c r="M12" s="4"/>
      <c r="N12" s="4"/>
      <c r="O12" s="4"/>
      <c r="P12" s="4"/>
      <c r="Q12" s="4"/>
      <c r="R12" s="4"/>
      <c r="S12" s="4"/>
      <c r="T12" s="4"/>
      <c r="U12" s="4"/>
      <c r="V12" s="4"/>
      <c r="W12" s="4"/>
      <c r="X12" s="4"/>
      <c r="Y12" s="4"/>
      <c r="Z12" s="4"/>
      <c r="AA12" s="4"/>
      <c r="AB12" s="4"/>
      <c r="AC12" s="4"/>
    </row>
    <row r="13">
      <c r="A13" s="23" t="s">
        <v>24</v>
      </c>
      <c r="B13" s="24"/>
      <c r="C13" s="25"/>
      <c r="D13" s="26">
        <f t="shared" si="1"/>
        <v>0</v>
      </c>
      <c r="E13" s="27"/>
      <c r="F13" s="28" t="str">
        <f t="array" ref="F13">IF(E13="","",IF(INDEX(A:A,MAX(IF(ISNUMBER($A$140:$A$159),ROW($A$140:$A$159),"")))&lt;&gt;E13,"Corrigez : révolution incorrecte","OK"))</f>
        <v/>
      </c>
      <c r="H13" s="4"/>
      <c r="I13" s="30"/>
      <c r="J13" s="4"/>
      <c r="K13" s="4"/>
      <c r="L13" s="4"/>
      <c r="M13" s="4"/>
      <c r="N13" s="4"/>
      <c r="O13" s="4"/>
      <c r="P13" s="4"/>
      <c r="Q13" s="4"/>
      <c r="R13" s="4"/>
      <c r="S13" s="4"/>
      <c r="T13" s="4"/>
      <c r="U13" s="4"/>
      <c r="V13" s="4"/>
      <c r="W13" s="4"/>
      <c r="X13" s="4"/>
      <c r="Y13" s="4"/>
      <c r="Z13" s="4"/>
      <c r="AA13" s="4"/>
      <c r="AB13" s="4"/>
      <c r="AC13" s="4"/>
    </row>
    <row r="14">
      <c r="A14" s="23" t="s">
        <v>25</v>
      </c>
      <c r="B14" s="24"/>
      <c r="C14" s="25"/>
      <c r="D14" s="26">
        <f t="shared" si="1"/>
        <v>0</v>
      </c>
      <c r="E14" s="27"/>
      <c r="F14" s="28" t="str">
        <f t="array" ref="F14">IF(E14="","",IF(INDEX(A:A,MAX(IF(ISNUMBER($A$166:$A$185),ROW($A$166:$A$185),"")))&lt;&gt;E14,"Corrigez : révolution incorrecte","OK"))</f>
        <v/>
      </c>
      <c r="H14" s="4"/>
      <c r="I14" s="30"/>
      <c r="J14" s="4"/>
      <c r="K14" s="4"/>
      <c r="L14" s="4"/>
      <c r="M14" s="4"/>
      <c r="N14" s="4"/>
      <c r="O14" s="4"/>
      <c r="P14" s="4"/>
      <c r="Q14" s="4"/>
      <c r="R14" s="4"/>
      <c r="S14" s="4"/>
      <c r="T14" s="4"/>
      <c r="U14" s="4"/>
      <c r="V14" s="4"/>
      <c r="W14" s="4"/>
      <c r="X14" s="4"/>
      <c r="Y14" s="4"/>
      <c r="Z14" s="4"/>
      <c r="AA14" s="4"/>
      <c r="AB14" s="4"/>
      <c r="AC14" s="4"/>
    </row>
    <row r="15">
      <c r="A15" s="23" t="s">
        <v>26</v>
      </c>
      <c r="B15" s="24"/>
      <c r="C15" s="25"/>
      <c r="D15" s="26">
        <f t="shared" si="1"/>
        <v>0</v>
      </c>
      <c r="E15" s="27"/>
      <c r="F15" s="28" t="str">
        <f t="array" ref="F15">IF(E15="","",IF(INDEX(A:A,MAX(IF(ISNUMBER($A$192:$A$211),ROW($A$192:$A$211),"")))&lt;&gt;E15,"Corrigez : révolution incorrecte","OK"))</f>
        <v/>
      </c>
      <c r="H15" s="4"/>
      <c r="I15" s="30"/>
      <c r="J15" s="4"/>
      <c r="K15" s="4"/>
      <c r="L15" s="4"/>
      <c r="M15" s="4"/>
      <c r="N15" s="4"/>
      <c r="O15" s="4"/>
      <c r="P15" s="4"/>
      <c r="Q15" s="4"/>
      <c r="R15" s="4"/>
      <c r="S15" s="4"/>
      <c r="T15" s="4"/>
      <c r="U15" s="4"/>
      <c r="V15" s="4"/>
      <c r="W15" s="4"/>
      <c r="X15" s="4"/>
      <c r="Y15" s="4"/>
      <c r="Z15" s="4"/>
      <c r="AA15" s="4"/>
      <c r="AB15" s="4"/>
      <c r="AC15" s="4"/>
    </row>
    <row r="16">
      <c r="A16" s="23" t="s">
        <v>27</v>
      </c>
      <c r="B16" s="24"/>
      <c r="C16" s="25"/>
      <c r="D16" s="26">
        <f t="shared" si="1"/>
        <v>0</v>
      </c>
      <c r="E16" s="27"/>
      <c r="F16" s="28" t="str">
        <f t="array" ref="F16">IF(E16="","",IF(INDEX(A:A,MAX(IF(ISNUMBER($A$218:$A$237),ROW($A$218:$A$237),"")))&lt;&gt;E16,"Corrigez : révolution incorrecte","OK"))</f>
        <v/>
      </c>
      <c r="G16" s="31"/>
      <c r="H16" s="4"/>
      <c r="I16" s="30"/>
      <c r="J16" s="4"/>
      <c r="K16" s="4"/>
      <c r="L16" s="4"/>
      <c r="M16" s="4"/>
      <c r="N16" s="4"/>
      <c r="O16" s="4"/>
      <c r="P16" s="4"/>
      <c r="Q16" s="4"/>
      <c r="R16" s="4"/>
      <c r="S16" s="4"/>
      <c r="T16" s="4"/>
      <c r="U16" s="4"/>
      <c r="V16" s="4"/>
      <c r="W16" s="4"/>
      <c r="X16" s="4"/>
      <c r="Y16" s="4"/>
      <c r="Z16" s="4"/>
      <c r="AA16" s="4"/>
      <c r="AB16" s="4"/>
      <c r="AC16" s="4"/>
    </row>
    <row r="17">
      <c r="A17" s="23" t="s">
        <v>28</v>
      </c>
      <c r="B17" s="24"/>
      <c r="C17" s="25"/>
      <c r="D17" s="26">
        <f t="shared" si="1"/>
        <v>0</v>
      </c>
      <c r="E17" s="27"/>
      <c r="F17" s="28" t="str">
        <f t="array" ref="F17">IF(E17="","",IF(INDEX(A:A,MAX(IF(ISNUMBER($A$244:$A$263),ROW($A$244:$A$263),"")))&lt;&gt;E17,"Corrigez : révolution incorrecte","OK"))</f>
        <v/>
      </c>
      <c r="G17" s="4"/>
      <c r="H17" s="4"/>
      <c r="I17" s="30"/>
      <c r="J17" s="4"/>
      <c r="K17" s="4"/>
      <c r="L17" s="4"/>
      <c r="M17" s="4"/>
      <c r="N17" s="4"/>
      <c r="O17" s="4"/>
      <c r="P17" s="4"/>
      <c r="Q17" s="4"/>
      <c r="R17" s="4"/>
      <c r="S17" s="4"/>
      <c r="T17" s="4"/>
      <c r="U17" s="4"/>
      <c r="V17" s="4"/>
      <c r="W17" s="4"/>
      <c r="X17" s="4"/>
      <c r="Y17" s="4"/>
      <c r="Z17" s="4"/>
      <c r="AA17" s="4"/>
      <c r="AB17" s="4"/>
      <c r="AC17" s="4"/>
    </row>
    <row r="18">
      <c r="A18" s="23" t="s">
        <v>29</v>
      </c>
      <c r="B18" s="24"/>
      <c r="C18" s="25"/>
      <c r="D18" s="26">
        <f t="shared" si="1"/>
        <v>0</v>
      </c>
      <c r="E18" s="27"/>
      <c r="F18" s="28" t="str">
        <f t="array" ref="F18">IF(E18="","",IF(INDEX(A:A,MAX(IF(ISNUMBER($A$270:$A$289),ROW($A$270:$A$289),"")))&lt;&gt;E18,"Corrigez : révolution incorrecte","OK"))</f>
        <v/>
      </c>
      <c r="G18" s="4"/>
      <c r="H18" s="4"/>
      <c r="I18" s="30"/>
      <c r="J18" s="4"/>
      <c r="K18" s="4"/>
      <c r="L18" s="4"/>
      <c r="M18" s="4"/>
      <c r="N18" s="4"/>
      <c r="O18" s="4"/>
      <c r="P18" s="4"/>
      <c r="Q18" s="4"/>
      <c r="R18" s="4"/>
      <c r="S18" s="4"/>
      <c r="T18" s="4"/>
      <c r="U18" s="4"/>
      <c r="V18" s="4"/>
      <c r="W18" s="4"/>
      <c r="X18" s="4"/>
      <c r="Y18" s="4"/>
      <c r="Z18" s="4"/>
      <c r="AA18" s="4"/>
      <c r="AB18" s="4"/>
      <c r="AC18" s="4"/>
    </row>
    <row r="19">
      <c r="A19" s="32"/>
      <c r="B19" s="33" t="s">
        <v>30</v>
      </c>
      <c r="C19" s="34">
        <f t="shared" ref="C19:D19" si="2">SUM(C9:C18)</f>
        <v>1</v>
      </c>
      <c r="D19" s="35">
        <f t="shared" si="2"/>
        <v>0.72</v>
      </c>
      <c r="E19" s="4"/>
      <c r="F19" s="36"/>
      <c r="G19" s="36"/>
      <c r="H19" s="36"/>
      <c r="I19" s="36"/>
      <c r="J19" s="4"/>
      <c r="K19" s="4"/>
      <c r="L19" s="4"/>
      <c r="M19" s="4"/>
      <c r="N19" s="4"/>
      <c r="O19" s="4"/>
      <c r="P19" s="4"/>
      <c r="Q19" s="4"/>
      <c r="R19" s="4"/>
      <c r="S19" s="4"/>
      <c r="T19" s="4"/>
      <c r="U19" s="4"/>
      <c r="V19" s="4"/>
      <c r="W19" s="4"/>
      <c r="X19" s="4"/>
      <c r="Y19" s="4"/>
      <c r="Z19" s="4"/>
      <c r="AA19" s="4"/>
      <c r="AB19" s="4"/>
      <c r="AC19" s="4"/>
    </row>
    <row r="20">
      <c r="A20" s="32"/>
      <c r="B20" s="37" t="s">
        <v>15</v>
      </c>
      <c r="C20" s="38" t="str">
        <f>IF(C19&gt;100%,"Erreur : corrigez","OK")</f>
        <v>OK</v>
      </c>
      <c r="D20" s="39"/>
      <c r="E20" s="4"/>
      <c r="F20" s="19"/>
      <c r="G20" s="19"/>
      <c r="H20" s="36"/>
      <c r="I20" s="36"/>
      <c r="J20" s="4"/>
      <c r="K20" s="4"/>
      <c r="L20" s="4"/>
      <c r="M20" s="4"/>
      <c r="N20" s="4"/>
      <c r="O20" s="4"/>
      <c r="P20" s="4"/>
      <c r="Q20" s="4"/>
      <c r="R20" s="4"/>
      <c r="S20" s="4"/>
      <c r="T20" s="4"/>
      <c r="U20" s="4"/>
      <c r="V20" s="4"/>
      <c r="W20" s="4"/>
      <c r="X20" s="4"/>
      <c r="Y20" s="4"/>
      <c r="Z20" s="4"/>
      <c r="AA20" s="4"/>
      <c r="AB20" s="4"/>
      <c r="AC20" s="4"/>
    </row>
    <row r="21" ht="15.75" customHeight="1">
      <c r="A21" s="4"/>
      <c r="B21" s="4"/>
      <c r="C21" s="4"/>
      <c r="D21" s="4"/>
      <c r="E21" s="4"/>
      <c r="F21" s="4"/>
      <c r="G21" s="4"/>
      <c r="H21" s="40"/>
      <c r="I21" s="40"/>
      <c r="J21" s="4"/>
      <c r="K21" s="4"/>
      <c r="L21" s="4"/>
      <c r="M21" s="4"/>
      <c r="N21" s="4"/>
      <c r="O21" s="4"/>
      <c r="P21" s="4"/>
      <c r="Q21" s="4"/>
      <c r="R21" s="4"/>
      <c r="S21" s="4"/>
      <c r="T21" s="4"/>
      <c r="U21" s="4"/>
      <c r="V21" s="4"/>
      <c r="W21" s="4"/>
      <c r="X21" s="4"/>
      <c r="Y21" s="4"/>
      <c r="Z21" s="4"/>
      <c r="AA21" s="4"/>
      <c r="AB21" s="4"/>
      <c r="AC21" s="4"/>
    </row>
    <row r="22" ht="15.75" customHeight="1">
      <c r="A22" s="41" t="s">
        <v>31</v>
      </c>
      <c r="C22" s="4"/>
      <c r="D22" s="4"/>
      <c r="E22" s="4"/>
      <c r="F22" s="4"/>
      <c r="G22" s="4"/>
      <c r="H22" s="4"/>
      <c r="I22" s="4"/>
      <c r="J22" s="4"/>
      <c r="K22" s="4"/>
      <c r="L22" s="4"/>
      <c r="M22" s="4"/>
      <c r="N22" s="4"/>
      <c r="O22" s="4"/>
      <c r="P22" s="4"/>
      <c r="Q22" s="4"/>
      <c r="R22" s="4"/>
      <c r="S22" s="4"/>
      <c r="T22" s="4"/>
      <c r="U22" s="4"/>
      <c r="V22" s="4"/>
      <c r="W22" s="4"/>
      <c r="X22" s="4"/>
      <c r="Y22" s="4"/>
      <c r="Z22" s="4"/>
      <c r="AA22" s="4"/>
      <c r="AB22" s="4"/>
      <c r="AC22" s="4"/>
    </row>
    <row r="23" ht="15.75" customHeight="1">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row>
    <row r="24" ht="15.75" customHeight="1">
      <c r="A24" s="42" t="s">
        <v>32</v>
      </c>
      <c r="B24" s="43" t="s">
        <v>33</v>
      </c>
      <c r="C24" s="25">
        <v>0.0</v>
      </c>
      <c r="D24" s="44" t="s">
        <v>34</v>
      </c>
      <c r="E24" s="45"/>
      <c r="F24" s="45"/>
      <c r="G24" s="45"/>
      <c r="H24" s="4"/>
      <c r="I24" s="45"/>
      <c r="J24" s="46"/>
      <c r="K24" s="4"/>
      <c r="L24" s="4"/>
      <c r="M24" s="4"/>
      <c r="N24" s="4"/>
      <c r="O24" s="4"/>
      <c r="P24" s="4"/>
      <c r="Q24" s="4"/>
      <c r="R24" s="4"/>
      <c r="S24" s="4"/>
      <c r="T24" s="4"/>
      <c r="U24" s="4"/>
      <c r="V24" s="4"/>
      <c r="W24" s="4"/>
      <c r="X24" s="4"/>
      <c r="Y24" s="4"/>
      <c r="Z24" s="4"/>
      <c r="AA24" s="4"/>
      <c r="AB24" s="4"/>
      <c r="AC24" s="4"/>
    </row>
    <row r="25" ht="15.75" customHeight="1">
      <c r="A25" s="42" t="s">
        <v>35</v>
      </c>
      <c r="B25" s="43" t="s">
        <v>36</v>
      </c>
      <c r="C25" s="34">
        <v>0.1</v>
      </c>
      <c r="D25" s="46"/>
      <c r="E25" s="4"/>
      <c r="F25" s="46"/>
      <c r="G25" s="46"/>
      <c r="H25" s="4"/>
      <c r="I25" s="46"/>
      <c r="J25" s="46"/>
      <c r="K25" s="4"/>
      <c r="L25" s="4"/>
      <c r="M25" s="4"/>
      <c r="N25" s="4"/>
      <c r="O25" s="4"/>
      <c r="P25" s="4"/>
      <c r="Q25" s="4"/>
      <c r="R25" s="4"/>
      <c r="S25" s="4"/>
      <c r="T25" s="4"/>
      <c r="U25" s="4"/>
      <c r="V25" s="4"/>
      <c r="W25" s="4"/>
      <c r="X25" s="4"/>
      <c r="Y25" s="4"/>
      <c r="Z25" s="4"/>
      <c r="AA25" s="4"/>
      <c r="AB25" s="4"/>
      <c r="AC25" s="4"/>
    </row>
    <row r="26" ht="15.75" customHeight="1">
      <c r="A26" s="42" t="s">
        <v>37</v>
      </c>
      <c r="B26" s="43" t="s">
        <v>38</v>
      </c>
      <c r="C26" s="25">
        <v>0.05</v>
      </c>
      <c r="D26" s="44" t="s">
        <v>39</v>
      </c>
      <c r="E26" s="45"/>
      <c r="F26" s="45"/>
      <c r="G26" s="45"/>
      <c r="H26" s="4"/>
      <c r="I26" s="45"/>
      <c r="J26" s="45"/>
      <c r="K26" s="4"/>
      <c r="L26" s="4"/>
      <c r="M26" s="4"/>
      <c r="N26" s="4"/>
      <c r="O26" s="4"/>
      <c r="P26" s="4"/>
      <c r="Q26" s="4"/>
      <c r="R26" s="4"/>
      <c r="S26" s="4"/>
      <c r="T26" s="4"/>
      <c r="U26" s="4"/>
      <c r="V26" s="4"/>
      <c r="W26" s="4"/>
      <c r="X26" s="4"/>
      <c r="Y26" s="4"/>
      <c r="Z26" s="4"/>
      <c r="AA26" s="4"/>
      <c r="AB26" s="4"/>
      <c r="AC26" s="4"/>
    </row>
    <row r="27" ht="15.75" customHeight="1">
      <c r="A27" s="42" t="s">
        <v>40</v>
      </c>
      <c r="B27" s="43" t="s">
        <v>41</v>
      </c>
      <c r="C27" s="25">
        <v>0.0</v>
      </c>
      <c r="D27" s="44" t="s">
        <v>42</v>
      </c>
      <c r="E27" s="45"/>
      <c r="F27" s="45"/>
      <c r="G27" s="45"/>
      <c r="H27" s="4"/>
      <c r="I27" s="45"/>
      <c r="J27" s="45"/>
      <c r="K27" s="4"/>
      <c r="L27" s="4"/>
      <c r="M27" s="4"/>
      <c r="N27" s="4"/>
      <c r="O27" s="4"/>
      <c r="P27" s="4"/>
      <c r="Q27" s="4"/>
      <c r="R27" s="4"/>
      <c r="S27" s="4"/>
      <c r="T27" s="4"/>
      <c r="U27" s="4"/>
      <c r="V27" s="4"/>
      <c r="W27" s="4"/>
      <c r="X27" s="4"/>
      <c r="Y27" s="4"/>
      <c r="Z27" s="4"/>
      <c r="AA27" s="4"/>
      <c r="AB27" s="4"/>
      <c r="AC27" s="4"/>
    </row>
    <row r="28"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row>
    <row r="29" ht="15.75" customHeight="1">
      <c r="A29" s="4"/>
      <c r="B29" s="4"/>
      <c r="C29" s="4"/>
      <c r="D29" s="4"/>
      <c r="E29" s="4"/>
      <c r="F29" s="4"/>
      <c r="G29" s="4"/>
      <c r="H29" s="4"/>
      <c r="I29" s="47" t="s">
        <v>43</v>
      </c>
      <c r="J29" s="4"/>
      <c r="K29" s="4"/>
      <c r="L29" s="4"/>
      <c r="M29" s="4"/>
      <c r="N29" s="4"/>
      <c r="O29" s="4"/>
      <c r="P29" s="4"/>
      <c r="Q29" s="4"/>
      <c r="R29" s="4"/>
      <c r="S29" s="4"/>
      <c r="T29" s="4"/>
      <c r="U29" s="4"/>
      <c r="V29" s="4"/>
      <c r="W29" s="4"/>
      <c r="X29" s="4"/>
      <c r="Y29" s="4"/>
      <c r="Z29" s="4"/>
      <c r="AA29" s="4"/>
      <c r="AB29" s="4"/>
      <c r="AC29" s="4"/>
    </row>
    <row r="30" ht="15.75" customHeight="1">
      <c r="A30" s="13" t="s">
        <v>44</v>
      </c>
      <c r="C30" s="4"/>
      <c r="D30" s="47"/>
      <c r="E30" s="4"/>
      <c r="F30" s="4"/>
      <c r="G30" s="4"/>
      <c r="H30" s="4"/>
      <c r="I30" s="48" t="s">
        <v>45</v>
      </c>
      <c r="J30" s="4"/>
      <c r="K30" s="4"/>
      <c r="L30" s="4"/>
      <c r="M30" s="4"/>
      <c r="N30" s="4"/>
      <c r="O30" s="4"/>
      <c r="P30" s="4"/>
      <c r="Q30" s="4"/>
      <c r="R30" s="4"/>
      <c r="S30" s="4"/>
      <c r="T30" s="4"/>
      <c r="U30" s="4"/>
      <c r="V30" s="4"/>
      <c r="W30" s="4"/>
      <c r="X30" s="4"/>
      <c r="Y30" s="4"/>
      <c r="Z30" s="4"/>
      <c r="AA30" s="4"/>
      <c r="AB30" s="4"/>
      <c r="AC30" s="4"/>
    </row>
    <row r="31" ht="15.75" customHeight="1">
      <c r="A31" s="4"/>
      <c r="B31" s="4"/>
      <c r="C31" s="4"/>
      <c r="D31" s="4"/>
      <c r="E31" s="4"/>
      <c r="F31" s="4"/>
      <c r="G31" s="4"/>
      <c r="H31" s="4"/>
      <c r="I31" s="48" t="s">
        <v>46</v>
      </c>
      <c r="J31" s="4"/>
      <c r="K31" s="47"/>
      <c r="L31" s="4"/>
      <c r="M31" s="4"/>
      <c r="N31" s="4"/>
      <c r="O31" s="4"/>
      <c r="P31" s="4"/>
      <c r="Q31" s="4"/>
      <c r="R31" s="4"/>
      <c r="S31" s="4"/>
      <c r="T31" s="4"/>
      <c r="U31" s="4"/>
      <c r="V31" s="4"/>
      <c r="W31" s="4"/>
      <c r="X31" s="4"/>
      <c r="Y31" s="4"/>
      <c r="Z31" s="4"/>
      <c r="AA31" s="4"/>
      <c r="AB31" s="4"/>
      <c r="AC31" s="4"/>
    </row>
    <row r="32" ht="15.75" customHeight="1">
      <c r="A32" s="49" t="s">
        <v>16</v>
      </c>
      <c r="B32" s="50" t="str">
        <f>IF(B9="","",B9)</f>
        <v>Chêne sessile</v>
      </c>
      <c r="C32" s="4"/>
      <c r="D32" s="51" t="s">
        <v>47</v>
      </c>
      <c r="E32" s="4"/>
      <c r="F32" s="4"/>
      <c r="G32" s="4"/>
      <c r="H32" s="4"/>
      <c r="I32" s="48" t="s">
        <v>48</v>
      </c>
      <c r="J32" s="4"/>
      <c r="K32" s="47"/>
      <c r="L32" s="4"/>
      <c r="M32" s="4"/>
      <c r="N32" s="4"/>
      <c r="O32" s="4"/>
      <c r="P32" s="4"/>
      <c r="Q32" s="4"/>
      <c r="R32" s="4"/>
      <c r="S32" s="4"/>
      <c r="T32" s="4"/>
      <c r="U32" s="4"/>
      <c r="V32" s="4"/>
      <c r="W32" s="4"/>
      <c r="X32" s="4"/>
      <c r="Y32" s="4"/>
      <c r="Z32" s="4"/>
      <c r="AA32" s="4"/>
      <c r="AB32" s="4"/>
      <c r="AC32" s="4"/>
    </row>
    <row r="33" ht="15.75" customHeight="1">
      <c r="A33" s="49"/>
      <c r="B33" s="4"/>
      <c r="C33" s="4"/>
      <c r="D33" s="4"/>
      <c r="E33" s="4"/>
      <c r="F33" s="4"/>
      <c r="G33" s="4"/>
      <c r="H33" s="4"/>
      <c r="I33" s="4"/>
      <c r="J33" s="4"/>
      <c r="K33" s="47"/>
      <c r="L33" s="4"/>
      <c r="M33" s="4"/>
      <c r="N33" s="4"/>
      <c r="O33" s="4"/>
      <c r="P33" s="4"/>
      <c r="Q33" s="4"/>
      <c r="R33" s="4"/>
      <c r="S33" s="4"/>
      <c r="T33" s="4"/>
      <c r="U33" s="4"/>
      <c r="V33" s="4"/>
      <c r="W33" s="4"/>
      <c r="X33" s="4"/>
      <c r="Y33" s="4"/>
      <c r="Z33" s="4"/>
      <c r="AA33" s="4"/>
      <c r="AB33" s="4"/>
      <c r="AC33" s="4"/>
    </row>
    <row r="34" ht="15.75" customHeight="1">
      <c r="A34" s="4"/>
      <c r="B34" s="52" t="s">
        <v>49</v>
      </c>
      <c r="C34" s="53" t="s">
        <v>50</v>
      </c>
      <c r="D34" s="54"/>
      <c r="E34" s="53" t="s">
        <v>51</v>
      </c>
      <c r="F34" s="55"/>
      <c r="G34" s="55"/>
      <c r="H34" s="54"/>
      <c r="I34" s="56"/>
      <c r="J34" s="47"/>
      <c r="K34" s="4"/>
      <c r="L34" s="4"/>
      <c r="M34" s="4"/>
      <c r="N34" s="4"/>
      <c r="O34" s="4"/>
      <c r="P34" s="4"/>
      <c r="Q34" s="4"/>
      <c r="R34" s="4"/>
      <c r="S34" s="4"/>
      <c r="T34" s="4"/>
      <c r="U34" s="4"/>
      <c r="V34" s="4"/>
      <c r="W34" s="4"/>
      <c r="X34" s="4"/>
      <c r="Y34" s="4"/>
      <c r="Z34" s="4"/>
      <c r="AA34" s="4"/>
      <c r="AB34" s="4"/>
      <c r="AC34" s="4"/>
    </row>
    <row r="35" ht="15.75" customHeight="1">
      <c r="A35" s="33" t="s">
        <v>52</v>
      </c>
      <c r="B35" s="33" t="s">
        <v>53</v>
      </c>
      <c r="C35" s="57" t="s">
        <v>54</v>
      </c>
      <c r="D35" s="57" t="s">
        <v>55</v>
      </c>
      <c r="E35" s="33" t="s">
        <v>56</v>
      </c>
      <c r="F35" s="33" t="s">
        <v>57</v>
      </c>
      <c r="G35" s="33" t="s">
        <v>58</v>
      </c>
      <c r="H35" s="33" t="s">
        <v>59</v>
      </c>
      <c r="I35" s="57" t="s">
        <v>60</v>
      </c>
      <c r="J35" s="58" t="s">
        <v>61</v>
      </c>
      <c r="K35" s="58" t="s">
        <v>62</v>
      </c>
      <c r="L35" s="4"/>
      <c r="M35" s="4"/>
      <c r="N35" s="4"/>
      <c r="O35" s="4"/>
      <c r="P35" s="4"/>
      <c r="Q35" s="4"/>
      <c r="R35" s="4"/>
      <c r="S35" s="4"/>
      <c r="T35" s="4"/>
      <c r="U35" s="4"/>
      <c r="V35" s="4"/>
      <c r="W35" s="4"/>
      <c r="X35" s="4"/>
      <c r="Y35" s="4"/>
      <c r="Z35" s="4"/>
      <c r="AA35" s="4"/>
      <c r="AB35" s="4"/>
      <c r="AC35" s="4"/>
    </row>
    <row r="36" ht="15.75" customHeight="1">
      <c r="A36" s="59">
        <v>20.0</v>
      </c>
      <c r="B36" s="60">
        <f t="shared" ref="B36:B55" si="3">J36+K36</f>
        <v>73</v>
      </c>
      <c r="C36" s="61">
        <v>1.0</v>
      </c>
      <c r="D36" s="62">
        <f t="shared" ref="D36:D55" si="4">K36</f>
        <v>6</v>
      </c>
      <c r="E36" s="63"/>
      <c r="F36" s="63"/>
      <c r="G36" s="63"/>
      <c r="H36" s="63">
        <v>1.0</v>
      </c>
      <c r="I36" s="64">
        <f>IFERROR(B36/A36,"")</f>
        <v>3.65</v>
      </c>
      <c r="J36" s="65">
        <v>67.0</v>
      </c>
      <c r="K36" s="66">
        <v>6.0</v>
      </c>
      <c r="L36" s="4"/>
      <c r="M36" s="4"/>
      <c r="N36" s="4"/>
      <c r="O36" s="4"/>
      <c r="P36" s="4"/>
      <c r="Q36" s="4"/>
      <c r="R36" s="4"/>
      <c r="S36" s="4"/>
      <c r="T36" s="4"/>
      <c r="U36" s="4"/>
      <c r="V36" s="4"/>
      <c r="W36" s="4"/>
      <c r="X36" s="4"/>
      <c r="Y36" s="4"/>
      <c r="Z36" s="4"/>
      <c r="AA36" s="4"/>
      <c r="AB36" s="4"/>
      <c r="AC36" s="4"/>
    </row>
    <row r="37" ht="15.75" customHeight="1">
      <c r="A37" s="61">
        <v>25.0</v>
      </c>
      <c r="B37" s="60">
        <f t="shared" si="3"/>
        <v>103</v>
      </c>
      <c r="C37" s="61">
        <v>2.0</v>
      </c>
      <c r="D37" s="62">
        <f t="shared" si="4"/>
        <v>28</v>
      </c>
      <c r="E37" s="63"/>
      <c r="F37" s="63">
        <v>0.2</v>
      </c>
      <c r="G37" s="63"/>
      <c r="H37" s="63">
        <v>0.8</v>
      </c>
      <c r="I37" s="64">
        <f t="shared" ref="I37:I55" si="5">IF(A37&lt;&gt;0,(B37-(B36-D36))/(A37-A36),"")</f>
        <v>7.2</v>
      </c>
      <c r="J37" s="65">
        <v>75.0</v>
      </c>
      <c r="K37" s="66">
        <v>28.0</v>
      </c>
      <c r="L37" s="4"/>
      <c r="M37" s="4"/>
      <c r="N37" s="4"/>
      <c r="O37" s="4"/>
      <c r="P37" s="4"/>
      <c r="Q37" s="4"/>
      <c r="R37" s="4"/>
      <c r="S37" s="4"/>
      <c r="T37" s="4"/>
      <c r="U37" s="4"/>
      <c r="V37" s="4"/>
      <c r="W37" s="4"/>
      <c r="X37" s="4"/>
      <c r="Y37" s="4"/>
      <c r="Z37" s="4"/>
      <c r="AA37" s="4"/>
      <c r="AB37" s="4"/>
      <c r="AC37" s="4"/>
    </row>
    <row r="38" ht="15.75" customHeight="1">
      <c r="A38" s="61">
        <v>30.0</v>
      </c>
      <c r="B38" s="60">
        <f t="shared" si="3"/>
        <v>121</v>
      </c>
      <c r="C38" s="61">
        <v>3.0</v>
      </c>
      <c r="D38" s="62">
        <f t="shared" si="4"/>
        <v>28</v>
      </c>
      <c r="E38" s="63"/>
      <c r="F38" s="63">
        <v>0.2</v>
      </c>
      <c r="G38" s="63"/>
      <c r="H38" s="63">
        <v>0.8</v>
      </c>
      <c r="I38" s="64">
        <f t="shared" si="5"/>
        <v>9.2</v>
      </c>
      <c r="J38" s="65">
        <v>93.0</v>
      </c>
      <c r="K38" s="66">
        <v>28.0</v>
      </c>
      <c r="L38" s="4"/>
      <c r="M38" s="4"/>
      <c r="N38" s="4"/>
      <c r="O38" s="4"/>
      <c r="P38" s="4"/>
      <c r="Q38" s="4"/>
      <c r="R38" s="4"/>
      <c r="S38" s="4"/>
      <c r="T38" s="4"/>
      <c r="U38" s="4"/>
      <c r="V38" s="4"/>
      <c r="W38" s="4"/>
      <c r="X38" s="4"/>
      <c r="Y38" s="4"/>
      <c r="Z38" s="4"/>
      <c r="AA38" s="4"/>
      <c r="AB38" s="4"/>
      <c r="AC38" s="4"/>
    </row>
    <row r="39" ht="15.75" customHeight="1">
      <c r="A39" s="61">
        <v>35.0</v>
      </c>
      <c r="B39" s="60">
        <f t="shared" si="3"/>
        <v>147</v>
      </c>
      <c r="C39" s="61">
        <v>4.0</v>
      </c>
      <c r="D39" s="62">
        <f t="shared" si="4"/>
        <v>28</v>
      </c>
      <c r="E39" s="63"/>
      <c r="F39" s="63"/>
      <c r="G39" s="63"/>
      <c r="H39" s="63"/>
      <c r="I39" s="64">
        <f t="shared" si="5"/>
        <v>10.8</v>
      </c>
      <c r="J39" s="65">
        <v>119.0</v>
      </c>
      <c r="K39" s="66">
        <v>28.0</v>
      </c>
      <c r="L39" s="4"/>
      <c r="M39" s="4"/>
      <c r="N39" s="4"/>
      <c r="O39" s="4"/>
      <c r="P39" s="4"/>
      <c r="Q39" s="4"/>
      <c r="R39" s="4"/>
      <c r="S39" s="4"/>
      <c r="T39" s="4"/>
      <c r="U39" s="4"/>
      <c r="V39" s="4"/>
      <c r="W39" s="4"/>
      <c r="X39" s="4"/>
      <c r="Y39" s="4"/>
      <c r="Z39" s="4"/>
      <c r="AA39" s="4"/>
      <c r="AB39" s="4"/>
      <c r="AC39" s="4"/>
    </row>
    <row r="40" ht="15.75" customHeight="1">
      <c r="A40" s="61">
        <v>40.0</v>
      </c>
      <c r="B40" s="60">
        <f t="shared" si="3"/>
        <v>175</v>
      </c>
      <c r="C40" s="61">
        <v>5.0</v>
      </c>
      <c r="D40" s="62">
        <f t="shared" si="4"/>
        <v>28</v>
      </c>
      <c r="E40" s="63"/>
      <c r="F40" s="63"/>
      <c r="G40" s="63"/>
      <c r="H40" s="63"/>
      <c r="I40" s="64">
        <f t="shared" si="5"/>
        <v>11.2</v>
      </c>
      <c r="J40" s="65">
        <v>147.0</v>
      </c>
      <c r="K40" s="66">
        <v>28.0</v>
      </c>
      <c r="L40" s="4"/>
      <c r="M40" s="4"/>
      <c r="N40" s="4"/>
      <c r="O40" s="4"/>
      <c r="P40" s="4"/>
      <c r="Q40" s="4"/>
      <c r="R40" s="4"/>
      <c r="S40" s="4"/>
      <c r="T40" s="4"/>
      <c r="U40" s="4"/>
      <c r="V40" s="4"/>
      <c r="W40" s="4"/>
      <c r="X40" s="4"/>
      <c r="Y40" s="4"/>
      <c r="Z40" s="4"/>
      <c r="AA40" s="4"/>
      <c r="AB40" s="4"/>
      <c r="AC40" s="4"/>
    </row>
    <row r="41" ht="15.75" customHeight="1">
      <c r="A41" s="61">
        <v>45.0</v>
      </c>
      <c r="B41" s="60">
        <f t="shared" si="3"/>
        <v>204</v>
      </c>
      <c r="C41" s="61">
        <v>6.0</v>
      </c>
      <c r="D41" s="62">
        <f t="shared" si="4"/>
        <v>28</v>
      </c>
      <c r="E41" s="63"/>
      <c r="F41" s="63"/>
      <c r="G41" s="63"/>
      <c r="H41" s="63"/>
      <c r="I41" s="64">
        <f t="shared" si="5"/>
        <v>11.4</v>
      </c>
      <c r="J41" s="65">
        <v>176.0</v>
      </c>
      <c r="K41" s="66">
        <v>28.0</v>
      </c>
      <c r="L41" s="4"/>
      <c r="M41" s="4"/>
      <c r="N41" s="4"/>
      <c r="O41" s="4"/>
      <c r="P41" s="4"/>
      <c r="Q41" s="4"/>
      <c r="R41" s="4"/>
      <c r="S41" s="4"/>
      <c r="T41" s="4"/>
      <c r="U41" s="4"/>
      <c r="V41" s="4"/>
      <c r="W41" s="4"/>
      <c r="X41" s="4"/>
      <c r="Y41" s="4"/>
      <c r="Z41" s="4"/>
      <c r="AA41" s="4"/>
      <c r="AB41" s="4"/>
      <c r="AC41" s="4"/>
    </row>
    <row r="42" ht="15.75" customHeight="1">
      <c r="A42" s="61">
        <v>50.0</v>
      </c>
      <c r="B42" s="60">
        <f t="shared" si="3"/>
        <v>231</v>
      </c>
      <c r="C42" s="61">
        <v>7.0</v>
      </c>
      <c r="D42" s="62">
        <f t="shared" si="4"/>
        <v>28</v>
      </c>
      <c r="E42" s="63"/>
      <c r="F42" s="63"/>
      <c r="G42" s="63"/>
      <c r="H42" s="63"/>
      <c r="I42" s="64">
        <f t="shared" si="5"/>
        <v>11</v>
      </c>
      <c r="J42" s="65">
        <v>203.0</v>
      </c>
      <c r="K42" s="66">
        <v>28.0</v>
      </c>
      <c r="L42" s="4"/>
      <c r="M42" s="4"/>
      <c r="N42" s="4"/>
      <c r="O42" s="4"/>
      <c r="P42" s="4"/>
      <c r="Q42" s="4"/>
      <c r="R42" s="4"/>
      <c r="S42" s="4"/>
      <c r="T42" s="4"/>
      <c r="U42" s="4"/>
      <c r="V42" s="4"/>
      <c r="W42" s="4"/>
      <c r="X42" s="4"/>
      <c r="Y42" s="4"/>
      <c r="Z42" s="4"/>
      <c r="AA42" s="4"/>
      <c r="AB42" s="4"/>
      <c r="AC42" s="4"/>
    </row>
    <row r="43" ht="15.75" customHeight="1">
      <c r="A43" s="61">
        <v>55.0</v>
      </c>
      <c r="B43" s="60">
        <f t="shared" si="3"/>
        <v>254</v>
      </c>
      <c r="C43" s="61">
        <v>8.0</v>
      </c>
      <c r="D43" s="62">
        <f t="shared" si="4"/>
        <v>28</v>
      </c>
      <c r="E43" s="63"/>
      <c r="F43" s="63"/>
      <c r="G43" s="63"/>
      <c r="H43" s="63"/>
      <c r="I43" s="43">
        <f t="shared" si="5"/>
        <v>10.2</v>
      </c>
      <c r="J43" s="65">
        <v>226.0</v>
      </c>
      <c r="K43" s="66">
        <v>28.0</v>
      </c>
      <c r="L43" s="4"/>
      <c r="M43" s="4"/>
      <c r="N43" s="4"/>
      <c r="O43" s="4"/>
      <c r="P43" s="4"/>
      <c r="Q43" s="4"/>
      <c r="R43" s="4"/>
      <c r="S43" s="4"/>
      <c r="T43" s="4"/>
      <c r="U43" s="4"/>
      <c r="V43" s="4"/>
      <c r="W43" s="4"/>
      <c r="X43" s="4"/>
      <c r="Y43" s="4"/>
      <c r="Z43" s="4"/>
      <c r="AA43" s="4"/>
      <c r="AB43" s="4"/>
      <c r="AC43" s="4"/>
    </row>
    <row r="44" ht="15.75" customHeight="1">
      <c r="A44" s="61">
        <v>60.0</v>
      </c>
      <c r="B44" s="60">
        <f t="shared" si="3"/>
        <v>273</v>
      </c>
      <c r="C44" s="61">
        <v>9.0</v>
      </c>
      <c r="D44" s="62">
        <f t="shared" si="4"/>
        <v>28</v>
      </c>
      <c r="E44" s="63"/>
      <c r="F44" s="63"/>
      <c r="G44" s="63"/>
      <c r="H44" s="63"/>
      <c r="I44" s="43">
        <f t="shared" si="5"/>
        <v>9.4</v>
      </c>
      <c r="J44" s="65">
        <v>245.0</v>
      </c>
      <c r="K44" s="66">
        <v>28.0</v>
      </c>
      <c r="L44" s="4"/>
      <c r="M44" s="4"/>
      <c r="N44" s="4"/>
      <c r="O44" s="4"/>
      <c r="P44" s="4"/>
      <c r="Q44" s="4"/>
      <c r="R44" s="4"/>
      <c r="S44" s="4"/>
      <c r="T44" s="4"/>
      <c r="U44" s="4"/>
      <c r="V44" s="4"/>
      <c r="W44" s="4"/>
      <c r="X44" s="4"/>
      <c r="Y44" s="4"/>
      <c r="Z44" s="4"/>
      <c r="AA44" s="4"/>
      <c r="AB44" s="4"/>
      <c r="AC44" s="4"/>
    </row>
    <row r="45" ht="15.75" customHeight="1">
      <c r="A45" s="61">
        <v>65.0</v>
      </c>
      <c r="B45" s="60">
        <f t="shared" si="3"/>
        <v>289</v>
      </c>
      <c r="C45" s="61">
        <v>10.0</v>
      </c>
      <c r="D45" s="62">
        <f t="shared" si="4"/>
        <v>28</v>
      </c>
      <c r="E45" s="63"/>
      <c r="F45" s="63"/>
      <c r="G45" s="63"/>
      <c r="H45" s="63"/>
      <c r="I45" s="43">
        <f t="shared" si="5"/>
        <v>8.8</v>
      </c>
      <c r="J45" s="65">
        <v>261.0</v>
      </c>
      <c r="K45" s="66">
        <v>28.0</v>
      </c>
      <c r="L45" s="4"/>
      <c r="M45" s="4"/>
      <c r="N45" s="4"/>
      <c r="O45" s="4"/>
      <c r="P45" s="4"/>
      <c r="Q45" s="4"/>
      <c r="R45" s="4"/>
      <c r="S45" s="4"/>
      <c r="T45" s="4"/>
      <c r="U45" s="4"/>
      <c r="V45" s="4"/>
      <c r="W45" s="4"/>
      <c r="X45" s="4"/>
      <c r="Y45" s="4"/>
      <c r="Z45" s="4"/>
      <c r="AA45" s="4"/>
      <c r="AB45" s="4"/>
      <c r="AC45" s="4"/>
    </row>
    <row r="46" ht="15.75" customHeight="1">
      <c r="A46" s="61">
        <v>70.0</v>
      </c>
      <c r="B46" s="60">
        <f t="shared" si="3"/>
        <v>302</v>
      </c>
      <c r="C46" s="61">
        <v>11.0</v>
      </c>
      <c r="D46" s="62">
        <f t="shared" si="4"/>
        <v>28</v>
      </c>
      <c r="E46" s="63"/>
      <c r="F46" s="63"/>
      <c r="G46" s="63"/>
      <c r="H46" s="63"/>
      <c r="I46" s="43">
        <f t="shared" si="5"/>
        <v>8.2</v>
      </c>
      <c r="J46" s="65">
        <v>274.0</v>
      </c>
      <c r="K46" s="66">
        <v>28.0</v>
      </c>
      <c r="L46" s="4"/>
      <c r="M46" s="4"/>
      <c r="N46" s="4"/>
      <c r="O46" s="4"/>
      <c r="P46" s="4"/>
      <c r="Q46" s="4"/>
      <c r="R46" s="4"/>
      <c r="S46" s="4"/>
      <c r="T46" s="4"/>
      <c r="U46" s="4"/>
      <c r="V46" s="4"/>
      <c r="W46" s="4"/>
      <c r="X46" s="4"/>
      <c r="Y46" s="4"/>
      <c r="Z46" s="4"/>
      <c r="AA46" s="4"/>
      <c r="AB46" s="4"/>
      <c r="AC46" s="4"/>
    </row>
    <row r="47" ht="15.75" customHeight="1">
      <c r="A47" s="61">
        <v>75.0</v>
      </c>
      <c r="B47" s="60">
        <f t="shared" si="3"/>
        <v>312</v>
      </c>
      <c r="C47" s="61">
        <v>12.0</v>
      </c>
      <c r="D47" s="62">
        <f t="shared" si="4"/>
        <v>28</v>
      </c>
      <c r="E47" s="63"/>
      <c r="F47" s="63"/>
      <c r="G47" s="63"/>
      <c r="H47" s="63"/>
      <c r="I47" s="43">
        <f t="shared" si="5"/>
        <v>7.6</v>
      </c>
      <c r="J47" s="65">
        <v>284.0</v>
      </c>
      <c r="K47" s="66">
        <v>28.0</v>
      </c>
      <c r="L47" s="4"/>
      <c r="M47" s="4"/>
      <c r="N47" s="4"/>
      <c r="O47" s="4"/>
      <c r="P47" s="4"/>
      <c r="Q47" s="4"/>
      <c r="R47" s="4"/>
      <c r="S47" s="4"/>
      <c r="T47" s="4"/>
      <c r="U47" s="4"/>
      <c r="V47" s="4"/>
      <c r="W47" s="4"/>
      <c r="X47" s="4"/>
      <c r="Y47" s="4"/>
      <c r="Z47" s="4"/>
      <c r="AA47" s="4"/>
      <c r="AB47" s="4"/>
      <c r="AC47" s="4"/>
    </row>
    <row r="48" ht="15.75" customHeight="1">
      <c r="A48" s="61">
        <v>80.0</v>
      </c>
      <c r="B48" s="60">
        <f t="shared" si="3"/>
        <v>320</v>
      </c>
      <c r="C48" s="61">
        <v>13.0</v>
      </c>
      <c r="D48" s="62">
        <f t="shared" si="4"/>
        <v>28</v>
      </c>
      <c r="E48" s="63"/>
      <c r="F48" s="63"/>
      <c r="G48" s="63"/>
      <c r="H48" s="63"/>
      <c r="I48" s="43">
        <f t="shared" si="5"/>
        <v>7.2</v>
      </c>
      <c r="J48" s="65">
        <v>292.0</v>
      </c>
      <c r="K48" s="66">
        <v>28.0</v>
      </c>
      <c r="L48" s="4"/>
      <c r="M48" s="4"/>
      <c r="N48" s="4"/>
      <c r="O48" s="4"/>
      <c r="P48" s="4"/>
      <c r="Q48" s="4"/>
      <c r="R48" s="4"/>
      <c r="S48" s="4"/>
      <c r="T48" s="4"/>
      <c r="U48" s="4"/>
      <c r="V48" s="4"/>
      <c r="W48" s="4"/>
      <c r="X48" s="4"/>
      <c r="Y48" s="4"/>
      <c r="Z48" s="4"/>
      <c r="AA48" s="4"/>
      <c r="AB48" s="4"/>
      <c r="AC48" s="4"/>
    </row>
    <row r="49" ht="15.75" customHeight="1">
      <c r="A49" s="61">
        <v>85.0</v>
      </c>
      <c r="B49" s="60">
        <f t="shared" si="3"/>
        <v>326</v>
      </c>
      <c r="C49" s="61">
        <v>14.0</v>
      </c>
      <c r="D49" s="62">
        <f t="shared" si="4"/>
        <v>28</v>
      </c>
      <c r="E49" s="63"/>
      <c r="F49" s="63"/>
      <c r="G49" s="63"/>
      <c r="H49" s="63"/>
      <c r="I49" s="43">
        <f t="shared" si="5"/>
        <v>6.8</v>
      </c>
      <c r="J49" s="65">
        <v>298.0</v>
      </c>
      <c r="K49" s="66">
        <v>28.0</v>
      </c>
      <c r="L49" s="4"/>
      <c r="M49" s="4"/>
      <c r="N49" s="4"/>
      <c r="O49" s="4"/>
      <c r="P49" s="4"/>
      <c r="Q49" s="4"/>
      <c r="R49" s="4"/>
      <c r="S49" s="4"/>
      <c r="T49" s="4"/>
      <c r="U49" s="4"/>
      <c r="V49" s="4"/>
      <c r="W49" s="4"/>
      <c r="X49" s="4"/>
      <c r="Y49" s="4"/>
      <c r="Z49" s="4"/>
      <c r="AA49" s="4"/>
      <c r="AB49" s="4"/>
      <c r="AC49" s="4"/>
    </row>
    <row r="50" ht="15.75" customHeight="1">
      <c r="A50" s="61">
        <v>90.0</v>
      </c>
      <c r="B50" s="60">
        <f t="shared" si="3"/>
        <v>330</v>
      </c>
      <c r="C50" s="61">
        <v>15.0</v>
      </c>
      <c r="D50" s="62">
        <f t="shared" si="4"/>
        <v>28</v>
      </c>
      <c r="E50" s="63"/>
      <c r="F50" s="63"/>
      <c r="G50" s="63"/>
      <c r="H50" s="63"/>
      <c r="I50" s="43">
        <f t="shared" si="5"/>
        <v>6.4</v>
      </c>
      <c r="J50" s="65">
        <v>302.0</v>
      </c>
      <c r="K50" s="66">
        <v>28.0</v>
      </c>
      <c r="L50" s="4"/>
      <c r="M50" s="4"/>
      <c r="N50" s="4"/>
      <c r="O50" s="4"/>
      <c r="P50" s="4"/>
      <c r="Q50" s="4"/>
      <c r="R50" s="4"/>
      <c r="S50" s="4"/>
      <c r="T50" s="4"/>
      <c r="U50" s="4"/>
      <c r="V50" s="4"/>
      <c r="W50" s="4"/>
      <c r="X50" s="4"/>
      <c r="Y50" s="4"/>
      <c r="Z50" s="4"/>
      <c r="AA50" s="4"/>
      <c r="AB50" s="4"/>
      <c r="AC50" s="4"/>
    </row>
    <row r="51" ht="15.75" customHeight="1">
      <c r="A51" s="61">
        <v>95.0</v>
      </c>
      <c r="B51" s="60">
        <f t="shared" si="3"/>
        <v>333</v>
      </c>
      <c r="C51" s="61">
        <v>16.0</v>
      </c>
      <c r="D51" s="62">
        <f t="shared" si="4"/>
        <v>28</v>
      </c>
      <c r="E51" s="63"/>
      <c r="F51" s="63"/>
      <c r="G51" s="63"/>
      <c r="H51" s="63"/>
      <c r="I51" s="43">
        <f t="shared" si="5"/>
        <v>6.2</v>
      </c>
      <c r="J51" s="65">
        <v>305.0</v>
      </c>
      <c r="K51" s="66">
        <v>28.0</v>
      </c>
      <c r="L51" s="4"/>
      <c r="M51" s="4"/>
      <c r="N51" s="4"/>
      <c r="O51" s="4"/>
      <c r="P51" s="4"/>
      <c r="Q51" s="4"/>
      <c r="R51" s="4"/>
      <c r="S51" s="4"/>
      <c r="T51" s="4"/>
      <c r="U51" s="4"/>
      <c r="V51" s="4"/>
      <c r="W51" s="4"/>
      <c r="X51" s="4"/>
      <c r="Y51" s="4"/>
      <c r="Z51" s="4"/>
      <c r="AA51" s="4"/>
      <c r="AB51" s="4"/>
      <c r="AC51" s="4"/>
    </row>
    <row r="52" ht="15.75" customHeight="1">
      <c r="A52" s="61">
        <v>100.0</v>
      </c>
      <c r="B52" s="60">
        <f t="shared" si="3"/>
        <v>333</v>
      </c>
      <c r="C52" s="61">
        <v>17.0</v>
      </c>
      <c r="D52" s="62">
        <f t="shared" si="4"/>
        <v>27</v>
      </c>
      <c r="E52" s="63"/>
      <c r="F52" s="63"/>
      <c r="G52" s="63"/>
      <c r="H52" s="63"/>
      <c r="I52" s="43">
        <f t="shared" si="5"/>
        <v>5.6</v>
      </c>
      <c r="J52" s="65">
        <v>306.0</v>
      </c>
      <c r="K52" s="66">
        <v>27.0</v>
      </c>
      <c r="L52" s="4"/>
      <c r="M52" s="4"/>
      <c r="N52" s="4"/>
      <c r="O52" s="4"/>
      <c r="P52" s="4"/>
      <c r="Q52" s="4"/>
      <c r="R52" s="4"/>
      <c r="S52" s="4"/>
      <c r="T52" s="4"/>
      <c r="U52" s="4"/>
      <c r="V52" s="4"/>
      <c r="W52" s="4"/>
      <c r="X52" s="4"/>
      <c r="Y52" s="4"/>
      <c r="Z52" s="4"/>
      <c r="AA52" s="4"/>
      <c r="AB52" s="4"/>
      <c r="AC52" s="4"/>
    </row>
    <row r="53" ht="15.75" customHeight="1">
      <c r="A53" s="61">
        <v>105.0</v>
      </c>
      <c r="B53" s="60">
        <f t="shared" si="3"/>
        <v>333</v>
      </c>
      <c r="C53" s="61">
        <v>18.0</v>
      </c>
      <c r="D53" s="62">
        <f t="shared" si="4"/>
        <v>26</v>
      </c>
      <c r="E53" s="63"/>
      <c r="F53" s="63"/>
      <c r="G53" s="63"/>
      <c r="H53" s="63"/>
      <c r="I53" s="43">
        <f t="shared" si="5"/>
        <v>5.4</v>
      </c>
      <c r="J53" s="65">
        <v>307.0</v>
      </c>
      <c r="K53" s="66">
        <v>26.0</v>
      </c>
      <c r="L53" s="4"/>
      <c r="M53" s="4"/>
      <c r="N53" s="4"/>
      <c r="O53" s="4"/>
      <c r="P53" s="4"/>
      <c r="Q53" s="4"/>
      <c r="R53" s="4"/>
      <c r="S53" s="4"/>
      <c r="T53" s="4"/>
      <c r="U53" s="4"/>
      <c r="V53" s="4"/>
      <c r="W53" s="4"/>
      <c r="X53" s="4"/>
      <c r="Y53" s="4"/>
      <c r="Z53" s="4"/>
      <c r="AA53" s="4"/>
      <c r="AB53" s="4"/>
      <c r="AC53" s="4"/>
    </row>
    <row r="54" ht="15.75" customHeight="1">
      <c r="A54" s="61">
        <v>110.0</v>
      </c>
      <c r="B54" s="60">
        <f t="shared" si="3"/>
        <v>332</v>
      </c>
      <c r="C54" s="61">
        <v>19.0</v>
      </c>
      <c r="D54" s="62">
        <f t="shared" si="4"/>
        <v>25</v>
      </c>
      <c r="E54" s="63"/>
      <c r="F54" s="63"/>
      <c r="G54" s="63"/>
      <c r="H54" s="63"/>
      <c r="I54" s="43">
        <f t="shared" si="5"/>
        <v>5</v>
      </c>
      <c r="J54" s="65">
        <v>307.0</v>
      </c>
      <c r="K54" s="66">
        <v>25.0</v>
      </c>
      <c r="L54" s="4"/>
      <c r="M54" s="4"/>
      <c r="N54" s="4"/>
      <c r="O54" s="4"/>
      <c r="P54" s="4"/>
      <c r="Q54" s="4"/>
      <c r="R54" s="4"/>
      <c r="S54" s="4"/>
      <c r="T54" s="4"/>
      <c r="U54" s="4"/>
      <c r="V54" s="4"/>
      <c r="W54" s="4"/>
      <c r="X54" s="4"/>
      <c r="Y54" s="4"/>
      <c r="Z54" s="4"/>
      <c r="AA54" s="4"/>
      <c r="AB54" s="4"/>
      <c r="AC54" s="4"/>
    </row>
    <row r="55" ht="15.75" customHeight="1">
      <c r="A55" s="61">
        <v>115.0</v>
      </c>
      <c r="B55" s="60">
        <f t="shared" si="3"/>
        <v>331</v>
      </c>
      <c r="C55" s="61">
        <v>20.0</v>
      </c>
      <c r="D55" s="62">
        <f t="shared" si="4"/>
        <v>24</v>
      </c>
      <c r="E55" s="63"/>
      <c r="F55" s="63"/>
      <c r="G55" s="63"/>
      <c r="H55" s="63"/>
      <c r="I55" s="43">
        <f t="shared" si="5"/>
        <v>4.8</v>
      </c>
      <c r="J55" s="65">
        <v>307.0</v>
      </c>
      <c r="K55" s="66">
        <v>24.0</v>
      </c>
      <c r="L55" s="4"/>
      <c r="M55" s="4"/>
      <c r="N55" s="4"/>
      <c r="O55" s="4"/>
      <c r="P55" s="4"/>
      <c r="Q55" s="4"/>
      <c r="R55" s="4"/>
      <c r="S55" s="4"/>
      <c r="T55" s="4"/>
      <c r="U55" s="4"/>
      <c r="V55" s="4"/>
      <c r="W55" s="4"/>
      <c r="X55" s="4"/>
      <c r="Y55" s="4"/>
      <c r="Z55" s="4"/>
      <c r="AA55" s="4"/>
      <c r="AB55" s="4"/>
      <c r="AC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row>
    <row r="58" ht="15.75" customHeight="1">
      <c r="A58" s="49" t="s">
        <v>19</v>
      </c>
      <c r="B58" s="67" t="str">
        <f>IF(B10="","",B10)</f>
        <v>Erable sycomore</v>
      </c>
      <c r="C58" s="4"/>
      <c r="D58" s="51" t="s">
        <v>47</v>
      </c>
      <c r="E58" s="4"/>
      <c r="F58" s="4"/>
      <c r="G58" s="4"/>
      <c r="H58" s="4"/>
      <c r="I58" s="4"/>
      <c r="J58" s="4"/>
      <c r="K58" s="4"/>
      <c r="L58" s="4"/>
      <c r="M58" s="4"/>
      <c r="N58" s="4"/>
      <c r="O58" s="4"/>
      <c r="P58" s="4"/>
      <c r="Q58" s="4"/>
      <c r="R58" s="4"/>
      <c r="S58" s="4"/>
      <c r="T58" s="4"/>
      <c r="U58" s="4"/>
      <c r="V58" s="4"/>
      <c r="W58" s="4"/>
      <c r="X58" s="4"/>
      <c r="Y58" s="4"/>
      <c r="Z58" s="4"/>
      <c r="AA58" s="4"/>
      <c r="AB58" s="4"/>
      <c r="AC58" s="4"/>
    </row>
    <row r="59" ht="15.75" customHeight="1">
      <c r="A59" s="49"/>
      <c r="B59" s="68"/>
      <c r="C59" s="4"/>
      <c r="D59" s="4"/>
      <c r="E59" s="4"/>
      <c r="F59" s="4"/>
      <c r="G59" s="4"/>
      <c r="H59" s="4"/>
      <c r="I59" s="4"/>
      <c r="J59" s="4"/>
      <c r="K59" s="4"/>
      <c r="L59" s="4"/>
      <c r="M59" s="4"/>
      <c r="N59" s="4"/>
      <c r="O59" s="4"/>
      <c r="P59" s="4"/>
      <c r="Q59" s="4"/>
      <c r="R59" s="4"/>
      <c r="S59" s="4"/>
      <c r="T59" s="4"/>
      <c r="U59" s="4"/>
      <c r="V59" s="4"/>
      <c r="W59" s="4"/>
      <c r="X59" s="4"/>
      <c r="Y59" s="4"/>
      <c r="Z59" s="4"/>
      <c r="AA59" s="4"/>
      <c r="AB59" s="4"/>
      <c r="AC59" s="4"/>
    </row>
    <row r="60" ht="15.75" customHeight="1">
      <c r="A60" s="4"/>
      <c r="B60" s="52" t="s">
        <v>49</v>
      </c>
      <c r="C60" s="53" t="s">
        <v>50</v>
      </c>
      <c r="D60" s="54"/>
      <c r="E60" s="53" t="s">
        <v>51</v>
      </c>
      <c r="F60" s="55"/>
      <c r="G60" s="55"/>
      <c r="H60" s="54"/>
      <c r="I60" s="56"/>
      <c r="J60" s="47"/>
      <c r="K60" s="4"/>
      <c r="L60" s="4"/>
      <c r="M60" s="4"/>
      <c r="N60" s="4"/>
      <c r="O60" s="4"/>
      <c r="P60" s="4"/>
      <c r="Q60" s="4"/>
      <c r="R60" s="4"/>
      <c r="S60" s="4"/>
      <c r="T60" s="4"/>
      <c r="U60" s="4"/>
      <c r="V60" s="4"/>
      <c r="W60" s="4"/>
      <c r="X60" s="4"/>
      <c r="Y60" s="4"/>
      <c r="Z60" s="4"/>
      <c r="AA60" s="4"/>
      <c r="AB60" s="4"/>
      <c r="AC60" s="4"/>
    </row>
    <row r="61" ht="15.75" customHeight="1">
      <c r="A61" s="33" t="s">
        <v>52</v>
      </c>
      <c r="B61" s="33" t="s">
        <v>63</v>
      </c>
      <c r="C61" s="57" t="s">
        <v>54</v>
      </c>
      <c r="D61" s="57" t="s">
        <v>55</v>
      </c>
      <c r="E61" s="33" t="s">
        <v>56</v>
      </c>
      <c r="F61" s="33" t="s">
        <v>57</v>
      </c>
      <c r="G61" s="33" t="s">
        <v>58</v>
      </c>
      <c r="H61" s="33" t="s">
        <v>59</v>
      </c>
      <c r="I61" s="57" t="s">
        <v>64</v>
      </c>
      <c r="J61" s="4"/>
      <c r="K61" s="4"/>
      <c r="L61" s="4"/>
      <c r="M61" s="4"/>
      <c r="N61" s="4"/>
      <c r="O61" s="4"/>
      <c r="P61" s="4"/>
      <c r="Q61" s="4"/>
      <c r="R61" s="4"/>
      <c r="S61" s="4"/>
      <c r="T61" s="4"/>
      <c r="U61" s="4"/>
      <c r="V61" s="4"/>
      <c r="W61" s="4"/>
      <c r="X61" s="4"/>
      <c r="Y61" s="4"/>
      <c r="Z61" s="4"/>
      <c r="AA61" s="4"/>
      <c r="AB61" s="4"/>
      <c r="AC61" s="4"/>
    </row>
    <row r="62" ht="15.75" customHeight="1">
      <c r="A62" s="59">
        <v>10.0</v>
      </c>
      <c r="B62" s="61">
        <v>19.0</v>
      </c>
      <c r="C62" s="61">
        <v>1.0</v>
      </c>
      <c r="D62" s="62">
        <v>7.0</v>
      </c>
      <c r="E62" s="63"/>
      <c r="F62" s="63"/>
      <c r="G62" s="63"/>
      <c r="H62" s="63">
        <v>1.0</v>
      </c>
      <c r="I62" s="64">
        <f>IFERROR(B62/A62,"")</f>
        <v>1.9</v>
      </c>
      <c r="J62" s="4"/>
      <c r="K62" s="4"/>
      <c r="L62" s="4"/>
      <c r="M62" s="4"/>
      <c r="N62" s="4"/>
      <c r="O62" s="4"/>
      <c r="P62" s="4"/>
      <c r="Q62" s="4"/>
      <c r="R62" s="4"/>
      <c r="S62" s="4"/>
      <c r="T62" s="4"/>
      <c r="U62" s="4"/>
      <c r="V62" s="4"/>
      <c r="W62" s="4"/>
      <c r="X62" s="4"/>
      <c r="Y62" s="4"/>
      <c r="Z62" s="4"/>
      <c r="AA62" s="4"/>
      <c r="AB62" s="4"/>
      <c r="AC62" s="4"/>
    </row>
    <row r="63" ht="15.75" customHeight="1">
      <c r="A63" s="61">
        <v>15.0</v>
      </c>
      <c r="B63" s="61">
        <v>85.0</v>
      </c>
      <c r="C63" s="61">
        <v>2.0</v>
      </c>
      <c r="D63" s="62">
        <v>42.0</v>
      </c>
      <c r="E63" s="63"/>
      <c r="F63" s="63"/>
      <c r="G63" s="63">
        <v>0.5</v>
      </c>
      <c r="H63" s="63">
        <v>0.5</v>
      </c>
      <c r="I63" s="64">
        <f t="shared" ref="I63:I81" si="6">IF(A63&lt;&gt;0,(B63-(B62-D62))/(A63-A62),"")</f>
        <v>14.6</v>
      </c>
      <c r="J63" s="4"/>
      <c r="K63" s="4"/>
      <c r="L63" s="4"/>
      <c r="M63" s="4"/>
      <c r="N63" s="4"/>
      <c r="O63" s="4"/>
      <c r="P63" s="4"/>
      <c r="Q63" s="4"/>
      <c r="R63" s="4"/>
      <c r="S63" s="4"/>
      <c r="T63" s="4"/>
      <c r="U63" s="4"/>
      <c r="V63" s="4"/>
      <c r="W63" s="4"/>
      <c r="X63" s="4"/>
      <c r="Y63" s="4"/>
      <c r="Z63" s="4"/>
      <c r="AA63" s="4"/>
      <c r="AB63" s="4"/>
      <c r="AC63" s="4"/>
    </row>
    <row r="64" ht="15.75" customHeight="1">
      <c r="A64" s="61">
        <v>20.0</v>
      </c>
      <c r="B64" s="61">
        <v>123.0</v>
      </c>
      <c r="C64" s="61">
        <v>3.0</v>
      </c>
      <c r="D64" s="62">
        <v>42.0</v>
      </c>
      <c r="E64" s="63"/>
      <c r="F64" s="63"/>
      <c r="G64" s="63">
        <v>0.5</v>
      </c>
      <c r="H64" s="63">
        <v>0.5</v>
      </c>
      <c r="I64" s="64">
        <f t="shared" si="6"/>
        <v>16</v>
      </c>
      <c r="J64" s="4"/>
      <c r="K64" s="4"/>
      <c r="L64" s="4"/>
      <c r="M64" s="4"/>
      <c r="N64" s="4"/>
      <c r="O64" s="4"/>
      <c r="P64" s="4"/>
      <c r="Q64" s="4"/>
      <c r="R64" s="4"/>
      <c r="S64" s="4"/>
      <c r="T64" s="4"/>
      <c r="U64" s="4"/>
      <c r="V64" s="4"/>
      <c r="W64" s="4"/>
      <c r="X64" s="4"/>
      <c r="Y64" s="4"/>
      <c r="Z64" s="4"/>
      <c r="AA64" s="4"/>
      <c r="AB64" s="4"/>
      <c r="AC64" s="4"/>
    </row>
    <row r="65" ht="15.75" customHeight="1">
      <c r="A65" s="59">
        <v>25.0</v>
      </c>
      <c r="B65" s="61">
        <v>167.0</v>
      </c>
      <c r="C65" s="61">
        <v>4.0</v>
      </c>
      <c r="D65" s="62">
        <v>42.0</v>
      </c>
      <c r="E65" s="63"/>
      <c r="F65" s="63">
        <v>0.5</v>
      </c>
      <c r="G65" s="63"/>
      <c r="H65" s="63">
        <v>0.5</v>
      </c>
      <c r="I65" s="64">
        <f t="shared" si="6"/>
        <v>17.2</v>
      </c>
      <c r="J65" s="4"/>
      <c r="K65" s="4"/>
      <c r="L65" s="4"/>
      <c r="M65" s="4"/>
      <c r="N65" s="4"/>
      <c r="O65" s="4"/>
      <c r="P65" s="4"/>
      <c r="Q65" s="4"/>
      <c r="R65" s="4"/>
      <c r="S65" s="4"/>
      <c r="T65" s="4"/>
      <c r="U65" s="4"/>
      <c r="V65" s="4"/>
      <c r="W65" s="4"/>
      <c r="X65" s="4"/>
      <c r="Y65" s="4"/>
      <c r="Z65" s="4"/>
      <c r="AA65" s="4"/>
      <c r="AB65" s="4"/>
      <c r="AC65" s="4"/>
    </row>
    <row r="66" ht="15.75" customHeight="1">
      <c r="A66" s="61">
        <v>30.0</v>
      </c>
      <c r="B66" s="61">
        <v>205.0</v>
      </c>
      <c r="C66" s="61">
        <v>5.0</v>
      </c>
      <c r="D66" s="62">
        <v>42.0</v>
      </c>
      <c r="E66" s="63"/>
      <c r="F66" s="63">
        <v>0.5</v>
      </c>
      <c r="G66" s="63"/>
      <c r="H66" s="63">
        <v>0.5</v>
      </c>
      <c r="I66" s="64">
        <f t="shared" si="6"/>
        <v>16</v>
      </c>
      <c r="J66" s="4"/>
      <c r="K66" s="4"/>
      <c r="L66" s="4"/>
      <c r="M66" s="4"/>
      <c r="N66" s="4"/>
      <c r="O66" s="4"/>
      <c r="P66" s="4"/>
      <c r="Q66" s="4"/>
      <c r="R66" s="4"/>
      <c r="S66" s="4"/>
      <c r="T66" s="4"/>
      <c r="U66" s="4"/>
      <c r="V66" s="4"/>
      <c r="W66" s="4"/>
      <c r="X66" s="4"/>
      <c r="Y66" s="4"/>
      <c r="Z66" s="4"/>
      <c r="AA66" s="4"/>
      <c r="AB66" s="4"/>
      <c r="AC66" s="4"/>
    </row>
    <row r="67" ht="15.75" customHeight="1">
      <c r="A67" s="61">
        <v>35.0</v>
      </c>
      <c r="B67" s="61">
        <v>239.0</v>
      </c>
      <c r="C67" s="61">
        <v>6.0</v>
      </c>
      <c r="D67" s="62">
        <v>42.0</v>
      </c>
      <c r="E67" s="63"/>
      <c r="F67" s="63"/>
      <c r="G67" s="63"/>
      <c r="H67" s="63"/>
      <c r="I67" s="64">
        <f t="shared" si="6"/>
        <v>15.2</v>
      </c>
      <c r="J67" s="4"/>
      <c r="K67" s="4"/>
      <c r="L67" s="4"/>
      <c r="M67" s="4"/>
      <c r="N67" s="4"/>
      <c r="O67" s="4"/>
      <c r="P67" s="4"/>
      <c r="Q67" s="4"/>
      <c r="R67" s="4"/>
      <c r="S67" s="4"/>
      <c r="T67" s="4"/>
      <c r="U67" s="4"/>
      <c r="V67" s="4"/>
      <c r="W67" s="4"/>
      <c r="X67" s="4"/>
      <c r="Y67" s="4"/>
      <c r="Z67" s="4"/>
      <c r="AA67" s="4"/>
      <c r="AB67" s="4"/>
      <c r="AC67" s="4"/>
    </row>
    <row r="68" ht="15.75" customHeight="1">
      <c r="A68" s="59">
        <v>40.0</v>
      </c>
      <c r="B68" s="61">
        <v>263.0</v>
      </c>
      <c r="C68" s="61">
        <v>7.0</v>
      </c>
      <c r="D68" s="62">
        <v>40.0</v>
      </c>
      <c r="E68" s="63"/>
      <c r="F68" s="63"/>
      <c r="G68" s="69"/>
      <c r="H68" s="63"/>
      <c r="I68" s="64">
        <f t="shared" si="6"/>
        <v>13.2</v>
      </c>
      <c r="J68" s="4"/>
      <c r="K68" s="4"/>
      <c r="L68" s="4"/>
      <c r="M68" s="4"/>
      <c r="N68" s="4"/>
      <c r="O68" s="4"/>
      <c r="P68" s="4"/>
      <c r="Q68" s="4"/>
      <c r="R68" s="4"/>
      <c r="S68" s="4"/>
      <c r="T68" s="4"/>
      <c r="U68" s="4"/>
      <c r="V68" s="4"/>
      <c r="W68" s="4"/>
      <c r="X68" s="4"/>
      <c r="Y68" s="4"/>
      <c r="Z68" s="4"/>
      <c r="AA68" s="4"/>
      <c r="AB68" s="4"/>
      <c r="AC68" s="4"/>
    </row>
    <row r="69" ht="15.75" customHeight="1">
      <c r="A69" s="61">
        <v>45.0</v>
      </c>
      <c r="B69" s="61">
        <v>280.0</v>
      </c>
      <c r="C69" s="61">
        <v>8.0</v>
      </c>
      <c r="D69" s="62">
        <v>26.0</v>
      </c>
      <c r="E69" s="63"/>
      <c r="F69" s="63"/>
      <c r="G69" s="69"/>
      <c r="H69" s="63"/>
      <c r="I69" s="64">
        <f t="shared" si="6"/>
        <v>11.4</v>
      </c>
      <c r="J69" s="4"/>
      <c r="K69" s="4"/>
      <c r="L69" s="4"/>
      <c r="M69" s="4"/>
      <c r="N69" s="4"/>
      <c r="O69" s="4"/>
      <c r="P69" s="4"/>
      <c r="Q69" s="4"/>
      <c r="R69" s="4"/>
      <c r="S69" s="4"/>
      <c r="T69" s="4"/>
      <c r="U69" s="4"/>
      <c r="V69" s="4"/>
      <c r="W69" s="4"/>
      <c r="X69" s="4"/>
      <c r="Y69" s="4"/>
      <c r="Z69" s="4"/>
      <c r="AA69" s="4"/>
      <c r="AB69" s="4"/>
      <c r="AC69" s="4"/>
    </row>
    <row r="70" ht="15.75" customHeight="1">
      <c r="A70" s="61">
        <v>50.0</v>
      </c>
      <c r="B70" s="61">
        <v>303.0</v>
      </c>
      <c r="C70" s="61">
        <v>9.0</v>
      </c>
      <c r="D70" s="62">
        <v>21.0</v>
      </c>
      <c r="E70" s="63"/>
      <c r="F70" s="63"/>
      <c r="G70" s="69"/>
      <c r="H70" s="63"/>
      <c r="I70" s="64">
        <f t="shared" si="6"/>
        <v>9.8</v>
      </c>
      <c r="J70" s="4"/>
      <c r="K70" s="4"/>
      <c r="L70" s="4"/>
      <c r="M70" s="4"/>
      <c r="N70" s="4"/>
      <c r="O70" s="4"/>
      <c r="P70" s="4"/>
      <c r="Q70" s="4"/>
      <c r="R70" s="4"/>
      <c r="S70" s="4"/>
      <c r="T70" s="4"/>
      <c r="U70" s="4"/>
      <c r="V70" s="4"/>
      <c r="W70" s="4"/>
      <c r="X70" s="4"/>
      <c r="Y70" s="4"/>
      <c r="Z70" s="4"/>
      <c r="AA70" s="4"/>
      <c r="AB70" s="4"/>
      <c r="AC70" s="4"/>
    </row>
    <row r="71" ht="15.75" customHeight="1">
      <c r="A71" s="59">
        <v>55.0</v>
      </c>
      <c r="B71" s="61">
        <v>324.0</v>
      </c>
      <c r="C71" s="61">
        <v>10.0</v>
      </c>
      <c r="D71" s="62">
        <v>18.0</v>
      </c>
      <c r="E71" s="63"/>
      <c r="F71" s="63"/>
      <c r="G71" s="69"/>
      <c r="H71" s="63"/>
      <c r="I71" s="64">
        <f t="shared" si="6"/>
        <v>8.4</v>
      </c>
      <c r="J71" s="4"/>
      <c r="K71" s="4"/>
      <c r="L71" s="4"/>
      <c r="M71" s="4"/>
      <c r="N71" s="4"/>
      <c r="O71" s="4"/>
      <c r="P71" s="4"/>
      <c r="Q71" s="4"/>
      <c r="R71" s="4"/>
      <c r="S71" s="4"/>
      <c r="T71" s="4"/>
      <c r="U71" s="4"/>
      <c r="V71" s="4"/>
      <c r="W71" s="4"/>
      <c r="X71" s="4"/>
      <c r="Y71" s="4"/>
      <c r="Z71" s="4"/>
      <c r="AA71" s="4"/>
      <c r="AB71" s="4"/>
      <c r="AC71" s="4"/>
    </row>
    <row r="72" ht="15.75" customHeight="1">
      <c r="A72" s="61">
        <v>60.0</v>
      </c>
      <c r="B72" s="61">
        <v>343.0</v>
      </c>
      <c r="C72" s="61">
        <v>11.0</v>
      </c>
      <c r="D72" s="62">
        <v>17.0</v>
      </c>
      <c r="E72" s="63"/>
      <c r="F72" s="63"/>
      <c r="G72" s="69"/>
      <c r="H72" s="63"/>
      <c r="I72" s="64">
        <f t="shared" si="6"/>
        <v>7.4</v>
      </c>
      <c r="J72" s="4"/>
      <c r="K72" s="4"/>
      <c r="L72" s="4"/>
      <c r="M72" s="4"/>
      <c r="N72" s="4"/>
      <c r="O72" s="4"/>
      <c r="P72" s="4"/>
      <c r="Q72" s="4"/>
      <c r="R72" s="4"/>
      <c r="S72" s="4"/>
      <c r="T72" s="4"/>
      <c r="U72" s="4"/>
      <c r="V72" s="4"/>
      <c r="W72" s="4"/>
      <c r="X72" s="4"/>
      <c r="Y72" s="4"/>
      <c r="Z72" s="4"/>
      <c r="AA72" s="4"/>
      <c r="AB72" s="4"/>
      <c r="AC72" s="4"/>
    </row>
    <row r="73" ht="15.75" customHeight="1">
      <c r="A73" s="61">
        <v>65.0</v>
      </c>
      <c r="B73" s="61">
        <v>356.0</v>
      </c>
      <c r="C73" s="61">
        <v>12.0</v>
      </c>
      <c r="D73" s="62">
        <v>16.0</v>
      </c>
      <c r="E73" s="63"/>
      <c r="F73" s="63"/>
      <c r="G73" s="69"/>
      <c r="H73" s="63"/>
      <c r="I73" s="64">
        <f t="shared" si="6"/>
        <v>6</v>
      </c>
      <c r="J73" s="4"/>
      <c r="K73" s="4"/>
      <c r="L73" s="4"/>
      <c r="M73" s="4"/>
      <c r="N73" s="4"/>
      <c r="O73" s="4"/>
      <c r="P73" s="4"/>
      <c r="Q73" s="4"/>
      <c r="R73" s="4"/>
      <c r="S73" s="4"/>
      <c r="T73" s="4"/>
      <c r="U73" s="4"/>
      <c r="V73" s="4"/>
      <c r="W73" s="4"/>
      <c r="X73" s="4"/>
      <c r="Y73" s="4"/>
      <c r="Z73" s="4"/>
      <c r="AA73" s="4"/>
      <c r="AB73" s="4"/>
      <c r="AC73" s="4"/>
    </row>
    <row r="74" ht="15.75" customHeight="1">
      <c r="A74" s="59">
        <v>70.0</v>
      </c>
      <c r="B74" s="61">
        <v>366.0</v>
      </c>
      <c r="C74" s="61">
        <v>13.0</v>
      </c>
      <c r="D74" s="62">
        <v>15.0</v>
      </c>
      <c r="E74" s="63"/>
      <c r="F74" s="69"/>
      <c r="G74" s="69"/>
      <c r="H74" s="63"/>
      <c r="I74" s="64">
        <f t="shared" si="6"/>
        <v>5.2</v>
      </c>
      <c r="J74" s="4"/>
      <c r="K74" s="4"/>
      <c r="L74" s="4"/>
      <c r="M74" s="4"/>
      <c r="N74" s="4"/>
      <c r="O74" s="4"/>
      <c r="P74" s="4"/>
      <c r="Q74" s="4"/>
      <c r="R74" s="4"/>
      <c r="S74" s="4"/>
      <c r="T74" s="4"/>
      <c r="U74" s="4"/>
      <c r="V74" s="4"/>
      <c r="W74" s="4"/>
      <c r="X74" s="4"/>
      <c r="Y74" s="4"/>
      <c r="Z74" s="4"/>
      <c r="AA74" s="4"/>
      <c r="AB74" s="4"/>
      <c r="AC74" s="4"/>
    </row>
    <row r="75" ht="15.75" customHeight="1">
      <c r="A75" s="61">
        <v>75.0</v>
      </c>
      <c r="B75" s="61">
        <v>375.0</v>
      </c>
      <c r="C75" s="61">
        <v>14.0</v>
      </c>
      <c r="D75" s="61">
        <v>14.0</v>
      </c>
      <c r="E75" s="69"/>
      <c r="F75" s="69"/>
      <c r="G75" s="69"/>
      <c r="H75" s="69"/>
      <c r="I75" s="43">
        <f t="shared" si="6"/>
        <v>4.8</v>
      </c>
      <c r="J75" s="4"/>
      <c r="K75" s="4"/>
      <c r="L75" s="4"/>
      <c r="M75" s="4"/>
      <c r="N75" s="4"/>
      <c r="O75" s="4"/>
      <c r="P75" s="4"/>
      <c r="Q75" s="4"/>
      <c r="R75" s="4"/>
      <c r="S75" s="4"/>
      <c r="T75" s="4"/>
      <c r="U75" s="4"/>
      <c r="V75" s="4"/>
      <c r="W75" s="4"/>
      <c r="X75" s="4"/>
      <c r="Y75" s="4"/>
      <c r="Z75" s="4"/>
      <c r="AA75" s="4"/>
      <c r="AB75" s="4"/>
      <c r="AC75" s="4"/>
    </row>
    <row r="76" ht="15.75" customHeight="1">
      <c r="A76" s="61">
        <v>80.0</v>
      </c>
      <c r="B76" s="61">
        <v>381.0</v>
      </c>
      <c r="C76" s="61">
        <v>15.0</v>
      </c>
      <c r="D76" s="61">
        <v>12.0</v>
      </c>
      <c r="E76" s="69"/>
      <c r="F76" s="69"/>
      <c r="G76" s="69"/>
      <c r="H76" s="69"/>
      <c r="I76" s="43">
        <f t="shared" si="6"/>
        <v>4</v>
      </c>
      <c r="J76" s="4"/>
      <c r="K76" s="4"/>
      <c r="L76" s="4"/>
      <c r="M76" s="4"/>
      <c r="N76" s="4"/>
      <c r="O76" s="4"/>
      <c r="P76" s="4"/>
      <c r="Q76" s="4"/>
      <c r="R76" s="4"/>
      <c r="S76" s="4"/>
      <c r="T76" s="4"/>
      <c r="U76" s="4"/>
      <c r="V76" s="4"/>
      <c r="W76" s="4"/>
      <c r="X76" s="4"/>
      <c r="Y76" s="4"/>
      <c r="Z76" s="4"/>
      <c r="AA76" s="4"/>
      <c r="AB76" s="4"/>
      <c r="AC76" s="4"/>
    </row>
    <row r="77" ht="15.75" customHeight="1">
      <c r="A77" s="59"/>
      <c r="B77" s="61"/>
      <c r="C77" s="61"/>
      <c r="D77" s="61"/>
      <c r="E77" s="69"/>
      <c r="F77" s="69"/>
      <c r="G77" s="69"/>
      <c r="H77" s="69"/>
      <c r="I77" s="43" t="str">
        <f t="shared" si="6"/>
        <v/>
      </c>
      <c r="J77" s="4"/>
      <c r="K77" s="4"/>
      <c r="L77" s="4"/>
      <c r="M77" s="4"/>
      <c r="N77" s="4"/>
      <c r="O77" s="4"/>
      <c r="P77" s="4"/>
      <c r="Q77" s="4"/>
      <c r="R77" s="4"/>
      <c r="S77" s="4"/>
      <c r="T77" s="4"/>
      <c r="U77" s="4"/>
      <c r="V77" s="4"/>
      <c r="W77" s="4"/>
      <c r="X77" s="4"/>
      <c r="Y77" s="4"/>
      <c r="Z77" s="4"/>
      <c r="AA77" s="4"/>
      <c r="AB77" s="4"/>
      <c r="AC77" s="4"/>
    </row>
    <row r="78" ht="15.75" customHeight="1">
      <c r="A78" s="61"/>
      <c r="B78" s="61"/>
      <c r="C78" s="61"/>
      <c r="D78" s="61"/>
      <c r="E78" s="69"/>
      <c r="F78" s="69"/>
      <c r="G78" s="69"/>
      <c r="H78" s="69"/>
      <c r="I78" s="43" t="str">
        <f t="shared" si="6"/>
        <v/>
      </c>
      <c r="J78" s="4"/>
      <c r="K78" s="4"/>
      <c r="L78" s="4"/>
      <c r="M78" s="4"/>
      <c r="N78" s="4"/>
      <c r="O78" s="4"/>
      <c r="P78" s="4"/>
      <c r="Q78" s="4"/>
      <c r="R78" s="4"/>
      <c r="S78" s="4"/>
      <c r="T78" s="4"/>
      <c r="U78" s="4"/>
      <c r="V78" s="4"/>
      <c r="W78" s="4"/>
      <c r="X78" s="4"/>
      <c r="Y78" s="4"/>
      <c r="Z78" s="4"/>
      <c r="AA78" s="4"/>
      <c r="AB78" s="4"/>
      <c r="AC78" s="4"/>
    </row>
    <row r="79" ht="15.75" customHeight="1">
      <c r="A79" s="61"/>
      <c r="B79" s="61"/>
      <c r="C79" s="61"/>
      <c r="D79" s="61"/>
      <c r="E79" s="69"/>
      <c r="F79" s="69"/>
      <c r="G79" s="69"/>
      <c r="H79" s="69"/>
      <c r="I79" s="43" t="str">
        <f t="shared" si="6"/>
        <v/>
      </c>
      <c r="J79" s="4"/>
      <c r="K79" s="4"/>
      <c r="L79" s="4"/>
      <c r="M79" s="4"/>
      <c r="N79" s="4"/>
      <c r="O79" s="4"/>
      <c r="P79" s="4"/>
      <c r="Q79" s="4"/>
      <c r="R79" s="4"/>
      <c r="S79" s="4"/>
      <c r="T79" s="4"/>
      <c r="U79" s="4"/>
      <c r="V79" s="4"/>
      <c r="W79" s="4"/>
      <c r="X79" s="4"/>
      <c r="Y79" s="4"/>
      <c r="Z79" s="4"/>
      <c r="AA79" s="4"/>
      <c r="AB79" s="4"/>
      <c r="AC79" s="4"/>
    </row>
    <row r="80" ht="15.75" customHeight="1">
      <c r="A80" s="61"/>
      <c r="B80" s="61"/>
      <c r="C80" s="61"/>
      <c r="D80" s="61"/>
      <c r="E80" s="69"/>
      <c r="F80" s="69"/>
      <c r="G80" s="69"/>
      <c r="H80" s="69"/>
      <c r="I80" s="43" t="str">
        <f t="shared" si="6"/>
        <v/>
      </c>
      <c r="J80" s="4"/>
      <c r="K80" s="4"/>
      <c r="L80" s="4"/>
      <c r="M80" s="4"/>
      <c r="N80" s="4"/>
      <c r="O80" s="4"/>
      <c r="P80" s="4"/>
      <c r="Q80" s="4"/>
      <c r="R80" s="4"/>
      <c r="S80" s="4"/>
      <c r="T80" s="4"/>
      <c r="U80" s="4"/>
      <c r="V80" s="4"/>
      <c r="W80" s="4"/>
      <c r="X80" s="4"/>
      <c r="Y80" s="4"/>
      <c r="Z80" s="4"/>
      <c r="AA80" s="4"/>
      <c r="AB80" s="4"/>
      <c r="AC80" s="4"/>
    </row>
    <row r="81" ht="15.75" customHeight="1">
      <c r="A81" s="61"/>
      <c r="B81" s="61"/>
      <c r="C81" s="61"/>
      <c r="D81" s="61"/>
      <c r="E81" s="69"/>
      <c r="F81" s="69"/>
      <c r="G81" s="69"/>
      <c r="H81" s="69"/>
      <c r="I81" s="43" t="str">
        <f t="shared" si="6"/>
        <v/>
      </c>
      <c r="J81" s="4"/>
      <c r="K81" s="4"/>
      <c r="L81" s="4"/>
      <c r="M81" s="4"/>
      <c r="N81" s="4"/>
      <c r="O81" s="4"/>
      <c r="P81" s="4"/>
      <c r="Q81" s="4"/>
      <c r="R81" s="4"/>
      <c r="S81" s="4"/>
      <c r="T81" s="4"/>
      <c r="U81" s="4"/>
      <c r="V81" s="4"/>
      <c r="W81" s="4"/>
      <c r="X81" s="4"/>
      <c r="Y81" s="4"/>
      <c r="Z81" s="4"/>
      <c r="AA81" s="4"/>
      <c r="AB81" s="4"/>
      <c r="AC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row>
    <row r="84" ht="15.75" customHeight="1">
      <c r="A84" s="49" t="s">
        <v>21</v>
      </c>
      <c r="B84" s="67" t="str">
        <f>IF(B11="","",B11)</f>
        <v>Alisier torminal</v>
      </c>
      <c r="C84" s="4"/>
      <c r="D84" s="51" t="s">
        <v>47</v>
      </c>
      <c r="E84" s="4"/>
      <c r="F84" s="4"/>
      <c r="G84" s="4"/>
      <c r="H84" s="4"/>
      <c r="I84" s="4"/>
      <c r="J84" s="4"/>
      <c r="K84" s="4"/>
      <c r="L84" s="4"/>
      <c r="M84" s="4"/>
      <c r="N84" s="4"/>
      <c r="O84" s="4"/>
      <c r="P84" s="4"/>
      <c r="Q84" s="4"/>
      <c r="R84" s="4"/>
      <c r="S84" s="4"/>
      <c r="T84" s="4"/>
      <c r="U84" s="4"/>
      <c r="V84" s="4"/>
      <c r="W84" s="4"/>
      <c r="X84" s="4"/>
      <c r="Y84" s="4"/>
      <c r="Z84" s="4"/>
      <c r="AA84" s="4"/>
      <c r="AB84" s="4"/>
      <c r="AC84" s="4"/>
    </row>
    <row r="85" ht="15.75" customHeight="1">
      <c r="A85" s="49"/>
      <c r="B85" s="68"/>
      <c r="C85" s="4"/>
      <c r="D85" s="47"/>
      <c r="E85" s="47"/>
      <c r="F85" s="47"/>
      <c r="G85" s="47"/>
      <c r="H85" s="47"/>
      <c r="I85" s="4"/>
      <c r="J85" s="4"/>
      <c r="K85" s="4"/>
      <c r="L85" s="4"/>
      <c r="M85" s="4"/>
      <c r="N85" s="4"/>
      <c r="O85" s="4"/>
      <c r="P85" s="4"/>
      <c r="Q85" s="4"/>
      <c r="R85" s="4"/>
      <c r="S85" s="4"/>
      <c r="T85" s="4"/>
      <c r="U85" s="4"/>
      <c r="V85" s="4"/>
      <c r="W85" s="4"/>
      <c r="X85" s="4"/>
      <c r="Y85" s="4"/>
      <c r="Z85" s="4"/>
      <c r="AA85" s="4"/>
      <c r="AB85" s="4"/>
      <c r="AC85" s="4"/>
    </row>
    <row r="86" ht="15.75" customHeight="1">
      <c r="A86" s="4"/>
      <c r="B86" s="52" t="s">
        <v>49</v>
      </c>
      <c r="C86" s="53" t="s">
        <v>50</v>
      </c>
      <c r="D86" s="54"/>
      <c r="E86" s="53" t="s">
        <v>51</v>
      </c>
      <c r="F86" s="55"/>
      <c r="G86" s="55"/>
      <c r="H86" s="54"/>
      <c r="I86" s="56"/>
      <c r="J86" s="4"/>
      <c r="K86" s="4"/>
      <c r="L86" s="4"/>
      <c r="M86" s="4"/>
      <c r="N86" s="4"/>
      <c r="O86" s="4"/>
      <c r="P86" s="4"/>
      <c r="Q86" s="4"/>
      <c r="R86" s="4"/>
      <c r="S86" s="4"/>
      <c r="T86" s="4"/>
      <c r="U86" s="4"/>
      <c r="V86" s="4"/>
      <c r="W86" s="4"/>
      <c r="X86" s="4"/>
      <c r="Y86" s="4"/>
      <c r="Z86" s="4"/>
      <c r="AA86" s="4"/>
      <c r="AB86" s="4"/>
      <c r="AC86" s="4"/>
    </row>
    <row r="87" ht="15.75" customHeight="1">
      <c r="A87" s="33" t="s">
        <v>52</v>
      </c>
      <c r="B87" s="33" t="s">
        <v>65</v>
      </c>
      <c r="C87" s="57" t="s">
        <v>54</v>
      </c>
      <c r="D87" s="57" t="s">
        <v>55</v>
      </c>
      <c r="E87" s="33" t="s">
        <v>56</v>
      </c>
      <c r="F87" s="33" t="s">
        <v>57</v>
      </c>
      <c r="G87" s="33" t="s">
        <v>58</v>
      </c>
      <c r="H87" s="33" t="s">
        <v>59</v>
      </c>
      <c r="I87" s="57" t="s">
        <v>66</v>
      </c>
      <c r="J87" s="4"/>
      <c r="K87" s="4"/>
      <c r="L87" s="4"/>
      <c r="M87" s="4"/>
      <c r="N87" s="4"/>
      <c r="O87" s="4"/>
      <c r="P87" s="4"/>
      <c r="Q87" s="4"/>
      <c r="R87" s="4"/>
      <c r="S87" s="4"/>
      <c r="T87" s="4"/>
      <c r="U87" s="4"/>
      <c r="V87" s="4"/>
      <c r="W87" s="4"/>
      <c r="X87" s="4"/>
      <c r="Y87" s="4"/>
      <c r="Z87" s="4"/>
      <c r="AA87" s="4"/>
      <c r="AB87" s="4"/>
      <c r="AC87" s="4"/>
    </row>
    <row r="88" ht="15.75" customHeight="1">
      <c r="A88" s="59"/>
      <c r="B88" s="61"/>
      <c r="C88" s="61"/>
      <c r="D88" s="61"/>
      <c r="E88" s="63"/>
      <c r="F88" s="63"/>
      <c r="G88" s="63"/>
      <c r="H88" s="63"/>
      <c r="I88" s="64" t="str">
        <f>IFERROR(B88/A88,"")</f>
        <v/>
      </c>
      <c r="J88" s="4"/>
      <c r="K88" s="4"/>
      <c r="L88" s="4"/>
      <c r="M88" s="4"/>
      <c r="N88" s="4"/>
      <c r="O88" s="4"/>
      <c r="P88" s="4"/>
      <c r="Q88" s="4"/>
      <c r="R88" s="4"/>
      <c r="S88" s="4"/>
      <c r="T88" s="4"/>
      <c r="U88" s="4"/>
      <c r="V88" s="4"/>
      <c r="W88" s="4"/>
      <c r="X88" s="4"/>
      <c r="Y88" s="4"/>
      <c r="Z88" s="4"/>
      <c r="AA88" s="4"/>
      <c r="AB88" s="4"/>
      <c r="AC88" s="4"/>
    </row>
    <row r="89" ht="15.75" customHeight="1">
      <c r="A89" s="61"/>
      <c r="B89" s="61"/>
      <c r="C89" s="61"/>
      <c r="D89" s="61"/>
      <c r="E89" s="63"/>
      <c r="F89" s="63"/>
      <c r="G89" s="63"/>
      <c r="H89" s="63"/>
      <c r="I89" s="64" t="str">
        <f t="shared" ref="I89:I107" si="7">IF(A89&lt;&gt;0,(B89-(B88-D88))/(A89-A88),"")</f>
        <v/>
      </c>
      <c r="J89" s="4"/>
      <c r="K89" s="4"/>
      <c r="L89" s="4"/>
      <c r="M89" s="4"/>
      <c r="N89" s="4"/>
      <c r="O89" s="4"/>
      <c r="P89" s="4"/>
      <c r="Q89" s="4"/>
      <c r="R89" s="4"/>
      <c r="S89" s="4"/>
      <c r="T89" s="4"/>
      <c r="U89" s="4"/>
      <c r="V89" s="4"/>
      <c r="W89" s="4"/>
      <c r="X89" s="4"/>
      <c r="Y89" s="4"/>
      <c r="Z89" s="4"/>
      <c r="AA89" s="4"/>
      <c r="AB89" s="4"/>
      <c r="AC89" s="4"/>
    </row>
    <row r="90" ht="15.75" customHeight="1">
      <c r="A90" s="61"/>
      <c r="B90" s="61"/>
      <c r="C90" s="61"/>
      <c r="D90" s="61"/>
      <c r="E90" s="63"/>
      <c r="F90" s="63"/>
      <c r="G90" s="63"/>
      <c r="H90" s="63"/>
      <c r="I90" s="64" t="str">
        <f t="shared" si="7"/>
        <v/>
      </c>
      <c r="J90" s="4"/>
      <c r="K90" s="4"/>
      <c r="L90" s="4"/>
      <c r="M90" s="4"/>
      <c r="N90" s="4"/>
      <c r="O90" s="4"/>
      <c r="P90" s="4"/>
      <c r="Q90" s="4"/>
      <c r="R90" s="4"/>
      <c r="S90" s="4"/>
      <c r="T90" s="4"/>
      <c r="U90" s="4"/>
      <c r="V90" s="4"/>
      <c r="W90" s="4"/>
      <c r="X90" s="4"/>
      <c r="Y90" s="4"/>
      <c r="Z90" s="4"/>
      <c r="AA90" s="4"/>
      <c r="AB90" s="4"/>
      <c r="AC90" s="4"/>
    </row>
    <row r="91" ht="15.75" customHeight="1">
      <c r="A91" s="61"/>
      <c r="B91" s="61"/>
      <c r="C91" s="61"/>
      <c r="D91" s="61"/>
      <c r="E91" s="63"/>
      <c r="F91" s="63"/>
      <c r="G91" s="63"/>
      <c r="H91" s="63"/>
      <c r="I91" s="64" t="str">
        <f t="shared" si="7"/>
        <v/>
      </c>
      <c r="J91" s="4"/>
      <c r="K91" s="4"/>
      <c r="L91" s="4"/>
      <c r="M91" s="4"/>
      <c r="N91" s="4"/>
      <c r="O91" s="4"/>
      <c r="P91" s="4"/>
      <c r="Q91" s="4"/>
      <c r="R91" s="4"/>
      <c r="S91" s="4"/>
      <c r="T91" s="4"/>
      <c r="U91" s="4"/>
      <c r="V91" s="4"/>
      <c r="W91" s="4"/>
      <c r="X91" s="4"/>
      <c r="Y91" s="4"/>
      <c r="Z91" s="4"/>
      <c r="AA91" s="4"/>
      <c r="AB91" s="4"/>
      <c r="AC91" s="4"/>
    </row>
    <row r="92" ht="15.75" customHeight="1">
      <c r="A92" s="61"/>
      <c r="B92" s="61"/>
      <c r="C92" s="61"/>
      <c r="D92" s="61"/>
      <c r="E92" s="63"/>
      <c r="F92" s="63"/>
      <c r="G92" s="63"/>
      <c r="H92" s="63"/>
      <c r="I92" s="64" t="str">
        <f t="shared" si="7"/>
        <v/>
      </c>
      <c r="J92" s="4"/>
      <c r="K92" s="4"/>
      <c r="L92" s="4"/>
      <c r="M92" s="4"/>
      <c r="N92" s="4"/>
      <c r="O92" s="4"/>
      <c r="P92" s="4"/>
      <c r="Q92" s="4"/>
      <c r="R92" s="4"/>
      <c r="S92" s="4"/>
      <c r="T92" s="4"/>
      <c r="U92" s="4"/>
      <c r="V92" s="4"/>
      <c r="W92" s="4"/>
      <c r="X92" s="4"/>
      <c r="Y92" s="4"/>
      <c r="Z92" s="4"/>
      <c r="AA92" s="4"/>
      <c r="AB92" s="4"/>
      <c r="AC92" s="4"/>
    </row>
    <row r="93" ht="15.75" customHeight="1">
      <c r="A93" s="61"/>
      <c r="B93" s="61"/>
      <c r="C93" s="61"/>
      <c r="D93" s="61"/>
      <c r="E93" s="63"/>
      <c r="F93" s="63"/>
      <c r="G93" s="63"/>
      <c r="H93" s="63"/>
      <c r="I93" s="64" t="str">
        <f t="shared" si="7"/>
        <v/>
      </c>
      <c r="J93" s="4"/>
      <c r="K93" s="4"/>
      <c r="L93" s="4"/>
      <c r="M93" s="4"/>
      <c r="N93" s="4"/>
      <c r="O93" s="4"/>
      <c r="P93" s="4"/>
      <c r="Q93" s="4"/>
      <c r="R93" s="4"/>
      <c r="S93" s="4"/>
      <c r="T93" s="4"/>
      <c r="U93" s="4"/>
      <c r="V93" s="4"/>
      <c r="W93" s="4"/>
      <c r="X93" s="4"/>
      <c r="Y93" s="4"/>
      <c r="Z93" s="4"/>
      <c r="AA93" s="4"/>
      <c r="AB93" s="4"/>
      <c r="AC93" s="4"/>
    </row>
    <row r="94" ht="15.75" customHeight="1">
      <c r="A94" s="61"/>
      <c r="B94" s="61"/>
      <c r="C94" s="61"/>
      <c r="D94" s="61"/>
      <c r="E94" s="63"/>
      <c r="F94" s="63"/>
      <c r="G94" s="63"/>
      <c r="H94" s="63"/>
      <c r="I94" s="64" t="str">
        <f t="shared" si="7"/>
        <v/>
      </c>
      <c r="J94" s="4"/>
      <c r="K94" s="4"/>
      <c r="L94" s="4"/>
      <c r="M94" s="4"/>
      <c r="N94" s="4"/>
      <c r="O94" s="4"/>
      <c r="P94" s="4"/>
      <c r="Q94" s="4"/>
      <c r="R94" s="4"/>
      <c r="S94" s="4"/>
      <c r="T94" s="4"/>
      <c r="U94" s="4"/>
      <c r="V94" s="4"/>
      <c r="W94" s="4"/>
      <c r="X94" s="4"/>
      <c r="Y94" s="4"/>
      <c r="Z94" s="4"/>
      <c r="AA94" s="4"/>
      <c r="AB94" s="4"/>
      <c r="AC94" s="4"/>
    </row>
    <row r="95" ht="15.75" customHeight="1">
      <c r="A95" s="61"/>
      <c r="B95" s="61"/>
      <c r="C95" s="61"/>
      <c r="D95" s="61"/>
      <c r="E95" s="69"/>
      <c r="F95" s="69"/>
      <c r="G95" s="69"/>
      <c r="H95" s="69"/>
      <c r="I95" s="64" t="str">
        <f t="shared" si="7"/>
        <v/>
      </c>
      <c r="J95" s="4"/>
      <c r="K95" s="4"/>
      <c r="L95" s="4"/>
      <c r="M95" s="4"/>
      <c r="N95" s="4"/>
      <c r="O95" s="4"/>
      <c r="P95" s="4"/>
      <c r="Q95" s="4"/>
      <c r="R95" s="4"/>
      <c r="S95" s="4"/>
      <c r="T95" s="4"/>
      <c r="U95" s="4"/>
      <c r="V95" s="4"/>
      <c r="W95" s="4"/>
      <c r="X95" s="4"/>
      <c r="Y95" s="4"/>
      <c r="Z95" s="4"/>
      <c r="AA95" s="4"/>
      <c r="AB95" s="4"/>
      <c r="AC95" s="4"/>
    </row>
    <row r="96" ht="15.75" customHeight="1">
      <c r="A96" s="61"/>
      <c r="B96" s="61"/>
      <c r="C96" s="61"/>
      <c r="D96" s="61"/>
      <c r="E96" s="69"/>
      <c r="F96" s="69"/>
      <c r="G96" s="69"/>
      <c r="H96" s="69"/>
      <c r="I96" s="64" t="str">
        <f t="shared" si="7"/>
        <v/>
      </c>
      <c r="J96" s="4"/>
      <c r="K96" s="4"/>
      <c r="L96" s="4"/>
      <c r="M96" s="4"/>
      <c r="N96" s="4"/>
      <c r="O96" s="4"/>
      <c r="P96" s="4"/>
      <c r="Q96" s="4"/>
      <c r="R96" s="4"/>
      <c r="S96" s="4"/>
      <c r="T96" s="4"/>
      <c r="U96" s="4"/>
      <c r="V96" s="4"/>
      <c r="W96" s="4"/>
      <c r="X96" s="4"/>
      <c r="Y96" s="4"/>
      <c r="Z96" s="4"/>
      <c r="AA96" s="4"/>
      <c r="AB96" s="4"/>
      <c r="AC96" s="4"/>
    </row>
    <row r="97" ht="15.75" customHeight="1">
      <c r="A97" s="61"/>
      <c r="B97" s="61"/>
      <c r="C97" s="61"/>
      <c r="D97" s="61"/>
      <c r="E97" s="69"/>
      <c r="F97" s="69"/>
      <c r="G97" s="69"/>
      <c r="H97" s="69"/>
      <c r="I97" s="64" t="str">
        <f t="shared" si="7"/>
        <v/>
      </c>
      <c r="J97" s="4"/>
      <c r="K97" s="4"/>
      <c r="L97" s="4"/>
      <c r="M97" s="4"/>
      <c r="N97" s="4"/>
      <c r="O97" s="4"/>
      <c r="P97" s="4"/>
      <c r="Q97" s="4"/>
      <c r="R97" s="4"/>
      <c r="S97" s="4"/>
      <c r="T97" s="4"/>
      <c r="U97" s="4"/>
      <c r="V97" s="4"/>
      <c r="W97" s="4"/>
      <c r="X97" s="4"/>
      <c r="Y97" s="4"/>
      <c r="Z97" s="4"/>
      <c r="AA97" s="4"/>
      <c r="AB97" s="4"/>
      <c r="AC97" s="4"/>
    </row>
    <row r="98" ht="15.75" customHeight="1">
      <c r="A98" s="61"/>
      <c r="B98" s="61"/>
      <c r="C98" s="61"/>
      <c r="D98" s="61"/>
      <c r="E98" s="69"/>
      <c r="F98" s="69"/>
      <c r="G98" s="69"/>
      <c r="H98" s="69"/>
      <c r="I98" s="64" t="str">
        <f t="shared" si="7"/>
        <v/>
      </c>
      <c r="J98" s="4"/>
      <c r="K98" s="4"/>
      <c r="L98" s="4"/>
      <c r="M98" s="4"/>
      <c r="N98" s="4"/>
      <c r="O98" s="4"/>
      <c r="P98" s="4"/>
      <c r="Q98" s="4"/>
      <c r="R98" s="4"/>
      <c r="S98" s="4"/>
      <c r="T98" s="4"/>
      <c r="U98" s="4"/>
      <c r="V98" s="4"/>
      <c r="W98" s="4"/>
      <c r="X98" s="4"/>
      <c r="Y98" s="4"/>
      <c r="Z98" s="4"/>
      <c r="AA98" s="4"/>
      <c r="AB98" s="4"/>
      <c r="AC98" s="4"/>
    </row>
    <row r="99" ht="15.75" customHeight="1">
      <c r="A99" s="61"/>
      <c r="B99" s="61"/>
      <c r="C99" s="61"/>
      <c r="D99" s="61"/>
      <c r="E99" s="69"/>
      <c r="F99" s="69"/>
      <c r="G99" s="69"/>
      <c r="H99" s="69"/>
      <c r="I99" s="64" t="str">
        <f t="shared" si="7"/>
        <v/>
      </c>
      <c r="J99" s="4"/>
      <c r="K99" s="4"/>
      <c r="L99" s="4"/>
      <c r="M99" s="4"/>
      <c r="N99" s="4"/>
      <c r="O99" s="4"/>
      <c r="P99" s="4"/>
      <c r="Q99" s="4"/>
      <c r="R99" s="4"/>
      <c r="S99" s="4"/>
      <c r="T99" s="4"/>
      <c r="U99" s="4"/>
      <c r="V99" s="4"/>
      <c r="W99" s="4"/>
      <c r="X99" s="4"/>
      <c r="Y99" s="4"/>
      <c r="Z99" s="4"/>
      <c r="AA99" s="4"/>
      <c r="AB99" s="4"/>
      <c r="AC99" s="4"/>
    </row>
    <row r="100" ht="15.75" customHeight="1">
      <c r="A100" s="61"/>
      <c r="B100" s="61"/>
      <c r="C100" s="61"/>
      <c r="D100" s="61"/>
      <c r="E100" s="69"/>
      <c r="F100" s="69"/>
      <c r="G100" s="69"/>
      <c r="H100" s="69"/>
      <c r="I100" s="64" t="str">
        <f t="shared" si="7"/>
        <v/>
      </c>
      <c r="J100" s="4"/>
      <c r="K100" s="4"/>
      <c r="L100" s="4"/>
      <c r="M100" s="4"/>
      <c r="N100" s="4"/>
      <c r="O100" s="4"/>
      <c r="P100" s="4"/>
      <c r="Q100" s="4"/>
      <c r="R100" s="4"/>
      <c r="S100" s="4"/>
      <c r="T100" s="4"/>
      <c r="U100" s="4"/>
      <c r="V100" s="4"/>
      <c r="W100" s="4"/>
      <c r="X100" s="4"/>
      <c r="Y100" s="4"/>
      <c r="Z100" s="4"/>
      <c r="AA100" s="4"/>
      <c r="AB100" s="4"/>
      <c r="AC100" s="4"/>
    </row>
    <row r="101" ht="15.75" customHeight="1">
      <c r="A101" s="61"/>
      <c r="B101" s="61"/>
      <c r="C101" s="61"/>
      <c r="D101" s="61"/>
      <c r="E101" s="69"/>
      <c r="F101" s="69"/>
      <c r="G101" s="69"/>
      <c r="H101" s="69"/>
      <c r="I101" s="64" t="str">
        <f t="shared" si="7"/>
        <v/>
      </c>
      <c r="J101" s="4"/>
      <c r="K101" s="4"/>
      <c r="L101" s="4"/>
      <c r="M101" s="4"/>
      <c r="N101" s="4"/>
      <c r="O101" s="4"/>
      <c r="P101" s="4"/>
      <c r="Q101" s="4"/>
      <c r="R101" s="4"/>
      <c r="S101" s="4"/>
      <c r="T101" s="4"/>
      <c r="U101" s="4"/>
      <c r="V101" s="4"/>
      <c r="W101" s="4"/>
      <c r="X101" s="4"/>
      <c r="Y101" s="4"/>
      <c r="Z101" s="4"/>
      <c r="AA101" s="4"/>
      <c r="AB101" s="4"/>
      <c r="AC101" s="4"/>
    </row>
    <row r="102" ht="15.75" customHeight="1">
      <c r="A102" s="61"/>
      <c r="B102" s="61"/>
      <c r="C102" s="61"/>
      <c r="D102" s="61"/>
      <c r="E102" s="69"/>
      <c r="F102" s="69"/>
      <c r="G102" s="69"/>
      <c r="H102" s="69"/>
      <c r="I102" s="64" t="str">
        <f t="shared" si="7"/>
        <v/>
      </c>
      <c r="J102" s="4"/>
      <c r="K102" s="4"/>
      <c r="L102" s="4"/>
      <c r="M102" s="4"/>
      <c r="N102" s="4"/>
      <c r="O102" s="4"/>
      <c r="P102" s="4"/>
      <c r="Q102" s="4"/>
      <c r="R102" s="4"/>
      <c r="S102" s="4"/>
      <c r="T102" s="4"/>
      <c r="U102" s="4"/>
      <c r="V102" s="4"/>
      <c r="W102" s="4"/>
      <c r="X102" s="4"/>
      <c r="Y102" s="4"/>
      <c r="Z102" s="4"/>
      <c r="AA102" s="4"/>
      <c r="AB102" s="4"/>
      <c r="AC102" s="4"/>
    </row>
    <row r="103" ht="15.75" customHeight="1">
      <c r="A103" s="61"/>
      <c r="B103" s="61"/>
      <c r="C103" s="61"/>
      <c r="D103" s="61"/>
      <c r="E103" s="69"/>
      <c r="F103" s="69"/>
      <c r="G103" s="69"/>
      <c r="H103" s="69"/>
      <c r="I103" s="64" t="str">
        <f t="shared" si="7"/>
        <v/>
      </c>
      <c r="J103" s="4"/>
      <c r="K103" s="4"/>
      <c r="L103" s="4"/>
      <c r="M103" s="4"/>
      <c r="N103" s="4"/>
      <c r="O103" s="4"/>
      <c r="P103" s="4"/>
      <c r="Q103" s="4"/>
      <c r="R103" s="4"/>
      <c r="S103" s="4"/>
      <c r="T103" s="4"/>
      <c r="U103" s="4"/>
      <c r="V103" s="4"/>
      <c r="W103" s="4"/>
      <c r="X103" s="4"/>
      <c r="Y103" s="4"/>
      <c r="Z103" s="4"/>
      <c r="AA103" s="4"/>
      <c r="AB103" s="4"/>
      <c r="AC103" s="4"/>
    </row>
    <row r="104" ht="15.75" customHeight="1">
      <c r="A104" s="61"/>
      <c r="B104" s="61"/>
      <c r="C104" s="61"/>
      <c r="D104" s="61"/>
      <c r="E104" s="69"/>
      <c r="F104" s="69"/>
      <c r="G104" s="69"/>
      <c r="H104" s="69"/>
      <c r="I104" s="64" t="str">
        <f t="shared" si="7"/>
        <v/>
      </c>
      <c r="J104" s="4"/>
      <c r="K104" s="4"/>
      <c r="L104" s="4"/>
      <c r="M104" s="4"/>
      <c r="N104" s="4"/>
      <c r="O104" s="4"/>
      <c r="P104" s="4"/>
      <c r="Q104" s="4"/>
      <c r="R104" s="4"/>
      <c r="S104" s="4"/>
      <c r="T104" s="4"/>
      <c r="U104" s="4"/>
      <c r="V104" s="4"/>
      <c r="W104" s="4"/>
      <c r="X104" s="4"/>
      <c r="Y104" s="4"/>
      <c r="Z104" s="4"/>
      <c r="AA104" s="4"/>
      <c r="AB104" s="4"/>
      <c r="AC104" s="4"/>
    </row>
    <row r="105" ht="15.75" customHeight="1">
      <c r="A105" s="61"/>
      <c r="B105" s="61"/>
      <c r="C105" s="61"/>
      <c r="D105" s="61"/>
      <c r="E105" s="69"/>
      <c r="F105" s="69"/>
      <c r="G105" s="69"/>
      <c r="H105" s="69"/>
      <c r="I105" s="64" t="str">
        <f t="shared" si="7"/>
        <v/>
      </c>
      <c r="J105" s="4"/>
      <c r="K105" s="4"/>
      <c r="L105" s="4"/>
      <c r="M105" s="4"/>
      <c r="N105" s="4"/>
      <c r="O105" s="4"/>
      <c r="P105" s="4"/>
      <c r="Q105" s="4"/>
      <c r="R105" s="4"/>
      <c r="S105" s="4"/>
      <c r="T105" s="4"/>
      <c r="U105" s="4"/>
      <c r="V105" s="4"/>
      <c r="W105" s="4"/>
      <c r="X105" s="4"/>
      <c r="Y105" s="4"/>
      <c r="Z105" s="4"/>
      <c r="AA105" s="4"/>
      <c r="AB105" s="4"/>
      <c r="AC105" s="4"/>
    </row>
    <row r="106" ht="15.75" customHeight="1">
      <c r="A106" s="61"/>
      <c r="B106" s="61"/>
      <c r="C106" s="61"/>
      <c r="D106" s="61"/>
      <c r="E106" s="69"/>
      <c r="F106" s="69"/>
      <c r="G106" s="69"/>
      <c r="H106" s="69"/>
      <c r="I106" s="64" t="str">
        <f t="shared" si="7"/>
        <v/>
      </c>
      <c r="J106" s="4"/>
      <c r="K106" s="4"/>
      <c r="L106" s="4"/>
      <c r="M106" s="4"/>
      <c r="N106" s="4"/>
      <c r="O106" s="4"/>
      <c r="P106" s="4"/>
      <c r="Q106" s="4"/>
      <c r="R106" s="4"/>
      <c r="S106" s="4"/>
      <c r="T106" s="4"/>
      <c r="U106" s="4"/>
      <c r="V106" s="4"/>
      <c r="W106" s="4"/>
      <c r="X106" s="4"/>
      <c r="Y106" s="4"/>
      <c r="Z106" s="4"/>
      <c r="AA106" s="4"/>
      <c r="AB106" s="4"/>
      <c r="AC106" s="4"/>
    </row>
    <row r="107" ht="15.75" customHeight="1">
      <c r="A107" s="61"/>
      <c r="B107" s="61"/>
      <c r="C107" s="61"/>
      <c r="D107" s="61"/>
      <c r="E107" s="69"/>
      <c r="F107" s="69"/>
      <c r="G107" s="69"/>
      <c r="H107" s="69"/>
      <c r="I107" s="64" t="str">
        <f t="shared" si="7"/>
        <v/>
      </c>
      <c r="J107" s="4"/>
      <c r="K107" s="4"/>
      <c r="L107" s="4"/>
      <c r="M107" s="4"/>
      <c r="N107" s="4"/>
      <c r="O107" s="4"/>
      <c r="P107" s="4"/>
      <c r="Q107" s="4"/>
      <c r="R107" s="4"/>
      <c r="S107" s="4"/>
      <c r="T107" s="4"/>
      <c r="U107" s="4"/>
      <c r="V107" s="4"/>
      <c r="W107" s="4"/>
      <c r="X107" s="4"/>
      <c r="Y107" s="4"/>
      <c r="Z107" s="4"/>
      <c r="AA107" s="4"/>
      <c r="AB107" s="4"/>
      <c r="AC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row>
    <row r="110" ht="15.75" customHeight="1">
      <c r="A110" s="49" t="s">
        <v>23</v>
      </c>
      <c r="B110" s="67" t="str">
        <f>IF(B12="","",B12)</f>
        <v/>
      </c>
      <c r="C110" s="4"/>
      <c r="D110" s="51" t="s">
        <v>47</v>
      </c>
      <c r="E110" s="4"/>
      <c r="F110" s="4"/>
      <c r="G110" s="4"/>
      <c r="H110" s="4"/>
      <c r="I110" s="4"/>
      <c r="J110" s="4"/>
      <c r="K110" s="4"/>
      <c r="L110" s="4"/>
      <c r="M110" s="4"/>
      <c r="N110" s="4"/>
      <c r="O110" s="4"/>
      <c r="P110" s="4"/>
      <c r="Q110" s="4"/>
      <c r="R110" s="4"/>
      <c r="S110" s="4"/>
      <c r="T110" s="4"/>
      <c r="U110" s="4"/>
      <c r="V110" s="4"/>
      <c r="W110" s="4"/>
      <c r="X110" s="4"/>
      <c r="Y110" s="4"/>
      <c r="Z110" s="4"/>
      <c r="AA110" s="4"/>
      <c r="AB110" s="4"/>
      <c r="AC110" s="4"/>
    </row>
    <row r="111" ht="15.75" customHeight="1">
      <c r="A111" s="49"/>
      <c r="B111" s="68"/>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row>
    <row r="112" ht="15.75" customHeight="1">
      <c r="A112" s="4"/>
      <c r="B112" s="52" t="s">
        <v>49</v>
      </c>
      <c r="C112" s="53" t="s">
        <v>50</v>
      </c>
      <c r="D112" s="54"/>
      <c r="E112" s="53" t="s">
        <v>51</v>
      </c>
      <c r="F112" s="55"/>
      <c r="G112" s="55"/>
      <c r="H112" s="54"/>
      <c r="I112" s="56"/>
      <c r="J112" s="4"/>
      <c r="K112" s="4"/>
      <c r="L112" s="4"/>
      <c r="M112" s="4"/>
      <c r="N112" s="4"/>
      <c r="O112" s="4"/>
      <c r="P112" s="4"/>
      <c r="Q112" s="4"/>
      <c r="R112" s="4"/>
      <c r="S112" s="4"/>
      <c r="T112" s="4"/>
      <c r="U112" s="4"/>
      <c r="V112" s="4"/>
      <c r="W112" s="4"/>
      <c r="X112" s="4"/>
      <c r="Y112" s="4"/>
      <c r="Z112" s="4"/>
      <c r="AA112" s="4"/>
      <c r="AB112" s="4"/>
      <c r="AC112" s="4"/>
    </row>
    <row r="113" ht="15.75" customHeight="1">
      <c r="A113" s="33" t="s">
        <v>52</v>
      </c>
      <c r="B113" s="33" t="s">
        <v>67</v>
      </c>
      <c r="C113" s="57" t="s">
        <v>54</v>
      </c>
      <c r="D113" s="57" t="s">
        <v>55</v>
      </c>
      <c r="E113" s="33" t="s">
        <v>56</v>
      </c>
      <c r="F113" s="33" t="s">
        <v>57</v>
      </c>
      <c r="G113" s="33" t="s">
        <v>58</v>
      </c>
      <c r="H113" s="33" t="s">
        <v>59</v>
      </c>
      <c r="I113" s="57" t="s">
        <v>68</v>
      </c>
      <c r="J113" s="4"/>
      <c r="K113" s="4"/>
      <c r="L113" s="4"/>
      <c r="M113" s="4"/>
      <c r="N113" s="4"/>
      <c r="O113" s="4"/>
      <c r="P113" s="4"/>
      <c r="Q113" s="4"/>
      <c r="R113" s="4"/>
      <c r="S113" s="4"/>
      <c r="T113" s="4"/>
      <c r="U113" s="4"/>
      <c r="V113" s="4"/>
      <c r="W113" s="4"/>
      <c r="X113" s="4"/>
      <c r="Y113" s="4"/>
      <c r="Z113" s="4"/>
      <c r="AA113" s="4"/>
      <c r="AB113" s="4"/>
      <c r="AC113" s="4"/>
    </row>
    <row r="114" ht="15.75" customHeight="1">
      <c r="A114" s="61"/>
      <c r="B114" s="61"/>
      <c r="C114" s="61"/>
      <c r="D114" s="61"/>
      <c r="E114" s="69"/>
      <c r="F114" s="69"/>
      <c r="G114" s="69"/>
      <c r="H114" s="69"/>
      <c r="I114" s="64" t="str">
        <f>IFERROR(B114/A114,"")</f>
        <v/>
      </c>
      <c r="J114" s="4"/>
      <c r="K114" s="4"/>
      <c r="L114" s="4"/>
      <c r="M114" s="4"/>
      <c r="N114" s="4"/>
      <c r="O114" s="4"/>
      <c r="P114" s="4"/>
      <c r="Q114" s="4"/>
      <c r="R114" s="4"/>
      <c r="S114" s="4"/>
      <c r="T114" s="4"/>
      <c r="U114" s="4"/>
      <c r="V114" s="4"/>
      <c r="W114" s="4"/>
      <c r="X114" s="4"/>
      <c r="Y114" s="4"/>
      <c r="Z114" s="4"/>
      <c r="AA114" s="4"/>
      <c r="AB114" s="4"/>
      <c r="AC114" s="4"/>
    </row>
    <row r="115" ht="15.75" customHeight="1">
      <c r="A115" s="61"/>
      <c r="B115" s="61"/>
      <c r="C115" s="61"/>
      <c r="D115" s="61"/>
      <c r="E115" s="69"/>
      <c r="F115" s="69"/>
      <c r="G115" s="69"/>
      <c r="H115" s="69"/>
      <c r="I115" s="64" t="str">
        <f t="shared" ref="I115:I133" si="8">IF(A115&lt;&gt;0,(B115-(B114-D114))/(A115-A114),"")</f>
        <v/>
      </c>
      <c r="J115" s="4"/>
      <c r="K115" s="4"/>
      <c r="L115" s="4"/>
      <c r="M115" s="4"/>
      <c r="N115" s="4"/>
      <c r="O115" s="4"/>
      <c r="P115" s="4"/>
      <c r="Q115" s="4"/>
      <c r="R115" s="4"/>
      <c r="S115" s="4"/>
      <c r="T115" s="4"/>
      <c r="U115" s="4"/>
      <c r="V115" s="4"/>
      <c r="W115" s="4"/>
      <c r="X115" s="4"/>
      <c r="Y115" s="4"/>
      <c r="Z115" s="4"/>
      <c r="AA115" s="4"/>
      <c r="AB115" s="4"/>
      <c r="AC115" s="4"/>
    </row>
    <row r="116" ht="15.75" customHeight="1">
      <c r="A116" s="61"/>
      <c r="B116" s="61"/>
      <c r="C116" s="61"/>
      <c r="D116" s="61"/>
      <c r="E116" s="69"/>
      <c r="F116" s="69"/>
      <c r="G116" s="69"/>
      <c r="H116" s="69"/>
      <c r="I116" s="64" t="str">
        <f t="shared" si="8"/>
        <v/>
      </c>
      <c r="J116" s="4"/>
      <c r="K116" s="4"/>
      <c r="L116" s="4"/>
      <c r="M116" s="4"/>
      <c r="N116" s="4"/>
      <c r="O116" s="4"/>
      <c r="P116" s="4"/>
      <c r="Q116" s="4"/>
      <c r="R116" s="4"/>
      <c r="S116" s="4"/>
      <c r="T116" s="4"/>
      <c r="U116" s="4"/>
      <c r="V116" s="4"/>
      <c r="W116" s="4"/>
      <c r="X116" s="4"/>
      <c r="Y116" s="4"/>
      <c r="Z116" s="4"/>
      <c r="AA116" s="4"/>
      <c r="AB116" s="4"/>
      <c r="AC116" s="4"/>
    </row>
    <row r="117" ht="15.75" customHeight="1">
      <c r="A117" s="61"/>
      <c r="B117" s="61"/>
      <c r="C117" s="61"/>
      <c r="D117" s="61"/>
      <c r="E117" s="69"/>
      <c r="F117" s="69"/>
      <c r="G117" s="69"/>
      <c r="H117" s="69"/>
      <c r="I117" s="64" t="str">
        <f t="shared" si="8"/>
        <v/>
      </c>
      <c r="J117" s="4"/>
      <c r="K117" s="4"/>
      <c r="L117" s="4"/>
      <c r="M117" s="4"/>
      <c r="N117" s="4"/>
      <c r="O117" s="4"/>
      <c r="P117" s="4"/>
      <c r="Q117" s="4"/>
      <c r="R117" s="4"/>
      <c r="S117" s="4"/>
      <c r="T117" s="4"/>
      <c r="U117" s="4"/>
      <c r="V117" s="4"/>
      <c r="W117" s="4"/>
      <c r="X117" s="4"/>
      <c r="Y117" s="4"/>
      <c r="Z117" s="4"/>
      <c r="AA117" s="4"/>
      <c r="AB117" s="4"/>
      <c r="AC117" s="4"/>
    </row>
    <row r="118" ht="15.75" customHeight="1">
      <c r="A118" s="61"/>
      <c r="B118" s="61"/>
      <c r="C118" s="61"/>
      <c r="D118" s="61"/>
      <c r="E118" s="69"/>
      <c r="F118" s="69"/>
      <c r="G118" s="69"/>
      <c r="H118" s="69"/>
      <c r="I118" s="64" t="str">
        <f t="shared" si="8"/>
        <v/>
      </c>
      <c r="J118" s="4"/>
      <c r="K118" s="4"/>
      <c r="L118" s="4"/>
      <c r="M118" s="4"/>
      <c r="N118" s="4"/>
      <c r="O118" s="4"/>
      <c r="P118" s="4"/>
      <c r="Q118" s="4"/>
      <c r="R118" s="4"/>
      <c r="S118" s="4"/>
      <c r="T118" s="4"/>
      <c r="U118" s="4"/>
      <c r="V118" s="4"/>
      <c r="W118" s="4"/>
      <c r="X118" s="4"/>
      <c r="Y118" s="4"/>
      <c r="Z118" s="4"/>
      <c r="AA118" s="4"/>
      <c r="AB118" s="4"/>
      <c r="AC118" s="4"/>
    </row>
    <row r="119" ht="15.75" customHeight="1">
      <c r="A119" s="61"/>
      <c r="B119" s="61"/>
      <c r="C119" s="61"/>
      <c r="D119" s="61"/>
      <c r="E119" s="69"/>
      <c r="F119" s="69"/>
      <c r="G119" s="69"/>
      <c r="H119" s="69"/>
      <c r="I119" s="64" t="str">
        <f t="shared" si="8"/>
        <v/>
      </c>
      <c r="J119" s="4"/>
      <c r="K119" s="4"/>
      <c r="L119" s="4"/>
      <c r="M119" s="4"/>
      <c r="N119" s="4"/>
      <c r="O119" s="4"/>
      <c r="P119" s="4"/>
      <c r="Q119" s="4"/>
      <c r="R119" s="4"/>
      <c r="S119" s="4"/>
      <c r="T119" s="4"/>
      <c r="U119" s="4"/>
      <c r="V119" s="4"/>
      <c r="W119" s="4"/>
      <c r="X119" s="4"/>
      <c r="Y119" s="4"/>
      <c r="Z119" s="4"/>
      <c r="AA119" s="4"/>
      <c r="AB119" s="4"/>
      <c r="AC119" s="4"/>
    </row>
    <row r="120" ht="15.75" customHeight="1">
      <c r="A120" s="61"/>
      <c r="B120" s="61"/>
      <c r="C120" s="61"/>
      <c r="D120" s="61"/>
      <c r="E120" s="69"/>
      <c r="F120" s="69"/>
      <c r="G120" s="69"/>
      <c r="H120" s="69"/>
      <c r="I120" s="64" t="str">
        <f t="shared" si="8"/>
        <v/>
      </c>
      <c r="J120" s="4"/>
      <c r="K120" s="4"/>
      <c r="L120" s="4"/>
      <c r="M120" s="4"/>
      <c r="N120" s="4"/>
      <c r="O120" s="4"/>
      <c r="P120" s="4"/>
      <c r="Q120" s="4"/>
      <c r="R120" s="4"/>
      <c r="S120" s="4"/>
      <c r="T120" s="4"/>
      <c r="U120" s="4"/>
      <c r="V120" s="4"/>
      <c r="W120" s="4"/>
      <c r="X120" s="4"/>
      <c r="Y120" s="4"/>
      <c r="Z120" s="4"/>
      <c r="AA120" s="4"/>
      <c r="AB120" s="4"/>
      <c r="AC120" s="4"/>
    </row>
    <row r="121" ht="15.75" customHeight="1">
      <c r="A121" s="61"/>
      <c r="B121" s="61"/>
      <c r="C121" s="61"/>
      <c r="D121" s="61"/>
      <c r="E121" s="69"/>
      <c r="F121" s="69"/>
      <c r="G121" s="69"/>
      <c r="H121" s="69"/>
      <c r="I121" s="64" t="str">
        <f t="shared" si="8"/>
        <v/>
      </c>
      <c r="J121" s="4"/>
      <c r="K121" s="4"/>
      <c r="L121" s="4"/>
      <c r="M121" s="4"/>
      <c r="N121" s="4"/>
      <c r="O121" s="4"/>
      <c r="P121" s="4"/>
      <c r="Q121" s="4"/>
      <c r="R121" s="4"/>
      <c r="S121" s="4"/>
      <c r="T121" s="4"/>
      <c r="U121" s="4"/>
      <c r="V121" s="4"/>
      <c r="W121" s="4"/>
      <c r="X121" s="4"/>
      <c r="Y121" s="4"/>
      <c r="Z121" s="4"/>
      <c r="AA121" s="4"/>
      <c r="AB121" s="4"/>
      <c r="AC121" s="4"/>
    </row>
    <row r="122" ht="15.75" customHeight="1">
      <c r="A122" s="61"/>
      <c r="B122" s="61"/>
      <c r="C122" s="61"/>
      <c r="D122" s="61"/>
      <c r="E122" s="69"/>
      <c r="F122" s="69"/>
      <c r="G122" s="69"/>
      <c r="H122" s="69"/>
      <c r="I122" s="64" t="str">
        <f t="shared" si="8"/>
        <v/>
      </c>
      <c r="J122" s="4"/>
      <c r="K122" s="4"/>
      <c r="L122" s="4"/>
      <c r="M122" s="4"/>
      <c r="N122" s="4"/>
      <c r="O122" s="4"/>
      <c r="P122" s="4"/>
      <c r="Q122" s="4"/>
      <c r="R122" s="4"/>
      <c r="S122" s="4"/>
      <c r="T122" s="4"/>
      <c r="U122" s="4"/>
      <c r="V122" s="4"/>
      <c r="W122" s="4"/>
      <c r="X122" s="4"/>
      <c r="Y122" s="4"/>
      <c r="Z122" s="4"/>
      <c r="AA122" s="4"/>
      <c r="AB122" s="4"/>
      <c r="AC122" s="4"/>
    </row>
    <row r="123" ht="15.75" customHeight="1">
      <c r="A123" s="61"/>
      <c r="B123" s="61"/>
      <c r="C123" s="61"/>
      <c r="D123" s="61"/>
      <c r="E123" s="69"/>
      <c r="F123" s="69"/>
      <c r="G123" s="69"/>
      <c r="H123" s="69"/>
      <c r="I123" s="64" t="str">
        <f t="shared" si="8"/>
        <v/>
      </c>
      <c r="J123" s="4"/>
      <c r="K123" s="4"/>
      <c r="L123" s="4"/>
      <c r="M123" s="4"/>
      <c r="N123" s="4"/>
      <c r="O123" s="4"/>
      <c r="P123" s="4"/>
      <c r="Q123" s="4"/>
      <c r="R123" s="4"/>
      <c r="S123" s="4"/>
      <c r="T123" s="4"/>
      <c r="U123" s="4"/>
      <c r="V123" s="4"/>
      <c r="W123" s="4"/>
      <c r="X123" s="4"/>
      <c r="Y123" s="4"/>
      <c r="Z123" s="4"/>
      <c r="AA123" s="4"/>
      <c r="AB123" s="4"/>
      <c r="AC123" s="4"/>
    </row>
    <row r="124" ht="15.75" customHeight="1">
      <c r="A124" s="61"/>
      <c r="B124" s="61"/>
      <c r="C124" s="61"/>
      <c r="D124" s="61"/>
      <c r="E124" s="69"/>
      <c r="F124" s="69"/>
      <c r="G124" s="69"/>
      <c r="H124" s="69"/>
      <c r="I124" s="64" t="str">
        <f t="shared" si="8"/>
        <v/>
      </c>
      <c r="J124" s="4"/>
      <c r="K124" s="4"/>
      <c r="L124" s="4"/>
      <c r="M124" s="4"/>
      <c r="N124" s="4"/>
      <c r="O124" s="4"/>
      <c r="P124" s="4"/>
      <c r="Q124" s="4"/>
      <c r="R124" s="4"/>
      <c r="S124" s="4"/>
      <c r="T124" s="4"/>
      <c r="U124" s="4"/>
      <c r="V124" s="4"/>
      <c r="W124" s="4"/>
      <c r="X124" s="4"/>
      <c r="Y124" s="4"/>
      <c r="Z124" s="4"/>
      <c r="AA124" s="4"/>
      <c r="AB124" s="4"/>
      <c r="AC124" s="4"/>
    </row>
    <row r="125" ht="15.75" customHeight="1">
      <c r="A125" s="61"/>
      <c r="B125" s="61"/>
      <c r="C125" s="61"/>
      <c r="D125" s="61"/>
      <c r="E125" s="69"/>
      <c r="F125" s="69"/>
      <c r="G125" s="69"/>
      <c r="H125" s="69"/>
      <c r="I125" s="64" t="str">
        <f t="shared" si="8"/>
        <v/>
      </c>
      <c r="J125" s="4"/>
      <c r="K125" s="4"/>
      <c r="L125" s="4"/>
      <c r="M125" s="4"/>
      <c r="N125" s="4"/>
      <c r="O125" s="4"/>
      <c r="P125" s="4"/>
      <c r="Q125" s="4"/>
      <c r="R125" s="4"/>
      <c r="S125" s="4"/>
      <c r="T125" s="4"/>
      <c r="U125" s="4"/>
      <c r="V125" s="4"/>
      <c r="W125" s="4"/>
      <c r="X125" s="4"/>
      <c r="Y125" s="4"/>
      <c r="Z125" s="4"/>
      <c r="AA125" s="4"/>
      <c r="AB125" s="4"/>
      <c r="AC125" s="4"/>
    </row>
    <row r="126" ht="15.75" customHeight="1">
      <c r="A126" s="61"/>
      <c r="B126" s="61"/>
      <c r="C126" s="61"/>
      <c r="D126" s="61"/>
      <c r="E126" s="69"/>
      <c r="F126" s="69"/>
      <c r="G126" s="69"/>
      <c r="H126" s="69"/>
      <c r="I126" s="64" t="str">
        <f t="shared" si="8"/>
        <v/>
      </c>
      <c r="J126" s="4"/>
      <c r="K126" s="4"/>
      <c r="L126" s="4"/>
      <c r="M126" s="4"/>
      <c r="N126" s="4"/>
      <c r="O126" s="4"/>
      <c r="P126" s="4"/>
      <c r="Q126" s="4"/>
      <c r="R126" s="4"/>
      <c r="S126" s="4"/>
      <c r="T126" s="4"/>
      <c r="U126" s="4"/>
      <c r="V126" s="4"/>
      <c r="W126" s="4"/>
      <c r="X126" s="4"/>
      <c r="Y126" s="4"/>
      <c r="Z126" s="4"/>
      <c r="AA126" s="4"/>
      <c r="AB126" s="4"/>
      <c r="AC126" s="4"/>
    </row>
    <row r="127" ht="15.75" customHeight="1">
      <c r="A127" s="61"/>
      <c r="B127" s="61"/>
      <c r="C127" s="61"/>
      <c r="D127" s="61"/>
      <c r="E127" s="69"/>
      <c r="F127" s="69"/>
      <c r="G127" s="69"/>
      <c r="H127" s="69"/>
      <c r="I127" s="64" t="str">
        <f t="shared" si="8"/>
        <v/>
      </c>
      <c r="J127" s="4"/>
      <c r="K127" s="4"/>
      <c r="L127" s="4"/>
      <c r="M127" s="4"/>
      <c r="N127" s="4"/>
      <c r="O127" s="4"/>
      <c r="P127" s="4"/>
      <c r="Q127" s="4"/>
      <c r="R127" s="4"/>
      <c r="S127" s="4"/>
      <c r="T127" s="4"/>
      <c r="U127" s="4"/>
      <c r="V127" s="4"/>
      <c r="W127" s="4"/>
      <c r="X127" s="4"/>
      <c r="Y127" s="4"/>
      <c r="Z127" s="4"/>
      <c r="AA127" s="4"/>
      <c r="AB127" s="4"/>
      <c r="AC127" s="4"/>
    </row>
    <row r="128" ht="15.75" customHeight="1">
      <c r="A128" s="61"/>
      <c r="B128" s="61"/>
      <c r="C128" s="61"/>
      <c r="D128" s="61"/>
      <c r="E128" s="69"/>
      <c r="F128" s="69"/>
      <c r="G128" s="69"/>
      <c r="H128" s="69"/>
      <c r="I128" s="64" t="str">
        <f t="shared" si="8"/>
        <v/>
      </c>
      <c r="J128" s="4"/>
      <c r="K128" s="4"/>
      <c r="L128" s="4"/>
      <c r="M128" s="4"/>
      <c r="N128" s="4"/>
      <c r="O128" s="4"/>
      <c r="P128" s="4"/>
      <c r="Q128" s="4"/>
      <c r="R128" s="4"/>
      <c r="S128" s="4"/>
      <c r="T128" s="4"/>
      <c r="U128" s="4"/>
      <c r="V128" s="4"/>
      <c r="W128" s="4"/>
      <c r="X128" s="4"/>
      <c r="Y128" s="4"/>
      <c r="Z128" s="4"/>
      <c r="AA128" s="4"/>
      <c r="AB128" s="4"/>
      <c r="AC128" s="4"/>
    </row>
    <row r="129" ht="15.75" customHeight="1">
      <c r="A129" s="61"/>
      <c r="B129" s="61"/>
      <c r="C129" s="61"/>
      <c r="D129" s="61"/>
      <c r="E129" s="69"/>
      <c r="F129" s="69"/>
      <c r="G129" s="69"/>
      <c r="H129" s="69"/>
      <c r="I129" s="64" t="str">
        <f t="shared" si="8"/>
        <v/>
      </c>
      <c r="J129" s="4"/>
      <c r="K129" s="4"/>
      <c r="L129" s="4"/>
      <c r="M129" s="4"/>
      <c r="N129" s="4"/>
      <c r="O129" s="4"/>
      <c r="P129" s="4"/>
      <c r="Q129" s="4"/>
      <c r="R129" s="4"/>
      <c r="S129" s="4"/>
      <c r="T129" s="4"/>
      <c r="U129" s="4"/>
      <c r="V129" s="4"/>
      <c r="W129" s="4"/>
      <c r="X129" s="4"/>
      <c r="Y129" s="4"/>
      <c r="Z129" s="4"/>
      <c r="AA129" s="4"/>
      <c r="AB129" s="4"/>
      <c r="AC129" s="4"/>
    </row>
    <row r="130" ht="15.75" customHeight="1">
      <c r="A130" s="61"/>
      <c r="B130" s="61"/>
      <c r="C130" s="61"/>
      <c r="D130" s="61"/>
      <c r="E130" s="69"/>
      <c r="F130" s="69"/>
      <c r="G130" s="69"/>
      <c r="H130" s="69"/>
      <c r="I130" s="64" t="str">
        <f t="shared" si="8"/>
        <v/>
      </c>
      <c r="J130" s="4"/>
      <c r="K130" s="4"/>
      <c r="L130" s="4"/>
      <c r="M130" s="4"/>
      <c r="N130" s="4"/>
      <c r="O130" s="4"/>
      <c r="P130" s="4"/>
      <c r="Q130" s="4"/>
      <c r="R130" s="4"/>
      <c r="S130" s="4"/>
      <c r="T130" s="4"/>
      <c r="U130" s="4"/>
      <c r="V130" s="4"/>
      <c r="W130" s="4"/>
      <c r="X130" s="4"/>
      <c r="Y130" s="4"/>
      <c r="Z130" s="4"/>
      <c r="AA130" s="4"/>
      <c r="AB130" s="4"/>
      <c r="AC130" s="4"/>
    </row>
    <row r="131" ht="15.75" customHeight="1">
      <c r="A131" s="61"/>
      <c r="B131" s="61"/>
      <c r="C131" s="61"/>
      <c r="D131" s="61"/>
      <c r="E131" s="69"/>
      <c r="F131" s="69"/>
      <c r="G131" s="69"/>
      <c r="H131" s="69"/>
      <c r="I131" s="64" t="str">
        <f t="shared" si="8"/>
        <v/>
      </c>
      <c r="J131" s="4"/>
      <c r="K131" s="4"/>
      <c r="L131" s="4"/>
      <c r="M131" s="4"/>
      <c r="N131" s="4"/>
      <c r="O131" s="4"/>
      <c r="P131" s="4"/>
      <c r="Q131" s="4"/>
      <c r="R131" s="4"/>
      <c r="S131" s="4"/>
      <c r="T131" s="4"/>
      <c r="U131" s="4"/>
      <c r="V131" s="4"/>
      <c r="W131" s="4"/>
      <c r="X131" s="4"/>
      <c r="Y131" s="4"/>
      <c r="Z131" s="4"/>
      <c r="AA131" s="4"/>
      <c r="AB131" s="4"/>
      <c r="AC131" s="4"/>
    </row>
    <row r="132" ht="15.75" customHeight="1">
      <c r="A132" s="61"/>
      <c r="B132" s="61"/>
      <c r="C132" s="61"/>
      <c r="D132" s="61"/>
      <c r="E132" s="69"/>
      <c r="F132" s="69"/>
      <c r="G132" s="69"/>
      <c r="H132" s="69"/>
      <c r="I132" s="64" t="str">
        <f t="shared" si="8"/>
        <v/>
      </c>
      <c r="J132" s="4"/>
      <c r="K132" s="4"/>
      <c r="L132" s="4"/>
      <c r="M132" s="4"/>
      <c r="N132" s="4"/>
      <c r="O132" s="4"/>
      <c r="P132" s="4"/>
      <c r="Q132" s="4"/>
      <c r="R132" s="4"/>
      <c r="S132" s="4"/>
      <c r="T132" s="4"/>
      <c r="U132" s="4"/>
      <c r="V132" s="4"/>
      <c r="W132" s="4"/>
      <c r="X132" s="4"/>
      <c r="Y132" s="4"/>
      <c r="Z132" s="4"/>
      <c r="AA132" s="4"/>
      <c r="AB132" s="4"/>
      <c r="AC132" s="4"/>
    </row>
    <row r="133" ht="15.75" customHeight="1">
      <c r="A133" s="61"/>
      <c r="B133" s="61"/>
      <c r="C133" s="61"/>
      <c r="D133" s="61"/>
      <c r="E133" s="69"/>
      <c r="F133" s="69"/>
      <c r="G133" s="69"/>
      <c r="H133" s="69"/>
      <c r="I133" s="64" t="str">
        <f t="shared" si="8"/>
        <v/>
      </c>
      <c r="J133" s="4"/>
      <c r="K133" s="4"/>
      <c r="L133" s="4"/>
      <c r="M133" s="4"/>
      <c r="N133" s="4"/>
      <c r="O133" s="4"/>
      <c r="P133" s="4"/>
      <c r="Q133" s="4"/>
      <c r="R133" s="4"/>
      <c r="S133" s="4"/>
      <c r="T133" s="4"/>
      <c r="U133" s="4"/>
      <c r="V133" s="4"/>
      <c r="W133" s="4"/>
      <c r="X133" s="4"/>
      <c r="Y133" s="4"/>
      <c r="Z133" s="4"/>
      <c r="AA133" s="4"/>
      <c r="AB133" s="4"/>
      <c r="AC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row>
    <row r="136" ht="15.75" customHeight="1">
      <c r="A136" s="49" t="s">
        <v>24</v>
      </c>
      <c r="B136" s="67" t="str">
        <f>IF(B13="","",B13)</f>
        <v/>
      </c>
      <c r="C136" s="4"/>
      <c r="D136" s="51" t="s">
        <v>47</v>
      </c>
      <c r="E136" s="4"/>
      <c r="F136" s="4"/>
      <c r="G136" s="4"/>
      <c r="H136" s="4"/>
      <c r="I136" s="4"/>
      <c r="J136" s="4"/>
      <c r="K136" s="4"/>
      <c r="L136" s="4"/>
      <c r="M136" s="4"/>
      <c r="N136" s="4"/>
      <c r="O136" s="4"/>
      <c r="P136" s="4"/>
      <c r="Q136" s="4"/>
      <c r="R136" s="4"/>
      <c r="S136" s="4"/>
      <c r="T136" s="4"/>
      <c r="U136" s="4"/>
      <c r="V136" s="4"/>
      <c r="W136" s="4"/>
      <c r="X136" s="4"/>
      <c r="Y136" s="4"/>
      <c r="Z136" s="4"/>
      <c r="AA136" s="4"/>
      <c r="AB136" s="4"/>
      <c r="AC136" s="4"/>
    </row>
    <row r="137" ht="15.75" customHeight="1">
      <c r="A137" s="49"/>
      <c r="B137" s="68"/>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row>
    <row r="138" ht="15.75" customHeight="1">
      <c r="A138" s="4"/>
      <c r="B138" s="52" t="s">
        <v>49</v>
      </c>
      <c r="C138" s="53" t="s">
        <v>50</v>
      </c>
      <c r="D138" s="54"/>
      <c r="E138" s="53" t="s">
        <v>51</v>
      </c>
      <c r="F138" s="55"/>
      <c r="G138" s="55"/>
      <c r="H138" s="54"/>
      <c r="I138" s="56"/>
      <c r="J138" s="4"/>
      <c r="K138" s="4"/>
      <c r="L138" s="4"/>
      <c r="M138" s="4"/>
      <c r="N138" s="4"/>
      <c r="O138" s="4"/>
      <c r="P138" s="4"/>
      <c r="Q138" s="4"/>
      <c r="R138" s="4"/>
      <c r="S138" s="4"/>
      <c r="T138" s="4"/>
      <c r="U138" s="4"/>
      <c r="V138" s="4"/>
      <c r="W138" s="4"/>
      <c r="X138" s="4"/>
      <c r="Y138" s="4"/>
      <c r="Z138" s="4"/>
      <c r="AA138" s="4"/>
      <c r="AB138" s="4"/>
      <c r="AC138" s="4"/>
    </row>
    <row r="139" ht="15.75" customHeight="1">
      <c r="A139" s="33" t="s">
        <v>52</v>
      </c>
      <c r="B139" s="33" t="s">
        <v>69</v>
      </c>
      <c r="C139" s="57" t="s">
        <v>54</v>
      </c>
      <c r="D139" s="57" t="s">
        <v>55</v>
      </c>
      <c r="E139" s="33" t="s">
        <v>56</v>
      </c>
      <c r="F139" s="33" t="s">
        <v>57</v>
      </c>
      <c r="G139" s="33" t="s">
        <v>58</v>
      </c>
      <c r="H139" s="33" t="s">
        <v>59</v>
      </c>
      <c r="I139" s="57" t="s">
        <v>70</v>
      </c>
      <c r="J139" s="4"/>
      <c r="K139" s="4"/>
      <c r="L139" s="4"/>
      <c r="M139" s="4"/>
      <c r="N139" s="4"/>
      <c r="O139" s="4"/>
      <c r="P139" s="4"/>
      <c r="Q139" s="4"/>
      <c r="R139" s="4"/>
      <c r="S139" s="4"/>
      <c r="T139" s="4"/>
      <c r="U139" s="4"/>
      <c r="V139" s="4"/>
      <c r="W139" s="4"/>
      <c r="X139" s="4"/>
      <c r="Y139" s="4"/>
      <c r="Z139" s="4"/>
      <c r="AA139" s="4"/>
      <c r="AB139" s="4"/>
      <c r="AC139" s="4"/>
    </row>
    <row r="140" ht="15.75" customHeight="1">
      <c r="A140" s="61"/>
      <c r="B140" s="61"/>
      <c r="C140" s="61"/>
      <c r="D140" s="61"/>
      <c r="E140" s="69"/>
      <c r="F140" s="69"/>
      <c r="G140" s="69"/>
      <c r="H140" s="69"/>
      <c r="I140" s="64" t="str">
        <f>IFERROR(B140/A140,"")</f>
        <v/>
      </c>
      <c r="J140" s="4"/>
      <c r="K140" s="4"/>
      <c r="L140" s="4"/>
      <c r="M140" s="4"/>
      <c r="N140" s="4"/>
      <c r="O140" s="4"/>
      <c r="P140" s="4"/>
      <c r="Q140" s="4"/>
      <c r="R140" s="4"/>
      <c r="S140" s="4"/>
      <c r="T140" s="4"/>
      <c r="U140" s="4"/>
      <c r="V140" s="4"/>
      <c r="W140" s="4"/>
      <c r="X140" s="4"/>
      <c r="Y140" s="4"/>
      <c r="Z140" s="4"/>
      <c r="AA140" s="4"/>
      <c r="AB140" s="4"/>
      <c r="AC140" s="4"/>
    </row>
    <row r="141" ht="15.75" customHeight="1">
      <c r="A141" s="61"/>
      <c r="B141" s="61"/>
      <c r="C141" s="61"/>
      <c r="D141" s="61"/>
      <c r="E141" s="69"/>
      <c r="F141" s="69"/>
      <c r="G141" s="69"/>
      <c r="H141" s="69"/>
      <c r="I141" s="64" t="str">
        <f t="shared" ref="I141:I159" si="9">IF(A141&lt;&gt;0,(B141-(B140-D140))/(A141-A140),"")</f>
        <v/>
      </c>
      <c r="J141" s="4"/>
      <c r="K141" s="4"/>
      <c r="L141" s="4"/>
      <c r="M141" s="4"/>
      <c r="N141" s="4"/>
      <c r="O141" s="4"/>
      <c r="P141" s="4"/>
      <c r="Q141" s="4"/>
      <c r="R141" s="4"/>
      <c r="S141" s="4"/>
      <c r="T141" s="4"/>
      <c r="U141" s="4"/>
      <c r="V141" s="4"/>
      <c r="W141" s="4"/>
      <c r="X141" s="4"/>
      <c r="Y141" s="4"/>
      <c r="Z141" s="4"/>
      <c r="AA141" s="4"/>
      <c r="AB141" s="4"/>
      <c r="AC141" s="4"/>
    </row>
    <row r="142" ht="15.75" customHeight="1">
      <c r="A142" s="61"/>
      <c r="B142" s="61"/>
      <c r="C142" s="61"/>
      <c r="D142" s="61"/>
      <c r="E142" s="69"/>
      <c r="F142" s="69"/>
      <c r="G142" s="69"/>
      <c r="H142" s="69"/>
      <c r="I142" s="64" t="str">
        <f t="shared" si="9"/>
        <v/>
      </c>
      <c r="J142" s="4"/>
      <c r="K142" s="4"/>
      <c r="L142" s="4"/>
      <c r="M142" s="4"/>
      <c r="N142" s="4"/>
      <c r="O142" s="4"/>
      <c r="P142" s="4"/>
      <c r="Q142" s="4"/>
      <c r="R142" s="4"/>
      <c r="S142" s="4"/>
      <c r="T142" s="4"/>
      <c r="U142" s="4"/>
      <c r="V142" s="4"/>
      <c r="W142" s="4"/>
      <c r="X142" s="4"/>
      <c r="Y142" s="4"/>
      <c r="Z142" s="4"/>
      <c r="AA142" s="4"/>
      <c r="AB142" s="4"/>
      <c r="AC142" s="4"/>
    </row>
    <row r="143" ht="15.75" customHeight="1">
      <c r="A143" s="61"/>
      <c r="B143" s="61"/>
      <c r="C143" s="61"/>
      <c r="D143" s="61"/>
      <c r="E143" s="69"/>
      <c r="F143" s="69"/>
      <c r="G143" s="69"/>
      <c r="H143" s="69"/>
      <c r="I143" s="64" t="str">
        <f t="shared" si="9"/>
        <v/>
      </c>
      <c r="J143" s="4"/>
      <c r="K143" s="4"/>
      <c r="L143" s="4"/>
      <c r="M143" s="4"/>
      <c r="N143" s="4"/>
      <c r="O143" s="4"/>
      <c r="P143" s="4"/>
      <c r="Q143" s="4"/>
      <c r="R143" s="4"/>
      <c r="S143" s="4"/>
      <c r="T143" s="4"/>
      <c r="U143" s="4"/>
      <c r="V143" s="4"/>
      <c r="W143" s="4"/>
      <c r="X143" s="4"/>
      <c r="Y143" s="4"/>
      <c r="Z143" s="4"/>
      <c r="AA143" s="4"/>
      <c r="AB143" s="4"/>
      <c r="AC143" s="4"/>
    </row>
    <row r="144" ht="15.75" customHeight="1">
      <c r="A144" s="61"/>
      <c r="B144" s="61"/>
      <c r="C144" s="61"/>
      <c r="D144" s="61"/>
      <c r="E144" s="69"/>
      <c r="F144" s="69"/>
      <c r="G144" s="69"/>
      <c r="H144" s="69"/>
      <c r="I144" s="64" t="str">
        <f t="shared" si="9"/>
        <v/>
      </c>
      <c r="J144" s="4"/>
      <c r="K144" s="4"/>
      <c r="L144" s="4"/>
      <c r="M144" s="4"/>
      <c r="N144" s="4"/>
      <c r="O144" s="4"/>
      <c r="P144" s="4"/>
      <c r="Q144" s="4"/>
      <c r="R144" s="4"/>
      <c r="S144" s="4"/>
      <c r="T144" s="4"/>
      <c r="U144" s="4"/>
      <c r="V144" s="4"/>
      <c r="W144" s="4"/>
      <c r="X144" s="4"/>
      <c r="Y144" s="4"/>
      <c r="Z144" s="4"/>
      <c r="AA144" s="4"/>
      <c r="AB144" s="4"/>
      <c r="AC144" s="4"/>
    </row>
    <row r="145" ht="15.75" customHeight="1">
      <c r="A145" s="61"/>
      <c r="B145" s="61"/>
      <c r="C145" s="61"/>
      <c r="D145" s="61"/>
      <c r="E145" s="69"/>
      <c r="F145" s="69"/>
      <c r="G145" s="69"/>
      <c r="H145" s="69"/>
      <c r="I145" s="64" t="str">
        <f t="shared" si="9"/>
        <v/>
      </c>
      <c r="J145" s="4"/>
      <c r="K145" s="4"/>
      <c r="L145" s="4"/>
      <c r="M145" s="4"/>
      <c r="N145" s="4"/>
      <c r="O145" s="4"/>
      <c r="P145" s="4"/>
      <c r="Q145" s="4"/>
      <c r="R145" s="4"/>
      <c r="S145" s="4"/>
      <c r="T145" s="4"/>
      <c r="U145" s="4"/>
      <c r="V145" s="4"/>
      <c r="W145" s="4"/>
      <c r="X145" s="4"/>
      <c r="Y145" s="4"/>
      <c r="Z145" s="4"/>
      <c r="AA145" s="4"/>
      <c r="AB145" s="4"/>
      <c r="AC145" s="4"/>
    </row>
    <row r="146" ht="15.75" customHeight="1">
      <c r="A146" s="61"/>
      <c r="B146" s="61"/>
      <c r="C146" s="61"/>
      <c r="D146" s="61"/>
      <c r="E146" s="69"/>
      <c r="F146" s="69"/>
      <c r="G146" s="69"/>
      <c r="H146" s="69"/>
      <c r="I146" s="64" t="str">
        <f t="shared" si="9"/>
        <v/>
      </c>
      <c r="J146" s="4"/>
      <c r="K146" s="4"/>
      <c r="L146" s="4"/>
      <c r="M146" s="4"/>
      <c r="N146" s="4"/>
      <c r="O146" s="4"/>
      <c r="P146" s="4"/>
      <c r="Q146" s="4"/>
      <c r="R146" s="4"/>
      <c r="S146" s="4"/>
      <c r="T146" s="4"/>
      <c r="U146" s="4"/>
      <c r="V146" s="4"/>
      <c r="W146" s="4"/>
      <c r="X146" s="4"/>
      <c r="Y146" s="4"/>
      <c r="Z146" s="4"/>
      <c r="AA146" s="4"/>
      <c r="AB146" s="4"/>
      <c r="AC146" s="4"/>
    </row>
    <row r="147" ht="15.75" customHeight="1">
      <c r="A147" s="61"/>
      <c r="B147" s="61"/>
      <c r="C147" s="61"/>
      <c r="D147" s="61"/>
      <c r="E147" s="69"/>
      <c r="F147" s="69"/>
      <c r="G147" s="69"/>
      <c r="H147" s="69"/>
      <c r="I147" s="64" t="str">
        <f t="shared" si="9"/>
        <v/>
      </c>
      <c r="J147" s="4"/>
      <c r="K147" s="4"/>
      <c r="L147" s="4"/>
      <c r="M147" s="4"/>
      <c r="N147" s="4"/>
      <c r="O147" s="4"/>
      <c r="P147" s="4"/>
      <c r="Q147" s="4"/>
      <c r="R147" s="4"/>
      <c r="S147" s="4"/>
      <c r="T147" s="4"/>
      <c r="U147" s="4"/>
      <c r="V147" s="4"/>
      <c r="W147" s="4"/>
      <c r="X147" s="4"/>
      <c r="Y147" s="4"/>
      <c r="Z147" s="4"/>
      <c r="AA147" s="4"/>
      <c r="AB147" s="4"/>
      <c r="AC147" s="4"/>
    </row>
    <row r="148" ht="15.75" customHeight="1">
      <c r="A148" s="61"/>
      <c r="B148" s="61"/>
      <c r="C148" s="61"/>
      <c r="D148" s="61"/>
      <c r="E148" s="69"/>
      <c r="F148" s="69"/>
      <c r="G148" s="69"/>
      <c r="H148" s="69"/>
      <c r="I148" s="64" t="str">
        <f t="shared" si="9"/>
        <v/>
      </c>
      <c r="J148" s="4"/>
      <c r="K148" s="4"/>
      <c r="L148" s="4"/>
      <c r="M148" s="4"/>
      <c r="N148" s="4"/>
      <c r="O148" s="4"/>
      <c r="P148" s="4"/>
      <c r="Q148" s="4"/>
      <c r="R148" s="4"/>
      <c r="S148" s="4"/>
      <c r="T148" s="4"/>
      <c r="U148" s="4"/>
      <c r="V148" s="4"/>
      <c r="W148" s="4"/>
      <c r="X148" s="4"/>
      <c r="Y148" s="4"/>
      <c r="Z148" s="4"/>
      <c r="AA148" s="4"/>
      <c r="AB148" s="4"/>
      <c r="AC148" s="4"/>
    </row>
    <row r="149" ht="15.75" customHeight="1">
      <c r="A149" s="61"/>
      <c r="B149" s="61"/>
      <c r="C149" s="61"/>
      <c r="D149" s="61"/>
      <c r="E149" s="69"/>
      <c r="F149" s="69"/>
      <c r="G149" s="69"/>
      <c r="H149" s="69"/>
      <c r="I149" s="64" t="str">
        <f t="shared" si="9"/>
        <v/>
      </c>
      <c r="J149" s="4"/>
      <c r="K149" s="4"/>
      <c r="L149" s="4"/>
      <c r="M149" s="4"/>
      <c r="N149" s="4"/>
      <c r="O149" s="4"/>
      <c r="P149" s="4"/>
      <c r="Q149" s="4"/>
      <c r="R149" s="4"/>
      <c r="S149" s="4"/>
      <c r="T149" s="4"/>
      <c r="U149" s="4"/>
      <c r="V149" s="4"/>
      <c r="W149" s="4"/>
      <c r="X149" s="4"/>
      <c r="Y149" s="4"/>
      <c r="Z149" s="4"/>
      <c r="AA149" s="4"/>
      <c r="AB149" s="4"/>
      <c r="AC149" s="4"/>
    </row>
    <row r="150" ht="15.75" customHeight="1">
      <c r="A150" s="61"/>
      <c r="B150" s="61"/>
      <c r="C150" s="61"/>
      <c r="D150" s="61"/>
      <c r="E150" s="69"/>
      <c r="F150" s="69"/>
      <c r="G150" s="69"/>
      <c r="H150" s="69"/>
      <c r="I150" s="64" t="str">
        <f t="shared" si="9"/>
        <v/>
      </c>
      <c r="J150" s="4"/>
      <c r="K150" s="4"/>
      <c r="L150" s="4"/>
      <c r="M150" s="4"/>
      <c r="N150" s="4"/>
      <c r="O150" s="4"/>
      <c r="P150" s="4"/>
      <c r="Q150" s="4"/>
      <c r="R150" s="4"/>
      <c r="S150" s="4"/>
      <c r="T150" s="4"/>
      <c r="U150" s="4"/>
      <c r="V150" s="4"/>
      <c r="W150" s="4"/>
      <c r="X150" s="4"/>
      <c r="Y150" s="4"/>
      <c r="Z150" s="4"/>
      <c r="AA150" s="4"/>
      <c r="AB150" s="4"/>
      <c r="AC150" s="4"/>
    </row>
    <row r="151" ht="15.75" customHeight="1">
      <c r="A151" s="61"/>
      <c r="B151" s="61"/>
      <c r="C151" s="61"/>
      <c r="D151" s="61"/>
      <c r="E151" s="69"/>
      <c r="F151" s="69"/>
      <c r="G151" s="69"/>
      <c r="H151" s="69"/>
      <c r="I151" s="64" t="str">
        <f t="shared" si="9"/>
        <v/>
      </c>
      <c r="J151" s="4"/>
      <c r="K151" s="4"/>
      <c r="L151" s="4"/>
      <c r="M151" s="4"/>
      <c r="N151" s="4"/>
      <c r="O151" s="4"/>
      <c r="P151" s="4"/>
      <c r="Q151" s="4"/>
      <c r="R151" s="4"/>
      <c r="S151" s="4"/>
      <c r="T151" s="4"/>
      <c r="U151" s="4"/>
      <c r="V151" s="4"/>
      <c r="W151" s="4"/>
      <c r="X151" s="4"/>
      <c r="Y151" s="4"/>
      <c r="Z151" s="4"/>
      <c r="AA151" s="4"/>
      <c r="AB151" s="4"/>
      <c r="AC151" s="4"/>
    </row>
    <row r="152" ht="15.75" customHeight="1">
      <c r="A152" s="61"/>
      <c r="B152" s="61"/>
      <c r="C152" s="61"/>
      <c r="D152" s="61"/>
      <c r="E152" s="69"/>
      <c r="F152" s="69"/>
      <c r="G152" s="69"/>
      <c r="H152" s="69"/>
      <c r="I152" s="64" t="str">
        <f t="shared" si="9"/>
        <v/>
      </c>
      <c r="J152" s="4"/>
      <c r="K152" s="4"/>
      <c r="L152" s="4"/>
      <c r="M152" s="4"/>
      <c r="N152" s="4"/>
      <c r="O152" s="4"/>
      <c r="P152" s="4"/>
      <c r="Q152" s="4"/>
      <c r="R152" s="4"/>
      <c r="S152" s="4"/>
      <c r="T152" s="4"/>
      <c r="U152" s="4"/>
      <c r="V152" s="4"/>
      <c r="W152" s="4"/>
      <c r="X152" s="4"/>
      <c r="Y152" s="4"/>
      <c r="Z152" s="4"/>
      <c r="AA152" s="4"/>
      <c r="AB152" s="4"/>
      <c r="AC152" s="4"/>
    </row>
    <row r="153" ht="15.75" customHeight="1">
      <c r="A153" s="61"/>
      <c r="B153" s="61"/>
      <c r="C153" s="61"/>
      <c r="D153" s="61"/>
      <c r="E153" s="69"/>
      <c r="F153" s="69"/>
      <c r="G153" s="69"/>
      <c r="H153" s="69"/>
      <c r="I153" s="64" t="str">
        <f t="shared" si="9"/>
        <v/>
      </c>
      <c r="J153" s="4"/>
      <c r="K153" s="4"/>
      <c r="L153" s="4"/>
      <c r="M153" s="4"/>
      <c r="N153" s="4"/>
      <c r="O153" s="4"/>
      <c r="P153" s="4"/>
      <c r="Q153" s="4"/>
      <c r="R153" s="4"/>
      <c r="S153" s="4"/>
      <c r="T153" s="4"/>
      <c r="U153" s="4"/>
      <c r="V153" s="4"/>
      <c r="W153" s="4"/>
      <c r="X153" s="4"/>
      <c r="Y153" s="4"/>
      <c r="Z153" s="4"/>
      <c r="AA153" s="4"/>
      <c r="AB153" s="4"/>
      <c r="AC153" s="4"/>
    </row>
    <row r="154" ht="15.75" customHeight="1">
      <c r="A154" s="70"/>
      <c r="B154" s="71"/>
      <c r="C154" s="61"/>
      <c r="D154" s="61"/>
      <c r="E154" s="69"/>
      <c r="F154" s="69"/>
      <c r="G154" s="69"/>
      <c r="H154" s="69"/>
      <c r="I154" s="64" t="str">
        <f t="shared" si="9"/>
        <v/>
      </c>
      <c r="J154" s="4"/>
      <c r="K154" s="4"/>
      <c r="L154" s="4"/>
      <c r="M154" s="4"/>
      <c r="N154" s="4"/>
      <c r="O154" s="4"/>
      <c r="P154" s="4"/>
      <c r="Q154" s="4"/>
      <c r="R154" s="4"/>
      <c r="S154" s="4"/>
      <c r="T154" s="4"/>
      <c r="U154" s="4"/>
      <c r="V154" s="4"/>
      <c r="W154" s="4"/>
      <c r="X154" s="4"/>
      <c r="Y154" s="4"/>
      <c r="Z154" s="4"/>
      <c r="AA154" s="4"/>
      <c r="AB154" s="4"/>
      <c r="AC154" s="4"/>
    </row>
    <row r="155" ht="15.75" customHeight="1">
      <c r="A155" s="70"/>
      <c r="B155" s="71"/>
      <c r="C155" s="61"/>
      <c r="D155" s="61"/>
      <c r="E155" s="69"/>
      <c r="F155" s="69"/>
      <c r="G155" s="69"/>
      <c r="H155" s="69"/>
      <c r="I155" s="64" t="str">
        <f t="shared" si="9"/>
        <v/>
      </c>
      <c r="J155" s="4"/>
      <c r="K155" s="4"/>
      <c r="L155" s="4"/>
      <c r="M155" s="4"/>
      <c r="N155" s="4"/>
      <c r="O155" s="4"/>
      <c r="P155" s="4"/>
      <c r="Q155" s="4"/>
      <c r="R155" s="4"/>
      <c r="S155" s="4"/>
      <c r="T155" s="4"/>
      <c r="U155" s="4"/>
      <c r="V155" s="4"/>
      <c r="W155" s="4"/>
      <c r="X155" s="4"/>
      <c r="Y155" s="4"/>
      <c r="Z155" s="4"/>
      <c r="AA155" s="4"/>
      <c r="AB155" s="4"/>
      <c r="AC155" s="4"/>
    </row>
    <row r="156" ht="15.75" customHeight="1">
      <c r="A156" s="70"/>
      <c r="B156" s="71"/>
      <c r="C156" s="61"/>
      <c r="D156" s="61"/>
      <c r="E156" s="69"/>
      <c r="F156" s="69"/>
      <c r="G156" s="69"/>
      <c r="H156" s="69"/>
      <c r="I156" s="64" t="str">
        <f t="shared" si="9"/>
        <v/>
      </c>
      <c r="J156" s="4"/>
      <c r="K156" s="4"/>
      <c r="L156" s="4"/>
      <c r="M156" s="4"/>
      <c r="N156" s="4"/>
      <c r="O156" s="4"/>
      <c r="P156" s="4"/>
      <c r="Q156" s="4"/>
      <c r="R156" s="4"/>
      <c r="S156" s="4"/>
      <c r="T156" s="4"/>
      <c r="U156" s="4"/>
      <c r="V156" s="4"/>
      <c r="W156" s="4"/>
      <c r="X156" s="4"/>
      <c r="Y156" s="4"/>
      <c r="Z156" s="4"/>
      <c r="AA156" s="4"/>
      <c r="AB156" s="4"/>
      <c r="AC156" s="4"/>
    </row>
    <row r="157" ht="15.75" customHeight="1">
      <c r="A157" s="70"/>
      <c r="B157" s="71"/>
      <c r="C157" s="61"/>
      <c r="D157" s="61"/>
      <c r="E157" s="69"/>
      <c r="F157" s="69"/>
      <c r="G157" s="69"/>
      <c r="H157" s="69"/>
      <c r="I157" s="64" t="str">
        <f t="shared" si="9"/>
        <v/>
      </c>
      <c r="J157" s="4"/>
      <c r="K157" s="4"/>
      <c r="L157" s="4"/>
      <c r="M157" s="4"/>
      <c r="N157" s="4"/>
      <c r="O157" s="4"/>
      <c r="P157" s="4"/>
      <c r="Q157" s="4"/>
      <c r="R157" s="4"/>
      <c r="S157" s="4"/>
      <c r="T157" s="4"/>
      <c r="U157" s="4"/>
      <c r="V157" s="4"/>
      <c r="W157" s="4"/>
      <c r="X157" s="4"/>
      <c r="Y157" s="4"/>
      <c r="Z157" s="4"/>
      <c r="AA157" s="4"/>
      <c r="AB157" s="4"/>
      <c r="AC157" s="4"/>
    </row>
    <row r="158" ht="15.75" customHeight="1">
      <c r="A158" s="70"/>
      <c r="B158" s="71"/>
      <c r="C158" s="61"/>
      <c r="D158" s="61"/>
      <c r="E158" s="69"/>
      <c r="F158" s="69"/>
      <c r="G158" s="69"/>
      <c r="H158" s="69"/>
      <c r="I158" s="64" t="str">
        <f t="shared" si="9"/>
        <v/>
      </c>
      <c r="J158" s="4"/>
      <c r="K158" s="4"/>
      <c r="L158" s="4"/>
      <c r="M158" s="4"/>
      <c r="N158" s="4"/>
      <c r="O158" s="4"/>
      <c r="P158" s="4"/>
      <c r="Q158" s="4"/>
      <c r="R158" s="4"/>
      <c r="S158" s="4"/>
      <c r="T158" s="4"/>
      <c r="U158" s="4"/>
      <c r="V158" s="4"/>
      <c r="W158" s="4"/>
      <c r="X158" s="4"/>
      <c r="Y158" s="4"/>
      <c r="Z158" s="4"/>
      <c r="AA158" s="4"/>
      <c r="AB158" s="4"/>
      <c r="AC158" s="4"/>
    </row>
    <row r="159" ht="15.75" customHeight="1">
      <c r="A159" s="70"/>
      <c r="B159" s="71"/>
      <c r="C159" s="61"/>
      <c r="D159" s="62"/>
      <c r="E159" s="69"/>
      <c r="F159" s="69"/>
      <c r="G159" s="69"/>
      <c r="H159" s="69"/>
      <c r="I159" s="64" t="str">
        <f t="shared" si="9"/>
        <v/>
      </c>
      <c r="J159" s="4"/>
      <c r="K159" s="4"/>
      <c r="L159" s="4"/>
      <c r="M159" s="4"/>
      <c r="N159" s="4"/>
      <c r="O159" s="4"/>
      <c r="P159" s="4"/>
      <c r="Q159" s="4"/>
      <c r="R159" s="4"/>
      <c r="S159" s="4"/>
      <c r="T159" s="4"/>
      <c r="U159" s="4"/>
      <c r="V159" s="4"/>
      <c r="W159" s="4"/>
      <c r="X159" s="4"/>
      <c r="Y159" s="4"/>
      <c r="Z159" s="4"/>
      <c r="AA159" s="4"/>
      <c r="AB159" s="4"/>
      <c r="AC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ht="15.75" customHeight="1">
      <c r="A162" s="49" t="s">
        <v>25</v>
      </c>
      <c r="B162" s="67" t="str">
        <f>IF(B14="","",B14)</f>
        <v/>
      </c>
      <c r="C162" s="4"/>
      <c r="D162" s="51" t="s">
        <v>47</v>
      </c>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ht="15.75" customHeight="1">
      <c r="A163" s="49"/>
      <c r="B163" s="68"/>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ht="15.75" customHeight="1">
      <c r="A164" s="4"/>
      <c r="B164" s="52" t="s">
        <v>49</v>
      </c>
      <c r="C164" s="53" t="s">
        <v>50</v>
      </c>
      <c r="D164" s="54"/>
      <c r="E164" s="53" t="s">
        <v>51</v>
      </c>
      <c r="F164" s="55"/>
      <c r="G164" s="55"/>
      <c r="H164" s="54"/>
      <c r="I164" s="56"/>
      <c r="J164" s="4"/>
      <c r="K164" s="4"/>
      <c r="L164" s="4"/>
      <c r="M164" s="4"/>
      <c r="N164" s="4"/>
      <c r="O164" s="4"/>
      <c r="P164" s="4"/>
      <c r="Q164" s="4"/>
      <c r="R164" s="4"/>
      <c r="S164" s="4"/>
      <c r="T164" s="4"/>
      <c r="U164" s="4"/>
      <c r="V164" s="4"/>
      <c r="W164" s="4"/>
      <c r="X164" s="4"/>
      <c r="Y164" s="4"/>
      <c r="Z164" s="4"/>
      <c r="AA164" s="4"/>
      <c r="AB164" s="4"/>
      <c r="AC164" s="4"/>
    </row>
    <row r="165" ht="15.75" customHeight="1">
      <c r="A165" s="33" t="s">
        <v>52</v>
      </c>
      <c r="B165" s="33" t="s">
        <v>71</v>
      </c>
      <c r="C165" s="57" t="s">
        <v>54</v>
      </c>
      <c r="D165" s="57" t="s">
        <v>55</v>
      </c>
      <c r="E165" s="33" t="s">
        <v>56</v>
      </c>
      <c r="F165" s="33" t="s">
        <v>57</v>
      </c>
      <c r="G165" s="33" t="s">
        <v>58</v>
      </c>
      <c r="H165" s="33" t="s">
        <v>59</v>
      </c>
      <c r="I165" s="57" t="s">
        <v>72</v>
      </c>
      <c r="J165" s="4"/>
      <c r="K165" s="4"/>
      <c r="L165" s="4"/>
      <c r="M165" s="4"/>
      <c r="N165" s="4"/>
      <c r="O165" s="4"/>
      <c r="P165" s="4"/>
      <c r="Q165" s="4"/>
      <c r="R165" s="4"/>
      <c r="S165" s="4"/>
      <c r="T165" s="4"/>
      <c r="U165" s="4"/>
      <c r="V165" s="4"/>
      <c r="W165" s="4"/>
      <c r="X165" s="4"/>
      <c r="Y165" s="4"/>
      <c r="Z165" s="4"/>
      <c r="AA165" s="4"/>
      <c r="AB165" s="4"/>
      <c r="AC165" s="4"/>
    </row>
    <row r="166" ht="15.75" customHeight="1">
      <c r="A166" s="61"/>
      <c r="B166" s="61"/>
      <c r="C166" s="61"/>
      <c r="D166" s="61"/>
      <c r="E166" s="69"/>
      <c r="F166" s="69"/>
      <c r="G166" s="69"/>
      <c r="H166" s="69"/>
      <c r="I166" s="43" t="str">
        <f>IFERROR(B166/A166,"")</f>
        <v/>
      </c>
      <c r="J166" s="4"/>
      <c r="K166" s="4"/>
      <c r="L166" s="4"/>
      <c r="M166" s="4"/>
      <c r="N166" s="4"/>
      <c r="O166" s="4"/>
      <c r="P166" s="4"/>
      <c r="Q166" s="4"/>
      <c r="R166" s="4"/>
      <c r="S166" s="4"/>
      <c r="T166" s="4"/>
      <c r="U166" s="4"/>
      <c r="V166" s="4"/>
      <c r="W166" s="4"/>
      <c r="X166" s="4"/>
      <c r="Y166" s="4"/>
      <c r="Z166" s="4"/>
      <c r="AA166" s="4"/>
      <c r="AB166" s="4"/>
      <c r="AC166" s="4"/>
    </row>
    <row r="167" ht="15.75" customHeight="1">
      <c r="A167" s="61"/>
      <c r="B167" s="61"/>
      <c r="C167" s="61"/>
      <c r="D167" s="61"/>
      <c r="E167" s="69"/>
      <c r="F167" s="69"/>
      <c r="G167" s="69"/>
      <c r="H167" s="69"/>
      <c r="I167" s="43" t="str">
        <f t="shared" ref="I167:I185" si="10">IF(A167&lt;&gt;0,(B167-(B166-D166))/(A167-A166),"")</f>
        <v/>
      </c>
      <c r="J167" s="4"/>
      <c r="K167" s="4"/>
      <c r="L167" s="4"/>
      <c r="M167" s="4"/>
      <c r="N167" s="4"/>
      <c r="O167" s="4"/>
      <c r="P167" s="4"/>
      <c r="Q167" s="4"/>
      <c r="R167" s="4"/>
      <c r="S167" s="4"/>
      <c r="T167" s="4"/>
      <c r="U167" s="4"/>
      <c r="V167" s="4"/>
      <c r="W167" s="4"/>
      <c r="X167" s="4"/>
      <c r="Y167" s="4"/>
      <c r="Z167" s="4"/>
      <c r="AA167" s="4"/>
      <c r="AB167" s="4"/>
      <c r="AC167" s="4"/>
    </row>
    <row r="168" ht="15.75" customHeight="1">
      <c r="A168" s="61"/>
      <c r="B168" s="61"/>
      <c r="C168" s="61"/>
      <c r="D168" s="61"/>
      <c r="E168" s="69"/>
      <c r="F168" s="69"/>
      <c r="G168" s="69"/>
      <c r="H168" s="69"/>
      <c r="I168" s="43" t="str">
        <f t="shared" si="10"/>
        <v/>
      </c>
      <c r="J168" s="4"/>
      <c r="K168" s="4"/>
      <c r="L168" s="4"/>
      <c r="M168" s="4"/>
      <c r="N168" s="4"/>
      <c r="O168" s="4"/>
      <c r="P168" s="4"/>
      <c r="Q168" s="4"/>
      <c r="R168" s="4"/>
      <c r="S168" s="4"/>
      <c r="T168" s="4"/>
      <c r="U168" s="4"/>
      <c r="V168" s="4"/>
      <c r="W168" s="4"/>
      <c r="X168" s="4"/>
      <c r="Y168" s="4"/>
      <c r="Z168" s="4"/>
      <c r="AA168" s="4"/>
      <c r="AB168" s="4"/>
      <c r="AC168" s="4"/>
    </row>
    <row r="169" ht="15.75" customHeight="1">
      <c r="A169" s="61"/>
      <c r="B169" s="61"/>
      <c r="C169" s="61"/>
      <c r="D169" s="61"/>
      <c r="E169" s="69"/>
      <c r="F169" s="69"/>
      <c r="G169" s="69"/>
      <c r="H169" s="69"/>
      <c r="I169" s="43" t="str">
        <f t="shared" si="10"/>
        <v/>
      </c>
      <c r="J169" s="4"/>
      <c r="K169" s="4"/>
      <c r="L169" s="4"/>
      <c r="M169" s="4"/>
      <c r="N169" s="4"/>
      <c r="O169" s="4"/>
      <c r="P169" s="4"/>
      <c r="Q169" s="4"/>
      <c r="R169" s="4"/>
      <c r="S169" s="4"/>
      <c r="T169" s="4"/>
      <c r="U169" s="4"/>
      <c r="V169" s="4"/>
      <c r="W169" s="4"/>
      <c r="X169" s="4"/>
      <c r="Y169" s="4"/>
      <c r="Z169" s="4"/>
      <c r="AA169" s="4"/>
      <c r="AB169" s="4"/>
      <c r="AC169" s="4"/>
    </row>
    <row r="170" ht="15.75" customHeight="1">
      <c r="A170" s="61"/>
      <c r="B170" s="61"/>
      <c r="C170" s="61"/>
      <c r="D170" s="61"/>
      <c r="E170" s="69"/>
      <c r="F170" s="69"/>
      <c r="G170" s="69"/>
      <c r="H170" s="69"/>
      <c r="I170" s="43" t="str">
        <f t="shared" si="10"/>
        <v/>
      </c>
      <c r="J170" s="4"/>
      <c r="K170" s="4"/>
      <c r="L170" s="4"/>
      <c r="M170" s="4"/>
      <c r="N170" s="4"/>
      <c r="O170" s="4"/>
      <c r="P170" s="4"/>
      <c r="Q170" s="4"/>
      <c r="R170" s="4"/>
      <c r="S170" s="4"/>
      <c r="T170" s="4"/>
      <c r="U170" s="4"/>
      <c r="V170" s="4"/>
      <c r="W170" s="4"/>
      <c r="X170" s="4"/>
      <c r="Y170" s="4"/>
      <c r="Z170" s="4"/>
      <c r="AA170" s="4"/>
      <c r="AB170" s="4"/>
      <c r="AC170" s="4"/>
    </row>
    <row r="171" ht="15.75" customHeight="1">
      <c r="A171" s="61"/>
      <c r="B171" s="61"/>
      <c r="C171" s="61"/>
      <c r="D171" s="61"/>
      <c r="E171" s="69"/>
      <c r="F171" s="69"/>
      <c r="G171" s="69"/>
      <c r="H171" s="69"/>
      <c r="I171" s="43" t="str">
        <f t="shared" si="10"/>
        <v/>
      </c>
      <c r="J171" s="4"/>
      <c r="K171" s="4"/>
      <c r="L171" s="4"/>
      <c r="M171" s="4"/>
      <c r="N171" s="4"/>
      <c r="O171" s="4"/>
      <c r="P171" s="4"/>
      <c r="Q171" s="4"/>
      <c r="R171" s="4"/>
      <c r="S171" s="4"/>
      <c r="T171" s="4"/>
      <c r="U171" s="4"/>
      <c r="V171" s="4"/>
      <c r="W171" s="4"/>
      <c r="X171" s="4"/>
      <c r="Y171" s="4"/>
      <c r="Z171" s="4"/>
      <c r="AA171" s="4"/>
      <c r="AB171" s="4"/>
      <c r="AC171" s="4"/>
    </row>
    <row r="172" ht="15.75" customHeight="1">
      <c r="A172" s="61"/>
      <c r="B172" s="61"/>
      <c r="C172" s="61"/>
      <c r="D172" s="61"/>
      <c r="E172" s="69"/>
      <c r="F172" s="69"/>
      <c r="G172" s="69"/>
      <c r="H172" s="69"/>
      <c r="I172" s="43" t="str">
        <f t="shared" si="10"/>
        <v/>
      </c>
      <c r="J172" s="4"/>
      <c r="K172" s="4"/>
      <c r="L172" s="4"/>
      <c r="M172" s="4"/>
      <c r="N172" s="4"/>
      <c r="O172" s="4"/>
      <c r="P172" s="4"/>
      <c r="Q172" s="4"/>
      <c r="R172" s="4"/>
      <c r="S172" s="4"/>
      <c r="T172" s="4"/>
      <c r="U172" s="4"/>
      <c r="V172" s="4"/>
      <c r="W172" s="4"/>
      <c r="X172" s="4"/>
      <c r="Y172" s="4"/>
      <c r="Z172" s="4"/>
      <c r="AA172" s="4"/>
      <c r="AB172" s="4"/>
      <c r="AC172" s="4"/>
    </row>
    <row r="173" ht="15.75" customHeight="1">
      <c r="A173" s="61"/>
      <c r="B173" s="61"/>
      <c r="C173" s="61"/>
      <c r="D173" s="61"/>
      <c r="E173" s="69"/>
      <c r="F173" s="69"/>
      <c r="G173" s="69"/>
      <c r="H173" s="69"/>
      <c r="I173" s="43" t="str">
        <f t="shared" si="10"/>
        <v/>
      </c>
      <c r="J173" s="4"/>
      <c r="K173" s="4"/>
      <c r="L173" s="4"/>
      <c r="M173" s="4"/>
      <c r="N173" s="4"/>
      <c r="O173" s="4"/>
      <c r="P173" s="4"/>
      <c r="Q173" s="4"/>
      <c r="R173" s="4"/>
      <c r="S173" s="4"/>
      <c r="T173" s="4"/>
      <c r="U173" s="4"/>
      <c r="V173" s="4"/>
      <c r="W173" s="4"/>
      <c r="X173" s="4"/>
      <c r="Y173" s="4"/>
      <c r="Z173" s="4"/>
      <c r="AA173" s="4"/>
      <c r="AB173" s="4"/>
      <c r="AC173" s="4"/>
    </row>
    <row r="174" ht="15.75" customHeight="1">
      <c r="A174" s="61"/>
      <c r="B174" s="61"/>
      <c r="C174" s="61"/>
      <c r="D174" s="61"/>
      <c r="E174" s="69"/>
      <c r="F174" s="69"/>
      <c r="G174" s="69"/>
      <c r="H174" s="69"/>
      <c r="I174" s="43" t="str">
        <f t="shared" si="10"/>
        <v/>
      </c>
      <c r="J174" s="4"/>
      <c r="K174" s="4"/>
      <c r="L174" s="4"/>
      <c r="M174" s="4"/>
      <c r="N174" s="4"/>
      <c r="O174" s="4"/>
      <c r="P174" s="4"/>
      <c r="Q174" s="4"/>
      <c r="R174" s="4"/>
      <c r="S174" s="4"/>
      <c r="T174" s="4"/>
      <c r="U174" s="4"/>
      <c r="V174" s="4"/>
      <c r="W174" s="4"/>
      <c r="X174" s="4"/>
      <c r="Y174" s="4"/>
      <c r="Z174" s="4"/>
      <c r="AA174" s="4"/>
      <c r="AB174" s="4"/>
      <c r="AC174" s="4"/>
    </row>
    <row r="175" ht="15.75" customHeight="1">
      <c r="A175" s="61"/>
      <c r="B175" s="61"/>
      <c r="C175" s="61"/>
      <c r="D175" s="61"/>
      <c r="E175" s="69"/>
      <c r="F175" s="69"/>
      <c r="G175" s="69"/>
      <c r="H175" s="69"/>
      <c r="I175" s="43" t="str">
        <f t="shared" si="10"/>
        <v/>
      </c>
      <c r="J175" s="4"/>
      <c r="K175" s="4"/>
      <c r="L175" s="4"/>
      <c r="M175" s="4"/>
      <c r="N175" s="4"/>
      <c r="O175" s="4"/>
      <c r="P175" s="4"/>
      <c r="Q175" s="4"/>
      <c r="R175" s="4"/>
      <c r="S175" s="4"/>
      <c r="T175" s="4"/>
      <c r="U175" s="4"/>
      <c r="V175" s="4"/>
      <c r="W175" s="4"/>
      <c r="X175" s="4"/>
      <c r="Y175" s="4"/>
      <c r="Z175" s="4"/>
      <c r="AA175" s="4"/>
      <c r="AB175" s="4"/>
      <c r="AC175" s="4"/>
    </row>
    <row r="176" ht="15.75" customHeight="1">
      <c r="A176" s="61"/>
      <c r="B176" s="61"/>
      <c r="C176" s="61"/>
      <c r="D176" s="61"/>
      <c r="E176" s="69"/>
      <c r="F176" s="69"/>
      <c r="G176" s="69"/>
      <c r="H176" s="69"/>
      <c r="I176" s="43" t="str">
        <f t="shared" si="10"/>
        <v/>
      </c>
      <c r="J176" s="4"/>
      <c r="K176" s="4"/>
      <c r="L176" s="4"/>
      <c r="M176" s="4"/>
      <c r="N176" s="4"/>
      <c r="O176" s="4"/>
      <c r="P176" s="4"/>
      <c r="Q176" s="4"/>
      <c r="R176" s="4"/>
      <c r="S176" s="4"/>
      <c r="T176" s="4"/>
      <c r="U176" s="4"/>
      <c r="V176" s="4"/>
      <c r="W176" s="4"/>
      <c r="X176" s="4"/>
      <c r="Y176" s="4"/>
      <c r="Z176" s="4"/>
      <c r="AA176" s="4"/>
      <c r="AB176" s="4"/>
      <c r="AC176" s="4"/>
    </row>
    <row r="177" ht="15.75" customHeight="1">
      <c r="A177" s="61"/>
      <c r="B177" s="61"/>
      <c r="C177" s="61"/>
      <c r="D177" s="61"/>
      <c r="E177" s="69"/>
      <c r="F177" s="69"/>
      <c r="G177" s="69"/>
      <c r="H177" s="69"/>
      <c r="I177" s="43" t="str">
        <f t="shared" si="10"/>
        <v/>
      </c>
      <c r="J177" s="4"/>
      <c r="K177" s="4"/>
      <c r="L177" s="4"/>
      <c r="M177" s="4"/>
      <c r="N177" s="4"/>
      <c r="O177" s="4"/>
      <c r="P177" s="4"/>
      <c r="Q177" s="4"/>
      <c r="R177" s="4"/>
      <c r="S177" s="4"/>
      <c r="T177" s="4"/>
      <c r="U177" s="4"/>
      <c r="V177" s="4"/>
      <c r="W177" s="4"/>
      <c r="X177" s="4"/>
      <c r="Y177" s="4"/>
      <c r="Z177" s="4"/>
      <c r="AA177" s="4"/>
      <c r="AB177" s="4"/>
      <c r="AC177" s="4"/>
    </row>
    <row r="178" ht="15.75" customHeight="1">
      <c r="A178" s="61"/>
      <c r="B178" s="61"/>
      <c r="C178" s="61"/>
      <c r="D178" s="61"/>
      <c r="E178" s="69"/>
      <c r="F178" s="69"/>
      <c r="G178" s="69"/>
      <c r="H178" s="69"/>
      <c r="I178" s="43" t="str">
        <f t="shared" si="10"/>
        <v/>
      </c>
      <c r="J178" s="4"/>
      <c r="K178" s="4"/>
      <c r="L178" s="4"/>
      <c r="M178" s="4"/>
      <c r="N178" s="4"/>
      <c r="O178" s="4"/>
      <c r="P178" s="4"/>
      <c r="Q178" s="4"/>
      <c r="R178" s="4"/>
      <c r="S178" s="4"/>
      <c r="T178" s="4"/>
      <c r="U178" s="4"/>
      <c r="V178" s="4"/>
      <c r="W178" s="4"/>
      <c r="X178" s="4"/>
      <c r="Y178" s="4"/>
      <c r="Z178" s="4"/>
      <c r="AA178" s="4"/>
      <c r="AB178" s="4"/>
      <c r="AC178" s="4"/>
    </row>
    <row r="179" ht="15.75" customHeight="1">
      <c r="A179" s="61"/>
      <c r="B179" s="61"/>
      <c r="C179" s="61"/>
      <c r="D179" s="61"/>
      <c r="E179" s="69"/>
      <c r="F179" s="69"/>
      <c r="G179" s="69"/>
      <c r="H179" s="69"/>
      <c r="I179" s="43" t="str">
        <f t="shared" si="10"/>
        <v/>
      </c>
      <c r="J179" s="4"/>
      <c r="K179" s="4"/>
      <c r="L179" s="4"/>
      <c r="M179" s="4"/>
      <c r="N179" s="4"/>
      <c r="O179" s="4"/>
      <c r="P179" s="4"/>
      <c r="Q179" s="4"/>
      <c r="R179" s="4"/>
      <c r="S179" s="4"/>
      <c r="T179" s="4"/>
      <c r="U179" s="4"/>
      <c r="V179" s="4"/>
      <c r="W179" s="4"/>
      <c r="X179" s="4"/>
      <c r="Y179" s="4"/>
      <c r="Z179" s="4"/>
      <c r="AA179" s="4"/>
      <c r="AB179" s="4"/>
      <c r="AC179" s="4"/>
    </row>
    <row r="180" ht="15.75" customHeight="1">
      <c r="A180" s="61"/>
      <c r="B180" s="61"/>
      <c r="C180" s="61"/>
      <c r="D180" s="61"/>
      <c r="E180" s="69"/>
      <c r="F180" s="69"/>
      <c r="G180" s="69"/>
      <c r="H180" s="69"/>
      <c r="I180" s="43" t="str">
        <f t="shared" si="10"/>
        <v/>
      </c>
      <c r="J180" s="4"/>
      <c r="K180" s="4"/>
      <c r="L180" s="4"/>
      <c r="M180" s="4"/>
      <c r="N180" s="4"/>
      <c r="O180" s="4"/>
      <c r="P180" s="4"/>
      <c r="Q180" s="4"/>
      <c r="R180" s="4"/>
      <c r="S180" s="4"/>
      <c r="T180" s="4"/>
      <c r="U180" s="4"/>
      <c r="V180" s="4"/>
      <c r="W180" s="4"/>
      <c r="X180" s="4"/>
      <c r="Y180" s="4"/>
      <c r="Z180" s="4"/>
      <c r="AA180" s="4"/>
      <c r="AB180" s="4"/>
      <c r="AC180" s="4"/>
    </row>
    <row r="181" ht="15.75" customHeight="1">
      <c r="A181" s="61"/>
      <c r="B181" s="61"/>
      <c r="C181" s="61"/>
      <c r="D181" s="61"/>
      <c r="E181" s="69"/>
      <c r="F181" s="69"/>
      <c r="G181" s="69"/>
      <c r="H181" s="69"/>
      <c r="I181" s="43" t="str">
        <f t="shared" si="10"/>
        <v/>
      </c>
      <c r="J181" s="4"/>
      <c r="K181" s="4"/>
      <c r="L181" s="4"/>
      <c r="M181" s="4"/>
      <c r="N181" s="4"/>
      <c r="O181" s="4"/>
      <c r="P181" s="4"/>
      <c r="Q181" s="4"/>
      <c r="R181" s="4"/>
      <c r="S181" s="4"/>
      <c r="T181" s="4"/>
      <c r="U181" s="4"/>
      <c r="V181" s="4"/>
      <c r="W181" s="4"/>
      <c r="X181" s="4"/>
      <c r="Y181" s="4"/>
      <c r="Z181" s="4"/>
      <c r="AA181" s="4"/>
      <c r="AB181" s="4"/>
      <c r="AC181" s="4"/>
    </row>
    <row r="182" ht="15.75" customHeight="1">
      <c r="A182" s="61"/>
      <c r="B182" s="61"/>
      <c r="C182" s="61"/>
      <c r="D182" s="61"/>
      <c r="E182" s="69"/>
      <c r="F182" s="69"/>
      <c r="G182" s="69"/>
      <c r="H182" s="69"/>
      <c r="I182" s="43" t="str">
        <f t="shared" si="10"/>
        <v/>
      </c>
      <c r="J182" s="4"/>
      <c r="K182" s="4"/>
      <c r="L182" s="4"/>
      <c r="M182" s="4"/>
      <c r="N182" s="4"/>
      <c r="O182" s="4"/>
      <c r="P182" s="4"/>
      <c r="Q182" s="4"/>
      <c r="R182" s="4"/>
      <c r="S182" s="4"/>
      <c r="T182" s="4"/>
      <c r="U182" s="4"/>
      <c r="V182" s="4"/>
      <c r="W182" s="4"/>
      <c r="X182" s="4"/>
      <c r="Y182" s="4"/>
      <c r="Z182" s="4"/>
      <c r="AA182" s="4"/>
      <c r="AB182" s="4"/>
      <c r="AC182" s="4"/>
    </row>
    <row r="183" ht="15.75" customHeight="1">
      <c r="A183" s="61"/>
      <c r="B183" s="61"/>
      <c r="C183" s="61"/>
      <c r="D183" s="61"/>
      <c r="E183" s="69"/>
      <c r="F183" s="69"/>
      <c r="G183" s="69"/>
      <c r="H183" s="69"/>
      <c r="I183" s="43" t="str">
        <f t="shared" si="10"/>
        <v/>
      </c>
      <c r="J183" s="4"/>
      <c r="K183" s="4"/>
      <c r="L183" s="4"/>
      <c r="M183" s="4"/>
      <c r="N183" s="4"/>
      <c r="O183" s="4"/>
      <c r="P183" s="4"/>
      <c r="Q183" s="4"/>
      <c r="R183" s="4"/>
      <c r="S183" s="4"/>
      <c r="T183" s="4"/>
      <c r="U183" s="4"/>
      <c r="V183" s="4"/>
      <c r="W183" s="4"/>
      <c r="X183" s="4"/>
      <c r="Y183" s="4"/>
      <c r="Z183" s="4"/>
      <c r="AA183" s="4"/>
      <c r="AB183" s="4"/>
      <c r="AC183" s="4"/>
    </row>
    <row r="184" ht="15.75" customHeight="1">
      <c r="A184" s="61"/>
      <c r="B184" s="61"/>
      <c r="C184" s="61"/>
      <c r="D184" s="61"/>
      <c r="E184" s="69"/>
      <c r="F184" s="69"/>
      <c r="G184" s="69"/>
      <c r="H184" s="69"/>
      <c r="I184" s="43" t="str">
        <f t="shared" si="10"/>
        <v/>
      </c>
      <c r="J184" s="4"/>
      <c r="K184" s="4"/>
      <c r="L184" s="4"/>
      <c r="M184" s="4"/>
      <c r="N184" s="4"/>
      <c r="O184" s="4"/>
      <c r="P184" s="4"/>
      <c r="Q184" s="4"/>
      <c r="R184" s="4"/>
      <c r="S184" s="4"/>
      <c r="T184" s="4"/>
      <c r="U184" s="4"/>
      <c r="V184" s="4"/>
      <c r="W184" s="4"/>
      <c r="X184" s="4"/>
      <c r="Y184" s="4"/>
      <c r="Z184" s="4"/>
      <c r="AA184" s="4"/>
      <c r="AB184" s="4"/>
      <c r="AC184" s="4"/>
    </row>
    <row r="185" ht="15.75" customHeight="1">
      <c r="A185" s="61"/>
      <c r="B185" s="61"/>
      <c r="C185" s="61"/>
      <c r="D185" s="61"/>
      <c r="E185" s="69"/>
      <c r="F185" s="69"/>
      <c r="G185" s="69"/>
      <c r="H185" s="69"/>
      <c r="I185" s="43" t="str">
        <f t="shared" si="10"/>
        <v/>
      </c>
      <c r="J185" s="4"/>
      <c r="K185" s="4"/>
      <c r="L185" s="4"/>
      <c r="M185" s="4"/>
      <c r="N185" s="4"/>
      <c r="O185" s="4"/>
      <c r="P185" s="4"/>
      <c r="Q185" s="4"/>
      <c r="R185" s="4"/>
      <c r="S185" s="4"/>
      <c r="T185" s="4"/>
      <c r="U185" s="4"/>
      <c r="V185" s="4"/>
      <c r="W185" s="4"/>
      <c r="X185" s="4"/>
      <c r="Y185" s="4"/>
      <c r="Z185" s="4"/>
      <c r="AA185" s="4"/>
      <c r="AB185" s="4"/>
      <c r="AC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ht="15.75" customHeight="1">
      <c r="A188" s="49" t="s">
        <v>26</v>
      </c>
      <c r="B188" s="67" t="str">
        <f>IF(B15="","",B15)</f>
        <v/>
      </c>
      <c r="C188" s="4"/>
      <c r="D188" s="51" t="s">
        <v>47</v>
      </c>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ht="15.75" customHeight="1">
      <c r="A189" s="49"/>
      <c r="B189" s="68"/>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ht="15.75" customHeight="1">
      <c r="A190" s="4"/>
      <c r="B190" s="52" t="s">
        <v>49</v>
      </c>
      <c r="C190" s="53" t="s">
        <v>50</v>
      </c>
      <c r="D190" s="54"/>
      <c r="E190" s="53" t="s">
        <v>51</v>
      </c>
      <c r="F190" s="55"/>
      <c r="G190" s="55"/>
      <c r="H190" s="54"/>
      <c r="I190" s="56"/>
      <c r="J190" s="4"/>
      <c r="K190" s="4"/>
      <c r="L190" s="4"/>
      <c r="M190" s="4"/>
      <c r="N190" s="4"/>
      <c r="O190" s="4"/>
      <c r="P190" s="4"/>
      <c r="Q190" s="4"/>
      <c r="R190" s="4"/>
      <c r="S190" s="4"/>
      <c r="T190" s="4"/>
      <c r="U190" s="4"/>
      <c r="V190" s="4"/>
      <c r="W190" s="4"/>
      <c r="X190" s="4"/>
      <c r="Y190" s="4"/>
      <c r="Z190" s="4"/>
      <c r="AA190" s="4"/>
      <c r="AB190" s="4"/>
      <c r="AC190" s="4"/>
    </row>
    <row r="191" ht="15.75" customHeight="1">
      <c r="A191" s="33" t="s">
        <v>52</v>
      </c>
      <c r="B191" s="33" t="s">
        <v>73</v>
      </c>
      <c r="C191" s="57" t="s">
        <v>54</v>
      </c>
      <c r="D191" s="57" t="s">
        <v>55</v>
      </c>
      <c r="E191" s="33" t="s">
        <v>56</v>
      </c>
      <c r="F191" s="33" t="s">
        <v>57</v>
      </c>
      <c r="G191" s="33" t="s">
        <v>58</v>
      </c>
      <c r="H191" s="33" t="s">
        <v>59</v>
      </c>
      <c r="I191" s="57" t="s">
        <v>74</v>
      </c>
      <c r="J191" s="4"/>
      <c r="K191" s="4"/>
      <c r="L191" s="4"/>
      <c r="M191" s="4"/>
      <c r="N191" s="4"/>
      <c r="O191" s="4"/>
      <c r="P191" s="4"/>
      <c r="Q191" s="4"/>
      <c r="R191" s="4"/>
      <c r="S191" s="4"/>
      <c r="T191" s="4"/>
      <c r="U191" s="4"/>
      <c r="V191" s="4"/>
      <c r="W191" s="4"/>
      <c r="X191" s="4"/>
      <c r="Y191" s="4"/>
      <c r="Z191" s="4"/>
      <c r="AA191" s="4"/>
      <c r="AB191" s="4"/>
      <c r="AC191" s="4"/>
    </row>
    <row r="192" ht="15.75" customHeight="1">
      <c r="A192" s="61"/>
      <c r="B192" s="61"/>
      <c r="C192" s="61"/>
      <c r="D192" s="61"/>
      <c r="E192" s="69"/>
      <c r="F192" s="69"/>
      <c r="G192" s="69"/>
      <c r="H192" s="69"/>
      <c r="I192" s="43" t="str">
        <f>IFERROR(B192/A192,"")</f>
        <v/>
      </c>
      <c r="J192" s="4"/>
      <c r="K192" s="4"/>
      <c r="L192" s="4"/>
      <c r="M192" s="4"/>
      <c r="N192" s="4"/>
      <c r="O192" s="4"/>
      <c r="P192" s="4"/>
      <c r="Q192" s="4"/>
      <c r="R192" s="4"/>
      <c r="S192" s="4"/>
      <c r="T192" s="4"/>
      <c r="U192" s="4"/>
      <c r="V192" s="4"/>
      <c r="W192" s="4"/>
      <c r="X192" s="4"/>
      <c r="Y192" s="4"/>
      <c r="Z192" s="4"/>
      <c r="AA192" s="4"/>
      <c r="AB192" s="4"/>
      <c r="AC192" s="4"/>
    </row>
    <row r="193" ht="15.75" customHeight="1">
      <c r="A193" s="61"/>
      <c r="B193" s="61"/>
      <c r="C193" s="61"/>
      <c r="D193" s="61"/>
      <c r="E193" s="69"/>
      <c r="F193" s="69"/>
      <c r="G193" s="69"/>
      <c r="H193" s="69"/>
      <c r="I193" s="43" t="str">
        <f t="shared" ref="I193:I211" si="11">IF(A193&lt;&gt;0,(B193-(B192-D192))/(A193-A192),"")</f>
        <v/>
      </c>
      <c r="J193" s="4"/>
      <c r="K193" s="4"/>
      <c r="L193" s="4"/>
      <c r="M193" s="4"/>
      <c r="N193" s="4"/>
      <c r="O193" s="4"/>
      <c r="P193" s="4"/>
      <c r="Q193" s="4"/>
      <c r="R193" s="4"/>
      <c r="S193" s="4"/>
      <c r="T193" s="4"/>
      <c r="U193" s="4"/>
      <c r="V193" s="4"/>
      <c r="W193" s="4"/>
      <c r="X193" s="4"/>
      <c r="Y193" s="4"/>
      <c r="Z193" s="4"/>
      <c r="AA193" s="4"/>
      <c r="AB193" s="4"/>
      <c r="AC193" s="4"/>
    </row>
    <row r="194" ht="15.75" customHeight="1">
      <c r="A194" s="61"/>
      <c r="B194" s="61"/>
      <c r="C194" s="61"/>
      <c r="D194" s="61"/>
      <c r="E194" s="69"/>
      <c r="F194" s="69"/>
      <c r="G194" s="69"/>
      <c r="H194" s="69"/>
      <c r="I194" s="43" t="str">
        <f t="shared" si="11"/>
        <v/>
      </c>
      <c r="J194" s="4"/>
      <c r="K194" s="4"/>
      <c r="L194" s="4"/>
      <c r="M194" s="4"/>
      <c r="N194" s="4"/>
      <c r="O194" s="4"/>
      <c r="P194" s="4"/>
      <c r="Q194" s="4"/>
      <c r="R194" s="4"/>
      <c r="S194" s="4"/>
      <c r="T194" s="4"/>
      <c r="U194" s="4"/>
      <c r="V194" s="4"/>
      <c r="W194" s="4"/>
      <c r="X194" s="4"/>
      <c r="Y194" s="4"/>
      <c r="Z194" s="4"/>
      <c r="AA194" s="4"/>
      <c r="AB194" s="4"/>
      <c r="AC194" s="4"/>
    </row>
    <row r="195" ht="15.75" customHeight="1">
      <c r="A195" s="61"/>
      <c r="B195" s="61"/>
      <c r="C195" s="61"/>
      <c r="D195" s="61"/>
      <c r="E195" s="69"/>
      <c r="F195" s="69"/>
      <c r="G195" s="69"/>
      <c r="H195" s="69"/>
      <c r="I195" s="43" t="str">
        <f t="shared" si="11"/>
        <v/>
      </c>
      <c r="J195" s="4"/>
      <c r="K195" s="4"/>
      <c r="L195" s="4"/>
      <c r="M195" s="4"/>
      <c r="N195" s="4"/>
      <c r="O195" s="4"/>
      <c r="P195" s="4"/>
      <c r="Q195" s="4"/>
      <c r="R195" s="4"/>
      <c r="S195" s="4"/>
      <c r="T195" s="4"/>
      <c r="U195" s="4"/>
      <c r="V195" s="4"/>
      <c r="W195" s="4"/>
      <c r="X195" s="4"/>
      <c r="Y195" s="4"/>
      <c r="Z195" s="4"/>
      <c r="AA195" s="4"/>
      <c r="AB195" s="4"/>
      <c r="AC195" s="4"/>
    </row>
    <row r="196" ht="15.75" customHeight="1">
      <c r="A196" s="61"/>
      <c r="B196" s="61"/>
      <c r="C196" s="61"/>
      <c r="D196" s="61"/>
      <c r="E196" s="69"/>
      <c r="F196" s="69"/>
      <c r="G196" s="69"/>
      <c r="H196" s="69"/>
      <c r="I196" s="43" t="str">
        <f t="shared" si="11"/>
        <v/>
      </c>
      <c r="J196" s="4"/>
      <c r="K196" s="4"/>
      <c r="L196" s="4"/>
      <c r="M196" s="4"/>
      <c r="N196" s="4"/>
      <c r="O196" s="4"/>
      <c r="P196" s="4"/>
      <c r="Q196" s="4"/>
      <c r="R196" s="4"/>
      <c r="S196" s="4"/>
      <c r="T196" s="4"/>
      <c r="U196" s="4"/>
      <c r="V196" s="4"/>
      <c r="W196" s="4"/>
      <c r="X196" s="4"/>
      <c r="Y196" s="4"/>
      <c r="Z196" s="4"/>
      <c r="AA196" s="4"/>
      <c r="AB196" s="4"/>
      <c r="AC196" s="4"/>
    </row>
    <row r="197" ht="15.75" customHeight="1">
      <c r="A197" s="61"/>
      <c r="B197" s="61"/>
      <c r="C197" s="61"/>
      <c r="D197" s="61"/>
      <c r="E197" s="69"/>
      <c r="F197" s="69"/>
      <c r="G197" s="69"/>
      <c r="H197" s="69"/>
      <c r="I197" s="43" t="str">
        <f t="shared" si="11"/>
        <v/>
      </c>
      <c r="J197" s="4"/>
      <c r="K197" s="4"/>
      <c r="L197" s="4"/>
      <c r="M197" s="4"/>
      <c r="N197" s="4"/>
      <c r="O197" s="4"/>
      <c r="P197" s="4"/>
      <c r="Q197" s="4"/>
      <c r="R197" s="4"/>
      <c r="S197" s="4"/>
      <c r="T197" s="4"/>
      <c r="U197" s="4"/>
      <c r="V197" s="4"/>
      <c r="W197" s="4"/>
      <c r="X197" s="4"/>
      <c r="Y197" s="4"/>
      <c r="Z197" s="4"/>
      <c r="AA197" s="4"/>
      <c r="AB197" s="4"/>
      <c r="AC197" s="4"/>
    </row>
    <row r="198" ht="15.75" customHeight="1">
      <c r="A198" s="61"/>
      <c r="B198" s="61"/>
      <c r="C198" s="61"/>
      <c r="D198" s="61"/>
      <c r="E198" s="69"/>
      <c r="F198" s="69"/>
      <c r="G198" s="69"/>
      <c r="H198" s="69"/>
      <c r="I198" s="43" t="str">
        <f t="shared" si="11"/>
        <v/>
      </c>
      <c r="J198" s="4"/>
      <c r="K198" s="4"/>
      <c r="L198" s="4"/>
      <c r="M198" s="4"/>
      <c r="N198" s="4"/>
      <c r="O198" s="4"/>
      <c r="P198" s="4"/>
      <c r="Q198" s="4"/>
      <c r="R198" s="4"/>
      <c r="S198" s="4"/>
      <c r="T198" s="4"/>
      <c r="U198" s="4"/>
      <c r="V198" s="4"/>
      <c r="W198" s="4"/>
      <c r="X198" s="4"/>
      <c r="Y198" s="4"/>
      <c r="Z198" s="4"/>
      <c r="AA198" s="4"/>
      <c r="AB198" s="4"/>
      <c r="AC198" s="4"/>
    </row>
    <row r="199" ht="15.75" customHeight="1">
      <c r="A199" s="61"/>
      <c r="B199" s="61"/>
      <c r="C199" s="61"/>
      <c r="D199" s="61"/>
      <c r="E199" s="69"/>
      <c r="F199" s="69"/>
      <c r="G199" s="69"/>
      <c r="H199" s="69"/>
      <c r="I199" s="43" t="str">
        <f t="shared" si="11"/>
        <v/>
      </c>
      <c r="J199" s="4"/>
      <c r="K199" s="4"/>
      <c r="L199" s="4"/>
      <c r="M199" s="4"/>
      <c r="N199" s="4"/>
      <c r="O199" s="4"/>
      <c r="P199" s="4"/>
      <c r="Q199" s="4"/>
      <c r="R199" s="4"/>
      <c r="S199" s="4"/>
      <c r="T199" s="4"/>
      <c r="U199" s="4"/>
      <c r="V199" s="4"/>
      <c r="W199" s="4"/>
      <c r="X199" s="4"/>
      <c r="Y199" s="4"/>
      <c r="Z199" s="4"/>
      <c r="AA199" s="4"/>
      <c r="AB199" s="4"/>
      <c r="AC199" s="4"/>
    </row>
    <row r="200" ht="15.75" customHeight="1">
      <c r="A200" s="61"/>
      <c r="B200" s="61"/>
      <c r="C200" s="61"/>
      <c r="D200" s="61"/>
      <c r="E200" s="69"/>
      <c r="F200" s="69"/>
      <c r="G200" s="69"/>
      <c r="H200" s="69"/>
      <c r="I200" s="43" t="str">
        <f t="shared" si="11"/>
        <v/>
      </c>
      <c r="J200" s="4"/>
      <c r="K200" s="4"/>
      <c r="L200" s="4"/>
      <c r="M200" s="4"/>
      <c r="N200" s="4"/>
      <c r="O200" s="4"/>
      <c r="P200" s="4"/>
      <c r="Q200" s="4"/>
      <c r="R200" s="4"/>
      <c r="S200" s="4"/>
      <c r="T200" s="4"/>
      <c r="U200" s="4"/>
      <c r="V200" s="4"/>
      <c r="W200" s="4"/>
      <c r="X200" s="4"/>
      <c r="Y200" s="4"/>
      <c r="Z200" s="4"/>
      <c r="AA200" s="4"/>
      <c r="AB200" s="4"/>
      <c r="AC200" s="4"/>
    </row>
    <row r="201" ht="15.75" customHeight="1">
      <c r="A201" s="61"/>
      <c r="B201" s="61"/>
      <c r="C201" s="61"/>
      <c r="D201" s="61"/>
      <c r="E201" s="69"/>
      <c r="F201" s="69"/>
      <c r="G201" s="69"/>
      <c r="H201" s="69"/>
      <c r="I201" s="43" t="str">
        <f t="shared" si="11"/>
        <v/>
      </c>
      <c r="J201" s="4"/>
      <c r="K201" s="4"/>
      <c r="L201" s="4"/>
      <c r="M201" s="4"/>
      <c r="N201" s="4"/>
      <c r="O201" s="4"/>
      <c r="P201" s="4"/>
      <c r="Q201" s="4"/>
      <c r="R201" s="4"/>
      <c r="S201" s="4"/>
      <c r="T201" s="4"/>
      <c r="U201" s="4"/>
      <c r="V201" s="4"/>
      <c r="W201" s="4"/>
      <c r="X201" s="4"/>
      <c r="Y201" s="4"/>
      <c r="Z201" s="4"/>
      <c r="AA201" s="4"/>
      <c r="AB201" s="4"/>
      <c r="AC201" s="4"/>
    </row>
    <row r="202" ht="15.75" customHeight="1">
      <c r="A202" s="61"/>
      <c r="B202" s="61"/>
      <c r="C202" s="61"/>
      <c r="D202" s="61"/>
      <c r="E202" s="69"/>
      <c r="F202" s="69"/>
      <c r="G202" s="69"/>
      <c r="H202" s="69"/>
      <c r="I202" s="43" t="str">
        <f t="shared" si="11"/>
        <v/>
      </c>
      <c r="J202" s="4"/>
      <c r="K202" s="4"/>
      <c r="L202" s="4"/>
      <c r="M202" s="4"/>
      <c r="N202" s="4"/>
      <c r="O202" s="4"/>
      <c r="P202" s="4"/>
      <c r="Q202" s="4"/>
      <c r="R202" s="4"/>
      <c r="S202" s="4"/>
      <c r="T202" s="4"/>
      <c r="U202" s="4"/>
      <c r="V202" s="4"/>
      <c r="W202" s="4"/>
      <c r="X202" s="4"/>
      <c r="Y202" s="4"/>
      <c r="Z202" s="4"/>
      <c r="AA202" s="4"/>
      <c r="AB202" s="4"/>
      <c r="AC202" s="4"/>
    </row>
    <row r="203" ht="15.75" customHeight="1">
      <c r="A203" s="61"/>
      <c r="B203" s="61"/>
      <c r="C203" s="61"/>
      <c r="D203" s="61"/>
      <c r="E203" s="69"/>
      <c r="F203" s="69"/>
      <c r="G203" s="69"/>
      <c r="H203" s="69"/>
      <c r="I203" s="43" t="str">
        <f t="shared" si="11"/>
        <v/>
      </c>
      <c r="J203" s="4"/>
      <c r="K203" s="4"/>
      <c r="L203" s="4"/>
      <c r="M203" s="4"/>
      <c r="N203" s="4"/>
      <c r="O203" s="4"/>
      <c r="P203" s="4"/>
      <c r="Q203" s="4"/>
      <c r="R203" s="4"/>
      <c r="S203" s="4"/>
      <c r="T203" s="4"/>
      <c r="U203" s="4"/>
      <c r="V203" s="4"/>
      <c r="W203" s="4"/>
      <c r="X203" s="4"/>
      <c r="Y203" s="4"/>
      <c r="Z203" s="4"/>
      <c r="AA203" s="4"/>
      <c r="AB203" s="4"/>
      <c r="AC203" s="4"/>
    </row>
    <row r="204" ht="15.75" customHeight="1">
      <c r="A204" s="61"/>
      <c r="B204" s="61"/>
      <c r="C204" s="61"/>
      <c r="D204" s="61"/>
      <c r="E204" s="69"/>
      <c r="F204" s="69"/>
      <c r="G204" s="69"/>
      <c r="H204" s="69"/>
      <c r="I204" s="43" t="str">
        <f t="shared" si="11"/>
        <v/>
      </c>
      <c r="J204" s="4"/>
      <c r="K204" s="4"/>
      <c r="L204" s="4"/>
      <c r="M204" s="4"/>
      <c r="N204" s="4"/>
      <c r="O204" s="4"/>
      <c r="P204" s="4"/>
      <c r="Q204" s="4"/>
      <c r="R204" s="4"/>
      <c r="S204" s="4"/>
      <c r="T204" s="4"/>
      <c r="U204" s="4"/>
      <c r="V204" s="4"/>
      <c r="W204" s="4"/>
      <c r="X204" s="4"/>
      <c r="Y204" s="4"/>
      <c r="Z204" s="4"/>
      <c r="AA204" s="4"/>
      <c r="AB204" s="4"/>
      <c r="AC204" s="4"/>
    </row>
    <row r="205" ht="15.75" customHeight="1">
      <c r="A205" s="61"/>
      <c r="B205" s="61"/>
      <c r="C205" s="61"/>
      <c r="D205" s="61"/>
      <c r="E205" s="69"/>
      <c r="F205" s="69"/>
      <c r="G205" s="69"/>
      <c r="H205" s="69"/>
      <c r="I205" s="43" t="str">
        <f t="shared" si="11"/>
        <v/>
      </c>
      <c r="J205" s="4"/>
      <c r="K205" s="4"/>
      <c r="L205" s="4"/>
      <c r="M205" s="4"/>
      <c r="N205" s="4"/>
      <c r="O205" s="4"/>
      <c r="P205" s="4"/>
      <c r="Q205" s="4"/>
      <c r="R205" s="4"/>
      <c r="S205" s="4"/>
      <c r="T205" s="4"/>
      <c r="U205" s="4"/>
      <c r="V205" s="4"/>
      <c r="W205" s="4"/>
      <c r="X205" s="4"/>
      <c r="Y205" s="4"/>
      <c r="Z205" s="4"/>
      <c r="AA205" s="4"/>
      <c r="AB205" s="4"/>
      <c r="AC205" s="4"/>
    </row>
    <row r="206" ht="15.75" customHeight="1">
      <c r="A206" s="61"/>
      <c r="B206" s="61"/>
      <c r="C206" s="61"/>
      <c r="D206" s="61"/>
      <c r="E206" s="69"/>
      <c r="F206" s="69"/>
      <c r="G206" s="69"/>
      <c r="H206" s="69"/>
      <c r="I206" s="43" t="str">
        <f t="shared" si="11"/>
        <v/>
      </c>
      <c r="J206" s="4"/>
      <c r="K206" s="4"/>
      <c r="L206" s="4"/>
      <c r="M206" s="4"/>
      <c r="N206" s="4"/>
      <c r="O206" s="4"/>
      <c r="P206" s="4"/>
      <c r="Q206" s="4"/>
      <c r="R206" s="4"/>
      <c r="S206" s="4"/>
      <c r="T206" s="4"/>
      <c r="U206" s="4"/>
      <c r="V206" s="4"/>
      <c r="W206" s="4"/>
      <c r="X206" s="4"/>
      <c r="Y206" s="4"/>
      <c r="Z206" s="4"/>
      <c r="AA206" s="4"/>
      <c r="AB206" s="4"/>
      <c r="AC206" s="4"/>
    </row>
    <row r="207" ht="15.75" customHeight="1">
      <c r="A207" s="61"/>
      <c r="B207" s="61"/>
      <c r="C207" s="61"/>
      <c r="D207" s="61"/>
      <c r="E207" s="69"/>
      <c r="F207" s="69"/>
      <c r="G207" s="69"/>
      <c r="H207" s="69"/>
      <c r="I207" s="43" t="str">
        <f t="shared" si="11"/>
        <v/>
      </c>
      <c r="J207" s="4"/>
      <c r="K207" s="4"/>
      <c r="L207" s="4"/>
      <c r="M207" s="4"/>
      <c r="N207" s="4"/>
      <c r="O207" s="4"/>
      <c r="P207" s="4"/>
      <c r="Q207" s="4"/>
      <c r="R207" s="4"/>
      <c r="S207" s="4"/>
      <c r="T207" s="4"/>
      <c r="U207" s="4"/>
      <c r="V207" s="4"/>
      <c r="W207" s="4"/>
      <c r="X207" s="4"/>
      <c r="Y207" s="4"/>
      <c r="Z207" s="4"/>
      <c r="AA207" s="4"/>
      <c r="AB207" s="4"/>
      <c r="AC207" s="4"/>
    </row>
    <row r="208" ht="15.75" customHeight="1">
      <c r="A208" s="61"/>
      <c r="B208" s="61"/>
      <c r="C208" s="61"/>
      <c r="D208" s="61"/>
      <c r="E208" s="69"/>
      <c r="F208" s="69"/>
      <c r="G208" s="69"/>
      <c r="H208" s="69"/>
      <c r="I208" s="43" t="str">
        <f t="shared" si="11"/>
        <v/>
      </c>
      <c r="J208" s="4"/>
      <c r="K208" s="4"/>
      <c r="L208" s="4"/>
      <c r="M208" s="4"/>
      <c r="N208" s="4"/>
      <c r="O208" s="4"/>
      <c r="P208" s="4"/>
      <c r="Q208" s="4"/>
      <c r="R208" s="4"/>
      <c r="S208" s="4"/>
      <c r="T208" s="4"/>
      <c r="U208" s="4"/>
      <c r="V208" s="4"/>
      <c r="W208" s="4"/>
      <c r="X208" s="4"/>
      <c r="Y208" s="4"/>
      <c r="Z208" s="4"/>
      <c r="AA208" s="4"/>
      <c r="AB208" s="4"/>
      <c r="AC208" s="4"/>
    </row>
    <row r="209" ht="15.75" customHeight="1">
      <c r="A209" s="61"/>
      <c r="B209" s="61"/>
      <c r="C209" s="61"/>
      <c r="D209" s="61"/>
      <c r="E209" s="69"/>
      <c r="F209" s="69"/>
      <c r="G209" s="69"/>
      <c r="H209" s="69"/>
      <c r="I209" s="43" t="str">
        <f t="shared" si="11"/>
        <v/>
      </c>
      <c r="J209" s="4"/>
      <c r="K209" s="4"/>
      <c r="L209" s="4"/>
      <c r="M209" s="4"/>
      <c r="N209" s="4"/>
      <c r="O209" s="4"/>
      <c r="P209" s="4"/>
      <c r="Q209" s="4"/>
      <c r="R209" s="4"/>
      <c r="S209" s="4"/>
      <c r="T209" s="4"/>
      <c r="U209" s="4"/>
      <c r="V209" s="4"/>
      <c r="W209" s="4"/>
      <c r="X209" s="4"/>
      <c r="Y209" s="4"/>
      <c r="Z209" s="4"/>
      <c r="AA209" s="4"/>
      <c r="AB209" s="4"/>
      <c r="AC209" s="4"/>
    </row>
    <row r="210" ht="15.75" customHeight="1">
      <c r="A210" s="61"/>
      <c r="B210" s="61"/>
      <c r="C210" s="61"/>
      <c r="D210" s="61"/>
      <c r="E210" s="69"/>
      <c r="F210" s="69"/>
      <c r="G210" s="69"/>
      <c r="H210" s="69"/>
      <c r="I210" s="43" t="str">
        <f t="shared" si="11"/>
        <v/>
      </c>
      <c r="J210" s="4"/>
      <c r="K210" s="4"/>
      <c r="L210" s="4"/>
      <c r="M210" s="4"/>
      <c r="N210" s="4"/>
      <c r="O210" s="4"/>
      <c r="P210" s="4"/>
      <c r="Q210" s="4"/>
      <c r="R210" s="4"/>
      <c r="S210" s="4"/>
      <c r="T210" s="4"/>
      <c r="U210" s="4"/>
      <c r="V210" s="4"/>
      <c r="W210" s="4"/>
      <c r="X210" s="4"/>
      <c r="Y210" s="4"/>
      <c r="Z210" s="4"/>
      <c r="AA210" s="4"/>
      <c r="AB210" s="4"/>
      <c r="AC210" s="4"/>
    </row>
    <row r="211" ht="15.75" customHeight="1">
      <c r="A211" s="61"/>
      <c r="B211" s="61"/>
      <c r="C211" s="61"/>
      <c r="D211" s="61"/>
      <c r="E211" s="69"/>
      <c r="F211" s="69"/>
      <c r="G211" s="69"/>
      <c r="H211" s="69"/>
      <c r="I211" s="43" t="str">
        <f t="shared" si="11"/>
        <v/>
      </c>
      <c r="J211" s="4"/>
      <c r="K211" s="4"/>
      <c r="L211" s="4"/>
      <c r="M211" s="4"/>
      <c r="N211" s="4"/>
      <c r="O211" s="4"/>
      <c r="P211" s="4"/>
      <c r="Q211" s="4"/>
      <c r="R211" s="4"/>
      <c r="S211" s="4"/>
      <c r="T211" s="4"/>
      <c r="U211" s="4"/>
      <c r="V211" s="4"/>
      <c r="W211" s="4"/>
      <c r="X211" s="4"/>
      <c r="Y211" s="4"/>
      <c r="Z211" s="4"/>
      <c r="AA211" s="4"/>
      <c r="AB211" s="4"/>
      <c r="AC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ht="15.75" customHeight="1">
      <c r="A214" s="49" t="s">
        <v>27</v>
      </c>
      <c r="B214" s="67" t="str">
        <f>IF(B16="","",B16)</f>
        <v/>
      </c>
      <c r="C214" s="4"/>
      <c r="D214" s="51" t="s">
        <v>47</v>
      </c>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ht="15.75" customHeight="1">
      <c r="A215" s="49"/>
      <c r="B215" s="68"/>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ht="15.75" customHeight="1">
      <c r="A216" s="4"/>
      <c r="B216" s="52" t="s">
        <v>49</v>
      </c>
      <c r="C216" s="53" t="s">
        <v>50</v>
      </c>
      <c r="D216" s="54"/>
      <c r="E216" s="53" t="s">
        <v>51</v>
      </c>
      <c r="F216" s="55"/>
      <c r="G216" s="55"/>
      <c r="H216" s="54"/>
      <c r="I216" s="56"/>
      <c r="J216" s="4"/>
      <c r="K216" s="4"/>
      <c r="L216" s="4"/>
      <c r="M216" s="4"/>
      <c r="N216" s="4"/>
      <c r="O216" s="4"/>
      <c r="P216" s="4"/>
      <c r="Q216" s="4"/>
      <c r="R216" s="4"/>
      <c r="S216" s="4"/>
      <c r="T216" s="4"/>
      <c r="U216" s="4"/>
      <c r="V216" s="4"/>
      <c r="W216" s="4"/>
      <c r="X216" s="4"/>
      <c r="Y216" s="4"/>
      <c r="Z216" s="4"/>
      <c r="AA216" s="4"/>
      <c r="AB216" s="4"/>
      <c r="AC216" s="4"/>
    </row>
    <row r="217" ht="15.75" customHeight="1">
      <c r="A217" s="33" t="s">
        <v>52</v>
      </c>
      <c r="B217" s="33" t="s">
        <v>75</v>
      </c>
      <c r="C217" s="57" t="s">
        <v>54</v>
      </c>
      <c r="D217" s="57" t="s">
        <v>55</v>
      </c>
      <c r="E217" s="33" t="s">
        <v>56</v>
      </c>
      <c r="F217" s="33" t="s">
        <v>57</v>
      </c>
      <c r="G217" s="33" t="s">
        <v>58</v>
      </c>
      <c r="H217" s="33" t="s">
        <v>59</v>
      </c>
      <c r="I217" s="57" t="s">
        <v>76</v>
      </c>
      <c r="J217" s="4"/>
      <c r="K217" s="4"/>
      <c r="L217" s="4"/>
      <c r="M217" s="4"/>
      <c r="N217" s="4"/>
      <c r="O217" s="4"/>
      <c r="P217" s="4"/>
      <c r="Q217" s="4"/>
      <c r="R217" s="4"/>
      <c r="S217" s="4"/>
      <c r="T217" s="4"/>
      <c r="U217" s="4"/>
      <c r="V217" s="4"/>
      <c r="W217" s="4"/>
      <c r="X217" s="4"/>
      <c r="Y217" s="4"/>
      <c r="Z217" s="4"/>
      <c r="AA217" s="4"/>
      <c r="AB217" s="4"/>
      <c r="AC217" s="4"/>
    </row>
    <row r="218" ht="15.75" customHeight="1">
      <c r="A218" s="61"/>
      <c r="B218" s="61"/>
      <c r="C218" s="61"/>
      <c r="D218" s="61"/>
      <c r="E218" s="72"/>
      <c r="F218" s="72"/>
      <c r="G218" s="72"/>
      <c r="H218" s="72"/>
      <c r="I218" s="64" t="str">
        <f>IFERROR(B218/A218,"")</f>
        <v/>
      </c>
      <c r="J218" s="4"/>
      <c r="K218" s="4"/>
      <c r="L218" s="4"/>
      <c r="M218" s="4"/>
      <c r="N218" s="4"/>
      <c r="O218" s="4"/>
      <c r="P218" s="4"/>
      <c r="Q218" s="4"/>
      <c r="R218" s="4"/>
      <c r="S218" s="4"/>
      <c r="T218" s="4"/>
      <c r="U218" s="4"/>
      <c r="V218" s="4"/>
      <c r="W218" s="4"/>
      <c r="X218" s="4"/>
      <c r="Y218" s="4"/>
      <c r="Z218" s="4"/>
      <c r="AA218" s="4"/>
      <c r="AB218" s="4"/>
      <c r="AC218" s="4"/>
    </row>
    <row r="219" ht="15.75" customHeight="1">
      <c r="A219" s="61"/>
      <c r="B219" s="61"/>
      <c r="C219" s="61"/>
      <c r="D219" s="61"/>
      <c r="E219" s="72"/>
      <c r="F219" s="72"/>
      <c r="G219" s="72"/>
      <c r="H219" s="72"/>
      <c r="I219" s="64" t="str">
        <f t="shared" ref="I219:I237" si="12">IF(A219&lt;&gt;0,(B219-(B218-D218))/(A219-A218),"")</f>
        <v/>
      </c>
      <c r="J219" s="4"/>
      <c r="K219" s="4"/>
      <c r="L219" s="4"/>
      <c r="M219" s="4"/>
      <c r="N219" s="4"/>
      <c r="O219" s="4"/>
      <c r="P219" s="4"/>
      <c r="Q219" s="4"/>
      <c r="R219" s="4"/>
      <c r="S219" s="4"/>
      <c r="T219" s="4"/>
      <c r="U219" s="4"/>
      <c r="V219" s="4"/>
      <c r="W219" s="4"/>
      <c r="X219" s="4"/>
      <c r="Y219" s="4"/>
      <c r="Z219" s="4"/>
      <c r="AA219" s="4"/>
      <c r="AB219" s="4"/>
      <c r="AC219" s="4"/>
    </row>
    <row r="220" ht="15.75" customHeight="1">
      <c r="A220" s="61"/>
      <c r="B220" s="61"/>
      <c r="C220" s="61"/>
      <c r="D220" s="61"/>
      <c r="E220" s="72"/>
      <c r="F220" s="72"/>
      <c r="G220" s="72"/>
      <c r="H220" s="72"/>
      <c r="I220" s="64" t="str">
        <f t="shared" si="12"/>
        <v/>
      </c>
      <c r="J220" s="4"/>
      <c r="K220" s="4"/>
      <c r="L220" s="4"/>
      <c r="M220" s="4"/>
      <c r="N220" s="4"/>
      <c r="O220" s="4"/>
      <c r="P220" s="4"/>
      <c r="Q220" s="4"/>
      <c r="R220" s="4"/>
      <c r="S220" s="4"/>
      <c r="T220" s="4"/>
      <c r="U220" s="4"/>
      <c r="V220" s="4"/>
      <c r="W220" s="4"/>
      <c r="X220" s="4"/>
      <c r="Y220" s="4"/>
      <c r="Z220" s="4"/>
      <c r="AA220" s="4"/>
      <c r="AB220" s="4"/>
      <c r="AC220" s="4"/>
    </row>
    <row r="221" ht="15.75" customHeight="1">
      <c r="A221" s="70"/>
      <c r="B221" s="70"/>
      <c r="C221" s="70"/>
      <c r="D221" s="70"/>
      <c r="E221" s="72"/>
      <c r="F221" s="72"/>
      <c r="G221" s="72"/>
      <c r="H221" s="72"/>
      <c r="I221" s="64" t="str">
        <f t="shared" si="12"/>
        <v/>
      </c>
      <c r="J221" s="4"/>
      <c r="K221" s="4"/>
      <c r="L221" s="4"/>
      <c r="M221" s="4"/>
      <c r="N221" s="4"/>
      <c r="O221" s="4"/>
      <c r="P221" s="4"/>
      <c r="Q221" s="4"/>
      <c r="R221" s="4"/>
      <c r="S221" s="4"/>
      <c r="T221" s="4"/>
      <c r="U221" s="4"/>
      <c r="V221" s="4"/>
      <c r="W221" s="4"/>
      <c r="X221" s="4"/>
      <c r="Y221" s="4"/>
      <c r="Z221" s="4"/>
      <c r="AA221" s="4"/>
      <c r="AB221" s="4"/>
      <c r="AC221" s="4"/>
    </row>
    <row r="222" ht="15.75" customHeight="1">
      <c r="A222" s="70"/>
      <c r="B222" s="70"/>
      <c r="C222" s="70"/>
      <c r="D222" s="70"/>
      <c r="E222" s="72"/>
      <c r="F222" s="72"/>
      <c r="G222" s="72"/>
      <c r="H222" s="72"/>
      <c r="I222" s="64" t="str">
        <f t="shared" si="12"/>
        <v/>
      </c>
      <c r="J222" s="4"/>
      <c r="K222" s="4"/>
      <c r="L222" s="4"/>
      <c r="M222" s="4"/>
      <c r="N222" s="4"/>
      <c r="O222" s="4"/>
      <c r="P222" s="4"/>
      <c r="Q222" s="4"/>
      <c r="R222" s="4"/>
      <c r="S222" s="4"/>
      <c r="T222" s="4"/>
      <c r="U222" s="4"/>
      <c r="V222" s="4"/>
      <c r="W222" s="4"/>
      <c r="X222" s="4"/>
      <c r="Y222" s="4"/>
      <c r="Z222" s="4"/>
      <c r="AA222" s="4"/>
      <c r="AB222" s="4"/>
      <c r="AC222" s="4"/>
    </row>
    <row r="223" ht="15.75" customHeight="1">
      <c r="A223" s="70"/>
      <c r="B223" s="70"/>
      <c r="C223" s="70"/>
      <c r="D223" s="70"/>
      <c r="E223" s="72"/>
      <c r="F223" s="72"/>
      <c r="G223" s="72"/>
      <c r="H223" s="72"/>
      <c r="I223" s="64" t="str">
        <f t="shared" si="12"/>
        <v/>
      </c>
      <c r="J223" s="4"/>
      <c r="K223" s="4"/>
      <c r="L223" s="4"/>
      <c r="M223" s="4"/>
      <c r="N223" s="4"/>
      <c r="O223" s="4"/>
      <c r="P223" s="4"/>
      <c r="Q223" s="4"/>
      <c r="R223" s="4"/>
      <c r="S223" s="4"/>
      <c r="T223" s="4"/>
      <c r="U223" s="4"/>
      <c r="V223" s="4"/>
      <c r="W223" s="4"/>
      <c r="X223" s="4"/>
      <c r="Y223" s="4"/>
      <c r="Z223" s="4"/>
      <c r="AA223" s="4"/>
      <c r="AB223" s="4"/>
      <c r="AC223" s="4"/>
    </row>
    <row r="224" ht="15.75" customHeight="1">
      <c r="A224" s="70"/>
      <c r="B224" s="70"/>
      <c r="C224" s="70"/>
      <c r="D224" s="70"/>
      <c r="E224" s="72"/>
      <c r="F224" s="72"/>
      <c r="G224" s="72"/>
      <c r="H224" s="72"/>
      <c r="I224" s="64" t="str">
        <f t="shared" si="12"/>
        <v/>
      </c>
      <c r="J224" s="4"/>
      <c r="K224" s="4"/>
      <c r="L224" s="4"/>
      <c r="M224" s="4"/>
      <c r="N224" s="4"/>
      <c r="O224" s="4"/>
      <c r="P224" s="4"/>
      <c r="Q224" s="4"/>
      <c r="R224" s="4"/>
      <c r="S224" s="4"/>
      <c r="T224" s="4"/>
      <c r="U224" s="4"/>
      <c r="V224" s="4"/>
      <c r="W224" s="4"/>
      <c r="X224" s="4"/>
      <c r="Y224" s="4"/>
      <c r="Z224" s="4"/>
      <c r="AA224" s="4"/>
      <c r="AB224" s="4"/>
      <c r="AC224" s="4"/>
    </row>
    <row r="225" ht="15.75" customHeight="1">
      <c r="A225" s="70"/>
      <c r="B225" s="70"/>
      <c r="C225" s="70"/>
      <c r="D225" s="70"/>
      <c r="E225" s="72"/>
      <c r="F225" s="72"/>
      <c r="G225" s="72"/>
      <c r="H225" s="72"/>
      <c r="I225" s="64" t="str">
        <f t="shared" si="12"/>
        <v/>
      </c>
      <c r="J225" s="4"/>
      <c r="K225" s="4"/>
      <c r="L225" s="4"/>
      <c r="M225" s="4"/>
      <c r="N225" s="4"/>
      <c r="O225" s="4"/>
      <c r="P225" s="4"/>
      <c r="Q225" s="4"/>
      <c r="R225" s="4"/>
      <c r="S225" s="4"/>
      <c r="T225" s="4"/>
      <c r="U225" s="4"/>
      <c r="V225" s="4"/>
      <c r="W225" s="4"/>
      <c r="X225" s="4"/>
      <c r="Y225" s="4"/>
      <c r="Z225" s="4"/>
      <c r="AA225" s="4"/>
      <c r="AB225" s="4"/>
      <c r="AC225" s="4"/>
    </row>
    <row r="226" ht="15.75" customHeight="1">
      <c r="A226" s="70"/>
      <c r="B226" s="70"/>
      <c r="C226" s="70"/>
      <c r="D226" s="70"/>
      <c r="E226" s="72"/>
      <c r="F226" s="72"/>
      <c r="G226" s="72"/>
      <c r="H226" s="72"/>
      <c r="I226" s="64" t="str">
        <f t="shared" si="12"/>
        <v/>
      </c>
      <c r="J226" s="4"/>
      <c r="K226" s="4"/>
      <c r="L226" s="4"/>
      <c r="M226" s="4"/>
      <c r="N226" s="4"/>
      <c r="O226" s="4"/>
      <c r="P226" s="4"/>
      <c r="Q226" s="4"/>
      <c r="R226" s="4"/>
      <c r="S226" s="4"/>
      <c r="T226" s="4"/>
      <c r="U226" s="4"/>
      <c r="V226" s="4"/>
      <c r="W226" s="4"/>
      <c r="X226" s="4"/>
      <c r="Y226" s="4"/>
      <c r="Z226" s="4"/>
      <c r="AA226" s="4"/>
      <c r="AB226" s="4"/>
      <c r="AC226" s="4"/>
    </row>
    <row r="227" ht="15.75" customHeight="1">
      <c r="A227" s="70"/>
      <c r="B227" s="70"/>
      <c r="C227" s="70"/>
      <c r="D227" s="70"/>
      <c r="E227" s="72"/>
      <c r="F227" s="72"/>
      <c r="G227" s="72"/>
      <c r="H227" s="72"/>
      <c r="I227" s="64" t="str">
        <f t="shared" si="12"/>
        <v/>
      </c>
      <c r="J227" s="4"/>
      <c r="K227" s="4"/>
      <c r="L227" s="4"/>
      <c r="M227" s="4"/>
      <c r="N227" s="4"/>
      <c r="O227" s="4"/>
      <c r="P227" s="4"/>
      <c r="Q227" s="4"/>
      <c r="R227" s="4"/>
      <c r="S227" s="4"/>
      <c r="T227" s="4"/>
      <c r="U227" s="4"/>
      <c r="V227" s="4"/>
      <c r="W227" s="4"/>
      <c r="X227" s="4"/>
      <c r="Y227" s="4"/>
      <c r="Z227" s="4"/>
      <c r="AA227" s="4"/>
      <c r="AB227" s="4"/>
      <c r="AC227" s="4"/>
    </row>
    <row r="228" ht="15.75" customHeight="1">
      <c r="A228" s="70"/>
      <c r="B228" s="70"/>
      <c r="C228" s="70"/>
      <c r="D228" s="70"/>
      <c r="E228" s="72"/>
      <c r="F228" s="72"/>
      <c r="G228" s="72"/>
      <c r="H228" s="72"/>
      <c r="I228" s="64" t="str">
        <f t="shared" si="12"/>
        <v/>
      </c>
      <c r="J228" s="4"/>
      <c r="K228" s="4"/>
      <c r="L228" s="4"/>
      <c r="M228" s="4"/>
      <c r="N228" s="4"/>
      <c r="O228" s="4"/>
      <c r="P228" s="4"/>
      <c r="Q228" s="4"/>
      <c r="R228" s="4"/>
      <c r="S228" s="4"/>
      <c r="T228" s="4"/>
      <c r="U228" s="4"/>
      <c r="V228" s="4"/>
      <c r="W228" s="4"/>
      <c r="X228" s="4"/>
      <c r="Y228" s="4"/>
      <c r="Z228" s="4"/>
      <c r="AA228" s="4"/>
      <c r="AB228" s="4"/>
      <c r="AC228" s="4"/>
    </row>
    <row r="229" ht="15.75" customHeight="1">
      <c r="A229" s="70"/>
      <c r="B229" s="70"/>
      <c r="C229" s="70"/>
      <c r="D229" s="70"/>
      <c r="E229" s="72"/>
      <c r="F229" s="72"/>
      <c r="G229" s="72"/>
      <c r="H229" s="72"/>
      <c r="I229" s="64" t="str">
        <f t="shared" si="12"/>
        <v/>
      </c>
      <c r="J229" s="4"/>
      <c r="K229" s="4"/>
      <c r="L229" s="4"/>
      <c r="M229" s="4"/>
      <c r="N229" s="4"/>
      <c r="O229" s="4"/>
      <c r="P229" s="4"/>
      <c r="Q229" s="4"/>
      <c r="R229" s="4"/>
      <c r="S229" s="4"/>
      <c r="T229" s="4"/>
      <c r="U229" s="4"/>
      <c r="V229" s="4"/>
      <c r="W229" s="4"/>
      <c r="X229" s="4"/>
      <c r="Y229" s="4"/>
      <c r="Z229" s="4"/>
      <c r="AA229" s="4"/>
      <c r="AB229" s="4"/>
      <c r="AC229" s="4"/>
    </row>
    <row r="230" ht="15.75" customHeight="1">
      <c r="A230" s="70"/>
      <c r="B230" s="70"/>
      <c r="C230" s="70"/>
      <c r="D230" s="70"/>
      <c r="E230" s="72"/>
      <c r="F230" s="72"/>
      <c r="G230" s="72"/>
      <c r="H230" s="72"/>
      <c r="I230" s="64" t="str">
        <f t="shared" si="12"/>
        <v/>
      </c>
      <c r="J230" s="4"/>
      <c r="K230" s="4"/>
      <c r="L230" s="4"/>
      <c r="M230" s="4"/>
      <c r="N230" s="4"/>
      <c r="O230" s="4"/>
      <c r="P230" s="4"/>
      <c r="Q230" s="4"/>
      <c r="R230" s="4"/>
      <c r="S230" s="4"/>
      <c r="T230" s="4"/>
      <c r="U230" s="4"/>
      <c r="V230" s="4"/>
      <c r="W230" s="4"/>
      <c r="X230" s="4"/>
      <c r="Y230" s="4"/>
      <c r="Z230" s="4"/>
      <c r="AA230" s="4"/>
      <c r="AB230" s="4"/>
      <c r="AC230" s="4"/>
    </row>
    <row r="231" ht="15.75" customHeight="1">
      <c r="A231" s="73"/>
      <c r="B231" s="61"/>
      <c r="C231" s="73"/>
      <c r="D231" s="61"/>
      <c r="E231" s="69"/>
      <c r="F231" s="69"/>
      <c r="G231" s="69"/>
      <c r="H231" s="69"/>
      <c r="I231" s="64" t="str">
        <f t="shared" si="12"/>
        <v/>
      </c>
      <c r="J231" s="4"/>
      <c r="K231" s="4"/>
      <c r="L231" s="4"/>
      <c r="M231" s="4"/>
      <c r="N231" s="4"/>
      <c r="O231" s="4"/>
      <c r="P231" s="4"/>
      <c r="Q231" s="4"/>
      <c r="R231" s="4"/>
      <c r="S231" s="4"/>
      <c r="T231" s="4"/>
      <c r="U231" s="4"/>
      <c r="V231" s="4"/>
      <c r="W231" s="4"/>
      <c r="X231" s="4"/>
      <c r="Y231" s="4"/>
      <c r="Z231" s="4"/>
      <c r="AA231" s="4"/>
      <c r="AB231" s="4"/>
      <c r="AC231" s="4"/>
    </row>
    <row r="232" ht="15.75" customHeight="1">
      <c r="A232" s="61"/>
      <c r="B232" s="61"/>
      <c r="C232" s="61"/>
      <c r="D232" s="61"/>
      <c r="E232" s="69"/>
      <c r="F232" s="69"/>
      <c r="G232" s="69"/>
      <c r="H232" s="69"/>
      <c r="I232" s="64" t="str">
        <f t="shared" si="12"/>
        <v/>
      </c>
      <c r="J232" s="4"/>
      <c r="K232" s="4"/>
      <c r="L232" s="4"/>
      <c r="M232" s="4"/>
      <c r="N232" s="4"/>
      <c r="O232" s="4"/>
      <c r="P232" s="4"/>
      <c r="Q232" s="4"/>
      <c r="R232" s="4"/>
      <c r="S232" s="4"/>
      <c r="T232" s="4"/>
      <c r="U232" s="4"/>
      <c r="V232" s="4"/>
      <c r="W232" s="4"/>
      <c r="X232" s="4"/>
      <c r="Y232" s="4"/>
      <c r="Z232" s="4"/>
      <c r="AA232" s="4"/>
      <c r="AB232" s="4"/>
      <c r="AC232" s="4"/>
    </row>
    <row r="233" ht="15.75" customHeight="1">
      <c r="A233" s="61"/>
      <c r="B233" s="61"/>
      <c r="C233" s="61"/>
      <c r="D233" s="61"/>
      <c r="E233" s="69"/>
      <c r="F233" s="69"/>
      <c r="G233" s="69"/>
      <c r="H233" s="69"/>
      <c r="I233" s="64" t="str">
        <f t="shared" si="12"/>
        <v/>
      </c>
      <c r="J233" s="4"/>
      <c r="K233" s="4"/>
      <c r="L233" s="4"/>
      <c r="M233" s="4"/>
      <c r="N233" s="4"/>
      <c r="O233" s="4"/>
      <c r="P233" s="4"/>
      <c r="Q233" s="4"/>
      <c r="R233" s="4"/>
      <c r="S233" s="4"/>
      <c r="T233" s="4"/>
      <c r="U233" s="4"/>
      <c r="V233" s="4"/>
      <c r="W233" s="4"/>
      <c r="X233" s="4"/>
      <c r="Y233" s="4"/>
      <c r="Z233" s="4"/>
      <c r="AA233" s="4"/>
      <c r="AB233" s="4"/>
      <c r="AC233" s="4"/>
    </row>
    <row r="234" ht="15.75" customHeight="1">
      <c r="A234" s="61"/>
      <c r="B234" s="61"/>
      <c r="C234" s="61"/>
      <c r="D234" s="61"/>
      <c r="E234" s="69"/>
      <c r="F234" s="69"/>
      <c r="G234" s="69"/>
      <c r="H234" s="69"/>
      <c r="I234" s="64" t="str">
        <f t="shared" si="12"/>
        <v/>
      </c>
      <c r="J234" s="4"/>
      <c r="K234" s="4"/>
      <c r="L234" s="4"/>
      <c r="M234" s="4"/>
      <c r="N234" s="4"/>
      <c r="O234" s="4"/>
      <c r="P234" s="4"/>
      <c r="Q234" s="4"/>
      <c r="R234" s="4"/>
      <c r="S234" s="4"/>
      <c r="T234" s="4"/>
      <c r="U234" s="4"/>
      <c r="V234" s="4"/>
      <c r="W234" s="4"/>
      <c r="X234" s="4"/>
      <c r="Y234" s="4"/>
      <c r="Z234" s="4"/>
      <c r="AA234" s="4"/>
      <c r="AB234" s="4"/>
      <c r="AC234" s="4"/>
    </row>
    <row r="235" ht="15.75" customHeight="1">
      <c r="A235" s="61"/>
      <c r="B235" s="61"/>
      <c r="C235" s="61"/>
      <c r="D235" s="61"/>
      <c r="E235" s="69"/>
      <c r="F235" s="69"/>
      <c r="G235" s="69"/>
      <c r="H235" s="69"/>
      <c r="I235" s="64" t="str">
        <f t="shared" si="12"/>
        <v/>
      </c>
      <c r="J235" s="4"/>
      <c r="K235" s="4"/>
      <c r="L235" s="4"/>
      <c r="M235" s="4"/>
      <c r="N235" s="4"/>
      <c r="O235" s="4"/>
      <c r="P235" s="4"/>
      <c r="Q235" s="4"/>
      <c r="R235" s="4"/>
      <c r="S235" s="4"/>
      <c r="T235" s="4"/>
      <c r="U235" s="4"/>
      <c r="V235" s="4"/>
      <c r="W235" s="4"/>
      <c r="X235" s="4"/>
      <c r="Y235" s="4"/>
      <c r="Z235" s="4"/>
      <c r="AA235" s="4"/>
      <c r="AB235" s="4"/>
      <c r="AC235" s="4"/>
    </row>
    <row r="236" ht="15.75" customHeight="1">
      <c r="A236" s="61"/>
      <c r="B236" s="61"/>
      <c r="C236" s="61"/>
      <c r="D236" s="61"/>
      <c r="E236" s="69"/>
      <c r="F236" s="69"/>
      <c r="G236" s="69"/>
      <c r="H236" s="69"/>
      <c r="I236" s="64" t="str">
        <f t="shared" si="12"/>
        <v/>
      </c>
      <c r="J236" s="4"/>
      <c r="K236" s="4"/>
      <c r="L236" s="4"/>
      <c r="M236" s="4"/>
      <c r="N236" s="4"/>
      <c r="O236" s="4"/>
      <c r="P236" s="4"/>
      <c r="Q236" s="4"/>
      <c r="R236" s="4"/>
      <c r="S236" s="4"/>
      <c r="T236" s="4"/>
      <c r="U236" s="4"/>
      <c r="V236" s="4"/>
      <c r="W236" s="4"/>
      <c r="X236" s="4"/>
      <c r="Y236" s="4"/>
      <c r="Z236" s="4"/>
      <c r="AA236" s="4"/>
      <c r="AB236" s="4"/>
      <c r="AC236" s="4"/>
    </row>
    <row r="237" ht="15.75" customHeight="1">
      <c r="A237" s="61"/>
      <c r="B237" s="61"/>
      <c r="C237" s="61"/>
      <c r="D237" s="61"/>
      <c r="E237" s="69"/>
      <c r="F237" s="69"/>
      <c r="G237" s="69"/>
      <c r="H237" s="69"/>
      <c r="I237" s="64" t="str">
        <f t="shared" si="12"/>
        <v/>
      </c>
      <c r="J237" s="4"/>
      <c r="K237" s="4"/>
      <c r="L237" s="4"/>
      <c r="M237" s="4"/>
      <c r="N237" s="4"/>
      <c r="O237" s="4"/>
      <c r="P237" s="4"/>
      <c r="Q237" s="4"/>
      <c r="R237" s="4"/>
      <c r="S237" s="4"/>
      <c r="T237" s="4"/>
      <c r="U237" s="4"/>
      <c r="V237" s="4"/>
      <c r="W237" s="4"/>
      <c r="X237" s="4"/>
      <c r="Y237" s="4"/>
      <c r="Z237" s="4"/>
      <c r="AA237" s="4"/>
      <c r="AB237" s="4"/>
      <c r="AC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ht="15.75" customHeight="1">
      <c r="A240" s="49" t="s">
        <v>28</v>
      </c>
      <c r="B240" s="67" t="str">
        <f>IF(B17="","",B17)</f>
        <v/>
      </c>
      <c r="C240" s="4"/>
      <c r="D240" s="51" t="s">
        <v>47</v>
      </c>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ht="15.75" customHeight="1">
      <c r="A241" s="49"/>
      <c r="B241" s="68"/>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ht="15.75" customHeight="1">
      <c r="A242" s="4"/>
      <c r="B242" s="52" t="s">
        <v>49</v>
      </c>
      <c r="C242" s="53" t="s">
        <v>50</v>
      </c>
      <c r="D242" s="54"/>
      <c r="E242" s="53" t="s">
        <v>51</v>
      </c>
      <c r="F242" s="55"/>
      <c r="G242" s="55"/>
      <c r="H242" s="54"/>
      <c r="I242" s="56"/>
      <c r="J242" s="4"/>
      <c r="K242" s="4"/>
      <c r="L242" s="4"/>
      <c r="M242" s="4"/>
      <c r="N242" s="4"/>
      <c r="O242" s="4"/>
      <c r="P242" s="4"/>
      <c r="Q242" s="4"/>
      <c r="R242" s="4"/>
      <c r="S242" s="4"/>
      <c r="T242" s="4"/>
      <c r="U242" s="4"/>
      <c r="V242" s="4"/>
      <c r="W242" s="4"/>
      <c r="X242" s="4"/>
      <c r="Y242" s="4"/>
      <c r="Z242" s="4"/>
      <c r="AA242" s="4"/>
      <c r="AB242" s="4"/>
      <c r="AC242" s="4"/>
    </row>
    <row r="243" ht="15.75" customHeight="1">
      <c r="A243" s="33" t="s">
        <v>52</v>
      </c>
      <c r="B243" s="33" t="s">
        <v>77</v>
      </c>
      <c r="C243" s="57" t="s">
        <v>54</v>
      </c>
      <c r="D243" s="57" t="s">
        <v>55</v>
      </c>
      <c r="E243" s="33" t="s">
        <v>56</v>
      </c>
      <c r="F243" s="33" t="s">
        <v>57</v>
      </c>
      <c r="G243" s="33" t="s">
        <v>58</v>
      </c>
      <c r="H243" s="33" t="s">
        <v>59</v>
      </c>
      <c r="I243" s="57" t="s">
        <v>78</v>
      </c>
      <c r="J243" s="4"/>
      <c r="K243" s="4"/>
      <c r="L243" s="4"/>
      <c r="M243" s="4"/>
      <c r="N243" s="4"/>
      <c r="O243" s="4"/>
      <c r="P243" s="4"/>
      <c r="Q243" s="4"/>
      <c r="R243" s="4"/>
      <c r="S243" s="4"/>
      <c r="T243" s="4"/>
      <c r="U243" s="4"/>
      <c r="V243" s="4"/>
      <c r="W243" s="4"/>
      <c r="X243" s="4"/>
      <c r="Y243" s="4"/>
      <c r="Z243" s="4"/>
      <c r="AA243" s="4"/>
      <c r="AB243" s="4"/>
      <c r="AC243" s="4"/>
    </row>
    <row r="244" ht="15.75" customHeight="1">
      <c r="A244" s="61"/>
      <c r="B244" s="61"/>
      <c r="C244" s="61"/>
      <c r="D244" s="61"/>
      <c r="E244" s="69"/>
      <c r="F244" s="69"/>
      <c r="G244" s="69"/>
      <c r="H244" s="72"/>
      <c r="I244" s="64" t="str">
        <f>IFERROR(B244/A244,"")</f>
        <v/>
      </c>
      <c r="J244" s="4"/>
      <c r="K244" s="4"/>
      <c r="L244" s="4"/>
      <c r="M244" s="4"/>
      <c r="N244" s="4"/>
      <c r="O244" s="4"/>
      <c r="P244" s="4"/>
      <c r="Q244" s="4"/>
      <c r="R244" s="4"/>
      <c r="S244" s="4"/>
      <c r="T244" s="4"/>
      <c r="U244" s="4"/>
      <c r="V244" s="4"/>
      <c r="W244" s="4"/>
      <c r="X244" s="4"/>
      <c r="Y244" s="4"/>
      <c r="Z244" s="4"/>
      <c r="AA244" s="4"/>
      <c r="AB244" s="4"/>
      <c r="AC244" s="4"/>
    </row>
    <row r="245" ht="15.75" customHeight="1">
      <c r="A245" s="61"/>
      <c r="B245" s="61"/>
      <c r="C245" s="61"/>
      <c r="D245" s="61"/>
      <c r="E245" s="72"/>
      <c r="F245" s="72"/>
      <c r="G245" s="72"/>
      <c r="H245" s="72"/>
      <c r="I245" s="64" t="str">
        <f t="shared" ref="I245:I263" si="13">IF(A245&lt;&gt;0,(B245-(B244-D244))/(A245-A244),"")</f>
        <v/>
      </c>
      <c r="J245" s="4"/>
      <c r="K245" s="4"/>
      <c r="L245" s="4"/>
      <c r="M245" s="4"/>
      <c r="N245" s="4"/>
      <c r="O245" s="4"/>
      <c r="P245" s="4"/>
      <c r="Q245" s="4"/>
      <c r="R245" s="4"/>
      <c r="S245" s="4"/>
      <c r="T245" s="4"/>
      <c r="U245" s="4"/>
      <c r="V245" s="4"/>
      <c r="W245" s="4"/>
      <c r="X245" s="4"/>
      <c r="Y245" s="4"/>
      <c r="Z245" s="4"/>
      <c r="AA245" s="4"/>
      <c r="AB245" s="4"/>
      <c r="AC245" s="4"/>
    </row>
    <row r="246" ht="15.75" customHeight="1">
      <c r="A246" s="61"/>
      <c r="B246" s="61"/>
      <c r="C246" s="61"/>
      <c r="D246" s="61"/>
      <c r="E246" s="72"/>
      <c r="F246" s="72"/>
      <c r="G246" s="72"/>
      <c r="H246" s="72"/>
      <c r="I246" s="64" t="str">
        <f t="shared" si="13"/>
        <v/>
      </c>
      <c r="J246" s="4"/>
      <c r="K246" s="4"/>
      <c r="L246" s="4"/>
      <c r="M246" s="4"/>
      <c r="N246" s="4"/>
      <c r="O246" s="4"/>
      <c r="P246" s="4"/>
      <c r="Q246" s="4"/>
      <c r="R246" s="4"/>
      <c r="S246" s="4"/>
      <c r="T246" s="4"/>
      <c r="U246" s="4"/>
      <c r="V246" s="4"/>
      <c r="W246" s="4"/>
      <c r="X246" s="4"/>
      <c r="Y246" s="4"/>
      <c r="Z246" s="4"/>
      <c r="AA246" s="4"/>
      <c r="AB246" s="4"/>
      <c r="AC246" s="4"/>
    </row>
    <row r="247" ht="15.75" customHeight="1">
      <c r="A247" s="61"/>
      <c r="B247" s="61"/>
      <c r="C247" s="61"/>
      <c r="D247" s="61"/>
      <c r="E247" s="72"/>
      <c r="F247" s="72"/>
      <c r="G247" s="72"/>
      <c r="H247" s="72"/>
      <c r="I247" s="64" t="str">
        <f t="shared" si="13"/>
        <v/>
      </c>
      <c r="J247" s="4"/>
      <c r="K247" s="4"/>
      <c r="L247" s="4"/>
      <c r="M247" s="4"/>
      <c r="N247" s="4"/>
      <c r="O247" s="4"/>
      <c r="P247" s="4"/>
      <c r="Q247" s="4"/>
      <c r="R247" s="4"/>
      <c r="S247" s="4"/>
      <c r="T247" s="4"/>
      <c r="U247" s="4"/>
      <c r="V247" s="4"/>
      <c r="W247" s="4"/>
      <c r="X247" s="4"/>
      <c r="Y247" s="4"/>
      <c r="Z247" s="4"/>
      <c r="AA247" s="4"/>
      <c r="AB247" s="4"/>
      <c r="AC247" s="4"/>
    </row>
    <row r="248" ht="15.75" customHeight="1">
      <c r="A248" s="61"/>
      <c r="B248" s="61"/>
      <c r="C248" s="61"/>
      <c r="D248" s="61"/>
      <c r="E248" s="72"/>
      <c r="F248" s="72"/>
      <c r="G248" s="72"/>
      <c r="H248" s="72"/>
      <c r="I248" s="64" t="str">
        <f t="shared" si="13"/>
        <v/>
      </c>
      <c r="J248" s="4"/>
      <c r="K248" s="4"/>
      <c r="L248" s="4"/>
      <c r="M248" s="4"/>
      <c r="N248" s="4"/>
      <c r="O248" s="4"/>
      <c r="P248" s="4"/>
      <c r="Q248" s="4"/>
      <c r="R248" s="4"/>
      <c r="S248" s="4"/>
      <c r="T248" s="4"/>
      <c r="U248" s="4"/>
      <c r="V248" s="4"/>
      <c r="W248" s="4"/>
      <c r="X248" s="4"/>
      <c r="Y248" s="4"/>
      <c r="Z248" s="4"/>
      <c r="AA248" s="4"/>
      <c r="AB248" s="4"/>
      <c r="AC248" s="4"/>
    </row>
    <row r="249" ht="15.75" customHeight="1">
      <c r="A249" s="61"/>
      <c r="B249" s="61"/>
      <c r="C249" s="61"/>
      <c r="D249" s="61"/>
      <c r="E249" s="72"/>
      <c r="F249" s="72"/>
      <c r="G249" s="72"/>
      <c r="H249" s="72"/>
      <c r="I249" s="64" t="str">
        <f t="shared" si="13"/>
        <v/>
      </c>
      <c r="J249" s="4"/>
      <c r="K249" s="4"/>
      <c r="L249" s="4"/>
      <c r="M249" s="4"/>
      <c r="N249" s="4"/>
      <c r="O249" s="4"/>
      <c r="P249" s="4"/>
      <c r="Q249" s="4"/>
      <c r="R249" s="4"/>
      <c r="S249" s="4"/>
      <c r="T249" s="4"/>
      <c r="U249" s="4"/>
      <c r="V249" s="4"/>
      <c r="W249" s="4"/>
      <c r="X249" s="4"/>
      <c r="Y249" s="4"/>
      <c r="Z249" s="4"/>
      <c r="AA249" s="4"/>
      <c r="AB249" s="4"/>
      <c r="AC249" s="4"/>
    </row>
    <row r="250" ht="15.75" customHeight="1">
      <c r="A250" s="61"/>
      <c r="B250" s="61"/>
      <c r="C250" s="61"/>
      <c r="D250" s="61"/>
      <c r="E250" s="72"/>
      <c r="F250" s="72"/>
      <c r="G250" s="72"/>
      <c r="H250" s="72"/>
      <c r="I250" s="64" t="str">
        <f t="shared" si="13"/>
        <v/>
      </c>
      <c r="J250" s="4"/>
      <c r="K250" s="4"/>
      <c r="L250" s="4"/>
      <c r="M250" s="4"/>
      <c r="N250" s="4"/>
      <c r="O250" s="4"/>
      <c r="P250" s="4"/>
      <c r="Q250" s="4"/>
      <c r="R250" s="4"/>
      <c r="S250" s="4"/>
      <c r="T250" s="4"/>
      <c r="U250" s="4"/>
      <c r="V250" s="4"/>
      <c r="W250" s="4"/>
      <c r="X250" s="4"/>
      <c r="Y250" s="4"/>
      <c r="Z250" s="4"/>
      <c r="AA250" s="4"/>
      <c r="AB250" s="4"/>
      <c r="AC250" s="4"/>
    </row>
    <row r="251" ht="15.75" customHeight="1">
      <c r="A251" s="70"/>
      <c r="B251" s="70"/>
      <c r="C251" s="70"/>
      <c r="D251" s="70"/>
      <c r="E251" s="72"/>
      <c r="F251" s="72"/>
      <c r="G251" s="72"/>
      <c r="H251" s="72"/>
      <c r="I251" s="64" t="str">
        <f t="shared" si="13"/>
        <v/>
      </c>
      <c r="J251" s="4"/>
      <c r="K251" s="4"/>
      <c r="L251" s="4"/>
      <c r="M251" s="4"/>
      <c r="N251" s="4"/>
      <c r="O251" s="4"/>
      <c r="P251" s="4"/>
      <c r="Q251" s="4"/>
      <c r="R251" s="4"/>
      <c r="S251" s="4"/>
      <c r="T251" s="4"/>
      <c r="U251" s="4"/>
      <c r="V251" s="4"/>
      <c r="W251" s="4"/>
      <c r="X251" s="4"/>
      <c r="Y251" s="4"/>
      <c r="Z251" s="4"/>
      <c r="AA251" s="4"/>
      <c r="AB251" s="4"/>
      <c r="AC251" s="4"/>
    </row>
    <row r="252" ht="15.75" customHeight="1">
      <c r="A252" s="70"/>
      <c r="B252" s="70"/>
      <c r="C252" s="70"/>
      <c r="D252" s="70"/>
      <c r="E252" s="72"/>
      <c r="F252" s="72"/>
      <c r="G252" s="72"/>
      <c r="H252" s="72"/>
      <c r="I252" s="64" t="str">
        <f t="shared" si="13"/>
        <v/>
      </c>
      <c r="J252" s="4"/>
      <c r="K252" s="4"/>
      <c r="L252" s="4"/>
      <c r="M252" s="4"/>
      <c r="N252" s="4"/>
      <c r="O252" s="4"/>
      <c r="P252" s="4"/>
      <c r="Q252" s="4"/>
      <c r="R252" s="4"/>
      <c r="S252" s="4"/>
      <c r="T252" s="4"/>
      <c r="U252" s="4"/>
      <c r="V252" s="4"/>
      <c r="W252" s="4"/>
      <c r="X252" s="4"/>
      <c r="Y252" s="4"/>
      <c r="Z252" s="4"/>
      <c r="AA252" s="4"/>
      <c r="AB252" s="4"/>
      <c r="AC252" s="4"/>
    </row>
    <row r="253" ht="15.75" customHeight="1">
      <c r="A253" s="70"/>
      <c r="B253" s="70"/>
      <c r="C253" s="70"/>
      <c r="D253" s="70"/>
      <c r="E253" s="72"/>
      <c r="F253" s="72"/>
      <c r="G253" s="72"/>
      <c r="H253" s="72"/>
      <c r="I253" s="64" t="str">
        <f t="shared" si="13"/>
        <v/>
      </c>
      <c r="J253" s="4"/>
      <c r="K253" s="4"/>
      <c r="L253" s="4"/>
      <c r="M253" s="4"/>
      <c r="N253" s="4"/>
      <c r="O253" s="4"/>
      <c r="P253" s="4"/>
      <c r="Q253" s="4"/>
      <c r="R253" s="4"/>
      <c r="S253" s="4"/>
      <c r="T253" s="4"/>
      <c r="U253" s="4"/>
      <c r="V253" s="4"/>
      <c r="W253" s="4"/>
      <c r="X253" s="4"/>
      <c r="Y253" s="4"/>
      <c r="Z253" s="4"/>
      <c r="AA253" s="4"/>
      <c r="AB253" s="4"/>
      <c r="AC253" s="4"/>
    </row>
    <row r="254" ht="15.75" customHeight="1">
      <c r="A254" s="70"/>
      <c r="B254" s="70"/>
      <c r="C254" s="70"/>
      <c r="D254" s="70"/>
      <c r="E254" s="72"/>
      <c r="F254" s="72"/>
      <c r="G254" s="72"/>
      <c r="H254" s="72"/>
      <c r="I254" s="64" t="str">
        <f t="shared" si="13"/>
        <v/>
      </c>
      <c r="J254" s="4"/>
      <c r="K254" s="4"/>
      <c r="L254" s="4"/>
      <c r="M254" s="4"/>
      <c r="N254" s="4"/>
      <c r="O254" s="4"/>
      <c r="P254" s="4"/>
      <c r="Q254" s="4"/>
      <c r="R254" s="4"/>
      <c r="S254" s="4"/>
      <c r="T254" s="4"/>
      <c r="U254" s="4"/>
      <c r="V254" s="4"/>
      <c r="W254" s="4"/>
      <c r="X254" s="4"/>
      <c r="Y254" s="4"/>
      <c r="Z254" s="4"/>
      <c r="AA254" s="4"/>
      <c r="AB254" s="4"/>
      <c r="AC254" s="4"/>
    </row>
    <row r="255" ht="15.75" customHeight="1">
      <c r="A255" s="70"/>
      <c r="B255" s="70"/>
      <c r="C255" s="70"/>
      <c r="D255" s="70"/>
      <c r="E255" s="72"/>
      <c r="F255" s="72"/>
      <c r="G255" s="72"/>
      <c r="H255" s="72"/>
      <c r="I255" s="64" t="str">
        <f t="shared" si="13"/>
        <v/>
      </c>
      <c r="J255" s="4"/>
      <c r="K255" s="4"/>
      <c r="L255" s="4"/>
      <c r="M255" s="4"/>
      <c r="N255" s="4"/>
      <c r="O255" s="4"/>
      <c r="P255" s="4"/>
      <c r="Q255" s="4"/>
      <c r="R255" s="4"/>
      <c r="S255" s="4"/>
      <c r="T255" s="4"/>
      <c r="U255" s="4"/>
      <c r="V255" s="4"/>
      <c r="W255" s="4"/>
      <c r="X255" s="4"/>
      <c r="Y255" s="4"/>
      <c r="Z255" s="4"/>
      <c r="AA255" s="4"/>
      <c r="AB255" s="4"/>
      <c r="AC255" s="4"/>
    </row>
    <row r="256" ht="15.75" customHeight="1">
      <c r="A256" s="70"/>
      <c r="B256" s="70"/>
      <c r="C256" s="70"/>
      <c r="D256" s="70"/>
      <c r="E256" s="72"/>
      <c r="F256" s="72"/>
      <c r="G256" s="72"/>
      <c r="H256" s="72"/>
      <c r="I256" s="64" t="str">
        <f t="shared" si="13"/>
        <v/>
      </c>
      <c r="J256" s="4"/>
      <c r="K256" s="4"/>
      <c r="L256" s="4"/>
      <c r="M256" s="4"/>
      <c r="N256" s="4"/>
      <c r="O256" s="4"/>
      <c r="P256" s="4"/>
      <c r="Q256" s="4"/>
      <c r="R256" s="4"/>
      <c r="S256" s="4"/>
      <c r="T256" s="4"/>
      <c r="U256" s="4"/>
      <c r="V256" s="4"/>
      <c r="W256" s="4"/>
      <c r="X256" s="4"/>
      <c r="Y256" s="4"/>
      <c r="Z256" s="4"/>
      <c r="AA256" s="4"/>
      <c r="AB256" s="4"/>
      <c r="AC256" s="4"/>
    </row>
    <row r="257" ht="15.75" customHeight="1">
      <c r="A257" s="73"/>
      <c r="B257" s="61"/>
      <c r="C257" s="73"/>
      <c r="D257" s="61"/>
      <c r="E257" s="69"/>
      <c r="F257" s="69"/>
      <c r="G257" s="69"/>
      <c r="H257" s="69"/>
      <c r="I257" s="64" t="str">
        <f t="shared" si="13"/>
        <v/>
      </c>
      <c r="J257" s="4"/>
      <c r="K257" s="4"/>
      <c r="L257" s="4"/>
      <c r="M257" s="4"/>
      <c r="N257" s="4"/>
      <c r="O257" s="4"/>
      <c r="P257" s="4"/>
      <c r="Q257" s="4"/>
      <c r="R257" s="4"/>
      <c r="S257" s="4"/>
      <c r="T257" s="4"/>
      <c r="U257" s="4"/>
      <c r="V257" s="4"/>
      <c r="W257" s="4"/>
      <c r="X257" s="4"/>
      <c r="Y257" s="4"/>
      <c r="Z257" s="4"/>
      <c r="AA257" s="4"/>
      <c r="AB257" s="4"/>
      <c r="AC257" s="4"/>
    </row>
    <row r="258" ht="15.75" customHeight="1">
      <c r="A258" s="61"/>
      <c r="B258" s="61"/>
      <c r="C258" s="61"/>
      <c r="D258" s="61"/>
      <c r="E258" s="69"/>
      <c r="F258" s="69"/>
      <c r="G258" s="69"/>
      <c r="H258" s="69"/>
      <c r="I258" s="64" t="str">
        <f t="shared" si="13"/>
        <v/>
      </c>
      <c r="J258" s="4"/>
      <c r="K258" s="4"/>
      <c r="L258" s="4"/>
      <c r="M258" s="4"/>
      <c r="N258" s="4"/>
      <c r="O258" s="4"/>
      <c r="P258" s="4"/>
      <c r="Q258" s="4"/>
      <c r="R258" s="4"/>
      <c r="S258" s="4"/>
      <c r="T258" s="4"/>
      <c r="U258" s="4"/>
      <c r="V258" s="4"/>
      <c r="W258" s="4"/>
      <c r="X258" s="4"/>
      <c r="Y258" s="4"/>
      <c r="Z258" s="4"/>
      <c r="AA258" s="4"/>
      <c r="AB258" s="4"/>
      <c r="AC258" s="4"/>
    </row>
    <row r="259" ht="15.75" customHeight="1">
      <c r="A259" s="61"/>
      <c r="B259" s="61"/>
      <c r="C259" s="61"/>
      <c r="D259" s="61"/>
      <c r="E259" s="69"/>
      <c r="F259" s="69"/>
      <c r="G259" s="69"/>
      <c r="H259" s="69"/>
      <c r="I259" s="64" t="str">
        <f t="shared" si="13"/>
        <v/>
      </c>
      <c r="J259" s="4"/>
      <c r="K259" s="4"/>
      <c r="L259" s="4"/>
      <c r="M259" s="4"/>
      <c r="N259" s="4"/>
      <c r="O259" s="4"/>
      <c r="P259" s="4"/>
      <c r="Q259" s="4"/>
      <c r="R259" s="4"/>
      <c r="S259" s="4"/>
      <c r="T259" s="4"/>
      <c r="U259" s="4"/>
      <c r="V259" s="4"/>
      <c r="W259" s="4"/>
      <c r="X259" s="4"/>
      <c r="Y259" s="4"/>
      <c r="Z259" s="4"/>
      <c r="AA259" s="4"/>
      <c r="AB259" s="4"/>
      <c r="AC259" s="4"/>
    </row>
    <row r="260" ht="15.75" customHeight="1">
      <c r="A260" s="61"/>
      <c r="B260" s="61"/>
      <c r="C260" s="61"/>
      <c r="D260" s="61"/>
      <c r="E260" s="69"/>
      <c r="F260" s="69"/>
      <c r="G260" s="69"/>
      <c r="H260" s="69"/>
      <c r="I260" s="64" t="str">
        <f t="shared" si="13"/>
        <v/>
      </c>
      <c r="J260" s="4"/>
      <c r="K260" s="4"/>
      <c r="L260" s="4"/>
      <c r="M260" s="4"/>
      <c r="N260" s="4"/>
      <c r="O260" s="4"/>
      <c r="P260" s="4"/>
      <c r="Q260" s="4"/>
      <c r="R260" s="4"/>
      <c r="S260" s="4"/>
      <c r="T260" s="4"/>
      <c r="U260" s="4"/>
      <c r="V260" s="4"/>
      <c r="W260" s="4"/>
      <c r="X260" s="4"/>
      <c r="Y260" s="4"/>
      <c r="Z260" s="4"/>
      <c r="AA260" s="4"/>
      <c r="AB260" s="4"/>
      <c r="AC260" s="4"/>
    </row>
    <row r="261" ht="15.75" customHeight="1">
      <c r="A261" s="61"/>
      <c r="B261" s="61"/>
      <c r="C261" s="61"/>
      <c r="D261" s="61"/>
      <c r="E261" s="69"/>
      <c r="F261" s="69"/>
      <c r="G261" s="69"/>
      <c r="H261" s="69"/>
      <c r="I261" s="64" t="str">
        <f t="shared" si="13"/>
        <v/>
      </c>
      <c r="J261" s="4"/>
      <c r="K261" s="4"/>
      <c r="L261" s="4"/>
      <c r="M261" s="4"/>
      <c r="N261" s="4"/>
      <c r="O261" s="4"/>
      <c r="P261" s="4"/>
      <c r="Q261" s="4"/>
      <c r="R261" s="4"/>
      <c r="S261" s="4"/>
      <c r="T261" s="4"/>
      <c r="U261" s="4"/>
      <c r="V261" s="4"/>
      <c r="W261" s="4"/>
      <c r="X261" s="4"/>
      <c r="Y261" s="4"/>
      <c r="Z261" s="4"/>
      <c r="AA261" s="4"/>
      <c r="AB261" s="4"/>
      <c r="AC261" s="4"/>
    </row>
    <row r="262" ht="15.75" customHeight="1">
      <c r="A262" s="61"/>
      <c r="B262" s="61"/>
      <c r="C262" s="61"/>
      <c r="D262" s="61"/>
      <c r="E262" s="69"/>
      <c r="F262" s="69"/>
      <c r="G262" s="69"/>
      <c r="H262" s="69"/>
      <c r="I262" s="64" t="str">
        <f t="shared" si="13"/>
        <v/>
      </c>
      <c r="J262" s="4"/>
      <c r="K262" s="4"/>
      <c r="L262" s="4"/>
      <c r="M262" s="4"/>
      <c r="N262" s="4"/>
      <c r="O262" s="4"/>
      <c r="P262" s="4"/>
      <c r="Q262" s="4"/>
      <c r="R262" s="4"/>
      <c r="S262" s="4"/>
      <c r="T262" s="4"/>
      <c r="U262" s="4"/>
      <c r="V262" s="4"/>
      <c r="W262" s="4"/>
      <c r="X262" s="4"/>
      <c r="Y262" s="4"/>
      <c r="Z262" s="4"/>
      <c r="AA262" s="4"/>
      <c r="AB262" s="4"/>
      <c r="AC262" s="4"/>
    </row>
    <row r="263" ht="15.75" customHeight="1">
      <c r="A263" s="61"/>
      <c r="B263" s="61"/>
      <c r="C263" s="61"/>
      <c r="D263" s="61"/>
      <c r="E263" s="69"/>
      <c r="F263" s="69"/>
      <c r="G263" s="69"/>
      <c r="H263" s="69"/>
      <c r="I263" s="64" t="str">
        <f t="shared" si="13"/>
        <v/>
      </c>
      <c r="J263" s="4"/>
      <c r="K263" s="4"/>
      <c r="L263" s="4"/>
      <c r="M263" s="4"/>
      <c r="N263" s="4"/>
      <c r="O263" s="4"/>
      <c r="P263" s="4"/>
      <c r="Q263" s="4"/>
      <c r="R263" s="4"/>
      <c r="S263" s="4"/>
      <c r="T263" s="4"/>
      <c r="U263" s="4"/>
      <c r="V263" s="4"/>
      <c r="W263" s="4"/>
      <c r="X263" s="4"/>
      <c r="Y263" s="4"/>
      <c r="Z263" s="4"/>
      <c r="AA263" s="4"/>
      <c r="AB263" s="4"/>
      <c r="AC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row>
    <row r="266" ht="15.75" customHeight="1">
      <c r="A266" s="49" t="s">
        <v>29</v>
      </c>
      <c r="B266" s="67" t="str">
        <f>IF(B18="","",B18)</f>
        <v/>
      </c>
      <c r="C266" s="4"/>
      <c r="D266" s="51" t="s">
        <v>47</v>
      </c>
      <c r="E266" s="4"/>
      <c r="F266" s="4"/>
      <c r="G266" s="4"/>
      <c r="H266" s="4"/>
      <c r="I266" s="4"/>
      <c r="J266" s="4"/>
      <c r="K266" s="4"/>
      <c r="L266" s="4"/>
      <c r="M266" s="4"/>
      <c r="N266" s="4"/>
      <c r="O266" s="4"/>
      <c r="P266" s="4"/>
      <c r="Q266" s="4"/>
      <c r="R266" s="4"/>
      <c r="S266" s="4"/>
      <c r="T266" s="4"/>
      <c r="U266" s="4"/>
      <c r="V266" s="4"/>
      <c r="W266" s="4"/>
      <c r="X266" s="4"/>
      <c r="Y266" s="4"/>
      <c r="Z266" s="4"/>
      <c r="AA266" s="4"/>
      <c r="AB266" s="4"/>
      <c r="AC266" s="4"/>
    </row>
    <row r="267" ht="15.75" customHeight="1">
      <c r="A267" s="49"/>
      <c r="B267" s="68"/>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row>
    <row r="268" ht="15.75" customHeight="1">
      <c r="A268" s="4"/>
      <c r="B268" s="52" t="s">
        <v>49</v>
      </c>
      <c r="C268" s="53" t="s">
        <v>50</v>
      </c>
      <c r="D268" s="54"/>
      <c r="E268" s="53" t="s">
        <v>51</v>
      </c>
      <c r="F268" s="55"/>
      <c r="G268" s="55"/>
      <c r="H268" s="54"/>
      <c r="I268" s="56"/>
      <c r="J268" s="4"/>
      <c r="K268" s="4"/>
      <c r="L268" s="4"/>
      <c r="M268" s="4"/>
      <c r="N268" s="4"/>
      <c r="O268" s="4"/>
      <c r="P268" s="4"/>
      <c r="Q268" s="4"/>
      <c r="R268" s="4"/>
      <c r="S268" s="4"/>
      <c r="T268" s="4"/>
      <c r="U268" s="4"/>
      <c r="V268" s="4"/>
      <c r="W268" s="4"/>
      <c r="X268" s="4"/>
      <c r="Y268" s="4"/>
      <c r="Z268" s="4"/>
      <c r="AA268" s="4"/>
      <c r="AB268" s="4"/>
      <c r="AC268" s="4"/>
    </row>
    <row r="269" ht="15.75" customHeight="1">
      <c r="A269" s="33" t="s">
        <v>52</v>
      </c>
      <c r="B269" s="33" t="s">
        <v>79</v>
      </c>
      <c r="C269" s="57" t="s">
        <v>54</v>
      </c>
      <c r="D269" s="57" t="s">
        <v>55</v>
      </c>
      <c r="E269" s="33" t="s">
        <v>56</v>
      </c>
      <c r="F269" s="33" t="s">
        <v>57</v>
      </c>
      <c r="G269" s="33" t="s">
        <v>58</v>
      </c>
      <c r="H269" s="33" t="s">
        <v>59</v>
      </c>
      <c r="I269" s="57" t="s">
        <v>80</v>
      </c>
      <c r="J269" s="4"/>
      <c r="K269" s="4"/>
      <c r="L269" s="4"/>
      <c r="M269" s="4"/>
      <c r="N269" s="4"/>
      <c r="O269" s="4"/>
      <c r="P269" s="4"/>
      <c r="Q269" s="4"/>
      <c r="R269" s="4"/>
      <c r="S269" s="4"/>
      <c r="T269" s="4"/>
      <c r="U269" s="4"/>
      <c r="V269" s="4"/>
      <c r="W269" s="4"/>
      <c r="X269" s="4"/>
      <c r="Y269" s="4"/>
      <c r="Z269" s="4"/>
      <c r="AA269" s="4"/>
      <c r="AB269" s="4"/>
      <c r="AC269" s="4"/>
    </row>
    <row r="270" ht="15.75" customHeight="1">
      <c r="A270" s="61"/>
      <c r="B270" s="61"/>
      <c r="C270" s="61"/>
      <c r="D270" s="61"/>
      <c r="E270" s="69"/>
      <c r="F270" s="69"/>
      <c r="G270" s="69"/>
      <c r="H270" s="69"/>
      <c r="I270" s="64" t="str">
        <f>IFERROR(B270/A270,"")</f>
        <v/>
      </c>
      <c r="J270" s="4"/>
      <c r="K270" s="4"/>
      <c r="L270" s="4"/>
      <c r="M270" s="4"/>
      <c r="N270" s="4"/>
      <c r="O270" s="4"/>
      <c r="P270" s="4"/>
      <c r="Q270" s="4"/>
      <c r="R270" s="4"/>
      <c r="S270" s="4"/>
      <c r="T270" s="4"/>
      <c r="U270" s="4"/>
      <c r="V270" s="4"/>
      <c r="W270" s="4"/>
      <c r="X270" s="4"/>
      <c r="Y270" s="4"/>
      <c r="Z270" s="4"/>
      <c r="AA270" s="4"/>
      <c r="AB270" s="4"/>
      <c r="AC270" s="4"/>
    </row>
    <row r="271" ht="15.75" customHeight="1">
      <c r="A271" s="61"/>
      <c r="B271" s="61"/>
      <c r="C271" s="61"/>
      <c r="D271" s="61"/>
      <c r="E271" s="69"/>
      <c r="F271" s="69"/>
      <c r="G271" s="69"/>
      <c r="H271" s="69"/>
      <c r="I271" s="64" t="str">
        <f t="shared" ref="I271:I289" si="14">IF(A271&lt;&gt;0,(B271-(B270-D270))/(A271-A270),"")</f>
        <v/>
      </c>
      <c r="J271" s="4"/>
      <c r="K271" s="4"/>
      <c r="L271" s="4"/>
      <c r="M271" s="4"/>
      <c r="N271" s="4"/>
      <c r="O271" s="4"/>
      <c r="P271" s="4"/>
      <c r="Q271" s="4"/>
      <c r="R271" s="4"/>
      <c r="S271" s="4"/>
      <c r="T271" s="4"/>
      <c r="U271" s="4"/>
      <c r="V271" s="4"/>
      <c r="W271" s="4"/>
      <c r="X271" s="4"/>
      <c r="Y271" s="4"/>
      <c r="Z271" s="4"/>
      <c r="AA271" s="4"/>
      <c r="AB271" s="4"/>
      <c r="AC271" s="4"/>
    </row>
    <row r="272" ht="15.75" customHeight="1">
      <c r="A272" s="61"/>
      <c r="B272" s="61"/>
      <c r="C272" s="61"/>
      <c r="D272" s="61"/>
      <c r="E272" s="69"/>
      <c r="F272" s="69"/>
      <c r="G272" s="69"/>
      <c r="H272" s="69"/>
      <c r="I272" s="64" t="str">
        <f t="shared" si="14"/>
        <v/>
      </c>
      <c r="J272" s="4"/>
      <c r="K272" s="4"/>
      <c r="L272" s="4"/>
      <c r="M272" s="4"/>
      <c r="N272" s="4"/>
      <c r="O272" s="4"/>
      <c r="P272" s="4"/>
      <c r="Q272" s="4"/>
      <c r="R272" s="4"/>
      <c r="S272" s="4"/>
      <c r="T272" s="4"/>
      <c r="U272" s="4"/>
      <c r="V272" s="4"/>
      <c r="W272" s="4"/>
      <c r="X272" s="4"/>
      <c r="Y272" s="4"/>
      <c r="Z272" s="4"/>
      <c r="AA272" s="4"/>
      <c r="AB272" s="4"/>
      <c r="AC272" s="4"/>
    </row>
    <row r="273" ht="15.75" customHeight="1">
      <c r="A273" s="61"/>
      <c r="B273" s="61"/>
      <c r="C273" s="61"/>
      <c r="D273" s="61"/>
      <c r="E273" s="69"/>
      <c r="F273" s="69"/>
      <c r="G273" s="69"/>
      <c r="H273" s="69"/>
      <c r="I273" s="64" t="str">
        <f t="shared" si="14"/>
        <v/>
      </c>
      <c r="J273" s="4"/>
      <c r="K273" s="4"/>
      <c r="L273" s="4"/>
      <c r="M273" s="4"/>
      <c r="N273" s="4"/>
      <c r="O273" s="4"/>
      <c r="P273" s="4"/>
      <c r="Q273" s="4"/>
      <c r="R273" s="4"/>
      <c r="S273" s="4"/>
      <c r="T273" s="4"/>
      <c r="U273" s="4"/>
      <c r="V273" s="4"/>
      <c r="W273" s="4"/>
      <c r="X273" s="4"/>
      <c r="Y273" s="4"/>
      <c r="Z273" s="4"/>
      <c r="AA273" s="4"/>
      <c r="AB273" s="4"/>
      <c r="AC273" s="4"/>
    </row>
    <row r="274" ht="15.75" customHeight="1">
      <c r="A274" s="61"/>
      <c r="B274" s="61"/>
      <c r="C274" s="61"/>
      <c r="D274" s="61"/>
      <c r="E274" s="69"/>
      <c r="F274" s="69"/>
      <c r="G274" s="69"/>
      <c r="H274" s="69"/>
      <c r="I274" s="64" t="str">
        <f t="shared" si="14"/>
        <v/>
      </c>
      <c r="J274" s="4"/>
      <c r="K274" s="4"/>
      <c r="L274" s="4"/>
      <c r="M274" s="4"/>
      <c r="N274" s="4"/>
      <c r="O274" s="4"/>
      <c r="P274" s="4"/>
      <c r="Q274" s="4"/>
      <c r="R274" s="4"/>
      <c r="S274" s="4"/>
      <c r="T274" s="4"/>
      <c r="U274" s="4"/>
      <c r="V274" s="4"/>
      <c r="W274" s="4"/>
      <c r="X274" s="4"/>
      <c r="Y274" s="4"/>
      <c r="Z274" s="4"/>
      <c r="AA274" s="4"/>
      <c r="AB274" s="4"/>
      <c r="AC274" s="4"/>
    </row>
    <row r="275" ht="15.75" customHeight="1">
      <c r="A275" s="61"/>
      <c r="B275" s="61"/>
      <c r="C275" s="61"/>
      <c r="D275" s="61"/>
      <c r="E275" s="72"/>
      <c r="F275" s="72"/>
      <c r="G275" s="72"/>
      <c r="H275" s="72"/>
      <c r="I275" s="64" t="str">
        <f t="shared" si="14"/>
        <v/>
      </c>
      <c r="J275" s="4"/>
      <c r="K275" s="4"/>
      <c r="L275" s="4"/>
      <c r="M275" s="4"/>
      <c r="N275" s="4"/>
      <c r="O275" s="4"/>
      <c r="P275" s="4"/>
      <c r="Q275" s="4"/>
      <c r="R275" s="4"/>
      <c r="S275" s="4"/>
      <c r="T275" s="4"/>
      <c r="U275" s="4"/>
      <c r="V275" s="4"/>
      <c r="W275" s="4"/>
      <c r="X275" s="4"/>
      <c r="Y275" s="4"/>
      <c r="Z275" s="4"/>
      <c r="AA275" s="4"/>
      <c r="AB275" s="4"/>
      <c r="AC275" s="4"/>
    </row>
    <row r="276" ht="15.75" customHeight="1">
      <c r="A276" s="61"/>
      <c r="B276" s="61"/>
      <c r="C276" s="61"/>
      <c r="D276" s="61"/>
      <c r="E276" s="72"/>
      <c r="F276" s="72"/>
      <c r="G276" s="72"/>
      <c r="H276" s="72"/>
      <c r="I276" s="64" t="str">
        <f t="shared" si="14"/>
        <v/>
      </c>
      <c r="J276" s="4"/>
      <c r="K276" s="4"/>
      <c r="L276" s="4"/>
      <c r="M276" s="4"/>
      <c r="N276" s="4"/>
      <c r="O276" s="4"/>
      <c r="P276" s="4"/>
      <c r="Q276" s="4"/>
      <c r="R276" s="4"/>
      <c r="S276" s="4"/>
      <c r="T276" s="4"/>
      <c r="U276" s="4"/>
      <c r="V276" s="4"/>
      <c r="W276" s="4"/>
      <c r="X276" s="4"/>
      <c r="Y276" s="4"/>
      <c r="Z276" s="4"/>
      <c r="AA276" s="4"/>
      <c r="AB276" s="4"/>
      <c r="AC276" s="4"/>
    </row>
    <row r="277" ht="15.75" customHeight="1">
      <c r="A277" s="70"/>
      <c r="B277" s="70"/>
      <c r="C277" s="70"/>
      <c r="D277" s="70"/>
      <c r="E277" s="72"/>
      <c r="F277" s="72"/>
      <c r="G277" s="72"/>
      <c r="H277" s="72"/>
      <c r="I277" s="64" t="str">
        <f t="shared" si="14"/>
        <v/>
      </c>
      <c r="J277" s="4"/>
      <c r="K277" s="4"/>
      <c r="L277" s="4"/>
      <c r="M277" s="4"/>
      <c r="N277" s="4"/>
      <c r="O277" s="4"/>
      <c r="P277" s="4"/>
      <c r="Q277" s="4"/>
      <c r="R277" s="4"/>
      <c r="S277" s="4"/>
      <c r="T277" s="4"/>
      <c r="U277" s="4"/>
      <c r="V277" s="4"/>
      <c r="W277" s="4"/>
      <c r="X277" s="4"/>
      <c r="Y277" s="4"/>
      <c r="Z277" s="4"/>
      <c r="AA277" s="4"/>
      <c r="AB277" s="4"/>
      <c r="AC277" s="4"/>
    </row>
    <row r="278" ht="15.75" customHeight="1">
      <c r="A278" s="70"/>
      <c r="B278" s="70"/>
      <c r="C278" s="70"/>
      <c r="D278" s="70"/>
      <c r="E278" s="72"/>
      <c r="F278" s="72"/>
      <c r="G278" s="72"/>
      <c r="H278" s="72"/>
      <c r="I278" s="64" t="str">
        <f t="shared" si="14"/>
        <v/>
      </c>
      <c r="J278" s="4"/>
      <c r="K278" s="4"/>
      <c r="L278" s="4"/>
      <c r="M278" s="4"/>
      <c r="N278" s="4"/>
      <c r="O278" s="4"/>
      <c r="P278" s="4"/>
      <c r="Q278" s="4"/>
      <c r="R278" s="4"/>
      <c r="S278" s="4"/>
      <c r="T278" s="4"/>
      <c r="U278" s="4"/>
      <c r="V278" s="4"/>
      <c r="W278" s="4"/>
      <c r="X278" s="4"/>
      <c r="Y278" s="4"/>
      <c r="Z278" s="4"/>
      <c r="AA278" s="4"/>
      <c r="AB278" s="4"/>
      <c r="AC278" s="4"/>
    </row>
    <row r="279" ht="15.75" customHeight="1">
      <c r="A279" s="70"/>
      <c r="B279" s="70"/>
      <c r="C279" s="70"/>
      <c r="D279" s="70"/>
      <c r="E279" s="72"/>
      <c r="F279" s="72"/>
      <c r="G279" s="72"/>
      <c r="H279" s="72"/>
      <c r="I279" s="64" t="str">
        <f t="shared" si="14"/>
        <v/>
      </c>
      <c r="J279" s="4"/>
      <c r="K279" s="4"/>
      <c r="L279" s="4"/>
      <c r="M279" s="4"/>
      <c r="N279" s="4"/>
      <c r="O279" s="4"/>
      <c r="P279" s="4"/>
      <c r="Q279" s="4"/>
      <c r="R279" s="4"/>
      <c r="S279" s="4"/>
      <c r="T279" s="4"/>
      <c r="U279" s="4"/>
      <c r="V279" s="4"/>
      <c r="W279" s="4"/>
      <c r="X279" s="4"/>
      <c r="Y279" s="4"/>
      <c r="Z279" s="4"/>
      <c r="AA279" s="4"/>
      <c r="AB279" s="4"/>
      <c r="AC279" s="4"/>
    </row>
    <row r="280" ht="15.75" customHeight="1">
      <c r="A280" s="70"/>
      <c r="B280" s="70"/>
      <c r="C280" s="70"/>
      <c r="D280" s="70"/>
      <c r="E280" s="72"/>
      <c r="F280" s="72"/>
      <c r="G280" s="72"/>
      <c r="H280" s="72"/>
      <c r="I280" s="64" t="str">
        <f t="shared" si="14"/>
        <v/>
      </c>
      <c r="J280" s="4"/>
      <c r="K280" s="4"/>
      <c r="L280" s="4"/>
      <c r="M280" s="4"/>
      <c r="N280" s="4"/>
      <c r="O280" s="4"/>
      <c r="P280" s="4"/>
      <c r="Q280" s="4"/>
      <c r="R280" s="4"/>
      <c r="S280" s="4"/>
      <c r="T280" s="4"/>
      <c r="U280" s="4"/>
      <c r="V280" s="4"/>
      <c r="W280" s="4"/>
      <c r="X280" s="4"/>
      <c r="Y280" s="4"/>
      <c r="Z280" s="4"/>
      <c r="AA280" s="4"/>
      <c r="AB280" s="4"/>
      <c r="AC280" s="4"/>
    </row>
    <row r="281" ht="15.75" customHeight="1">
      <c r="A281" s="70"/>
      <c r="B281" s="70"/>
      <c r="C281" s="70"/>
      <c r="D281" s="70"/>
      <c r="E281" s="72"/>
      <c r="F281" s="72"/>
      <c r="G281" s="72"/>
      <c r="H281" s="72"/>
      <c r="I281" s="64" t="str">
        <f t="shared" si="14"/>
        <v/>
      </c>
      <c r="J281" s="4"/>
      <c r="K281" s="4"/>
      <c r="L281" s="4"/>
      <c r="M281" s="4"/>
      <c r="N281" s="4"/>
      <c r="O281" s="4"/>
      <c r="P281" s="4"/>
      <c r="Q281" s="4"/>
      <c r="R281" s="4"/>
      <c r="S281" s="4"/>
      <c r="T281" s="4"/>
      <c r="U281" s="4"/>
      <c r="V281" s="4"/>
      <c r="W281" s="4"/>
      <c r="X281" s="4"/>
      <c r="Y281" s="4"/>
      <c r="Z281" s="4"/>
      <c r="AA281" s="4"/>
      <c r="AB281" s="4"/>
      <c r="AC281" s="4"/>
    </row>
    <row r="282" ht="15.75" customHeight="1">
      <c r="A282" s="70"/>
      <c r="B282" s="70"/>
      <c r="C282" s="70"/>
      <c r="D282" s="70"/>
      <c r="E282" s="72"/>
      <c r="F282" s="72"/>
      <c r="G282" s="72"/>
      <c r="H282" s="72"/>
      <c r="I282" s="64" t="str">
        <f t="shared" si="14"/>
        <v/>
      </c>
      <c r="J282" s="4"/>
      <c r="K282" s="4"/>
      <c r="L282" s="4"/>
      <c r="M282" s="4"/>
      <c r="N282" s="4"/>
      <c r="O282" s="4"/>
      <c r="P282" s="4"/>
      <c r="Q282" s="4"/>
      <c r="R282" s="4"/>
      <c r="S282" s="4"/>
      <c r="T282" s="4"/>
      <c r="U282" s="4"/>
      <c r="V282" s="4"/>
      <c r="W282" s="4"/>
      <c r="X282" s="4"/>
      <c r="Y282" s="4"/>
      <c r="Z282" s="4"/>
      <c r="AA282" s="4"/>
      <c r="AB282" s="4"/>
      <c r="AC282" s="4"/>
    </row>
    <row r="283" ht="15.75" customHeight="1">
      <c r="A283" s="73"/>
      <c r="B283" s="61"/>
      <c r="C283" s="73"/>
      <c r="D283" s="61"/>
      <c r="E283" s="69"/>
      <c r="F283" s="69"/>
      <c r="G283" s="69"/>
      <c r="H283" s="69"/>
      <c r="I283" s="64" t="str">
        <f t="shared" si="14"/>
        <v/>
      </c>
      <c r="J283" s="4"/>
      <c r="K283" s="4"/>
      <c r="L283" s="4"/>
      <c r="M283" s="4"/>
      <c r="N283" s="4"/>
      <c r="O283" s="4"/>
      <c r="P283" s="4"/>
      <c r="Q283" s="4"/>
      <c r="R283" s="4"/>
      <c r="S283" s="4"/>
      <c r="T283" s="4"/>
      <c r="U283" s="4"/>
      <c r="V283" s="4"/>
      <c r="W283" s="4"/>
      <c r="X283" s="4"/>
      <c r="Y283" s="4"/>
      <c r="Z283" s="4"/>
      <c r="AA283" s="4"/>
      <c r="AB283" s="4"/>
      <c r="AC283" s="4"/>
    </row>
    <row r="284" ht="15.75" customHeight="1">
      <c r="A284" s="61"/>
      <c r="B284" s="61"/>
      <c r="C284" s="61"/>
      <c r="D284" s="61"/>
      <c r="E284" s="69"/>
      <c r="F284" s="69"/>
      <c r="G284" s="69"/>
      <c r="H284" s="69"/>
      <c r="I284" s="64" t="str">
        <f t="shared" si="14"/>
        <v/>
      </c>
      <c r="J284" s="4"/>
      <c r="K284" s="4"/>
      <c r="L284" s="4"/>
      <c r="M284" s="4"/>
      <c r="N284" s="4"/>
      <c r="O284" s="4"/>
      <c r="P284" s="4"/>
      <c r="Q284" s="4"/>
      <c r="R284" s="4"/>
      <c r="S284" s="4"/>
      <c r="T284" s="4"/>
      <c r="U284" s="4"/>
      <c r="V284" s="4"/>
      <c r="W284" s="4"/>
      <c r="X284" s="4"/>
      <c r="Y284" s="4"/>
      <c r="Z284" s="4"/>
      <c r="AA284" s="4"/>
      <c r="AB284" s="4"/>
      <c r="AC284" s="4"/>
    </row>
    <row r="285" ht="15.75" customHeight="1">
      <c r="A285" s="61"/>
      <c r="B285" s="61"/>
      <c r="C285" s="61"/>
      <c r="D285" s="61"/>
      <c r="E285" s="69"/>
      <c r="F285" s="69"/>
      <c r="G285" s="69"/>
      <c r="H285" s="69"/>
      <c r="I285" s="64" t="str">
        <f t="shared" si="14"/>
        <v/>
      </c>
      <c r="J285" s="4"/>
      <c r="K285" s="4"/>
      <c r="L285" s="4"/>
      <c r="M285" s="4"/>
      <c r="N285" s="4"/>
      <c r="O285" s="4"/>
      <c r="P285" s="4"/>
      <c r="Q285" s="4"/>
      <c r="R285" s="4"/>
      <c r="S285" s="4"/>
      <c r="T285" s="4"/>
      <c r="U285" s="4"/>
      <c r="V285" s="4"/>
      <c r="W285" s="4"/>
      <c r="X285" s="4"/>
      <c r="Y285" s="4"/>
      <c r="Z285" s="4"/>
      <c r="AA285" s="4"/>
      <c r="AB285" s="4"/>
      <c r="AC285" s="4"/>
    </row>
    <row r="286" ht="15.75" customHeight="1">
      <c r="A286" s="61"/>
      <c r="B286" s="61"/>
      <c r="C286" s="61"/>
      <c r="D286" s="61"/>
      <c r="E286" s="69"/>
      <c r="F286" s="69"/>
      <c r="G286" s="69"/>
      <c r="H286" s="69"/>
      <c r="I286" s="64" t="str">
        <f t="shared" si="14"/>
        <v/>
      </c>
      <c r="J286" s="4"/>
      <c r="K286" s="4"/>
      <c r="L286" s="4"/>
      <c r="M286" s="4"/>
      <c r="N286" s="4"/>
      <c r="O286" s="4"/>
      <c r="P286" s="4"/>
      <c r="Q286" s="4"/>
      <c r="R286" s="4"/>
      <c r="S286" s="4"/>
      <c r="T286" s="4"/>
      <c r="U286" s="4"/>
      <c r="V286" s="4"/>
      <c r="W286" s="4"/>
      <c r="X286" s="4"/>
      <c r="Y286" s="4"/>
      <c r="Z286" s="4"/>
      <c r="AA286" s="4"/>
      <c r="AB286" s="4"/>
      <c r="AC286" s="4"/>
    </row>
    <row r="287" ht="15.75" customHeight="1">
      <c r="A287" s="61"/>
      <c r="B287" s="61"/>
      <c r="C287" s="61"/>
      <c r="D287" s="61"/>
      <c r="E287" s="69"/>
      <c r="F287" s="69"/>
      <c r="G287" s="69"/>
      <c r="H287" s="69"/>
      <c r="I287" s="64" t="str">
        <f t="shared" si="14"/>
        <v/>
      </c>
      <c r="J287" s="4"/>
      <c r="K287" s="4"/>
      <c r="L287" s="4"/>
      <c r="M287" s="4"/>
      <c r="N287" s="4"/>
      <c r="O287" s="4"/>
      <c r="P287" s="4"/>
      <c r="Q287" s="4"/>
      <c r="R287" s="4"/>
      <c r="S287" s="4"/>
      <c r="T287" s="4"/>
      <c r="U287" s="4"/>
      <c r="V287" s="4"/>
      <c r="W287" s="4"/>
      <c r="X287" s="4"/>
      <c r="Y287" s="4"/>
      <c r="Z287" s="4"/>
      <c r="AA287" s="4"/>
      <c r="AB287" s="4"/>
      <c r="AC287" s="4"/>
    </row>
    <row r="288" ht="15.75" customHeight="1">
      <c r="A288" s="61"/>
      <c r="B288" s="61"/>
      <c r="C288" s="61"/>
      <c r="D288" s="61"/>
      <c r="E288" s="69"/>
      <c r="F288" s="69"/>
      <c r="G288" s="69"/>
      <c r="H288" s="69"/>
      <c r="I288" s="64" t="str">
        <f t="shared" si="14"/>
        <v/>
      </c>
      <c r="J288" s="4"/>
      <c r="K288" s="4"/>
      <c r="L288" s="4"/>
      <c r="M288" s="4"/>
      <c r="N288" s="4"/>
      <c r="O288" s="4"/>
      <c r="P288" s="4"/>
      <c r="Q288" s="4"/>
      <c r="R288" s="4"/>
      <c r="S288" s="4"/>
      <c r="T288" s="4"/>
      <c r="U288" s="4"/>
      <c r="V288" s="4"/>
      <c r="W288" s="4"/>
      <c r="X288" s="4"/>
      <c r="Y288" s="4"/>
      <c r="Z288" s="4"/>
      <c r="AA288" s="4"/>
      <c r="AB288" s="4"/>
      <c r="AC288" s="4"/>
    </row>
    <row r="289" ht="15.75" customHeight="1">
      <c r="A289" s="61"/>
      <c r="B289" s="61"/>
      <c r="C289" s="61"/>
      <c r="D289" s="61"/>
      <c r="E289" s="69"/>
      <c r="F289" s="69"/>
      <c r="G289" s="69"/>
      <c r="H289" s="69"/>
      <c r="I289" s="64" t="str">
        <f t="shared" si="14"/>
        <v/>
      </c>
      <c r="J289" s="4"/>
      <c r="K289" s="4"/>
      <c r="L289" s="4"/>
      <c r="M289" s="4"/>
      <c r="N289" s="4"/>
      <c r="O289" s="4"/>
      <c r="P289" s="4"/>
      <c r="Q289" s="4"/>
      <c r="R289" s="4"/>
      <c r="S289" s="4"/>
      <c r="T289" s="4"/>
      <c r="U289" s="4"/>
      <c r="V289" s="4"/>
      <c r="W289" s="4"/>
      <c r="X289" s="4"/>
      <c r="Y289" s="4"/>
      <c r="Z289" s="4"/>
      <c r="AA289" s="4"/>
      <c r="AB289" s="4"/>
      <c r="AC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row>
  </sheetData>
  <mergeCells count="27">
    <mergeCell ref="C1:E1"/>
    <mergeCell ref="B3:F3"/>
    <mergeCell ref="A5:B5"/>
    <mergeCell ref="D5:E5"/>
    <mergeCell ref="A7:B7"/>
    <mergeCell ref="A22:B22"/>
    <mergeCell ref="A30:B30"/>
    <mergeCell ref="C34:D34"/>
    <mergeCell ref="E34:H34"/>
    <mergeCell ref="C60:D60"/>
    <mergeCell ref="E60:H60"/>
    <mergeCell ref="C86:D86"/>
    <mergeCell ref="E86:H86"/>
    <mergeCell ref="E112:H112"/>
    <mergeCell ref="C216:D216"/>
    <mergeCell ref="E216:H216"/>
    <mergeCell ref="C242:D242"/>
    <mergeCell ref="E242:H242"/>
    <mergeCell ref="C268:D268"/>
    <mergeCell ref="E268:H268"/>
    <mergeCell ref="C112:D112"/>
    <mergeCell ref="C138:D138"/>
    <mergeCell ref="E138:H138"/>
    <mergeCell ref="C164:D164"/>
    <mergeCell ref="E164:H164"/>
    <mergeCell ref="C190:D190"/>
    <mergeCell ref="E190:H190"/>
  </mergeCells>
  <dataValidations>
    <dataValidation type="list" allowBlank="1" showErrorMessage="1" sqref="C27">
      <formula1>Fertilité</formula1>
    </dataValidation>
    <dataValidation type="list" allowBlank="1" showErrorMessage="1" sqref="C24">
      <formula1>VAN</formula1>
    </dataValidation>
    <dataValidation type="list" allowBlank="1" showErrorMessage="1" sqref="C26">
      <formula1>Incendie</formula1>
    </dataValidation>
    <dataValidation type="list" allowBlank="1" showErrorMessage="1" sqref="B9:B18">
      <formula1>Essence</formula1>
    </dataValidation>
  </dataValidations>
  <hyperlinks>
    <hyperlink display="Essence 1" location="Données projet!A44" ref="A9"/>
    <hyperlink display="Essence 2" location="Données projet!A70" ref="A10"/>
    <hyperlink display="Essence 3" location="Données projet!A96" ref="A11"/>
    <hyperlink display="Essence 4" location="Données projet!A122" ref="A12"/>
    <hyperlink display="Essence 5" location="Données projet!A148" ref="A13"/>
    <hyperlink display="Essence 6" location="Données projet!A174" ref="A14"/>
    <hyperlink display="Essence 7" location="Données projet!A202" ref="A15"/>
    <hyperlink display="Essence 8" location="Données projet!A228" ref="A16"/>
    <hyperlink display="Essence 9" location="Données projet!A254" ref="A17"/>
    <hyperlink display="Essence 10" location="Données projet!A280" ref="A18"/>
  </hyperlink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86"/>
    <col customWidth="1" min="2" max="2" width="14.14"/>
    <col customWidth="1" min="3" max="3" width="62.14"/>
    <col customWidth="1" min="4" max="5" width="4.29"/>
    <col customWidth="1" min="6" max="6" width="14.29"/>
    <col customWidth="1" min="7" max="7" width="73.29"/>
    <col customWidth="1" min="8" max="10" width="11.43"/>
    <col customWidth="1" min="11" max="11" width="12.57"/>
    <col customWidth="1" min="12" max="27" width="11.43"/>
  </cols>
  <sheetData>
    <row r="1">
      <c r="A1" s="4"/>
      <c r="B1" s="4"/>
      <c r="C1" s="4"/>
      <c r="D1" s="4"/>
      <c r="E1" s="4"/>
      <c r="F1" s="4"/>
      <c r="G1" s="4"/>
      <c r="H1" s="4"/>
      <c r="I1" s="4"/>
      <c r="J1" s="74"/>
      <c r="K1" s="74"/>
      <c r="L1" s="4"/>
      <c r="M1" s="4"/>
      <c r="N1" s="4"/>
      <c r="O1" s="4"/>
      <c r="P1" s="4"/>
      <c r="Q1" s="4"/>
      <c r="R1" s="4"/>
      <c r="S1" s="4"/>
      <c r="T1" s="4"/>
      <c r="U1" s="4"/>
      <c r="V1" s="4"/>
      <c r="W1" s="4"/>
      <c r="X1" s="4"/>
      <c r="Y1" s="4"/>
      <c r="Z1" s="4"/>
      <c r="AA1" s="4"/>
    </row>
    <row r="2">
      <c r="A2" s="4"/>
      <c r="B2" s="75" t="s">
        <v>81</v>
      </c>
      <c r="C2" s="9"/>
      <c r="D2" s="9"/>
      <c r="E2" s="9"/>
      <c r="F2" s="9"/>
      <c r="G2" s="10"/>
      <c r="H2" s="4"/>
      <c r="I2" s="4"/>
      <c r="J2" s="4"/>
      <c r="K2" s="4"/>
      <c r="L2" s="4"/>
      <c r="M2" s="4"/>
      <c r="N2" s="4"/>
      <c r="O2" s="4"/>
      <c r="P2" s="4"/>
      <c r="Q2" s="4"/>
      <c r="R2" s="4"/>
      <c r="S2" s="4"/>
      <c r="T2" s="4"/>
      <c r="U2" s="4"/>
      <c r="V2" s="4"/>
      <c r="W2" s="4"/>
      <c r="X2" s="4"/>
      <c r="Y2" s="4"/>
      <c r="Z2" s="4"/>
      <c r="AA2" s="4"/>
    </row>
    <row r="3">
      <c r="A3" s="4"/>
      <c r="B3" s="4"/>
      <c r="C3" s="4"/>
      <c r="D3" s="4"/>
      <c r="E3" s="4"/>
      <c r="F3" s="4"/>
      <c r="G3" s="4"/>
      <c r="H3" s="4"/>
      <c r="I3" s="4"/>
      <c r="J3" s="4"/>
      <c r="K3" s="4"/>
      <c r="L3" s="4"/>
      <c r="M3" s="4"/>
      <c r="N3" s="4"/>
      <c r="O3" s="4"/>
      <c r="P3" s="4"/>
      <c r="Q3" s="4"/>
      <c r="R3" s="4"/>
      <c r="S3" s="4"/>
      <c r="T3" s="4"/>
      <c r="U3" s="4"/>
      <c r="V3" s="4"/>
      <c r="W3" s="4"/>
      <c r="X3" s="4"/>
      <c r="Y3" s="4"/>
      <c r="Z3" s="4"/>
      <c r="AA3" s="4"/>
    </row>
    <row r="4">
      <c r="A4" s="4"/>
      <c r="B4" s="76"/>
      <c r="H4" s="4"/>
      <c r="I4" s="4"/>
      <c r="J4" s="4"/>
      <c r="K4" s="4"/>
      <c r="L4" s="4"/>
      <c r="M4" s="4"/>
      <c r="N4" s="4"/>
      <c r="O4" s="4"/>
      <c r="P4" s="4"/>
      <c r="Q4" s="4"/>
      <c r="R4" s="4"/>
      <c r="S4" s="4"/>
      <c r="T4" s="4"/>
      <c r="U4" s="4"/>
      <c r="V4" s="4"/>
      <c r="W4" s="4"/>
      <c r="X4" s="4"/>
      <c r="Y4" s="4"/>
      <c r="Z4" s="4"/>
      <c r="AA4" s="4"/>
    </row>
    <row r="5">
      <c r="A5" s="4"/>
      <c r="B5" s="77" t="s">
        <v>82</v>
      </c>
      <c r="C5" s="77"/>
      <c r="D5" s="4"/>
      <c r="E5" s="4"/>
      <c r="F5" s="4"/>
      <c r="G5" s="4"/>
      <c r="H5" s="4"/>
      <c r="I5" s="4"/>
      <c r="J5" s="4"/>
      <c r="K5" s="4"/>
      <c r="L5" s="4"/>
      <c r="M5" s="4"/>
      <c r="N5" s="4"/>
      <c r="O5" s="4"/>
      <c r="P5" s="4"/>
      <c r="Q5" s="4"/>
      <c r="R5" s="4"/>
      <c r="S5" s="4"/>
      <c r="T5" s="4"/>
      <c r="U5" s="4"/>
      <c r="V5" s="4"/>
      <c r="W5" s="4"/>
      <c r="X5" s="4"/>
      <c r="Y5" s="4"/>
      <c r="Z5" s="4"/>
      <c r="AA5" s="4"/>
    </row>
    <row r="6">
      <c r="A6" s="4"/>
      <c r="B6" s="77"/>
      <c r="C6" s="77"/>
      <c r="D6" s="4"/>
      <c r="E6" s="4"/>
      <c r="F6" s="4"/>
      <c r="G6" s="4"/>
      <c r="H6" s="4"/>
      <c r="I6" s="4"/>
      <c r="J6" s="4"/>
      <c r="K6" s="4"/>
      <c r="L6" s="4"/>
      <c r="M6" s="4"/>
      <c r="N6" s="4"/>
      <c r="O6" s="4"/>
      <c r="P6" s="4"/>
      <c r="Q6" s="4"/>
      <c r="R6" s="4"/>
      <c r="S6" s="4"/>
      <c r="T6" s="4"/>
      <c r="U6" s="4"/>
      <c r="V6" s="4"/>
      <c r="W6" s="4"/>
      <c r="X6" s="4"/>
      <c r="Y6" s="4"/>
      <c r="Z6" s="4"/>
      <c r="AA6" s="4"/>
    </row>
    <row r="7" ht="19.5" customHeight="1">
      <c r="A7" s="78"/>
      <c r="B7" s="19" t="s">
        <v>83</v>
      </c>
      <c r="C7" s="79" t="s">
        <v>84</v>
      </c>
      <c r="D7" s="80"/>
      <c r="E7" s="80"/>
      <c r="F7" s="19" t="s">
        <v>83</v>
      </c>
      <c r="G7" s="79" t="s">
        <v>85</v>
      </c>
      <c r="H7" s="78"/>
      <c r="I7" s="78"/>
      <c r="J7" s="78"/>
      <c r="K7" s="78"/>
      <c r="L7" s="78"/>
      <c r="M7" s="78"/>
      <c r="N7" s="78"/>
      <c r="O7" s="78"/>
      <c r="P7" s="78"/>
      <c r="Q7" s="78"/>
      <c r="R7" s="78"/>
      <c r="S7" s="78"/>
      <c r="T7" s="78"/>
      <c r="U7" s="78"/>
      <c r="V7" s="78"/>
      <c r="W7" s="78"/>
      <c r="X7" s="78"/>
      <c r="Y7" s="78"/>
      <c r="Z7" s="78"/>
      <c r="AA7" s="78"/>
    </row>
    <row r="8" ht="17.25" customHeight="1">
      <c r="A8" s="81">
        <v>1.0</v>
      </c>
      <c r="B8" s="25">
        <v>1.0</v>
      </c>
      <c r="C8" s="43" t="s">
        <v>86</v>
      </c>
      <c r="D8" s="4"/>
      <c r="E8" s="81">
        <v>4.0</v>
      </c>
      <c r="F8" s="25">
        <v>0.0</v>
      </c>
      <c r="G8" s="82" t="s">
        <v>87</v>
      </c>
      <c r="H8" s="4"/>
      <c r="I8" s="4"/>
      <c r="J8" s="4"/>
      <c r="K8" s="4"/>
      <c r="L8" s="4"/>
      <c r="M8" s="4"/>
      <c r="N8" s="4"/>
      <c r="O8" s="4"/>
      <c r="P8" s="4"/>
      <c r="Q8" s="4"/>
      <c r="R8" s="4"/>
      <c r="S8" s="4"/>
      <c r="T8" s="4"/>
      <c r="U8" s="4"/>
      <c r="V8" s="4"/>
      <c r="W8" s="4"/>
      <c r="X8" s="4"/>
      <c r="Y8" s="4"/>
      <c r="Z8" s="4"/>
      <c r="AA8" s="4"/>
    </row>
    <row r="9" ht="17.25" customHeight="1">
      <c r="A9" s="81">
        <v>2.0</v>
      </c>
      <c r="B9" s="25">
        <v>0.0</v>
      </c>
      <c r="C9" s="83" t="s">
        <v>88</v>
      </c>
      <c r="D9" s="4"/>
      <c r="E9" s="81">
        <v>5.0</v>
      </c>
      <c r="F9" s="25">
        <v>0.0</v>
      </c>
      <c r="G9" s="84" t="s">
        <v>89</v>
      </c>
      <c r="H9" s="4"/>
      <c r="I9" s="4"/>
      <c r="J9" s="4"/>
      <c r="K9" s="4"/>
      <c r="L9" s="4"/>
      <c r="M9" s="4"/>
      <c r="N9" s="4"/>
      <c r="O9" s="4"/>
      <c r="P9" s="4"/>
      <c r="Q9" s="4"/>
      <c r="R9" s="4"/>
      <c r="S9" s="4"/>
      <c r="T9" s="4"/>
      <c r="U9" s="4"/>
      <c r="V9" s="4"/>
      <c r="W9" s="4"/>
      <c r="X9" s="4"/>
      <c r="Y9" s="4"/>
      <c r="Z9" s="4"/>
      <c r="AA9" s="4"/>
    </row>
    <row r="10" ht="17.25" customHeight="1">
      <c r="A10" s="81">
        <v>3.0</v>
      </c>
      <c r="B10" s="25">
        <v>0.0</v>
      </c>
      <c r="C10" s="85" t="s">
        <v>90</v>
      </c>
      <c r="D10" s="4"/>
      <c r="E10" s="4"/>
      <c r="F10" s="86">
        <f>SUM(F7:F9)</f>
        <v>0</v>
      </c>
      <c r="G10" s="87" t="str">
        <f>IF(OR(SUM(F8:F9)=0%,SUM(F8:F9)=100%),"OK","ERREUR : corrigez")</f>
        <v>OK</v>
      </c>
      <c r="H10" s="4"/>
      <c r="I10" s="4"/>
      <c r="J10" s="4"/>
      <c r="K10" s="4"/>
      <c r="L10" s="4"/>
      <c r="M10" s="4"/>
      <c r="N10" s="4"/>
      <c r="O10" s="4"/>
      <c r="P10" s="4"/>
      <c r="Q10" s="4"/>
      <c r="R10" s="4"/>
      <c r="S10" s="4"/>
      <c r="T10" s="4"/>
      <c r="U10" s="4"/>
      <c r="V10" s="4"/>
      <c r="W10" s="4"/>
      <c r="X10" s="4"/>
      <c r="Y10" s="4"/>
      <c r="Z10" s="4"/>
      <c r="AA10" s="4"/>
    </row>
    <row r="11">
      <c r="A11" s="4"/>
      <c r="B11" s="86">
        <v>0.0</v>
      </c>
      <c r="C11" s="87" t="str">
        <f>IF(OR(SUM(B8:B10)=100%,SUM(B8:B10)=0%),"OK","ERREUR : corrigez")</f>
        <v>OK</v>
      </c>
      <c r="D11" s="4"/>
      <c r="E11" s="4"/>
      <c r="F11" s="4"/>
      <c r="G11" s="4"/>
      <c r="H11" s="4"/>
      <c r="I11" s="4"/>
      <c r="J11" s="4"/>
      <c r="K11" s="4"/>
      <c r="L11" s="4"/>
      <c r="M11" s="4"/>
      <c r="N11" s="4"/>
      <c r="O11" s="4"/>
      <c r="P11" s="4"/>
      <c r="Q11" s="4"/>
      <c r="R11" s="4"/>
      <c r="S11" s="4"/>
      <c r="T11" s="4"/>
      <c r="U11" s="4"/>
      <c r="V11" s="4"/>
      <c r="W11" s="4"/>
      <c r="X11" s="4"/>
      <c r="Y11" s="4"/>
      <c r="Z11" s="4"/>
      <c r="AA11" s="4"/>
    </row>
    <row r="12">
      <c r="A12" s="4"/>
      <c r="B12" s="4"/>
      <c r="C12" s="4"/>
      <c r="D12" s="4"/>
      <c r="E12" s="4"/>
      <c r="F12" s="4"/>
      <c r="G12" s="4"/>
      <c r="H12" s="4"/>
      <c r="I12" s="4"/>
      <c r="J12" s="4"/>
      <c r="K12" s="4"/>
      <c r="L12" s="4"/>
      <c r="M12" s="4"/>
      <c r="N12" s="4"/>
      <c r="O12" s="4"/>
      <c r="P12" s="4"/>
      <c r="Q12" s="4"/>
      <c r="R12" s="4"/>
      <c r="S12" s="4"/>
      <c r="T12" s="4"/>
      <c r="U12" s="4"/>
      <c r="V12" s="4"/>
      <c r="W12" s="4"/>
      <c r="X12" s="4"/>
      <c r="Y12" s="4"/>
      <c r="Z12" s="4"/>
      <c r="AA12" s="4"/>
    </row>
    <row r="13" ht="21.0" customHeight="1">
      <c r="A13" s="78"/>
      <c r="B13" s="88"/>
      <c r="C13" s="77" t="s">
        <v>91</v>
      </c>
      <c r="D13" s="78"/>
      <c r="E13" s="78"/>
      <c r="F13" s="88"/>
      <c r="G13" s="77" t="s">
        <v>92</v>
      </c>
      <c r="H13" s="78"/>
      <c r="I13" s="78"/>
      <c r="J13" s="78"/>
      <c r="K13" s="78"/>
      <c r="L13" s="78"/>
      <c r="M13" s="78"/>
      <c r="N13" s="78"/>
      <c r="O13" s="78"/>
      <c r="P13" s="78"/>
      <c r="Q13" s="78"/>
      <c r="R13" s="78"/>
      <c r="S13" s="78"/>
      <c r="T13" s="78"/>
      <c r="U13" s="78"/>
      <c r="V13" s="78"/>
      <c r="W13" s="78"/>
      <c r="X13" s="78"/>
      <c r="Y13" s="78"/>
      <c r="Z13" s="78"/>
      <c r="AA13" s="78"/>
    </row>
    <row r="14" ht="21.0" customHeight="1">
      <c r="A14" s="78"/>
      <c r="B14" s="88"/>
      <c r="C14" s="77" t="s">
        <v>93</v>
      </c>
      <c r="D14" s="78"/>
      <c r="E14" s="78"/>
      <c r="F14" s="88"/>
      <c r="G14" s="77" t="s">
        <v>94</v>
      </c>
      <c r="H14" s="78"/>
      <c r="I14" s="78"/>
      <c r="J14" s="78"/>
      <c r="K14" s="78"/>
      <c r="L14" s="78"/>
      <c r="M14" s="78"/>
      <c r="N14" s="78"/>
      <c r="O14" s="78"/>
      <c r="P14" s="78"/>
      <c r="Q14" s="78"/>
      <c r="R14" s="78"/>
      <c r="S14" s="78"/>
      <c r="T14" s="78"/>
      <c r="U14" s="78"/>
      <c r="V14" s="78"/>
      <c r="W14" s="78"/>
      <c r="X14" s="78"/>
      <c r="Y14" s="78"/>
      <c r="Z14" s="78"/>
      <c r="AA14" s="78"/>
    </row>
    <row r="15">
      <c r="A15" s="4"/>
      <c r="B15" s="19" t="s">
        <v>83</v>
      </c>
      <c r="C15" s="4"/>
      <c r="D15" s="4"/>
      <c r="E15" s="4"/>
      <c r="F15" s="4"/>
      <c r="G15" s="24" t="s">
        <v>95</v>
      </c>
      <c r="H15" s="4"/>
      <c r="I15" s="4"/>
      <c r="J15" s="4"/>
      <c r="K15" s="4"/>
      <c r="L15" s="4"/>
      <c r="M15" s="4"/>
      <c r="N15" s="4"/>
      <c r="O15" s="4"/>
      <c r="P15" s="4"/>
      <c r="Q15" s="4"/>
      <c r="R15" s="4"/>
      <c r="S15" s="4"/>
      <c r="T15" s="4"/>
      <c r="U15" s="4"/>
      <c r="V15" s="4"/>
      <c r="W15" s="4"/>
      <c r="X15" s="4"/>
      <c r="Y15" s="4"/>
      <c r="Z15" s="4"/>
      <c r="AA15" s="4"/>
    </row>
    <row r="16">
      <c r="A16" s="4"/>
      <c r="B16" s="25">
        <v>0.0</v>
      </c>
      <c r="C16" s="89" t="s">
        <v>96</v>
      </c>
      <c r="D16" s="4"/>
      <c r="E16" s="4"/>
      <c r="F16" s="4"/>
      <c r="G16" s="4"/>
      <c r="H16" s="4"/>
      <c r="I16" s="4"/>
      <c r="J16" s="4"/>
      <c r="K16" s="4"/>
      <c r="L16" s="4"/>
      <c r="M16" s="4"/>
      <c r="N16" s="4"/>
      <c r="O16" s="4"/>
      <c r="P16" s="4"/>
      <c r="Q16" s="4"/>
      <c r="R16" s="4"/>
      <c r="S16" s="4"/>
      <c r="T16" s="4"/>
      <c r="U16" s="4"/>
      <c r="V16" s="4"/>
      <c r="W16" s="4"/>
      <c r="X16" s="4"/>
      <c r="Y16" s="4"/>
      <c r="Z16" s="4"/>
      <c r="AA16" s="4"/>
    </row>
    <row r="17">
      <c r="A17" s="4"/>
      <c r="B17" s="25">
        <v>1.0</v>
      </c>
      <c r="C17" s="89" t="s">
        <v>97</v>
      </c>
      <c r="D17" s="4"/>
      <c r="E17" s="4"/>
      <c r="F17" s="4"/>
      <c r="G17" s="4"/>
      <c r="H17" s="4"/>
      <c r="I17" s="4"/>
      <c r="J17" s="4"/>
      <c r="K17" s="4"/>
      <c r="L17" s="4"/>
      <c r="M17" s="4"/>
      <c r="N17" s="4"/>
      <c r="O17" s="4"/>
      <c r="P17" s="4"/>
      <c r="Q17" s="4"/>
      <c r="R17" s="4"/>
      <c r="S17" s="4"/>
      <c r="T17" s="4"/>
      <c r="U17" s="4"/>
      <c r="V17" s="4"/>
      <c r="W17" s="4"/>
      <c r="X17" s="4"/>
      <c r="Y17" s="4"/>
      <c r="Z17" s="4"/>
      <c r="AA17" s="4"/>
    </row>
    <row r="18">
      <c r="A18" s="4"/>
      <c r="B18" s="25">
        <v>0.0</v>
      </c>
      <c r="C18" s="89" t="s">
        <v>98</v>
      </c>
      <c r="D18" s="4"/>
      <c r="E18" s="4"/>
      <c r="F18" s="4"/>
      <c r="G18" s="4"/>
      <c r="H18" s="4"/>
      <c r="I18" s="4"/>
      <c r="J18" s="4"/>
      <c r="K18" s="4"/>
      <c r="L18" s="4"/>
      <c r="M18" s="4"/>
      <c r="N18" s="4"/>
      <c r="O18" s="4"/>
      <c r="P18" s="4"/>
      <c r="Q18" s="4"/>
      <c r="R18" s="4"/>
      <c r="S18" s="4"/>
      <c r="T18" s="4"/>
      <c r="U18" s="4"/>
      <c r="V18" s="4"/>
      <c r="W18" s="4"/>
      <c r="X18" s="4"/>
      <c r="Y18" s="4"/>
      <c r="Z18" s="4"/>
      <c r="AA18" s="4"/>
    </row>
    <row r="19">
      <c r="A19" s="4"/>
      <c r="B19" s="86">
        <f>SUM(B16:B18)</f>
        <v>1</v>
      </c>
      <c r="C19" s="87" t="str">
        <f>IF(SUM(B16:B18)=B8,"OK","ERREUR : corrigez ; le total n'est pas égal à celui de la cellule B8")</f>
        <v>OK</v>
      </c>
      <c r="D19" s="4"/>
      <c r="E19" s="4"/>
      <c r="F19" s="4"/>
      <c r="G19" s="4"/>
      <c r="H19" s="4"/>
      <c r="I19" s="4"/>
      <c r="J19" s="4"/>
      <c r="K19" s="4"/>
      <c r="L19" s="4"/>
      <c r="M19" s="4"/>
      <c r="N19" s="4"/>
      <c r="O19" s="4"/>
      <c r="P19" s="4"/>
      <c r="Q19" s="4"/>
      <c r="R19" s="4"/>
      <c r="S19" s="4"/>
      <c r="T19" s="4"/>
      <c r="U19" s="4"/>
      <c r="V19" s="4"/>
      <c r="W19" s="4"/>
      <c r="X19" s="4"/>
      <c r="Y19" s="4"/>
      <c r="Z19" s="4"/>
      <c r="AA19" s="4"/>
    </row>
    <row r="20">
      <c r="A20" s="4"/>
      <c r="B20" s="4"/>
      <c r="C20" s="4"/>
      <c r="D20" s="4"/>
      <c r="E20" s="4"/>
      <c r="F20" s="4"/>
      <c r="G20" s="4"/>
      <c r="H20" s="4"/>
      <c r="I20" s="4"/>
      <c r="J20" s="4"/>
      <c r="K20" s="4"/>
      <c r="L20" s="4"/>
      <c r="M20" s="4"/>
      <c r="N20" s="4"/>
      <c r="O20" s="4"/>
      <c r="P20" s="4"/>
      <c r="Q20" s="4"/>
      <c r="R20" s="4"/>
      <c r="S20" s="4"/>
      <c r="T20" s="4"/>
      <c r="U20" s="4"/>
      <c r="V20" s="4"/>
      <c r="W20" s="4"/>
      <c r="X20" s="4"/>
      <c r="Y20" s="4"/>
      <c r="Z20" s="4"/>
      <c r="AA20" s="4"/>
    </row>
    <row r="21" ht="15.75" customHeight="1">
      <c r="A21" s="4"/>
      <c r="B21" s="4"/>
      <c r="C21" s="4"/>
      <c r="D21" s="4"/>
      <c r="E21" s="4"/>
      <c r="F21" s="4"/>
      <c r="G21" s="4"/>
      <c r="H21" s="4"/>
      <c r="I21" s="4"/>
      <c r="J21" s="4"/>
      <c r="K21" s="4"/>
      <c r="L21" s="4"/>
      <c r="M21" s="4"/>
      <c r="N21" s="4"/>
      <c r="O21" s="4"/>
      <c r="P21" s="4"/>
      <c r="Q21" s="4"/>
      <c r="R21" s="4"/>
      <c r="S21" s="4"/>
      <c r="T21" s="4"/>
      <c r="U21" s="4"/>
      <c r="V21" s="4"/>
      <c r="W21" s="4"/>
      <c r="X21" s="4"/>
      <c r="Y21" s="4"/>
      <c r="Z21" s="4"/>
      <c r="AA21" s="4"/>
    </row>
    <row r="22" ht="15.7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row>
    <row r="23" ht="15.75" customHeight="1">
      <c r="A23" s="4"/>
      <c r="B23" s="4"/>
      <c r="C23" s="4"/>
      <c r="D23" s="4"/>
      <c r="E23" s="4"/>
      <c r="F23" s="4"/>
      <c r="G23" s="4"/>
      <c r="H23" s="4"/>
      <c r="I23" s="4"/>
      <c r="J23" s="4"/>
      <c r="K23" s="4"/>
      <c r="L23" s="4"/>
      <c r="M23" s="4"/>
      <c r="N23" s="4"/>
      <c r="O23" s="4"/>
      <c r="P23" s="4"/>
      <c r="Q23" s="4"/>
      <c r="R23" s="4"/>
      <c r="S23" s="4"/>
      <c r="T23" s="4"/>
      <c r="U23" s="4"/>
      <c r="V23" s="4"/>
      <c r="W23" s="4"/>
      <c r="X23" s="4"/>
      <c r="Y23" s="4"/>
      <c r="Z23" s="4"/>
      <c r="AA23" s="4"/>
    </row>
    <row r="24" ht="15.75" customHeight="1">
      <c r="A24" s="4"/>
      <c r="B24" s="4"/>
      <c r="C24" s="4"/>
      <c r="D24" s="4"/>
      <c r="E24" s="4"/>
      <c r="F24" s="4"/>
      <c r="G24" s="4"/>
      <c r="H24" s="4"/>
      <c r="I24" s="4"/>
      <c r="J24" s="4"/>
      <c r="K24" s="4"/>
      <c r="L24" s="4"/>
      <c r="M24" s="4"/>
      <c r="N24" s="4"/>
      <c r="O24" s="4"/>
      <c r="P24" s="4"/>
      <c r="Q24" s="4"/>
      <c r="R24" s="4"/>
      <c r="S24" s="4"/>
      <c r="T24" s="4"/>
      <c r="U24" s="4"/>
      <c r="V24" s="4"/>
      <c r="W24" s="4"/>
      <c r="X24" s="4"/>
      <c r="Y24" s="4"/>
      <c r="Z24" s="4"/>
      <c r="AA24" s="4"/>
    </row>
    <row r="25" ht="15.75" customHeight="1">
      <c r="A25" s="4"/>
      <c r="B25" s="4"/>
      <c r="C25" s="4"/>
      <c r="D25" s="4"/>
      <c r="E25" s="4"/>
      <c r="F25" s="4"/>
      <c r="G25" s="4"/>
      <c r="H25" s="4"/>
      <c r="I25" s="4"/>
      <c r="J25" s="4"/>
      <c r="K25" s="4"/>
      <c r="L25" s="4"/>
      <c r="M25" s="4"/>
      <c r="N25" s="4"/>
      <c r="O25" s="4"/>
      <c r="P25" s="4"/>
      <c r="Q25" s="4"/>
      <c r="R25" s="4"/>
      <c r="S25" s="4"/>
      <c r="T25" s="4"/>
      <c r="U25" s="4"/>
      <c r="V25" s="4"/>
      <c r="W25" s="4"/>
      <c r="X25" s="4"/>
      <c r="Y25" s="4"/>
      <c r="Z25" s="4"/>
      <c r="AA25" s="4"/>
    </row>
    <row r="26" ht="15.75" customHeight="1">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ht="15.75" customHeight="1">
      <c r="A27" s="4"/>
      <c r="B27" s="4"/>
      <c r="C27" s="4"/>
      <c r="D27" s="4"/>
      <c r="E27" s="4"/>
      <c r="F27" s="4"/>
      <c r="G27" s="4"/>
      <c r="H27" s="4"/>
      <c r="I27" s="4"/>
      <c r="J27" s="4"/>
      <c r="K27" s="4"/>
      <c r="L27" s="4"/>
      <c r="M27" s="4"/>
      <c r="N27" s="4"/>
      <c r="O27" s="4"/>
      <c r="P27" s="4"/>
      <c r="Q27" s="4"/>
      <c r="R27" s="4"/>
      <c r="S27" s="4"/>
      <c r="T27" s="4"/>
      <c r="U27" s="4"/>
      <c r="V27" s="4"/>
      <c r="W27" s="4"/>
      <c r="X27" s="4"/>
      <c r="Y27" s="4"/>
      <c r="Z27" s="4"/>
      <c r="AA27" s="4"/>
    </row>
    <row r="28"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c r="AA28" s="4"/>
    </row>
    <row r="29"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row>
    <row r="30" ht="15.75"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row>
    <row r="31" ht="15.7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4"/>
    </row>
    <row r="32"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c r="AA32" s="4"/>
    </row>
    <row r="33"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row>
    <row r="34"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row>
    <row r="35"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row>
    <row r="36"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row>
    <row r="37"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row>
    <row r="38"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row>
    <row r="39"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row>
    <row r="40"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row>
    <row r="41"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row>
    <row r="42"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row>
    <row r="43"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row>
    <row r="44"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row>
    <row r="45"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row>
  </sheetData>
  <mergeCells count="2">
    <mergeCell ref="B2:G2"/>
    <mergeCell ref="B4:G4"/>
  </mergeCells>
  <dataValidations>
    <dataValidation type="list" allowBlank="1" showErrorMessage="1" sqref="G15">
      <formula1>Essences</formula1>
    </dataValidation>
  </dataValidation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2.86"/>
    <col customWidth="1" min="2" max="2" width="10.57"/>
    <col customWidth="1" min="3" max="3" width="15.57"/>
    <col customWidth="1" min="4" max="4" width="13.43"/>
    <col customWidth="1" min="5" max="15" width="11.43"/>
    <col customWidth="1" min="16" max="17" width="13.43"/>
    <col customWidth="1" min="18" max="32" width="11.43"/>
  </cols>
  <sheetData>
    <row r="1">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row>
    <row r="2">
      <c r="A2" s="75" t="s">
        <v>99</v>
      </c>
      <c r="B2" s="9"/>
      <c r="C2" s="9"/>
      <c r="D2" s="9"/>
      <c r="E2" s="9"/>
      <c r="F2" s="9"/>
      <c r="G2" s="9"/>
      <c r="H2" s="9"/>
      <c r="I2" s="9"/>
      <c r="J2" s="9"/>
      <c r="K2" s="9"/>
      <c r="L2" s="10"/>
      <c r="M2" s="4"/>
      <c r="N2" s="4"/>
      <c r="O2" s="4"/>
      <c r="P2" s="4"/>
      <c r="Q2" s="4"/>
      <c r="R2" s="4"/>
      <c r="S2" s="4"/>
      <c r="T2" s="4"/>
      <c r="U2" s="4"/>
      <c r="V2" s="4"/>
      <c r="W2" s="4"/>
      <c r="X2" s="4"/>
      <c r="Y2" s="4"/>
      <c r="Z2" s="4"/>
      <c r="AA2" s="4"/>
      <c r="AB2" s="4"/>
      <c r="AC2" s="4"/>
      <c r="AD2" s="4"/>
      <c r="AE2" s="4"/>
      <c r="AF2" s="4"/>
    </row>
    <row r="3">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row>
    <row r="5">
      <c r="A5" s="90" t="s">
        <v>100</v>
      </c>
      <c r="B5" s="91" t="s">
        <v>101</v>
      </c>
      <c r="C5" s="92" t="str">
        <f>Calculateur!S2</f>
        <v>ΔStock moyen de long terme (tCO₂/ha)</v>
      </c>
      <c r="D5" s="92" t="str">
        <f>Calculateur!T2</f>
        <v>Δstock CO₂ 30 ans (tCO₂/ha)</v>
      </c>
      <c r="E5" s="92" t="s">
        <v>102</v>
      </c>
      <c r="F5" s="92" t="s">
        <v>103</v>
      </c>
      <c r="G5" s="92" t="s">
        <v>104</v>
      </c>
      <c r="H5" s="93" t="s">
        <v>105</v>
      </c>
      <c r="I5" s="94" t="s">
        <v>106</v>
      </c>
      <c r="J5" s="95" t="s">
        <v>107</v>
      </c>
      <c r="K5" s="96" t="s">
        <v>108</v>
      </c>
      <c r="L5" s="97" t="s">
        <v>109</v>
      </c>
      <c r="M5" s="4"/>
      <c r="N5" s="4"/>
      <c r="O5" s="4"/>
      <c r="P5" s="4"/>
      <c r="Q5" s="4"/>
      <c r="R5" s="4"/>
      <c r="S5" s="4"/>
      <c r="T5" s="4"/>
      <c r="U5" s="4"/>
      <c r="V5" s="4"/>
      <c r="W5" s="4"/>
      <c r="X5" s="4"/>
      <c r="Y5" s="4"/>
      <c r="Z5" s="4"/>
      <c r="AA5" s="4"/>
      <c r="AB5" s="4"/>
      <c r="AC5" s="4"/>
      <c r="AD5" s="4"/>
      <c r="AE5" s="4"/>
      <c r="AF5" s="4"/>
    </row>
    <row r="6">
      <c r="A6" s="98" t="str">
        <f>IF('Données projet'!$B$9="","",'Données projet'!$B$9)</f>
        <v>Chêne sessile</v>
      </c>
      <c r="B6" s="99">
        <f>'Données projet'!D9</f>
        <v>0.612</v>
      </c>
      <c r="C6" s="100">
        <f>IF(OR('Données projet'!B9="",'Données projet'!C9="",'Données projet'!C9=0%),0,Calculateur!S3)</f>
        <v>439.1985427</v>
      </c>
      <c r="D6" s="100">
        <f>IF(OR('Données projet'!B9="",'Données projet'!C9="",'Données projet'!C9=0%),0,Calculateur!T3)</f>
        <v>278.2174123</v>
      </c>
      <c r="E6" s="100">
        <f t="shared" ref="E6:E15" si="1">MIN(C6,D6)</f>
        <v>278.2174123</v>
      </c>
      <c r="F6" s="100">
        <f t="shared" ref="F6:F15" si="2">E6*B6</f>
        <v>170.2690563</v>
      </c>
      <c r="G6" s="100">
        <f>F6*(100%-'Données projet'!$C$24)*(100%-'Données projet'!$C$25)*(100%-'Données projet'!$C$26)*(100%-'Données projet'!$C$27)</f>
        <v>145.5800432</v>
      </c>
      <c r="H6" s="101">
        <f>IF(OR('Données projet'!B9="",'Données projet'!C9="",'Données projet'!C9=0%),0,AVERAGE(Calculateur!$AC$3:$AC$33)*B6)</f>
        <v>0.3128030028</v>
      </c>
      <c r="I6" s="102">
        <f>H6*(100%-'Données projet'!$C$24)*(100%-'Données projet'!$C$25)*(100%-'Données projet'!$C$26)*(100%-'Données projet'!$C$27)</f>
        <v>0.2674465674</v>
      </c>
      <c r="J6" s="103">
        <f>IF(OR('Données projet'!B9="",'Données projet'!C9="",'Données projet'!C9=0%),0,SUM(Calculateur!$V$3:$V$33)*VLOOKUP('Données projet'!$B$9,'Paramètres'!$A$1:$I$88,9,0)*B6)</f>
        <v>9.486</v>
      </c>
      <c r="K6" s="104">
        <f>J6*(100%-'Données projet'!$C$24)*(100%-'Données projet'!$C$25)*(100%-'Données projet'!$C$26)*(100%-'Données projet'!$C$27)</f>
        <v>8.11053</v>
      </c>
      <c r="L6" s="105">
        <f t="shared" ref="L6:L15" si="3">G6+I6+K6</f>
        <v>153.9580197</v>
      </c>
      <c r="M6" s="4"/>
      <c r="N6" s="4"/>
      <c r="O6" s="4"/>
      <c r="P6" s="4"/>
      <c r="Q6" s="4"/>
      <c r="R6" s="4"/>
      <c r="S6" s="4"/>
      <c r="T6" s="4"/>
      <c r="U6" s="4"/>
      <c r="V6" s="4"/>
      <c r="W6" s="4"/>
      <c r="X6" s="4"/>
      <c r="Y6" s="4"/>
      <c r="Z6" s="4"/>
      <c r="AA6" s="4"/>
      <c r="AB6" s="4"/>
      <c r="AC6" s="4"/>
      <c r="AD6" s="4"/>
      <c r="AE6" s="4"/>
      <c r="AF6" s="4"/>
    </row>
    <row r="7">
      <c r="A7" s="106" t="str">
        <f>IF('Données projet'!$B$10="","",'Données projet'!$B$10)</f>
        <v>Erable sycomore</v>
      </c>
      <c r="B7" s="107">
        <f>'Données projet'!D10</f>
        <v>0.054</v>
      </c>
      <c r="C7" s="100">
        <f>IF(OR('Données projet'!B10="",'Données projet'!C10="",'Données projet'!C10=0%),0,Calculateur!AN3)</f>
        <v>405.6113614</v>
      </c>
      <c r="D7" s="100">
        <f>IF(OR('Données projet'!B10="",'Données projet'!C10="",'Données projet'!C10=0%),0,Calculateur!AO3)</f>
        <v>393.0787141</v>
      </c>
      <c r="E7" s="100">
        <f t="shared" si="1"/>
        <v>393.0787141</v>
      </c>
      <c r="F7" s="100">
        <f t="shared" si="2"/>
        <v>21.22625056</v>
      </c>
      <c r="G7" s="100">
        <f>F7*(100%-'Données projet'!$C$24)*(100%-'Données projet'!$C$25)*(100%-'Données projet'!$C$26)*(100%-'Données projet'!$C$27)</f>
        <v>18.14844423</v>
      </c>
      <c r="H7" s="108">
        <f>IF(OR('Données projet'!B10="",'Données projet'!C10="",'Données projet'!C10=0%),0,AVERAGE(Calculateur!$AX$3:$AX$33)*B7)</f>
        <v>0.2972451325</v>
      </c>
      <c r="I7" s="102">
        <f>H7*(100%-'Données projet'!$C$24)*(100%-'Données projet'!$C$25)*(100%-'Données projet'!$C$26)*(100%-'Données projet'!$C$27)</f>
        <v>0.2541445883</v>
      </c>
      <c r="J7" s="103">
        <f>IF(OR('Données projet'!B10="",'Données projet'!C10="",'Données projet'!C10=0%),0,SUM(Calculateur!$AQ$3:$AQ$33)*VLOOKUP('Données projet'!$B$10,'Paramètres'!$A$1:$I$88,9,0)*B7)</f>
        <v>2.3625</v>
      </c>
      <c r="K7" s="104">
        <f>J7*(100%-'Données projet'!$C$24)*(100%-'Données projet'!$C$25)*(100%-'Données projet'!$C$26)*(100%-'Données projet'!$C$27)</f>
        <v>2.0199375</v>
      </c>
      <c r="L7" s="105">
        <f t="shared" si="3"/>
        <v>20.42252632</v>
      </c>
      <c r="M7" s="4"/>
      <c r="N7" s="4"/>
      <c r="O7" s="4"/>
      <c r="P7" s="4"/>
      <c r="Q7" s="4"/>
      <c r="R7" s="4"/>
      <c r="S7" s="4"/>
      <c r="T7" s="4"/>
      <c r="U7" s="4"/>
      <c r="V7" s="4"/>
      <c r="W7" s="4"/>
      <c r="X7" s="4"/>
      <c r="Y7" s="4"/>
      <c r="Z7" s="4"/>
      <c r="AA7" s="4"/>
      <c r="AB7" s="4"/>
      <c r="AC7" s="4"/>
      <c r="AD7" s="4"/>
      <c r="AE7" s="4"/>
      <c r="AF7" s="4"/>
    </row>
    <row r="8">
      <c r="A8" s="106" t="str">
        <f>IF('Données projet'!$B$11="","",'Données projet'!$B$11)</f>
        <v>Alisier torminal</v>
      </c>
      <c r="B8" s="107">
        <f>'Données projet'!D11</f>
        <v>0.054</v>
      </c>
      <c r="C8" s="100">
        <f>IF(OR('Données projet'!B11="",'Données projet'!C11="",'Données projet'!C11=0%),0,Calculateur!BI3)</f>
        <v>0</v>
      </c>
      <c r="D8" s="100">
        <f>IF(OR('Données projet'!B11="",'Données projet'!C11="",'Données projet'!C11=0%),0,Calculateur!BJ3)</f>
        <v>0</v>
      </c>
      <c r="E8" s="100">
        <f t="shared" si="1"/>
        <v>0</v>
      </c>
      <c r="F8" s="100">
        <f t="shared" si="2"/>
        <v>0</v>
      </c>
      <c r="G8" s="100">
        <f>F8*(100%-'Données projet'!$C$24)*(100%-'Données projet'!$C$25)*(100%-'Données projet'!$C$26)*(100%-'Données projet'!$C$27)</f>
        <v>0</v>
      </c>
      <c r="H8" s="108">
        <f>IF(OR('Données projet'!B11="",'Données projet'!C11="",'Données projet'!C11=0%),0,AVERAGE(Calculateur!$BS$3:$BS$33)*B8)</f>
        <v>0</v>
      </c>
      <c r="I8" s="102">
        <f>H8*(100%-'Données projet'!$C$24)*(100%-'Données projet'!$C$25)*(100%-'Données projet'!$C$26)*(100%-'Données projet'!$C$27)</f>
        <v>0</v>
      </c>
      <c r="J8" s="103">
        <f>IF(OR('Données projet'!B11="",'Données projet'!C11="",'Données projet'!C11=0%),0,SUM(Calculateur!$BL$3:$BL$33)*VLOOKUP('Données projet'!$B$11,'Paramètres'!$A$1:$I$88,9,0)*B8)</f>
        <v>0</v>
      </c>
      <c r="K8" s="104">
        <f>J8*(100%-'Données projet'!$C$24)*(100%-'Données projet'!$C$25)*(100%-'Données projet'!$C$26)*(100%-'Données projet'!$C$27)</f>
        <v>0</v>
      </c>
      <c r="L8" s="105">
        <f t="shared" si="3"/>
        <v>0</v>
      </c>
      <c r="M8" s="4"/>
      <c r="N8" s="4"/>
      <c r="O8" s="4"/>
      <c r="P8" s="4"/>
      <c r="Q8" s="4"/>
      <c r="R8" s="4"/>
      <c r="S8" s="4"/>
      <c r="T8" s="4"/>
      <c r="U8" s="4"/>
      <c r="V8" s="4"/>
      <c r="W8" s="4"/>
      <c r="X8" s="4"/>
      <c r="Y8" s="4"/>
      <c r="Z8" s="4"/>
      <c r="AA8" s="4"/>
      <c r="AB8" s="4"/>
      <c r="AC8" s="4"/>
      <c r="AD8" s="4"/>
      <c r="AE8" s="4"/>
      <c r="AF8" s="4"/>
    </row>
    <row r="9">
      <c r="A9" s="106" t="str">
        <f>IF('Données projet'!$B$12="","",'Données projet'!$B$12)</f>
        <v/>
      </c>
      <c r="B9" s="107">
        <f>'Données projet'!D12</f>
        <v>0</v>
      </c>
      <c r="C9" s="100">
        <f>IF(OR('Données projet'!B12="",'Données projet'!C12="",'Données projet'!C12=0%),0,Calculateur!CD3)</f>
        <v>0</v>
      </c>
      <c r="D9" s="100">
        <f>IF(OR('Données projet'!B12="",'Données projet'!C12="",'Données projet'!C12=0%),0,Calculateur!CE3)</f>
        <v>0</v>
      </c>
      <c r="E9" s="100">
        <f t="shared" si="1"/>
        <v>0</v>
      </c>
      <c r="F9" s="100">
        <f t="shared" si="2"/>
        <v>0</v>
      </c>
      <c r="G9" s="100">
        <f>F9*(100%-'Données projet'!$C$24)*(100%-'Données projet'!$C$25)*(100%-'Données projet'!$C$26)*(100%-'Données projet'!$C$27)</f>
        <v>0</v>
      </c>
      <c r="H9" s="108">
        <f>IF(OR('Données projet'!B12="",'Données projet'!C12="",'Données projet'!C12=0%),0,AVERAGE(Calculateur!$CN$3:$CN$33)*B9)</f>
        <v>0</v>
      </c>
      <c r="I9" s="102">
        <f>H9*(100%-'Données projet'!$C$24)*(100%-'Données projet'!$C$25)*(100%-'Données projet'!$C$26)*(100%-'Données projet'!$C$27)</f>
        <v>0</v>
      </c>
      <c r="J9" s="103">
        <f>IF(OR('Données projet'!B12="",'Données projet'!C12="",'Données projet'!C12=0%),0,SUM(Calculateur!$CG$3:$CG$33)*VLOOKUP('Données projet'!$B$12,'Paramètres'!$A$1:$I$88,9,0)*B9)</f>
        <v>0</v>
      </c>
      <c r="K9" s="104">
        <f>J9*(100%-'Données projet'!$C$24)*(100%-'Données projet'!$C$25)*(100%-'Données projet'!$C$26)*(100%-'Données projet'!$C$27)</f>
        <v>0</v>
      </c>
      <c r="L9" s="105">
        <f t="shared" si="3"/>
        <v>0</v>
      </c>
      <c r="M9" s="4"/>
      <c r="N9" s="4"/>
      <c r="O9" s="4"/>
      <c r="P9" s="4"/>
      <c r="Q9" s="4"/>
      <c r="R9" s="4"/>
      <c r="S9" s="4"/>
      <c r="T9" s="4"/>
      <c r="U9" s="4"/>
      <c r="V9" s="4"/>
      <c r="W9" s="4"/>
      <c r="X9" s="4"/>
      <c r="Y9" s="4"/>
      <c r="Z9" s="4"/>
      <c r="AA9" s="4"/>
      <c r="AB9" s="4"/>
      <c r="AC9" s="4"/>
      <c r="AD9" s="4"/>
      <c r="AE9" s="4"/>
      <c r="AF9" s="4"/>
    </row>
    <row r="10">
      <c r="A10" s="106" t="str">
        <f>IF('Données projet'!$B$13="","",'Données projet'!$B$13)</f>
        <v/>
      </c>
      <c r="B10" s="107">
        <f>'Données projet'!D13</f>
        <v>0</v>
      </c>
      <c r="C10" s="100">
        <f>IF(OR('Données projet'!B13="",'Données projet'!C13="",'Données projet'!C13=0%),0,Calculateur!CY3)</f>
        <v>0</v>
      </c>
      <c r="D10" s="100">
        <f>IF(OR('Données projet'!B13="",'Données projet'!C13="",'Données projet'!C13=0%),0,Calculateur!CZ3)</f>
        <v>0</v>
      </c>
      <c r="E10" s="100">
        <f t="shared" si="1"/>
        <v>0</v>
      </c>
      <c r="F10" s="100">
        <f t="shared" si="2"/>
        <v>0</v>
      </c>
      <c r="G10" s="100">
        <f>F10*(100%-'Données projet'!$C$24)*(100%-'Données projet'!$C$25)*(100%-'Données projet'!$C$26)*(100%-'Données projet'!$C$27)</f>
        <v>0</v>
      </c>
      <c r="H10" s="108">
        <f>IF(OR('Données projet'!B13="",'Données projet'!C13="",'Données projet'!C13=0%),0,AVERAGE(Calculateur!$DI$3:$DI$33)*B10)</f>
        <v>0</v>
      </c>
      <c r="I10" s="102">
        <f>H10*(100%-'Données projet'!$C$24)*(100%-'Données projet'!$C$25)*(100%-'Données projet'!$C$26)*(100%-'Données projet'!$C$27)</f>
        <v>0</v>
      </c>
      <c r="J10" s="103">
        <f>IF(OR('Données projet'!B13="",'Données projet'!C13="",'Données projet'!C13=0%),0,SUM(Calculateur!$DB$3:$DB$33)*VLOOKUP('Données projet'!$B$13,'Paramètres'!$A$1:$I$88,9,0)*B10)</f>
        <v>0</v>
      </c>
      <c r="K10" s="104">
        <f>J10*(100%-'Données projet'!$C$24)*(100%-'Données projet'!$C$25)*(100%-'Données projet'!$C$26)*(100%-'Données projet'!$C$27)</f>
        <v>0</v>
      </c>
      <c r="L10" s="105">
        <f t="shared" si="3"/>
        <v>0</v>
      </c>
      <c r="M10" s="4"/>
      <c r="N10" s="4"/>
      <c r="O10" s="4"/>
      <c r="P10" s="4"/>
      <c r="Q10" s="4"/>
      <c r="R10" s="4"/>
      <c r="S10" s="4"/>
      <c r="T10" s="4"/>
      <c r="U10" s="4"/>
      <c r="V10" s="4"/>
      <c r="W10" s="4"/>
      <c r="X10" s="4"/>
      <c r="Y10" s="4"/>
      <c r="Z10" s="4"/>
      <c r="AA10" s="4"/>
      <c r="AB10" s="4"/>
      <c r="AC10" s="4"/>
      <c r="AD10" s="4"/>
      <c r="AE10" s="4"/>
      <c r="AF10" s="4"/>
    </row>
    <row r="11">
      <c r="A11" s="106" t="str">
        <f>IF('Données projet'!$B$14="","",'Données projet'!$B$14)</f>
        <v/>
      </c>
      <c r="B11" s="107">
        <f>'Données projet'!D14</f>
        <v>0</v>
      </c>
      <c r="C11" s="100">
        <f>IF(OR('Données projet'!B14="",'Données projet'!C14="",'Données projet'!C14=0%),0,Calculateur!DT3)</f>
        <v>0</v>
      </c>
      <c r="D11" s="100">
        <f>IF(OR('Données projet'!B14="",'Données projet'!C14="",'Données projet'!C14=0%),0,Calculateur!DU3)</f>
        <v>0</v>
      </c>
      <c r="E11" s="100">
        <f t="shared" si="1"/>
        <v>0</v>
      </c>
      <c r="F11" s="100">
        <f t="shared" si="2"/>
        <v>0</v>
      </c>
      <c r="G11" s="100">
        <f>F11*(100%-'Données projet'!$C$24)*(100%-'Données projet'!$C$25)*(100%-'Données projet'!$C$26)*(100%-'Données projet'!$C$27)</f>
        <v>0</v>
      </c>
      <c r="H11" s="108">
        <f>IF(OR('Données projet'!B14="",'Données projet'!C14="",'Données projet'!C14=0%),0,AVERAGE(Calculateur!$ED$3:$ED$33)*B11)</f>
        <v>0</v>
      </c>
      <c r="I11" s="102">
        <f>H11*(100%-'Données projet'!$C$24)*(100%-'Données projet'!$C$25)*(100%-'Données projet'!$C$26)*(100%-'Données projet'!$C$27)</f>
        <v>0</v>
      </c>
      <c r="J11" s="103">
        <f>IF(OR('Données projet'!B14="",'Données projet'!C14="",'Données projet'!C14=0%),0,SUM(Calculateur!$DW$3:$DW$33)*VLOOKUP('Données projet'!$B$14,'Paramètres'!$A$1:$I$88,9,0)*B11)</f>
        <v>0</v>
      </c>
      <c r="K11" s="104">
        <f>J11*(100%-'Données projet'!$C$24)*(100%-'Données projet'!$C$25)*(100%-'Données projet'!$C$26)*(100%-'Données projet'!$C$27)</f>
        <v>0</v>
      </c>
      <c r="L11" s="105">
        <f t="shared" si="3"/>
        <v>0</v>
      </c>
      <c r="M11" s="4"/>
      <c r="N11" s="4"/>
      <c r="O11" s="4"/>
      <c r="P11" s="4"/>
      <c r="Q11" s="4"/>
      <c r="R11" s="4"/>
      <c r="S11" s="4"/>
      <c r="T11" s="4"/>
      <c r="U11" s="4"/>
      <c r="V11" s="4"/>
      <c r="W11" s="4"/>
      <c r="X11" s="4"/>
      <c r="Y11" s="4"/>
      <c r="Z11" s="4"/>
      <c r="AA11" s="4"/>
      <c r="AB11" s="4"/>
      <c r="AC11" s="4"/>
      <c r="AD11" s="4"/>
      <c r="AE11" s="4"/>
      <c r="AF11" s="4"/>
    </row>
    <row r="12">
      <c r="A12" s="106" t="str">
        <f>IF('Données projet'!$B$15="","",'Données projet'!$B$15)</f>
        <v/>
      </c>
      <c r="B12" s="107">
        <f>'Données projet'!D15</f>
        <v>0</v>
      </c>
      <c r="C12" s="100">
        <f>IF(OR('Données projet'!B15="",'Données projet'!C15="",'Données projet'!C15=0%),0,Calculateur!EO3)</f>
        <v>0</v>
      </c>
      <c r="D12" s="100">
        <f>IF(OR('Données projet'!B15="",'Données projet'!C15="",'Données projet'!C15=0%),0,Calculateur!EP3)</f>
        <v>0</v>
      </c>
      <c r="E12" s="100">
        <f t="shared" si="1"/>
        <v>0</v>
      </c>
      <c r="F12" s="100">
        <f t="shared" si="2"/>
        <v>0</v>
      </c>
      <c r="G12" s="100">
        <f>F12*(100%-'Données projet'!$C$24)*(100%-'Données projet'!$C$25)*(100%-'Données projet'!$C$26)*(100%-'Données projet'!$C$27)</f>
        <v>0</v>
      </c>
      <c r="H12" s="108">
        <f>IF(OR('Données projet'!B15="",'Données projet'!C15="",'Données projet'!C15=0%),0,AVERAGE(Calculateur!$EY$3:$EY$33)*B12)</f>
        <v>0</v>
      </c>
      <c r="I12" s="102">
        <f>H12*(100%-'Données projet'!$C$24)*(100%-'Données projet'!$C$25)*(100%-'Données projet'!$C$26)*(100%-'Données projet'!$C$27)</f>
        <v>0</v>
      </c>
      <c r="J12" s="103">
        <f>IF(OR('Données projet'!B15="",'Données projet'!C15="",'Données projet'!C15=0%),0,SUM(Calculateur!$ER$3:$ER$33)*VLOOKUP('Données projet'!$B$15,'Paramètres'!$A$1:$I$88,9,0)*B12)</f>
        <v>0</v>
      </c>
      <c r="K12" s="104">
        <f>J12*(100%-'Données projet'!$C$24)*(100%-'Données projet'!$C$25)*(100%-'Données projet'!$C$26)*(100%-'Données projet'!$C$27)</f>
        <v>0</v>
      </c>
      <c r="L12" s="105">
        <f t="shared" si="3"/>
        <v>0</v>
      </c>
      <c r="M12" s="4"/>
      <c r="N12" s="4"/>
      <c r="O12" s="4"/>
      <c r="P12" s="4"/>
      <c r="Q12" s="4"/>
      <c r="R12" s="4"/>
      <c r="S12" s="4"/>
      <c r="T12" s="4"/>
      <c r="U12" s="4"/>
      <c r="V12" s="4"/>
      <c r="W12" s="4"/>
      <c r="X12" s="4"/>
      <c r="Y12" s="4"/>
      <c r="Z12" s="4"/>
      <c r="AA12" s="4"/>
      <c r="AB12" s="4"/>
      <c r="AC12" s="4"/>
      <c r="AD12" s="4"/>
      <c r="AE12" s="4"/>
      <c r="AF12" s="4"/>
    </row>
    <row r="13">
      <c r="A13" s="106" t="str">
        <f>IF('Données projet'!$B$16="","",'Données projet'!$B$16)</f>
        <v/>
      </c>
      <c r="B13" s="107">
        <f>'Données projet'!D16</f>
        <v>0</v>
      </c>
      <c r="C13" s="100">
        <f>IF(OR('Données projet'!B16="",'Données projet'!C16="",'Données projet'!C16=0%),0,Calculateur!FJ3)</f>
        <v>0</v>
      </c>
      <c r="D13" s="100">
        <f>IF(OR('Données projet'!B16="",'Données projet'!C16="",'Données projet'!C16=0%),0,Calculateur!FK3)</f>
        <v>0</v>
      </c>
      <c r="E13" s="100">
        <f t="shared" si="1"/>
        <v>0</v>
      </c>
      <c r="F13" s="100">
        <f t="shared" si="2"/>
        <v>0</v>
      </c>
      <c r="G13" s="100">
        <f>F13*(100%-'Données projet'!$C$24)*(100%-'Données projet'!$C$25)*(100%-'Données projet'!$C$26)*(100%-'Données projet'!$C$27)</f>
        <v>0</v>
      </c>
      <c r="H13" s="108">
        <f>IF(OR('Données projet'!B16="",'Données projet'!C16="",'Données projet'!C16=0%),0,AVERAGE(Calculateur!$FT$3:$FT$33)*B13)</f>
        <v>0</v>
      </c>
      <c r="I13" s="102">
        <f>H13*(100%-'Données projet'!$C$24)*(100%-'Données projet'!$C$25)*(100%-'Données projet'!$C$26)*(100%-'Données projet'!$C$27)</f>
        <v>0</v>
      </c>
      <c r="J13" s="103">
        <f>IF(OR('Données projet'!C16="",'Données projet'!C16=0%),0,SUM(Calculateur!$FM$3:$FM$33)*VLOOKUP('Données projet'!$B$16,'Paramètres'!$A$1:$I$88,9,0)*B13)</f>
        <v>0</v>
      </c>
      <c r="K13" s="104">
        <f>J13*(100%-'Données projet'!$C$24)*(100%-'Données projet'!$C$25)*(100%-'Données projet'!$C$26)*(100%-'Données projet'!$C$27)</f>
        <v>0</v>
      </c>
      <c r="L13" s="105">
        <f t="shared" si="3"/>
        <v>0</v>
      </c>
      <c r="M13" s="4"/>
      <c r="N13" s="4"/>
      <c r="O13" s="4"/>
      <c r="P13" s="4"/>
      <c r="Q13" s="4"/>
      <c r="R13" s="4"/>
      <c r="S13" s="4"/>
      <c r="T13" s="4"/>
      <c r="U13" s="4"/>
      <c r="V13" s="4"/>
      <c r="W13" s="4"/>
      <c r="X13" s="4"/>
      <c r="Y13" s="4"/>
      <c r="Z13" s="4"/>
      <c r="AA13" s="4"/>
      <c r="AB13" s="4"/>
      <c r="AC13" s="4"/>
      <c r="AD13" s="4"/>
      <c r="AE13" s="4"/>
      <c r="AF13" s="4"/>
    </row>
    <row r="14">
      <c r="A14" s="106" t="str">
        <f>IF('Données projet'!$B$17="","",'Données projet'!$B$17)</f>
        <v/>
      </c>
      <c r="B14" s="107">
        <f>'Données projet'!D17</f>
        <v>0</v>
      </c>
      <c r="C14" s="100">
        <f>IF(OR('Données projet'!B17="",'Données projet'!C17="",'Données projet'!C17=0%),0,Calculateur!GE3)</f>
        <v>0</v>
      </c>
      <c r="D14" s="100">
        <f>IF(OR('Données projet'!B17="",'Données projet'!C17="",'Données projet'!C17=0%),0,Calculateur!GF3)</f>
        <v>0</v>
      </c>
      <c r="E14" s="100">
        <f t="shared" si="1"/>
        <v>0</v>
      </c>
      <c r="F14" s="100">
        <f t="shared" si="2"/>
        <v>0</v>
      </c>
      <c r="G14" s="100">
        <f>F14*(100%-'Données projet'!$C$24)*(100%-'Données projet'!$C$25)*(100%-'Données projet'!$C$26)*(100%-'Données projet'!$C$27)</f>
        <v>0</v>
      </c>
      <c r="H14" s="108">
        <f>IF(OR('Données projet'!B17="",'Données projet'!C17="",'Données projet'!C17=0%),0,AVERAGE(Calculateur!$GO$3:$GO$33)*B14)</f>
        <v>0</v>
      </c>
      <c r="I14" s="102">
        <f>H14*(100%-'Données projet'!$C$24)*(100%-'Données projet'!$C$25)*(100%-'Données projet'!$C$26)*(100%-'Données projet'!$C$27)</f>
        <v>0</v>
      </c>
      <c r="J14" s="103">
        <f>IF(OR('Données projet'!B17="",'Données projet'!C17="",'Données projet'!C17=0%),0,SUM(Calculateur!$GH$3:$GH$33)*VLOOKUP('Données projet'!$B$17,'Paramètres'!$A$1:$I$88,9,0)*B14)</f>
        <v>0</v>
      </c>
      <c r="K14" s="104">
        <f>J14*(100%-'Données projet'!$C$24)*(100%-'Données projet'!$C$25)*(100%-'Données projet'!$C$26)*(100%-'Données projet'!$C$27)</f>
        <v>0</v>
      </c>
      <c r="L14" s="105">
        <f t="shared" si="3"/>
        <v>0</v>
      </c>
      <c r="M14" s="4"/>
      <c r="N14" s="4"/>
      <c r="O14" s="4"/>
      <c r="P14" s="4"/>
      <c r="Q14" s="4"/>
      <c r="R14" s="4"/>
      <c r="S14" s="4"/>
      <c r="T14" s="4"/>
      <c r="U14" s="4"/>
      <c r="V14" s="4"/>
      <c r="W14" s="4"/>
      <c r="X14" s="4"/>
      <c r="Y14" s="4"/>
      <c r="Z14" s="4"/>
      <c r="AA14" s="4"/>
      <c r="AB14" s="4"/>
      <c r="AC14" s="4"/>
      <c r="AD14" s="4"/>
      <c r="AE14" s="4"/>
      <c r="AF14" s="4"/>
    </row>
    <row r="15">
      <c r="A15" s="109" t="str">
        <f>IF('Données projet'!B18="","",'Données projet'!B18)</f>
        <v/>
      </c>
      <c r="B15" s="110">
        <f>'Données projet'!D18</f>
        <v>0</v>
      </c>
      <c r="C15" s="111">
        <f>IF(OR('Données projet'!B18="",'Données projet'!C18="",'Données projet'!C18=0%),0,Calculateur!GZ3)</f>
        <v>0</v>
      </c>
      <c r="D15" s="111">
        <f>IF(OR('Données projet'!B18="",'Données projet'!C18="",'Données projet'!C18=0%),0,Calculateur!HA3)</f>
        <v>0</v>
      </c>
      <c r="E15" s="111">
        <f t="shared" si="1"/>
        <v>0</v>
      </c>
      <c r="F15" s="112">
        <f t="shared" si="2"/>
        <v>0</v>
      </c>
      <c r="G15" s="112">
        <f>F15*(100%-'Données projet'!$C$24)*(100%-'Données projet'!$C$25)*(100%-'Données projet'!$C$26)*(100%-'Données projet'!$C$27)</f>
        <v>0</v>
      </c>
      <c r="H15" s="113">
        <f>IF(OR('Données projet'!B18="",'Données projet'!C18="",'Données projet'!C18=0%),0,AVERAGE(Calculateur!$HJ$3:$HJ$33)*B15)</f>
        <v>0</v>
      </c>
      <c r="I15" s="114">
        <f>H15*(100%-'Données projet'!$C$24)*(100%-'Données projet'!$C$25)*(100%-'Données projet'!$C$26)*(100%-'Données projet'!$C$27)</f>
        <v>0</v>
      </c>
      <c r="J15" s="115">
        <f>IF(OR('Données projet'!B18="",'Données projet'!C18="",'Données projet'!C18=0%),0,SUM(Calculateur!$HC$3:$HC$33)*VLOOKUP('Données projet'!$B$18,'Paramètres'!$A$1:$I$88,9,0)*B15)</f>
        <v>0</v>
      </c>
      <c r="K15" s="116">
        <f>J15*(100%-'Données projet'!$C$24)*(100%-'Données projet'!$C$25)*(100%-'Données projet'!$C$26)*(100%-'Données projet'!$C$27)</f>
        <v>0</v>
      </c>
      <c r="L15" s="117">
        <f t="shared" si="3"/>
        <v>0</v>
      </c>
      <c r="M15" s="4"/>
      <c r="N15" s="4"/>
      <c r="O15" s="4"/>
      <c r="P15" s="4"/>
      <c r="Q15" s="4"/>
      <c r="R15" s="4"/>
      <c r="S15" s="4"/>
      <c r="T15" s="4"/>
      <c r="U15" s="4"/>
      <c r="V15" s="4"/>
      <c r="W15" s="4"/>
      <c r="X15" s="4"/>
      <c r="Y15" s="4"/>
      <c r="Z15" s="4"/>
      <c r="AA15" s="4"/>
      <c r="AB15" s="4"/>
      <c r="AC15" s="4"/>
      <c r="AD15" s="4"/>
      <c r="AE15" s="4"/>
      <c r="AF15" s="4"/>
    </row>
    <row r="16">
      <c r="A16" s="118"/>
      <c r="B16" s="119"/>
      <c r="C16" s="120"/>
      <c r="D16" s="4"/>
      <c r="E16" s="4"/>
      <c r="F16" s="121">
        <f t="shared" ref="F16:L16" si="4">SUM(F6:F15)</f>
        <v>191.4953069</v>
      </c>
      <c r="G16" s="122">
        <f t="shared" si="4"/>
        <v>163.7284874</v>
      </c>
      <c r="H16" s="123">
        <f t="shared" si="4"/>
        <v>0.6100481353</v>
      </c>
      <c r="I16" s="123">
        <f t="shared" si="4"/>
        <v>0.5215911557</v>
      </c>
      <c r="J16" s="124">
        <f t="shared" si="4"/>
        <v>11.8485</v>
      </c>
      <c r="K16" s="124">
        <f t="shared" si="4"/>
        <v>10.1304675</v>
      </c>
      <c r="L16" s="125">
        <f t="shared" si="4"/>
        <v>174.3805461</v>
      </c>
      <c r="M16" s="4"/>
      <c r="N16" s="4"/>
      <c r="O16" s="4"/>
      <c r="P16" s="4"/>
      <c r="Q16" s="4"/>
      <c r="R16" s="4"/>
      <c r="S16" s="4"/>
      <c r="T16" s="4"/>
      <c r="U16" s="4"/>
      <c r="V16" s="4"/>
      <c r="W16" s="4"/>
      <c r="X16" s="4"/>
      <c r="Y16" s="4"/>
      <c r="Z16" s="4"/>
      <c r="AA16" s="4"/>
      <c r="AB16" s="4"/>
      <c r="AC16" s="4"/>
      <c r="AD16" s="4"/>
      <c r="AE16" s="4"/>
      <c r="AF16" s="4"/>
    </row>
    <row r="17">
      <c r="A17" s="118"/>
      <c r="B17" s="119"/>
      <c r="C17" s="120"/>
      <c r="D17" s="4"/>
      <c r="E17" s="4"/>
      <c r="F17" s="126" t="s">
        <v>110</v>
      </c>
      <c r="G17" s="127"/>
      <c r="H17" s="127"/>
      <c r="I17" s="127"/>
      <c r="J17" s="127"/>
      <c r="K17" s="127"/>
      <c r="L17" s="127"/>
      <c r="M17" s="4"/>
      <c r="N17" s="4"/>
      <c r="O17" s="4"/>
      <c r="P17" s="4"/>
      <c r="Q17" s="4"/>
      <c r="R17" s="4"/>
      <c r="S17" s="4"/>
      <c r="T17" s="4"/>
      <c r="U17" s="4"/>
      <c r="V17" s="4"/>
      <c r="W17" s="4"/>
      <c r="X17" s="4"/>
      <c r="Y17" s="4"/>
      <c r="Z17" s="4"/>
      <c r="AA17" s="4"/>
      <c r="AB17" s="4"/>
      <c r="AC17" s="4"/>
      <c r="AD17" s="4"/>
      <c r="AE17" s="4"/>
      <c r="AF17" s="4"/>
    </row>
    <row r="18">
      <c r="A18" s="118"/>
      <c r="B18" s="119"/>
      <c r="C18" s="120"/>
      <c r="D18" s="4"/>
      <c r="E18" s="4"/>
      <c r="M18" s="4"/>
      <c r="N18" s="4"/>
      <c r="O18" s="4"/>
      <c r="P18" s="4"/>
      <c r="Q18" s="4"/>
      <c r="R18" s="4"/>
      <c r="S18" s="4"/>
      <c r="T18" s="4"/>
      <c r="U18" s="4"/>
      <c r="V18" s="4"/>
      <c r="W18" s="4"/>
      <c r="X18" s="4"/>
      <c r="Y18" s="4"/>
      <c r="Z18" s="4"/>
      <c r="AA18" s="4"/>
      <c r="AB18" s="4"/>
      <c r="AC18" s="4"/>
      <c r="AD18" s="4"/>
      <c r="AE18" s="4"/>
      <c r="AF18" s="4"/>
    </row>
    <row r="19">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row>
    <row r="20">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row>
    <row r="21" ht="15.75" customHeight="1">
      <c r="A21" s="128" t="str">
        <f>A6</f>
        <v>Chêne sessile</v>
      </c>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row>
    <row r="22" ht="15.7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row>
    <row r="23" ht="15.75" customHeight="1">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row>
    <row r="24" ht="15.75" customHeight="1">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row>
    <row r="25" ht="15.75" customHeight="1">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row>
    <row r="26" ht="15.75" customHeight="1">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row>
    <row r="27" ht="15.75" customHeight="1">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row>
    <row r="28"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row>
    <row r="29"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row>
    <row r="30" ht="15.75"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row>
    <row r="31" ht="15.7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row>
    <row r="32"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row>
    <row r="33"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row>
    <row r="34"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row>
    <row r="35"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row>
    <row r="36"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row>
    <row r="37"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row>
    <row r="38"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row>
    <row r="39" ht="15.75" customHeight="1">
      <c r="A39" s="128" t="str">
        <f>A7</f>
        <v>Erable sycomore</v>
      </c>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row>
    <row r="40"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row>
    <row r="41"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row>
    <row r="42"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row>
    <row r="43"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row>
    <row r="44"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row>
    <row r="45"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row>
    <row r="57" ht="15.75" customHeight="1">
      <c r="A57" s="128" t="str">
        <f>A8</f>
        <v>Alisier torminal</v>
      </c>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row>
    <row r="76" ht="15.75" customHeight="1">
      <c r="A76" s="128" t="str">
        <f>A9</f>
        <v/>
      </c>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row>
    <row r="94" ht="15.75" customHeight="1">
      <c r="A94" s="128" t="str">
        <f>A10</f>
        <v/>
      </c>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row>
    <row r="112" ht="15.75" customHeight="1">
      <c r="A112" s="128" t="str">
        <f>A11</f>
        <v/>
      </c>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row>
    <row r="130" ht="15.75" customHeight="1">
      <c r="A130" s="128" t="str">
        <f>A12</f>
        <v/>
      </c>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row>
    <row r="148" ht="15.75" customHeight="1">
      <c r="A148" s="128" t="str">
        <f>A13</f>
        <v/>
      </c>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row>
    <row r="166" ht="15.75" customHeight="1">
      <c r="A166" s="128" t="str">
        <f>A14</f>
        <v/>
      </c>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row>
    <row r="184" ht="15.75" customHeight="1">
      <c r="A184" s="128" t="str">
        <f>A15</f>
        <v/>
      </c>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row>
    <row r="358" ht="15.75" customHeight="1">
      <c r="A358" s="4"/>
      <c r="B358" s="4"/>
      <c r="C358" s="4"/>
      <c r="D358" s="4"/>
      <c r="E358" s="4"/>
      <c r="F358" s="4"/>
      <c r="G358" s="4"/>
      <c r="H358" s="4"/>
      <c r="I358" s="129"/>
      <c r="J358" s="129"/>
      <c r="K358" s="129"/>
      <c r="L358" s="129"/>
      <c r="M358" s="129"/>
      <c r="N358" s="4"/>
      <c r="O358" s="4"/>
      <c r="P358" s="4"/>
      <c r="Q358" s="4"/>
      <c r="R358" s="4"/>
      <c r="S358" s="4"/>
      <c r="T358" s="4"/>
      <c r="U358" s="4"/>
      <c r="V358" s="4"/>
      <c r="W358" s="4"/>
      <c r="X358" s="4"/>
      <c r="Y358" s="4"/>
      <c r="Z358" s="4"/>
      <c r="AA358" s="4"/>
      <c r="AB358" s="4"/>
      <c r="AC358" s="4"/>
      <c r="AD358" s="4"/>
      <c r="AE358" s="4"/>
      <c r="AF358" s="4"/>
    </row>
    <row r="359" ht="15.75" customHeight="1">
      <c r="A359" s="4"/>
      <c r="B359" s="4"/>
      <c r="C359" s="4"/>
      <c r="D359" s="4"/>
      <c r="E359" s="4"/>
      <c r="F359" s="4"/>
      <c r="G359" s="4"/>
      <c r="H359" s="4"/>
      <c r="I359" s="129"/>
      <c r="J359" s="129"/>
      <c r="K359" s="129"/>
      <c r="L359" s="129"/>
      <c r="M359" s="129"/>
      <c r="N359" s="4"/>
      <c r="O359" s="4"/>
      <c r="P359" s="4"/>
      <c r="Q359" s="4"/>
      <c r="R359" s="4"/>
      <c r="S359" s="4"/>
      <c r="T359" s="4"/>
      <c r="U359" s="4"/>
      <c r="V359" s="4"/>
      <c r="W359" s="4"/>
      <c r="X359" s="4"/>
      <c r="Y359" s="4"/>
      <c r="Z359" s="4"/>
      <c r="AA359" s="4"/>
      <c r="AB359" s="4"/>
      <c r="AC359" s="4"/>
      <c r="AD359" s="4"/>
      <c r="AE359" s="4"/>
      <c r="AF359" s="4"/>
    </row>
    <row r="360" ht="15.75" customHeight="1">
      <c r="A360" s="4"/>
      <c r="B360" s="4"/>
      <c r="C360" s="4"/>
      <c r="D360" s="4"/>
      <c r="E360" s="4"/>
      <c r="F360" s="4"/>
      <c r="G360" s="4"/>
      <c r="H360" s="4"/>
      <c r="I360" s="129"/>
      <c r="J360" s="129"/>
      <c r="K360" s="129"/>
      <c r="L360" s="129"/>
      <c r="M360" s="129"/>
      <c r="N360" s="4"/>
      <c r="O360" s="4"/>
      <c r="P360" s="4"/>
      <c r="Q360" s="4"/>
      <c r="R360" s="4"/>
      <c r="S360" s="4"/>
      <c r="T360" s="4"/>
      <c r="U360" s="4"/>
      <c r="V360" s="4"/>
      <c r="W360" s="4"/>
      <c r="X360" s="4"/>
      <c r="Y360" s="4"/>
      <c r="Z360" s="4"/>
      <c r="AA360" s="4"/>
      <c r="AB360" s="4"/>
      <c r="AC360" s="4"/>
      <c r="AD360" s="4"/>
      <c r="AE360" s="4"/>
      <c r="AF360" s="4"/>
    </row>
    <row r="361" ht="15.75" customHeight="1">
      <c r="A361" s="4"/>
      <c r="B361" s="4"/>
      <c r="C361" s="4"/>
      <c r="D361" s="4"/>
      <c r="E361" s="4"/>
      <c r="F361" s="4"/>
      <c r="G361" s="4"/>
      <c r="H361" s="4"/>
      <c r="I361" s="129"/>
      <c r="J361" s="129"/>
      <c r="K361" s="129"/>
      <c r="L361" s="129"/>
      <c r="M361" s="129"/>
      <c r="N361" s="4"/>
      <c r="O361" s="4"/>
      <c r="P361" s="4"/>
      <c r="Q361" s="4"/>
      <c r="R361" s="4"/>
      <c r="S361" s="4"/>
      <c r="T361" s="4"/>
      <c r="U361" s="4"/>
      <c r="V361" s="4"/>
      <c r="W361" s="4"/>
      <c r="X361" s="4"/>
      <c r="Y361" s="4"/>
      <c r="Z361" s="4"/>
      <c r="AA361" s="4"/>
      <c r="AB361" s="4"/>
      <c r="AC361" s="4"/>
      <c r="AD361" s="4"/>
      <c r="AE361" s="4"/>
      <c r="AF361" s="4"/>
    </row>
    <row r="362" ht="15.75" customHeight="1">
      <c r="A362" s="4"/>
      <c r="B362" s="4"/>
      <c r="C362" s="4"/>
      <c r="D362" s="4"/>
      <c r="E362" s="4"/>
      <c r="F362" s="4"/>
      <c r="G362" s="4"/>
      <c r="H362" s="4"/>
      <c r="I362" s="129"/>
      <c r="J362" s="129"/>
      <c r="K362" s="129"/>
      <c r="L362" s="129"/>
      <c r="M362" s="129"/>
      <c r="N362" s="4"/>
      <c r="O362" s="4"/>
      <c r="P362" s="4"/>
      <c r="Q362" s="4"/>
      <c r="R362" s="4"/>
      <c r="S362" s="4"/>
      <c r="T362" s="4"/>
      <c r="U362" s="4"/>
      <c r="V362" s="4"/>
      <c r="W362" s="4"/>
      <c r="X362" s="4"/>
      <c r="Y362" s="4"/>
      <c r="Z362" s="4"/>
      <c r="AA362" s="4"/>
      <c r="AB362" s="4"/>
      <c r="AC362" s="4"/>
      <c r="AD362" s="4"/>
      <c r="AE362" s="4"/>
      <c r="AF362" s="4"/>
    </row>
    <row r="363" ht="15.75" customHeight="1">
      <c r="A363" s="4"/>
      <c r="B363" s="4"/>
      <c r="C363" s="4"/>
      <c r="D363" s="4"/>
      <c r="E363" s="4"/>
      <c r="F363" s="4"/>
      <c r="G363" s="4"/>
      <c r="H363" s="4"/>
      <c r="I363" s="129"/>
      <c r="J363" s="129"/>
      <c r="K363" s="129"/>
      <c r="L363" s="129"/>
      <c r="M363" s="129"/>
      <c r="N363" s="4"/>
      <c r="O363" s="4"/>
      <c r="P363" s="4"/>
      <c r="Q363" s="4"/>
      <c r="R363" s="4"/>
      <c r="S363" s="4"/>
      <c r="T363" s="4"/>
      <c r="U363" s="4"/>
      <c r="V363" s="4"/>
      <c r="W363" s="4"/>
      <c r="X363" s="4"/>
      <c r="Y363" s="4"/>
      <c r="Z363" s="4"/>
      <c r="AA363" s="4"/>
      <c r="AB363" s="4"/>
      <c r="AC363" s="4"/>
      <c r="AD363" s="4"/>
      <c r="AE363" s="4"/>
      <c r="AF363" s="4"/>
    </row>
    <row r="364" ht="15.75" customHeight="1">
      <c r="A364" s="4"/>
      <c r="B364" s="4"/>
      <c r="C364" s="4"/>
      <c r="D364" s="4"/>
      <c r="E364" s="4"/>
      <c r="F364" s="4"/>
      <c r="G364" s="4"/>
      <c r="H364" s="4"/>
      <c r="I364" s="129"/>
      <c r="J364" s="129"/>
      <c r="K364" s="129"/>
      <c r="L364" s="129"/>
      <c r="M364" s="129"/>
      <c r="N364" s="4"/>
      <c r="O364" s="4"/>
      <c r="P364" s="4"/>
      <c r="Q364" s="4"/>
      <c r="R364" s="4"/>
      <c r="S364" s="4"/>
      <c r="T364" s="4"/>
      <c r="U364" s="4"/>
      <c r="V364" s="4"/>
      <c r="W364" s="4"/>
      <c r="X364" s="4"/>
      <c r="Y364" s="4"/>
      <c r="Z364" s="4"/>
      <c r="AA364" s="4"/>
      <c r="AB364" s="4"/>
      <c r="AC364" s="4"/>
      <c r="AD364" s="4"/>
      <c r="AE364" s="4"/>
      <c r="AF364" s="4"/>
    </row>
    <row r="365" ht="15.75" customHeight="1">
      <c r="A365" s="4"/>
      <c r="B365" s="4"/>
      <c r="C365" s="4"/>
      <c r="D365" s="4"/>
      <c r="E365" s="4"/>
      <c r="F365" s="4"/>
      <c r="G365" s="4"/>
      <c r="H365" s="4"/>
      <c r="I365" s="129"/>
      <c r="J365" s="129"/>
      <c r="K365" s="129"/>
      <c r="L365" s="129"/>
      <c r="M365" s="129"/>
      <c r="N365" s="4"/>
      <c r="O365" s="4"/>
      <c r="P365" s="4"/>
      <c r="Q365" s="4"/>
      <c r="R365" s="4"/>
      <c r="S365" s="4"/>
      <c r="T365" s="4"/>
      <c r="U365" s="4"/>
      <c r="V365" s="4"/>
      <c r="W365" s="4"/>
      <c r="X365" s="4"/>
      <c r="Y365" s="4"/>
      <c r="Z365" s="4"/>
      <c r="AA365" s="4"/>
      <c r="AB365" s="4"/>
      <c r="AC365" s="4"/>
      <c r="AD365" s="4"/>
      <c r="AE365" s="4"/>
      <c r="AF365" s="4"/>
    </row>
    <row r="366" ht="15.75" customHeight="1">
      <c r="A366" s="4"/>
      <c r="B366" s="4"/>
      <c r="C366" s="4"/>
      <c r="D366" s="4"/>
      <c r="E366" s="4"/>
      <c r="F366" s="4"/>
      <c r="G366" s="4"/>
      <c r="H366" s="4"/>
      <c r="I366" s="129"/>
      <c r="J366" s="129"/>
      <c r="K366" s="129"/>
      <c r="L366" s="129"/>
      <c r="M366" s="129"/>
      <c r="N366" s="4"/>
      <c r="O366" s="4"/>
      <c r="P366" s="4"/>
      <c r="Q366" s="4"/>
      <c r="R366" s="4"/>
      <c r="S366" s="4"/>
      <c r="T366" s="4"/>
      <c r="U366" s="4"/>
      <c r="V366" s="4"/>
      <c r="W366" s="4"/>
      <c r="X366" s="4"/>
      <c r="Y366" s="4"/>
      <c r="Z366" s="4"/>
      <c r="AA366" s="4"/>
      <c r="AB366" s="4"/>
      <c r="AC366" s="4"/>
      <c r="AD366" s="4"/>
      <c r="AE366" s="4"/>
      <c r="AF366" s="4"/>
    </row>
    <row r="367" ht="15.75" customHeight="1">
      <c r="A367" s="4"/>
      <c r="B367" s="4"/>
      <c r="C367" s="4"/>
      <c r="D367" s="4"/>
      <c r="E367" s="4"/>
      <c r="F367" s="4"/>
      <c r="G367" s="4"/>
      <c r="H367" s="4"/>
      <c r="I367" s="129"/>
      <c r="J367" s="129"/>
      <c r="K367" s="129"/>
      <c r="L367" s="129"/>
      <c r="M367" s="129"/>
      <c r="N367" s="4"/>
      <c r="O367" s="4"/>
      <c r="P367" s="4"/>
      <c r="Q367" s="4"/>
      <c r="R367" s="4"/>
      <c r="S367" s="4"/>
      <c r="T367" s="4"/>
      <c r="U367" s="4"/>
      <c r="V367" s="4"/>
      <c r="W367" s="4"/>
      <c r="X367" s="4"/>
      <c r="Y367" s="4"/>
      <c r="Z367" s="4"/>
      <c r="AA367" s="4"/>
      <c r="AB367" s="4"/>
      <c r="AC367" s="4"/>
      <c r="AD367" s="4"/>
      <c r="AE367" s="4"/>
      <c r="AF367" s="4"/>
    </row>
    <row r="368" ht="15.75" customHeight="1">
      <c r="A368" s="4"/>
      <c r="B368" s="4"/>
      <c r="C368" s="4"/>
      <c r="D368" s="4"/>
      <c r="E368" s="4"/>
      <c r="F368" s="4"/>
      <c r="G368" s="4"/>
      <c r="H368" s="4"/>
      <c r="I368" s="129"/>
      <c r="J368" s="129"/>
      <c r="K368" s="129"/>
      <c r="L368" s="129"/>
      <c r="M368" s="129"/>
      <c r="N368" s="4"/>
      <c r="O368" s="4"/>
      <c r="P368" s="4"/>
      <c r="Q368" s="4"/>
      <c r="R368" s="4"/>
      <c r="S368" s="4"/>
      <c r="T368" s="4"/>
      <c r="U368" s="4"/>
      <c r="V368" s="4"/>
      <c r="W368" s="4"/>
      <c r="X368" s="4"/>
      <c r="Y368" s="4"/>
      <c r="Z368" s="4"/>
      <c r="AA368" s="4"/>
      <c r="AB368" s="4"/>
      <c r="AC368" s="4"/>
      <c r="AD368" s="4"/>
      <c r="AE368" s="4"/>
      <c r="AF368" s="4"/>
    </row>
    <row r="369" ht="15.75" customHeight="1">
      <c r="A369" s="4"/>
      <c r="B369" s="4"/>
      <c r="C369" s="4"/>
      <c r="D369" s="4"/>
      <c r="E369" s="4"/>
      <c r="F369" s="4"/>
      <c r="G369" s="4"/>
      <c r="H369" s="4"/>
      <c r="I369" s="129"/>
      <c r="J369" s="129"/>
      <c r="K369" s="129"/>
      <c r="L369" s="129"/>
      <c r="M369" s="129"/>
      <c r="N369" s="4"/>
      <c r="O369" s="4"/>
      <c r="P369" s="4"/>
      <c r="Q369" s="4"/>
      <c r="R369" s="4"/>
      <c r="S369" s="4"/>
      <c r="T369" s="4"/>
      <c r="U369" s="4"/>
      <c r="V369" s="4"/>
      <c r="W369" s="4"/>
      <c r="X369" s="4"/>
      <c r="Y369" s="4"/>
      <c r="Z369" s="4"/>
      <c r="AA369" s="4"/>
      <c r="AB369" s="4"/>
      <c r="AC369" s="4"/>
      <c r="AD369" s="4"/>
      <c r="AE369" s="4"/>
      <c r="AF369" s="4"/>
    </row>
    <row r="370" ht="15.75" customHeight="1">
      <c r="A370" s="4"/>
      <c r="B370" s="4"/>
      <c r="C370" s="4"/>
      <c r="D370" s="4"/>
      <c r="E370" s="4"/>
      <c r="F370" s="4"/>
      <c r="G370" s="4"/>
      <c r="H370" s="4"/>
      <c r="I370" s="129"/>
      <c r="J370" s="129"/>
      <c r="K370" s="129"/>
      <c r="L370" s="129"/>
      <c r="M370" s="129"/>
      <c r="N370" s="4"/>
      <c r="O370" s="4"/>
      <c r="P370" s="4"/>
      <c r="Q370" s="4"/>
      <c r="R370" s="4"/>
      <c r="S370" s="4"/>
      <c r="T370" s="4"/>
      <c r="U370" s="4"/>
      <c r="V370" s="4"/>
      <c r="W370" s="4"/>
      <c r="X370" s="4"/>
      <c r="Y370" s="4"/>
      <c r="Z370" s="4"/>
      <c r="AA370" s="4"/>
      <c r="AB370" s="4"/>
      <c r="AC370" s="4"/>
      <c r="AD370" s="4"/>
      <c r="AE370" s="4"/>
      <c r="AF370" s="4"/>
    </row>
    <row r="371" ht="15.75" customHeight="1">
      <c r="A371" s="4"/>
      <c r="B371" s="4"/>
      <c r="C371" s="4"/>
      <c r="D371" s="4"/>
      <c r="E371" s="4"/>
      <c r="F371" s="4"/>
      <c r="G371" s="4"/>
      <c r="H371" s="4"/>
      <c r="I371" s="129"/>
      <c r="J371" s="129"/>
      <c r="K371" s="129"/>
      <c r="L371" s="129"/>
      <c r="M371" s="129"/>
      <c r="N371" s="4"/>
      <c r="O371" s="4"/>
      <c r="P371" s="4"/>
      <c r="Q371" s="4"/>
      <c r="R371" s="4"/>
      <c r="S371" s="4"/>
      <c r="T371" s="4"/>
      <c r="U371" s="4"/>
      <c r="V371" s="4"/>
      <c r="W371" s="4"/>
      <c r="X371" s="4"/>
      <c r="Y371" s="4"/>
      <c r="Z371" s="4"/>
      <c r="AA371" s="4"/>
      <c r="AB371" s="4"/>
      <c r="AC371" s="4"/>
      <c r="AD371" s="4"/>
      <c r="AE371" s="4"/>
      <c r="AF371" s="4"/>
    </row>
    <row r="372" ht="15.75" customHeight="1">
      <c r="A372" s="4"/>
      <c r="B372" s="4"/>
      <c r="C372" s="4"/>
      <c r="D372" s="4"/>
      <c r="E372" s="4"/>
      <c r="F372" s="4"/>
      <c r="G372" s="4"/>
      <c r="H372" s="4"/>
      <c r="I372" s="129"/>
      <c r="J372" s="129"/>
      <c r="K372" s="129"/>
      <c r="L372" s="129"/>
      <c r="M372" s="129"/>
      <c r="N372" s="4"/>
      <c r="O372" s="4"/>
      <c r="P372" s="4"/>
      <c r="Q372" s="4"/>
      <c r="R372" s="4"/>
      <c r="S372" s="4"/>
      <c r="T372" s="4"/>
      <c r="U372" s="4"/>
      <c r="V372" s="4"/>
      <c r="W372" s="4"/>
      <c r="X372" s="4"/>
      <c r="Y372" s="4"/>
      <c r="Z372" s="4"/>
      <c r="AA372" s="4"/>
      <c r="AB372" s="4"/>
      <c r="AC372" s="4"/>
      <c r="AD372" s="4"/>
      <c r="AE372" s="4"/>
      <c r="AF372" s="4"/>
    </row>
    <row r="373" ht="15.75" customHeight="1">
      <c r="A373" s="4"/>
      <c r="B373" s="4"/>
      <c r="C373" s="4"/>
      <c r="D373" s="4"/>
      <c r="E373" s="4"/>
      <c r="F373" s="4"/>
      <c r="G373" s="4"/>
      <c r="H373" s="4"/>
      <c r="I373" s="129"/>
      <c r="J373" s="129"/>
      <c r="K373" s="129"/>
      <c r="L373" s="129"/>
      <c r="M373" s="129"/>
      <c r="N373" s="4"/>
      <c r="O373" s="4"/>
      <c r="P373" s="4"/>
      <c r="Q373" s="4"/>
      <c r="R373" s="4"/>
      <c r="S373" s="4"/>
      <c r="T373" s="4"/>
      <c r="U373" s="4"/>
      <c r="V373" s="4"/>
      <c r="W373" s="4"/>
      <c r="X373" s="4"/>
      <c r="Y373" s="4"/>
      <c r="Z373" s="4"/>
      <c r="AA373" s="4"/>
      <c r="AB373" s="4"/>
      <c r="AC373" s="4"/>
      <c r="AD373" s="4"/>
      <c r="AE373" s="4"/>
      <c r="AF373" s="4"/>
    </row>
    <row r="374" ht="15.75" customHeight="1">
      <c r="A374" s="4"/>
      <c r="B374" s="4"/>
      <c r="C374" s="4"/>
      <c r="D374" s="4"/>
      <c r="E374" s="4"/>
      <c r="F374" s="4"/>
      <c r="G374" s="4"/>
      <c r="H374" s="4"/>
      <c r="I374" s="129"/>
      <c r="J374" s="129"/>
      <c r="K374" s="129"/>
      <c r="L374" s="129"/>
      <c r="M374" s="129"/>
      <c r="N374" s="4"/>
      <c r="O374" s="4"/>
      <c r="P374" s="4"/>
      <c r="Q374" s="4"/>
      <c r="R374" s="4"/>
      <c r="S374" s="4"/>
      <c r="T374" s="4"/>
      <c r="U374" s="4"/>
      <c r="V374" s="4"/>
      <c r="W374" s="4"/>
      <c r="X374" s="4"/>
      <c r="Y374" s="4"/>
      <c r="Z374" s="4"/>
      <c r="AA374" s="4"/>
      <c r="AB374" s="4"/>
      <c r="AC374" s="4"/>
      <c r="AD374" s="4"/>
      <c r="AE374" s="4"/>
      <c r="AF374" s="4"/>
    </row>
    <row r="375" ht="15.75" customHeight="1">
      <c r="A375" s="4"/>
      <c r="B375" s="4"/>
      <c r="C375" s="4"/>
      <c r="D375" s="4"/>
      <c r="E375" s="4"/>
      <c r="F375" s="4"/>
      <c r="G375" s="4"/>
      <c r="H375" s="4"/>
      <c r="I375" s="129"/>
      <c r="J375" s="129"/>
      <c r="K375" s="129"/>
      <c r="L375" s="129"/>
      <c r="M375" s="129"/>
      <c r="N375" s="4"/>
      <c r="O375" s="4"/>
      <c r="P375" s="4"/>
      <c r="Q375" s="4"/>
      <c r="R375" s="4"/>
      <c r="S375" s="4"/>
      <c r="T375" s="4"/>
      <c r="U375" s="4"/>
      <c r="V375" s="4"/>
      <c r="W375" s="4"/>
      <c r="X375" s="4"/>
      <c r="Y375" s="4"/>
      <c r="Z375" s="4"/>
      <c r="AA375" s="4"/>
      <c r="AB375" s="4"/>
      <c r="AC375" s="4"/>
      <c r="AD375" s="4"/>
      <c r="AE375" s="4"/>
      <c r="AF375" s="4"/>
    </row>
    <row r="376" ht="15.75" customHeight="1">
      <c r="A376" s="4"/>
      <c r="B376" s="4"/>
      <c r="C376" s="4"/>
      <c r="D376" s="4"/>
      <c r="E376" s="4"/>
      <c r="F376" s="4"/>
      <c r="G376" s="4"/>
      <c r="H376" s="4"/>
      <c r="I376" s="129"/>
      <c r="J376" s="129"/>
      <c r="K376" s="129"/>
      <c r="L376" s="129"/>
      <c r="M376" s="129"/>
      <c r="N376" s="4"/>
      <c r="O376" s="4"/>
      <c r="P376" s="4"/>
      <c r="Q376" s="4"/>
      <c r="R376" s="4"/>
      <c r="S376" s="4"/>
      <c r="T376" s="4"/>
      <c r="U376" s="4"/>
      <c r="V376" s="4"/>
      <c r="W376" s="4"/>
      <c r="X376" s="4"/>
      <c r="Y376" s="4"/>
      <c r="Z376" s="4"/>
      <c r="AA376" s="4"/>
      <c r="AB376" s="4"/>
      <c r="AC376" s="4"/>
      <c r="AD376" s="4"/>
      <c r="AE376" s="4"/>
      <c r="AF376" s="4"/>
    </row>
    <row r="377" ht="15.75" customHeight="1">
      <c r="A377" s="4"/>
      <c r="B377" s="4"/>
      <c r="C377" s="4"/>
      <c r="D377" s="4"/>
      <c r="E377" s="4"/>
      <c r="F377" s="4"/>
      <c r="G377" s="4"/>
      <c r="H377" s="4"/>
      <c r="I377" s="129"/>
      <c r="J377" s="129"/>
      <c r="K377" s="129"/>
      <c r="L377" s="129"/>
      <c r="M377" s="129"/>
      <c r="N377" s="4"/>
      <c r="O377" s="4"/>
      <c r="P377" s="4"/>
      <c r="Q377" s="4"/>
      <c r="R377" s="4"/>
      <c r="S377" s="4"/>
      <c r="T377" s="4"/>
      <c r="U377" s="4"/>
      <c r="V377" s="4"/>
      <c r="W377" s="4"/>
      <c r="X377" s="4"/>
      <c r="Y377" s="4"/>
      <c r="Z377" s="4"/>
      <c r="AA377" s="4"/>
      <c r="AB377" s="4"/>
      <c r="AC377" s="4"/>
      <c r="AD377" s="4"/>
      <c r="AE377" s="4"/>
      <c r="AF377" s="4"/>
    </row>
    <row r="378" ht="15.75" customHeight="1">
      <c r="A378" s="4"/>
      <c r="B378" s="4"/>
      <c r="C378" s="4"/>
      <c r="D378" s="4"/>
      <c r="E378" s="4"/>
      <c r="F378" s="4"/>
      <c r="G378" s="4"/>
      <c r="H378" s="4"/>
      <c r="I378" s="129"/>
      <c r="J378" s="129"/>
      <c r="K378" s="129"/>
      <c r="L378" s="129"/>
      <c r="M378" s="129"/>
      <c r="N378" s="4"/>
      <c r="O378" s="4"/>
      <c r="P378" s="4"/>
      <c r="Q378" s="4"/>
      <c r="R378" s="4"/>
      <c r="S378" s="4"/>
      <c r="T378" s="4"/>
      <c r="U378" s="4"/>
      <c r="V378" s="4"/>
      <c r="W378" s="4"/>
      <c r="X378" s="4"/>
      <c r="Y378" s="4"/>
      <c r="Z378" s="4"/>
      <c r="AA378" s="4"/>
      <c r="AB378" s="4"/>
      <c r="AC378" s="4"/>
      <c r="AD378" s="4"/>
      <c r="AE378" s="4"/>
      <c r="AF378" s="4"/>
    </row>
    <row r="379" ht="15.75" customHeight="1">
      <c r="A379" s="4"/>
      <c r="B379" s="4"/>
      <c r="C379" s="4"/>
      <c r="D379" s="4"/>
      <c r="E379" s="4"/>
      <c r="F379" s="4"/>
      <c r="G379" s="4"/>
      <c r="H379" s="4"/>
      <c r="I379" s="129"/>
      <c r="J379" s="129"/>
      <c r="K379" s="129"/>
      <c r="L379" s="129"/>
      <c r="M379" s="129"/>
      <c r="N379" s="4"/>
      <c r="O379" s="4"/>
      <c r="P379" s="4"/>
      <c r="Q379" s="4"/>
      <c r="R379" s="4"/>
      <c r="S379" s="4"/>
      <c r="T379" s="4"/>
      <c r="U379" s="4"/>
      <c r="V379" s="4"/>
      <c r="W379" s="4"/>
      <c r="X379" s="4"/>
      <c r="Y379" s="4"/>
      <c r="Z379" s="4"/>
      <c r="AA379" s="4"/>
      <c r="AB379" s="4"/>
      <c r="AC379" s="4"/>
      <c r="AD379" s="4"/>
      <c r="AE379" s="4"/>
      <c r="AF379" s="4"/>
    </row>
    <row r="380" ht="15.75" customHeight="1">
      <c r="A380" s="4"/>
      <c r="B380" s="4"/>
      <c r="C380" s="4"/>
      <c r="D380" s="4"/>
      <c r="E380" s="4"/>
      <c r="F380" s="4"/>
      <c r="G380" s="4"/>
      <c r="H380" s="4"/>
      <c r="I380" s="129"/>
      <c r="J380" s="129"/>
      <c r="K380" s="129"/>
      <c r="L380" s="129"/>
      <c r="M380" s="129"/>
      <c r="N380" s="4"/>
      <c r="O380" s="4"/>
      <c r="P380" s="4"/>
      <c r="Q380" s="4"/>
      <c r="R380" s="4"/>
      <c r="S380" s="4"/>
      <c r="T380" s="4"/>
      <c r="U380" s="4"/>
      <c r="V380" s="4"/>
      <c r="W380" s="4"/>
      <c r="X380" s="4"/>
      <c r="Y380" s="4"/>
      <c r="Z380" s="4"/>
      <c r="AA380" s="4"/>
      <c r="AB380" s="4"/>
      <c r="AC380" s="4"/>
      <c r="AD380" s="4"/>
      <c r="AE380" s="4"/>
      <c r="AF380" s="4"/>
    </row>
    <row r="381" ht="15.75" customHeight="1">
      <c r="A381" s="4"/>
      <c r="B381" s="4"/>
      <c r="C381" s="4"/>
      <c r="D381" s="4"/>
      <c r="E381" s="4"/>
      <c r="F381" s="4"/>
      <c r="G381" s="4"/>
      <c r="H381" s="4"/>
      <c r="I381" s="129"/>
      <c r="J381" s="129"/>
      <c r="K381" s="129"/>
      <c r="L381" s="129"/>
      <c r="M381" s="129"/>
      <c r="N381" s="4"/>
      <c r="O381" s="4"/>
      <c r="P381" s="4"/>
      <c r="Q381" s="4"/>
      <c r="R381" s="4"/>
      <c r="S381" s="4"/>
      <c r="T381" s="4"/>
      <c r="U381" s="4"/>
      <c r="V381" s="4"/>
      <c r="W381" s="4"/>
      <c r="X381" s="4"/>
      <c r="Y381" s="4"/>
      <c r="Z381" s="4"/>
      <c r="AA381" s="4"/>
      <c r="AB381" s="4"/>
      <c r="AC381" s="4"/>
      <c r="AD381" s="4"/>
      <c r="AE381" s="4"/>
      <c r="AF381" s="4"/>
    </row>
    <row r="382" ht="15.75" customHeight="1">
      <c r="A382" s="4"/>
      <c r="B382" s="4"/>
      <c r="C382" s="4"/>
      <c r="D382" s="4"/>
      <c r="E382" s="4"/>
      <c r="F382" s="4"/>
      <c r="G382" s="4"/>
      <c r="H382" s="4"/>
      <c r="I382" s="129"/>
      <c r="J382" s="129"/>
      <c r="K382" s="129"/>
      <c r="L382" s="129"/>
      <c r="M382" s="129"/>
      <c r="N382" s="4"/>
      <c r="O382" s="4"/>
      <c r="P382" s="4"/>
      <c r="Q382" s="4"/>
      <c r="R382" s="4"/>
      <c r="S382" s="4"/>
      <c r="T382" s="4"/>
      <c r="U382" s="4"/>
      <c r="V382" s="4"/>
      <c r="W382" s="4"/>
      <c r="X382" s="4"/>
      <c r="Y382" s="4"/>
      <c r="Z382" s="4"/>
      <c r="AA382" s="4"/>
      <c r="AB382" s="4"/>
      <c r="AC382" s="4"/>
      <c r="AD382" s="4"/>
      <c r="AE382" s="4"/>
      <c r="AF382" s="4"/>
    </row>
    <row r="383" ht="15.75" customHeight="1">
      <c r="A383" s="4"/>
      <c r="B383" s="4"/>
      <c r="C383" s="4"/>
      <c r="D383" s="4"/>
      <c r="E383" s="4"/>
      <c r="F383" s="4"/>
      <c r="G383" s="4"/>
      <c r="H383" s="4"/>
      <c r="I383" s="129"/>
      <c r="J383" s="129"/>
      <c r="K383" s="129"/>
      <c r="L383" s="129"/>
      <c r="M383" s="129"/>
      <c r="N383" s="4"/>
      <c r="O383" s="4"/>
      <c r="P383" s="4"/>
      <c r="Q383" s="4"/>
      <c r="R383" s="4"/>
      <c r="S383" s="4"/>
      <c r="T383" s="4"/>
      <c r="U383" s="4"/>
      <c r="V383" s="4"/>
      <c r="W383" s="4"/>
      <c r="X383" s="4"/>
      <c r="Y383" s="4"/>
      <c r="Z383" s="4"/>
      <c r="AA383" s="4"/>
      <c r="AB383" s="4"/>
      <c r="AC383" s="4"/>
      <c r="AD383" s="4"/>
      <c r="AE383" s="4"/>
      <c r="AF383" s="4"/>
    </row>
    <row r="384" ht="15.75" customHeight="1">
      <c r="A384" s="4"/>
      <c r="B384" s="4"/>
      <c r="C384" s="4"/>
      <c r="D384" s="4"/>
      <c r="E384" s="4"/>
      <c r="F384" s="4"/>
      <c r="G384" s="4"/>
      <c r="H384" s="4"/>
      <c r="I384" s="129"/>
      <c r="J384" s="129"/>
      <c r="K384" s="129"/>
      <c r="L384" s="129"/>
      <c r="M384" s="129"/>
      <c r="N384" s="4"/>
      <c r="O384" s="4"/>
      <c r="P384" s="4"/>
      <c r="Q384" s="4"/>
      <c r="R384" s="4"/>
      <c r="S384" s="4"/>
      <c r="T384" s="4"/>
      <c r="U384" s="4"/>
      <c r="V384" s="4"/>
      <c r="W384" s="4"/>
      <c r="X384" s="4"/>
      <c r="Y384" s="4"/>
      <c r="Z384" s="4"/>
      <c r="AA384" s="4"/>
      <c r="AB384" s="4"/>
      <c r="AC384" s="4"/>
      <c r="AD384" s="4"/>
      <c r="AE384" s="4"/>
      <c r="AF384" s="4"/>
    </row>
    <row r="385" ht="15.75" customHeight="1">
      <c r="A385" s="4"/>
      <c r="B385" s="4"/>
      <c r="C385" s="4"/>
      <c r="D385" s="4"/>
      <c r="E385" s="4"/>
      <c r="F385" s="4"/>
      <c r="G385" s="4"/>
      <c r="H385" s="4"/>
      <c r="I385" s="129"/>
      <c r="J385" s="129"/>
      <c r="K385" s="129"/>
      <c r="L385" s="129"/>
      <c r="M385" s="129"/>
      <c r="N385" s="4"/>
      <c r="O385" s="4"/>
      <c r="P385" s="4"/>
      <c r="Q385" s="4"/>
      <c r="R385" s="4"/>
      <c r="S385" s="4"/>
      <c r="T385" s="4"/>
      <c r="U385" s="4"/>
      <c r="V385" s="4"/>
      <c r="W385" s="4"/>
      <c r="X385" s="4"/>
      <c r="Y385" s="4"/>
      <c r="Z385" s="4"/>
      <c r="AA385" s="4"/>
      <c r="AB385" s="4"/>
      <c r="AC385" s="4"/>
      <c r="AD385" s="4"/>
      <c r="AE385" s="4"/>
      <c r="AF385" s="4"/>
    </row>
    <row r="386" ht="15.75" customHeight="1">
      <c r="A386" s="4"/>
      <c r="B386" s="4"/>
      <c r="C386" s="4"/>
      <c r="D386" s="4"/>
      <c r="E386" s="4"/>
      <c r="F386" s="4"/>
      <c r="G386" s="4"/>
      <c r="H386" s="4"/>
      <c r="I386" s="129"/>
      <c r="J386" s="129"/>
      <c r="K386" s="129"/>
      <c r="L386" s="129"/>
      <c r="M386" s="129"/>
      <c r="N386" s="4"/>
      <c r="O386" s="4"/>
      <c r="P386" s="4"/>
      <c r="Q386" s="4"/>
      <c r="R386" s="4"/>
      <c r="S386" s="4"/>
      <c r="T386" s="4"/>
      <c r="U386" s="4"/>
      <c r="V386" s="4"/>
      <c r="W386" s="4"/>
      <c r="X386" s="4"/>
      <c r="Y386" s="4"/>
      <c r="Z386" s="4"/>
      <c r="AA386" s="4"/>
      <c r="AB386" s="4"/>
      <c r="AC386" s="4"/>
      <c r="AD386" s="4"/>
      <c r="AE386" s="4"/>
      <c r="AF386" s="4"/>
    </row>
    <row r="387" ht="15.75" customHeight="1">
      <c r="A387" s="4"/>
      <c r="B387" s="4"/>
      <c r="C387" s="4"/>
      <c r="D387" s="4"/>
      <c r="E387" s="4"/>
      <c r="F387" s="4"/>
      <c r="G387" s="4"/>
      <c r="H387" s="4"/>
      <c r="I387" s="129"/>
      <c r="J387" s="129"/>
      <c r="K387" s="129"/>
      <c r="L387" s="129"/>
      <c r="M387" s="129"/>
      <c r="N387" s="4"/>
      <c r="O387" s="4"/>
      <c r="P387" s="4"/>
      <c r="Q387" s="4"/>
      <c r="R387" s="4"/>
      <c r="S387" s="4"/>
      <c r="T387" s="4"/>
      <c r="U387" s="4"/>
      <c r="V387" s="4"/>
      <c r="W387" s="4"/>
      <c r="X387" s="4"/>
      <c r="Y387" s="4"/>
      <c r="Z387" s="4"/>
      <c r="AA387" s="4"/>
      <c r="AB387" s="4"/>
      <c r="AC387" s="4"/>
      <c r="AD387" s="4"/>
      <c r="AE387" s="4"/>
      <c r="AF387" s="4"/>
    </row>
    <row r="388" ht="15.75" customHeight="1">
      <c r="A388" s="4"/>
      <c r="B388" s="4"/>
      <c r="C388" s="4"/>
      <c r="D388" s="4"/>
      <c r="E388" s="4"/>
      <c r="F388" s="4"/>
      <c r="G388" s="4"/>
      <c r="H388" s="4"/>
      <c r="I388" s="129"/>
      <c r="J388" s="129"/>
      <c r="K388" s="129"/>
      <c r="L388" s="129"/>
      <c r="M388" s="129"/>
      <c r="N388" s="4"/>
      <c r="O388" s="4"/>
      <c r="P388" s="4"/>
      <c r="Q388" s="4"/>
      <c r="R388" s="4"/>
      <c r="S388" s="4"/>
      <c r="T388" s="4"/>
      <c r="U388" s="4"/>
      <c r="V388" s="4"/>
      <c r="W388" s="4"/>
      <c r="X388" s="4"/>
      <c r="Y388" s="4"/>
      <c r="Z388" s="4"/>
      <c r="AA388" s="4"/>
      <c r="AB388" s="4"/>
      <c r="AC388" s="4"/>
      <c r="AD388" s="4"/>
      <c r="AE388" s="4"/>
      <c r="AF388" s="4"/>
    </row>
    <row r="389" ht="15.75" customHeight="1">
      <c r="A389" s="4"/>
      <c r="B389" s="4"/>
      <c r="C389" s="4"/>
      <c r="D389" s="4"/>
      <c r="E389" s="4"/>
      <c r="F389" s="4"/>
      <c r="G389" s="4"/>
      <c r="H389" s="4"/>
      <c r="I389" s="129"/>
      <c r="J389" s="129"/>
      <c r="K389" s="129"/>
      <c r="L389" s="129"/>
      <c r="M389" s="129"/>
      <c r="N389" s="4"/>
      <c r="O389" s="4"/>
      <c r="P389" s="4"/>
      <c r="Q389" s="4"/>
      <c r="R389" s="4"/>
      <c r="S389" s="4"/>
      <c r="T389" s="4"/>
      <c r="U389" s="4"/>
      <c r="V389" s="4"/>
      <c r="W389" s="4"/>
      <c r="X389" s="4"/>
      <c r="Y389" s="4"/>
      <c r="Z389" s="4"/>
      <c r="AA389" s="4"/>
      <c r="AB389" s="4"/>
      <c r="AC389" s="4"/>
      <c r="AD389" s="4"/>
      <c r="AE389" s="4"/>
      <c r="AF389" s="4"/>
    </row>
    <row r="390" ht="15.75" customHeight="1">
      <c r="A390" s="4"/>
      <c r="B390" s="4"/>
      <c r="C390" s="4"/>
      <c r="D390" s="4"/>
      <c r="E390" s="4"/>
      <c r="F390" s="4"/>
      <c r="G390" s="4"/>
      <c r="H390" s="4"/>
      <c r="I390" s="129"/>
      <c r="J390" s="129"/>
      <c r="K390" s="129"/>
      <c r="L390" s="129"/>
      <c r="M390" s="129"/>
      <c r="N390" s="4"/>
      <c r="O390" s="4"/>
      <c r="P390" s="4"/>
      <c r="Q390" s="4"/>
      <c r="R390" s="4"/>
      <c r="S390" s="4"/>
      <c r="T390" s="4"/>
      <c r="U390" s="4"/>
      <c r="V390" s="4"/>
      <c r="W390" s="4"/>
      <c r="X390" s="4"/>
      <c r="Y390" s="4"/>
      <c r="Z390" s="4"/>
      <c r="AA390" s="4"/>
      <c r="AB390" s="4"/>
      <c r="AC390" s="4"/>
      <c r="AD390" s="4"/>
      <c r="AE390" s="4"/>
      <c r="AF390" s="4"/>
    </row>
    <row r="391" ht="15.75" customHeight="1">
      <c r="A391" s="4"/>
      <c r="B391" s="4"/>
      <c r="C391" s="4"/>
      <c r="D391" s="4"/>
      <c r="E391" s="4"/>
      <c r="F391" s="4"/>
      <c r="G391" s="4"/>
      <c r="H391" s="4"/>
      <c r="I391" s="129"/>
      <c r="J391" s="129"/>
      <c r="K391" s="129"/>
      <c r="L391" s="129"/>
      <c r="M391" s="129"/>
      <c r="N391" s="4"/>
      <c r="O391" s="4"/>
      <c r="P391" s="4"/>
      <c r="Q391" s="4"/>
      <c r="R391" s="4"/>
      <c r="S391" s="4"/>
      <c r="T391" s="4"/>
      <c r="U391" s="4"/>
      <c r="V391" s="4"/>
      <c r="W391" s="4"/>
      <c r="X391" s="4"/>
      <c r="Y391" s="4"/>
      <c r="Z391" s="4"/>
      <c r="AA391" s="4"/>
      <c r="AB391" s="4"/>
      <c r="AC391" s="4"/>
      <c r="AD391" s="4"/>
      <c r="AE391" s="4"/>
      <c r="AF391" s="4"/>
    </row>
    <row r="392" ht="15.75" customHeight="1">
      <c r="A392" s="4"/>
      <c r="B392" s="4"/>
      <c r="C392" s="4"/>
      <c r="D392" s="4"/>
      <c r="E392" s="4"/>
      <c r="F392" s="4"/>
      <c r="G392" s="4"/>
      <c r="H392" s="4"/>
      <c r="I392" s="129"/>
      <c r="J392" s="129"/>
      <c r="K392" s="129"/>
      <c r="L392" s="129"/>
      <c r="M392" s="129"/>
      <c r="N392" s="4"/>
      <c r="O392" s="4"/>
      <c r="P392" s="4"/>
      <c r="Q392" s="4"/>
      <c r="R392" s="4"/>
      <c r="S392" s="4"/>
      <c r="T392" s="4"/>
      <c r="U392" s="4"/>
      <c r="V392" s="4"/>
      <c r="W392" s="4"/>
      <c r="X392" s="4"/>
      <c r="Y392" s="4"/>
      <c r="Z392" s="4"/>
      <c r="AA392" s="4"/>
      <c r="AB392" s="4"/>
      <c r="AC392" s="4"/>
      <c r="AD392" s="4"/>
      <c r="AE392" s="4"/>
      <c r="AF392" s="4"/>
    </row>
    <row r="393" ht="15.75" customHeight="1">
      <c r="A393" s="4"/>
      <c r="B393" s="4"/>
      <c r="C393" s="4"/>
      <c r="D393" s="4"/>
      <c r="E393" s="4"/>
      <c r="F393" s="4"/>
      <c r="G393" s="4"/>
      <c r="H393" s="4"/>
      <c r="I393" s="129"/>
      <c r="J393" s="129"/>
      <c r="K393" s="129"/>
      <c r="L393" s="129"/>
      <c r="M393" s="129"/>
      <c r="N393" s="4"/>
      <c r="O393" s="4"/>
      <c r="P393" s="4"/>
      <c r="Q393" s="4"/>
      <c r="R393" s="4"/>
      <c r="S393" s="4"/>
      <c r="T393" s="4"/>
      <c r="U393" s="4"/>
      <c r="V393" s="4"/>
      <c r="W393" s="4"/>
      <c r="X393" s="4"/>
      <c r="Y393" s="4"/>
      <c r="Z393" s="4"/>
      <c r="AA393" s="4"/>
      <c r="AB393" s="4"/>
      <c r="AC393" s="4"/>
      <c r="AD393" s="4"/>
      <c r="AE393" s="4"/>
      <c r="AF393" s="4"/>
    </row>
    <row r="394" ht="15.75" customHeight="1">
      <c r="A394" s="4"/>
      <c r="B394" s="4"/>
      <c r="C394" s="4"/>
      <c r="D394" s="4"/>
      <c r="E394" s="4"/>
      <c r="F394" s="4"/>
      <c r="G394" s="4"/>
      <c r="H394" s="4"/>
      <c r="I394" s="129"/>
      <c r="J394" s="129"/>
      <c r="K394" s="129"/>
      <c r="L394" s="129"/>
      <c r="M394" s="129"/>
      <c r="N394" s="4"/>
      <c r="O394" s="4"/>
      <c r="P394" s="4"/>
      <c r="Q394" s="4"/>
      <c r="R394" s="4"/>
      <c r="S394" s="4"/>
      <c r="T394" s="4"/>
      <c r="U394" s="4"/>
      <c r="V394" s="4"/>
      <c r="W394" s="4"/>
      <c r="X394" s="4"/>
      <c r="Y394" s="4"/>
      <c r="Z394" s="4"/>
      <c r="AA394" s="4"/>
      <c r="AB394" s="4"/>
      <c r="AC394" s="4"/>
      <c r="AD394" s="4"/>
      <c r="AE394" s="4"/>
      <c r="AF394" s="4"/>
    </row>
    <row r="395" ht="15.75" customHeight="1">
      <c r="A395" s="4"/>
      <c r="B395" s="4"/>
      <c r="C395" s="4"/>
      <c r="D395" s="4"/>
      <c r="E395" s="4"/>
      <c r="F395" s="4"/>
      <c r="G395" s="4"/>
      <c r="H395" s="4"/>
      <c r="I395" s="129"/>
      <c r="J395" s="129"/>
      <c r="K395" s="129"/>
      <c r="L395" s="129"/>
      <c r="M395" s="129"/>
      <c r="N395" s="4"/>
      <c r="O395" s="4"/>
      <c r="P395" s="4"/>
      <c r="Q395" s="4"/>
      <c r="R395" s="4"/>
      <c r="S395" s="4"/>
      <c r="T395" s="4"/>
      <c r="U395" s="4"/>
      <c r="V395" s="4"/>
      <c r="W395" s="4"/>
      <c r="X395" s="4"/>
      <c r="Y395" s="4"/>
      <c r="Z395" s="4"/>
      <c r="AA395" s="4"/>
      <c r="AB395" s="4"/>
      <c r="AC395" s="4"/>
      <c r="AD395" s="4"/>
      <c r="AE395" s="4"/>
      <c r="AF395" s="4"/>
    </row>
    <row r="396" ht="15.75" customHeight="1">
      <c r="A396" s="4"/>
      <c r="B396" s="4"/>
      <c r="C396" s="4"/>
      <c r="D396" s="4"/>
      <c r="E396" s="4"/>
      <c r="F396" s="4"/>
      <c r="G396" s="4"/>
      <c r="H396" s="4"/>
      <c r="I396" s="129"/>
      <c r="J396" s="129"/>
      <c r="K396" s="129"/>
      <c r="L396" s="129"/>
      <c r="M396" s="129"/>
      <c r="N396" s="4"/>
      <c r="O396" s="4"/>
      <c r="P396" s="4"/>
      <c r="Q396" s="4"/>
      <c r="R396" s="4"/>
      <c r="S396" s="4"/>
      <c r="T396" s="4"/>
      <c r="U396" s="4"/>
      <c r="V396" s="4"/>
      <c r="W396" s="4"/>
      <c r="X396" s="4"/>
      <c r="Y396" s="4"/>
      <c r="Z396" s="4"/>
      <c r="AA396" s="4"/>
      <c r="AB396" s="4"/>
      <c r="AC396" s="4"/>
      <c r="AD396" s="4"/>
      <c r="AE396" s="4"/>
      <c r="AF396" s="4"/>
    </row>
    <row r="397" ht="15.75" customHeight="1">
      <c r="A397" s="4"/>
      <c r="B397" s="4"/>
      <c r="C397" s="4"/>
      <c r="D397" s="4"/>
      <c r="E397" s="4"/>
      <c r="F397" s="4"/>
      <c r="G397" s="4"/>
      <c r="H397" s="4"/>
      <c r="I397" s="129"/>
      <c r="J397" s="129"/>
      <c r="K397" s="129"/>
      <c r="L397" s="129"/>
      <c r="M397" s="129"/>
      <c r="N397" s="4"/>
      <c r="O397" s="4"/>
      <c r="P397" s="4"/>
      <c r="Q397" s="4"/>
      <c r="R397" s="4"/>
      <c r="S397" s="4"/>
      <c r="T397" s="4"/>
      <c r="U397" s="4"/>
      <c r="V397" s="4"/>
      <c r="W397" s="4"/>
      <c r="X397" s="4"/>
      <c r="Y397" s="4"/>
      <c r="Z397" s="4"/>
      <c r="AA397" s="4"/>
      <c r="AB397" s="4"/>
      <c r="AC397" s="4"/>
      <c r="AD397" s="4"/>
      <c r="AE397" s="4"/>
      <c r="AF397" s="4"/>
    </row>
    <row r="398" ht="15.75" customHeight="1">
      <c r="A398" s="4"/>
      <c r="B398" s="4"/>
      <c r="C398" s="4"/>
      <c r="D398" s="4"/>
      <c r="E398" s="4"/>
      <c r="F398" s="4"/>
      <c r="G398" s="4"/>
      <c r="H398" s="4"/>
      <c r="I398" s="129"/>
      <c r="J398" s="129"/>
      <c r="K398" s="129"/>
      <c r="L398" s="129"/>
      <c r="M398" s="129"/>
      <c r="N398" s="4"/>
      <c r="O398" s="4"/>
      <c r="P398" s="4"/>
      <c r="Q398" s="4"/>
      <c r="R398" s="4"/>
      <c r="S398" s="4"/>
      <c r="T398" s="4"/>
      <c r="U398" s="4"/>
      <c r="V398" s="4"/>
      <c r="W398" s="4"/>
      <c r="X398" s="4"/>
      <c r="Y398" s="4"/>
      <c r="Z398" s="4"/>
      <c r="AA398" s="4"/>
      <c r="AB398" s="4"/>
      <c r="AC398" s="4"/>
      <c r="AD398" s="4"/>
      <c r="AE398" s="4"/>
      <c r="AF398" s="4"/>
    </row>
    <row r="399" ht="15.75" customHeight="1">
      <c r="A399" s="4"/>
      <c r="B399" s="4"/>
      <c r="C399" s="4"/>
      <c r="D399" s="4"/>
      <c r="E399" s="4"/>
      <c r="F399" s="4"/>
      <c r="G399" s="4"/>
      <c r="H399" s="4"/>
      <c r="I399" s="129"/>
      <c r="J399" s="129"/>
      <c r="K399" s="129"/>
      <c r="L399" s="129"/>
      <c r="M399" s="129"/>
      <c r="N399" s="4"/>
      <c r="O399" s="4"/>
      <c r="P399" s="4"/>
      <c r="Q399" s="4"/>
      <c r="R399" s="4"/>
      <c r="S399" s="4"/>
      <c r="T399" s="4"/>
      <c r="U399" s="4"/>
      <c r="V399" s="4"/>
      <c r="W399" s="4"/>
      <c r="X399" s="4"/>
      <c r="Y399" s="4"/>
      <c r="Z399" s="4"/>
      <c r="AA399" s="4"/>
      <c r="AB399" s="4"/>
      <c r="AC399" s="4"/>
      <c r="AD399" s="4"/>
      <c r="AE399" s="4"/>
      <c r="AF399" s="4"/>
    </row>
    <row r="400" ht="15.75" customHeight="1">
      <c r="A400" s="4"/>
      <c r="B400" s="4"/>
      <c r="C400" s="4"/>
      <c r="D400" s="4"/>
      <c r="E400" s="4"/>
      <c r="F400" s="4"/>
      <c r="G400" s="4"/>
      <c r="H400" s="4"/>
      <c r="I400" s="129"/>
      <c r="J400" s="129"/>
      <c r="K400" s="129"/>
      <c r="L400" s="129"/>
      <c r="M400" s="129"/>
      <c r="N400" s="4"/>
      <c r="O400" s="4"/>
      <c r="P400" s="4"/>
      <c r="Q400" s="4"/>
      <c r="R400" s="4"/>
      <c r="S400" s="4"/>
      <c r="T400" s="4"/>
      <c r="U400" s="4"/>
      <c r="V400" s="4"/>
      <c r="W400" s="4"/>
      <c r="X400" s="4"/>
      <c r="Y400" s="4"/>
      <c r="Z400" s="4"/>
      <c r="AA400" s="4"/>
      <c r="AB400" s="4"/>
      <c r="AC400" s="4"/>
      <c r="AD400" s="4"/>
      <c r="AE400" s="4"/>
      <c r="AF400" s="4"/>
    </row>
    <row r="401" ht="15.75" customHeight="1">
      <c r="A401" s="4"/>
      <c r="B401" s="4"/>
      <c r="C401" s="4"/>
      <c r="D401" s="4"/>
      <c r="E401" s="4"/>
      <c r="F401" s="4"/>
      <c r="G401" s="4"/>
      <c r="H401" s="4"/>
      <c r="I401" s="129"/>
      <c r="J401" s="129"/>
      <c r="K401" s="129"/>
      <c r="L401" s="129"/>
      <c r="M401" s="129"/>
      <c r="N401" s="4"/>
      <c r="O401" s="4"/>
      <c r="P401" s="4"/>
      <c r="Q401" s="4"/>
      <c r="R401" s="4"/>
      <c r="S401" s="4"/>
      <c r="T401" s="4"/>
      <c r="U401" s="4"/>
      <c r="V401" s="4"/>
      <c r="W401" s="4"/>
      <c r="X401" s="4"/>
      <c r="Y401" s="4"/>
      <c r="Z401" s="4"/>
      <c r="AA401" s="4"/>
      <c r="AB401" s="4"/>
      <c r="AC401" s="4"/>
      <c r="AD401" s="4"/>
      <c r="AE401" s="4"/>
      <c r="AF401" s="4"/>
    </row>
    <row r="402" ht="15.75" customHeight="1">
      <c r="A402" s="4"/>
      <c r="B402" s="4"/>
      <c r="C402" s="4"/>
      <c r="D402" s="4"/>
      <c r="E402" s="4"/>
      <c r="F402" s="4"/>
      <c r="G402" s="4"/>
      <c r="H402" s="4"/>
      <c r="I402" s="129"/>
      <c r="J402" s="129"/>
      <c r="K402" s="129"/>
      <c r="L402" s="129"/>
      <c r="M402" s="129"/>
      <c r="N402" s="4"/>
      <c r="O402" s="4"/>
      <c r="P402" s="4"/>
      <c r="Q402" s="4"/>
      <c r="R402" s="4"/>
      <c r="S402" s="4"/>
      <c r="T402" s="4"/>
      <c r="U402" s="4"/>
      <c r="V402" s="4"/>
      <c r="W402" s="4"/>
      <c r="X402" s="4"/>
      <c r="Y402" s="4"/>
      <c r="Z402" s="4"/>
      <c r="AA402" s="4"/>
      <c r="AB402" s="4"/>
      <c r="AC402" s="4"/>
      <c r="AD402" s="4"/>
      <c r="AE402" s="4"/>
      <c r="AF402" s="4"/>
    </row>
    <row r="403" ht="15.75" customHeight="1">
      <c r="A403" s="4"/>
      <c r="B403" s="4"/>
      <c r="C403" s="4"/>
      <c r="D403" s="4"/>
      <c r="E403" s="4"/>
      <c r="F403" s="4"/>
      <c r="G403" s="4"/>
      <c r="H403" s="4"/>
      <c r="I403" s="129"/>
      <c r="J403" s="129"/>
      <c r="K403" s="129"/>
      <c r="L403" s="129"/>
      <c r="M403" s="129"/>
      <c r="N403" s="4"/>
      <c r="O403" s="4"/>
      <c r="P403" s="4"/>
      <c r="Q403" s="4"/>
      <c r="R403" s="4"/>
      <c r="S403" s="4"/>
      <c r="T403" s="4"/>
      <c r="U403" s="4"/>
      <c r="V403" s="4"/>
      <c r="W403" s="4"/>
      <c r="X403" s="4"/>
      <c r="Y403" s="4"/>
      <c r="Z403" s="4"/>
      <c r="AA403" s="4"/>
      <c r="AB403" s="4"/>
      <c r="AC403" s="4"/>
      <c r="AD403" s="4"/>
      <c r="AE403" s="4"/>
      <c r="AF403" s="4"/>
    </row>
    <row r="404" ht="15.75" customHeight="1">
      <c r="A404" s="4"/>
      <c r="B404" s="4"/>
      <c r="C404" s="4"/>
      <c r="D404" s="4"/>
      <c r="E404" s="4"/>
      <c r="F404" s="4"/>
      <c r="G404" s="4"/>
      <c r="H404" s="4"/>
      <c r="I404" s="129"/>
      <c r="J404" s="129"/>
      <c r="K404" s="129"/>
      <c r="L404" s="129"/>
      <c r="M404" s="129"/>
      <c r="N404" s="4"/>
      <c r="O404" s="4"/>
      <c r="P404" s="4"/>
      <c r="Q404" s="4"/>
      <c r="R404" s="4"/>
      <c r="S404" s="4"/>
      <c r="T404" s="4"/>
      <c r="U404" s="4"/>
      <c r="V404" s="4"/>
      <c r="W404" s="4"/>
      <c r="X404" s="4"/>
      <c r="Y404" s="4"/>
      <c r="Z404" s="4"/>
      <c r="AA404" s="4"/>
      <c r="AB404" s="4"/>
      <c r="AC404" s="4"/>
      <c r="AD404" s="4"/>
      <c r="AE404" s="4"/>
      <c r="AF404" s="4"/>
    </row>
    <row r="405" ht="15.75" customHeight="1">
      <c r="A405" s="4"/>
      <c r="B405" s="4"/>
      <c r="C405" s="4"/>
      <c r="D405" s="4"/>
      <c r="E405" s="4"/>
      <c r="F405" s="4"/>
      <c r="G405" s="4"/>
      <c r="H405" s="4"/>
      <c r="I405" s="129"/>
      <c r="J405" s="129"/>
      <c r="K405" s="129"/>
      <c r="L405" s="129"/>
      <c r="M405" s="129"/>
      <c r="N405" s="4"/>
      <c r="O405" s="4"/>
      <c r="P405" s="4"/>
      <c r="Q405" s="4"/>
      <c r="R405" s="4"/>
      <c r="S405" s="4"/>
      <c r="T405" s="4"/>
      <c r="U405" s="4"/>
      <c r="V405" s="4"/>
      <c r="W405" s="4"/>
      <c r="X405" s="4"/>
      <c r="Y405" s="4"/>
      <c r="Z405" s="4"/>
      <c r="AA405" s="4"/>
      <c r="AB405" s="4"/>
      <c r="AC405" s="4"/>
      <c r="AD405" s="4"/>
      <c r="AE405" s="4"/>
      <c r="AF405" s="4"/>
    </row>
    <row r="406" ht="15.75" customHeight="1">
      <c r="A406" s="4"/>
      <c r="B406" s="4"/>
      <c r="C406" s="4"/>
      <c r="D406" s="4"/>
      <c r="E406" s="4"/>
      <c r="F406" s="4"/>
      <c r="G406" s="4"/>
      <c r="H406" s="4"/>
      <c r="I406" s="129"/>
      <c r="J406" s="129"/>
      <c r="K406" s="129"/>
      <c r="L406" s="129"/>
      <c r="M406" s="129"/>
      <c r="N406" s="4"/>
      <c r="O406" s="4"/>
      <c r="P406" s="4"/>
      <c r="Q406" s="4"/>
      <c r="R406" s="4"/>
      <c r="S406" s="4"/>
      <c r="T406" s="4"/>
      <c r="U406" s="4"/>
      <c r="V406" s="4"/>
      <c r="W406" s="4"/>
      <c r="X406" s="4"/>
      <c r="Y406" s="4"/>
      <c r="Z406" s="4"/>
      <c r="AA406" s="4"/>
      <c r="AB406" s="4"/>
      <c r="AC406" s="4"/>
      <c r="AD406" s="4"/>
      <c r="AE406" s="4"/>
      <c r="AF406" s="4"/>
    </row>
    <row r="407" ht="15.75" customHeight="1">
      <c r="A407" s="4"/>
      <c r="B407" s="4"/>
      <c r="C407" s="4"/>
      <c r="D407" s="4"/>
      <c r="E407" s="4"/>
      <c r="F407" s="4"/>
      <c r="G407" s="4"/>
      <c r="H407" s="4"/>
      <c r="I407" s="129"/>
      <c r="J407" s="129"/>
      <c r="K407" s="129"/>
      <c r="L407" s="129"/>
      <c r="M407" s="129"/>
      <c r="N407" s="4"/>
      <c r="O407" s="4"/>
      <c r="P407" s="4"/>
      <c r="Q407" s="4"/>
      <c r="R407" s="4"/>
      <c r="S407" s="4"/>
      <c r="T407" s="4"/>
      <c r="U407" s="4"/>
      <c r="V407" s="4"/>
      <c r="W407" s="4"/>
      <c r="X407" s="4"/>
      <c r="Y407" s="4"/>
      <c r="Z407" s="4"/>
      <c r="AA407" s="4"/>
      <c r="AB407" s="4"/>
      <c r="AC407" s="4"/>
      <c r="AD407" s="4"/>
      <c r="AE407" s="4"/>
      <c r="AF407" s="4"/>
    </row>
    <row r="408" ht="15.75" customHeight="1">
      <c r="A408" s="4"/>
      <c r="B408" s="4"/>
      <c r="C408" s="4"/>
      <c r="D408" s="4"/>
      <c r="E408" s="4"/>
      <c r="F408" s="4"/>
      <c r="G408" s="4"/>
      <c r="H408" s="4"/>
      <c r="I408" s="129"/>
      <c r="J408" s="129"/>
      <c r="K408" s="129"/>
      <c r="L408" s="129"/>
      <c r="M408" s="129"/>
      <c r="N408" s="4"/>
      <c r="O408" s="4"/>
      <c r="P408" s="4"/>
      <c r="Q408" s="4"/>
      <c r="R408" s="4"/>
      <c r="S408" s="4"/>
      <c r="T408" s="4"/>
      <c r="U408" s="4"/>
      <c r="V408" s="4"/>
      <c r="W408" s="4"/>
      <c r="X408" s="4"/>
      <c r="Y408" s="4"/>
      <c r="Z408" s="4"/>
      <c r="AA408" s="4"/>
      <c r="AB408" s="4"/>
      <c r="AC408" s="4"/>
      <c r="AD408" s="4"/>
      <c r="AE408" s="4"/>
      <c r="AF408" s="4"/>
    </row>
    <row r="409" ht="15.75" customHeight="1">
      <c r="A409" s="4"/>
      <c r="B409" s="4"/>
      <c r="C409" s="4"/>
      <c r="D409" s="4"/>
      <c r="E409" s="4"/>
      <c r="F409" s="4"/>
      <c r="G409" s="4"/>
      <c r="H409" s="4"/>
      <c r="I409" s="129"/>
      <c r="J409" s="129"/>
      <c r="K409" s="129"/>
      <c r="L409" s="129"/>
      <c r="M409" s="129"/>
      <c r="N409" s="4"/>
      <c r="O409" s="4"/>
      <c r="P409" s="4"/>
      <c r="Q409" s="4"/>
      <c r="R409" s="4"/>
      <c r="S409" s="4"/>
      <c r="T409" s="4"/>
      <c r="U409" s="4"/>
      <c r="V409" s="4"/>
      <c r="W409" s="4"/>
      <c r="X409" s="4"/>
      <c r="Y409" s="4"/>
      <c r="Z409" s="4"/>
      <c r="AA409" s="4"/>
      <c r="AB409" s="4"/>
      <c r="AC409" s="4"/>
      <c r="AD409" s="4"/>
      <c r="AE409" s="4"/>
      <c r="AF409" s="4"/>
    </row>
    <row r="410" ht="15.75" customHeight="1">
      <c r="A410" s="4"/>
      <c r="B410" s="4"/>
      <c r="C410" s="4"/>
      <c r="D410" s="4"/>
      <c r="E410" s="4"/>
      <c r="F410" s="4"/>
      <c r="G410" s="4"/>
      <c r="H410" s="4"/>
      <c r="I410" s="129"/>
      <c r="J410" s="129"/>
      <c r="K410" s="129"/>
      <c r="L410" s="129"/>
      <c r="M410" s="129"/>
      <c r="N410" s="4"/>
      <c r="O410" s="4"/>
      <c r="P410" s="4"/>
      <c r="Q410" s="4"/>
      <c r="R410" s="4"/>
      <c r="S410" s="4"/>
      <c r="T410" s="4"/>
      <c r="U410" s="4"/>
      <c r="V410" s="4"/>
      <c r="W410" s="4"/>
      <c r="X410" s="4"/>
      <c r="Y410" s="4"/>
      <c r="Z410" s="4"/>
      <c r="AA410" s="4"/>
      <c r="AB410" s="4"/>
      <c r="AC410" s="4"/>
      <c r="AD410" s="4"/>
      <c r="AE410" s="4"/>
      <c r="AF410" s="4"/>
    </row>
    <row r="411" ht="15.75" customHeight="1">
      <c r="A411" s="4"/>
      <c r="B411" s="4"/>
      <c r="C411" s="4"/>
      <c r="D411" s="4"/>
      <c r="E411" s="4"/>
      <c r="F411" s="4"/>
      <c r="G411" s="4"/>
      <c r="H411" s="4"/>
      <c r="I411" s="129"/>
      <c r="J411" s="129"/>
      <c r="K411" s="129"/>
      <c r="L411" s="129"/>
      <c r="M411" s="129"/>
      <c r="N411" s="4"/>
      <c r="O411" s="4"/>
      <c r="P411" s="4"/>
      <c r="Q411" s="4"/>
      <c r="R411" s="4"/>
      <c r="S411" s="4"/>
      <c r="T411" s="4"/>
      <c r="U411" s="4"/>
      <c r="V411" s="4"/>
      <c r="W411" s="4"/>
      <c r="X411" s="4"/>
      <c r="Y411" s="4"/>
      <c r="Z411" s="4"/>
      <c r="AA411" s="4"/>
      <c r="AB411" s="4"/>
      <c r="AC411" s="4"/>
      <c r="AD411" s="4"/>
      <c r="AE411" s="4"/>
      <c r="AF411" s="4"/>
    </row>
    <row r="412" ht="15.75" customHeight="1">
      <c r="A412" s="4"/>
      <c r="B412" s="4"/>
      <c r="C412" s="4"/>
      <c r="D412" s="4"/>
      <c r="E412" s="4"/>
      <c r="F412" s="4"/>
      <c r="G412" s="4"/>
      <c r="H412" s="4"/>
      <c r="I412" s="129"/>
      <c r="J412" s="129"/>
      <c r="K412" s="129"/>
      <c r="L412" s="129"/>
      <c r="M412" s="129"/>
      <c r="N412" s="4"/>
      <c r="O412" s="4"/>
      <c r="P412" s="4"/>
      <c r="Q412" s="4"/>
      <c r="R412" s="4"/>
      <c r="S412" s="4"/>
      <c r="T412" s="4"/>
      <c r="U412" s="4"/>
      <c r="V412" s="4"/>
      <c r="W412" s="4"/>
      <c r="X412" s="4"/>
      <c r="Y412" s="4"/>
      <c r="Z412" s="4"/>
      <c r="AA412" s="4"/>
      <c r="AB412" s="4"/>
      <c r="AC412" s="4"/>
      <c r="AD412" s="4"/>
      <c r="AE412" s="4"/>
      <c r="AF412" s="4"/>
    </row>
    <row r="413" ht="15.75" customHeight="1">
      <c r="A413" s="4"/>
      <c r="B413" s="4"/>
      <c r="C413" s="4"/>
      <c r="D413" s="4"/>
      <c r="E413" s="4"/>
      <c r="F413" s="4"/>
      <c r="G413" s="4"/>
      <c r="H413" s="4"/>
      <c r="I413" s="129"/>
      <c r="J413" s="129"/>
      <c r="K413" s="129"/>
      <c r="L413" s="129"/>
      <c r="M413" s="129"/>
      <c r="N413" s="4"/>
      <c r="O413" s="4"/>
      <c r="P413" s="4"/>
      <c r="Q413" s="4"/>
      <c r="R413" s="4"/>
      <c r="S413" s="4"/>
      <c r="T413" s="4"/>
      <c r="U413" s="4"/>
      <c r="V413" s="4"/>
      <c r="W413" s="4"/>
      <c r="X413" s="4"/>
      <c r="Y413" s="4"/>
      <c r="Z413" s="4"/>
      <c r="AA413" s="4"/>
      <c r="AB413" s="4"/>
      <c r="AC413" s="4"/>
      <c r="AD413" s="4"/>
      <c r="AE413" s="4"/>
      <c r="AF413" s="4"/>
    </row>
    <row r="414" ht="15.75" customHeight="1">
      <c r="A414" s="4"/>
      <c r="B414" s="4"/>
      <c r="C414" s="4"/>
      <c r="D414" s="4"/>
      <c r="E414" s="4"/>
      <c r="F414" s="4"/>
      <c r="G414" s="4"/>
      <c r="H414" s="4"/>
      <c r="I414" s="129"/>
      <c r="J414" s="129"/>
      <c r="K414" s="129"/>
      <c r="L414" s="129"/>
      <c r="M414" s="129"/>
      <c r="N414" s="4"/>
      <c r="O414" s="4"/>
      <c r="P414" s="4"/>
      <c r="Q414" s="4"/>
      <c r="R414" s="4"/>
      <c r="S414" s="4"/>
      <c r="T414" s="4"/>
      <c r="U414" s="4"/>
      <c r="V414" s="4"/>
      <c r="W414" s="4"/>
      <c r="X414" s="4"/>
      <c r="Y414" s="4"/>
      <c r="Z414" s="4"/>
      <c r="AA414" s="4"/>
      <c r="AB414" s="4"/>
      <c r="AC414" s="4"/>
      <c r="AD414" s="4"/>
      <c r="AE414" s="4"/>
      <c r="AF414" s="4"/>
    </row>
    <row r="415" ht="15.75" customHeight="1">
      <c r="A415" s="4"/>
      <c r="B415" s="4"/>
      <c r="C415" s="4"/>
      <c r="D415" s="4"/>
      <c r="E415" s="4"/>
      <c r="F415" s="4"/>
      <c r="G415" s="4"/>
      <c r="H415" s="4"/>
      <c r="I415" s="129"/>
      <c r="J415" s="129"/>
      <c r="K415" s="129"/>
      <c r="L415" s="129"/>
      <c r="M415" s="129"/>
      <c r="N415" s="4"/>
      <c r="O415" s="4"/>
      <c r="P415" s="4"/>
      <c r="Q415" s="4"/>
      <c r="R415" s="4"/>
      <c r="S415" s="4"/>
      <c r="T415" s="4"/>
      <c r="U415" s="4"/>
      <c r="V415" s="4"/>
      <c r="W415" s="4"/>
      <c r="X415" s="4"/>
      <c r="Y415" s="4"/>
      <c r="Z415" s="4"/>
      <c r="AA415" s="4"/>
      <c r="AB415" s="4"/>
      <c r="AC415" s="4"/>
      <c r="AD415" s="4"/>
      <c r="AE415" s="4"/>
      <c r="AF415" s="4"/>
    </row>
    <row r="416" ht="15.75" customHeight="1">
      <c r="A416" s="4"/>
      <c r="B416" s="4"/>
      <c r="C416" s="4"/>
      <c r="D416" s="4"/>
      <c r="E416" s="4"/>
      <c r="F416" s="4"/>
      <c r="G416" s="4"/>
      <c r="H416" s="4"/>
      <c r="I416" s="129"/>
      <c r="J416" s="129"/>
      <c r="K416" s="129"/>
      <c r="L416" s="129"/>
      <c r="M416" s="129"/>
      <c r="N416" s="4"/>
      <c r="O416" s="4"/>
      <c r="P416" s="4"/>
      <c r="Q416" s="4"/>
      <c r="R416" s="4"/>
      <c r="S416" s="4"/>
      <c r="T416" s="4"/>
      <c r="U416" s="4"/>
      <c r="V416" s="4"/>
      <c r="W416" s="4"/>
      <c r="X416" s="4"/>
      <c r="Y416" s="4"/>
      <c r="Z416" s="4"/>
      <c r="AA416" s="4"/>
      <c r="AB416" s="4"/>
      <c r="AC416" s="4"/>
      <c r="AD416" s="4"/>
      <c r="AE416" s="4"/>
      <c r="AF416" s="4"/>
    </row>
    <row r="417" ht="15.75" customHeight="1">
      <c r="A417" s="4"/>
      <c r="B417" s="4"/>
      <c r="C417" s="4"/>
      <c r="D417" s="4"/>
      <c r="E417" s="4"/>
      <c r="F417" s="4"/>
      <c r="G417" s="4"/>
      <c r="H417" s="4"/>
      <c r="I417" s="129"/>
      <c r="J417" s="129"/>
      <c r="K417" s="129"/>
      <c r="L417" s="129"/>
      <c r="M417" s="129"/>
      <c r="N417" s="4"/>
      <c r="O417" s="4"/>
      <c r="P417" s="4"/>
      <c r="Q417" s="4"/>
      <c r="R417" s="4"/>
      <c r="S417" s="4"/>
      <c r="T417" s="4"/>
      <c r="U417" s="4"/>
      <c r="V417" s="4"/>
      <c r="W417" s="4"/>
      <c r="X417" s="4"/>
      <c r="Y417" s="4"/>
      <c r="Z417" s="4"/>
      <c r="AA417" s="4"/>
      <c r="AB417" s="4"/>
      <c r="AC417" s="4"/>
      <c r="AD417" s="4"/>
      <c r="AE417" s="4"/>
      <c r="AF417" s="4"/>
    </row>
    <row r="418" ht="15.75" customHeight="1">
      <c r="A418" s="4"/>
      <c r="B418" s="4"/>
      <c r="C418" s="4"/>
      <c r="D418" s="4"/>
      <c r="E418" s="4"/>
      <c r="F418" s="4"/>
      <c r="G418" s="4"/>
      <c r="H418" s="4"/>
      <c r="I418" s="129"/>
      <c r="J418" s="129"/>
      <c r="K418" s="129"/>
      <c r="L418" s="129"/>
      <c r="M418" s="129"/>
      <c r="N418" s="4"/>
      <c r="O418" s="4"/>
      <c r="P418" s="4"/>
      <c r="Q418" s="4"/>
      <c r="R418" s="4"/>
      <c r="S418" s="4"/>
      <c r="T418" s="4"/>
      <c r="U418" s="4"/>
      <c r="V418" s="4"/>
      <c r="W418" s="4"/>
      <c r="X418" s="4"/>
      <c r="Y418" s="4"/>
      <c r="Z418" s="4"/>
      <c r="AA418" s="4"/>
      <c r="AB418" s="4"/>
      <c r="AC418" s="4"/>
      <c r="AD418" s="4"/>
      <c r="AE418" s="4"/>
      <c r="AF418" s="4"/>
    </row>
    <row r="419" ht="15.75" customHeight="1">
      <c r="A419" s="4"/>
      <c r="B419" s="4"/>
      <c r="C419" s="4"/>
      <c r="D419" s="4"/>
      <c r="E419" s="4"/>
      <c r="F419" s="4"/>
      <c r="G419" s="4"/>
      <c r="H419" s="4"/>
      <c r="I419" s="129"/>
      <c r="J419" s="129"/>
      <c r="K419" s="129"/>
      <c r="L419" s="129"/>
      <c r="M419" s="129"/>
      <c r="N419" s="4"/>
      <c r="O419" s="4"/>
      <c r="P419" s="4"/>
      <c r="Q419" s="4"/>
      <c r="R419" s="4"/>
      <c r="S419" s="4"/>
      <c r="T419" s="4"/>
      <c r="U419" s="4"/>
      <c r="V419" s="4"/>
      <c r="W419" s="4"/>
      <c r="X419" s="4"/>
      <c r="Y419" s="4"/>
      <c r="Z419" s="4"/>
      <c r="AA419" s="4"/>
      <c r="AB419" s="4"/>
      <c r="AC419" s="4"/>
      <c r="AD419" s="4"/>
      <c r="AE419" s="4"/>
      <c r="AF419" s="4"/>
    </row>
    <row r="420" ht="15.75" customHeight="1">
      <c r="A420" s="4"/>
      <c r="B420" s="4"/>
      <c r="C420" s="4"/>
      <c r="D420" s="4"/>
      <c r="E420" s="4"/>
      <c r="F420" s="4"/>
      <c r="G420" s="4"/>
      <c r="H420" s="4"/>
      <c r="I420" s="129"/>
      <c r="J420" s="129"/>
      <c r="K420" s="129"/>
      <c r="L420" s="129"/>
      <c r="M420" s="129"/>
      <c r="N420" s="4"/>
      <c r="O420" s="4"/>
      <c r="P420" s="4"/>
      <c r="Q420" s="4"/>
      <c r="R420" s="4"/>
      <c r="S420" s="4"/>
      <c r="T420" s="4"/>
      <c r="U420" s="4"/>
      <c r="V420" s="4"/>
      <c r="W420" s="4"/>
      <c r="X420" s="4"/>
      <c r="Y420" s="4"/>
      <c r="Z420" s="4"/>
      <c r="AA420" s="4"/>
      <c r="AB420" s="4"/>
      <c r="AC420" s="4"/>
      <c r="AD420" s="4"/>
      <c r="AE420" s="4"/>
      <c r="AF420" s="4"/>
    </row>
    <row r="421" ht="15.75" customHeight="1">
      <c r="A421" s="4"/>
      <c r="B421" s="4"/>
      <c r="C421" s="4"/>
      <c r="D421" s="4"/>
      <c r="E421" s="4"/>
      <c r="F421" s="4"/>
      <c r="G421" s="4"/>
      <c r="H421" s="4"/>
      <c r="I421" s="129"/>
      <c r="J421" s="129"/>
      <c r="K421" s="129"/>
      <c r="L421" s="129"/>
      <c r="M421" s="129"/>
      <c r="N421" s="4"/>
      <c r="O421" s="4"/>
      <c r="P421" s="4"/>
      <c r="Q421" s="4"/>
      <c r="R421" s="4"/>
      <c r="S421" s="4"/>
      <c r="T421" s="4"/>
      <c r="U421" s="4"/>
      <c r="V421" s="4"/>
      <c r="W421" s="4"/>
      <c r="X421" s="4"/>
      <c r="Y421" s="4"/>
      <c r="Z421" s="4"/>
      <c r="AA421" s="4"/>
      <c r="AB421" s="4"/>
      <c r="AC421" s="4"/>
      <c r="AD421" s="4"/>
      <c r="AE421" s="4"/>
      <c r="AF421" s="4"/>
    </row>
    <row r="422" ht="15.75" customHeight="1">
      <c r="A422" s="4"/>
      <c r="B422" s="4"/>
      <c r="C422" s="4"/>
      <c r="D422" s="4"/>
      <c r="E422" s="4"/>
      <c r="F422" s="4"/>
      <c r="G422" s="4"/>
      <c r="H422" s="4"/>
      <c r="I422" s="129"/>
      <c r="J422" s="129"/>
      <c r="K422" s="129"/>
      <c r="L422" s="129"/>
      <c r="M422" s="129"/>
      <c r="N422" s="4"/>
      <c r="O422" s="4"/>
      <c r="P422" s="4"/>
      <c r="Q422" s="4"/>
      <c r="R422" s="4"/>
      <c r="S422" s="4"/>
      <c r="T422" s="4"/>
      <c r="U422" s="4"/>
      <c r="V422" s="4"/>
      <c r="W422" s="4"/>
      <c r="X422" s="4"/>
      <c r="Y422" s="4"/>
      <c r="Z422" s="4"/>
      <c r="AA422" s="4"/>
      <c r="AB422" s="4"/>
      <c r="AC422" s="4"/>
      <c r="AD422" s="4"/>
      <c r="AE422" s="4"/>
      <c r="AF422" s="4"/>
    </row>
    <row r="423" ht="15.75" customHeight="1">
      <c r="A423" s="4"/>
      <c r="B423" s="4"/>
      <c r="C423" s="4"/>
      <c r="D423" s="4"/>
      <c r="E423" s="4"/>
      <c r="F423" s="4"/>
      <c r="G423" s="4"/>
      <c r="H423" s="4"/>
      <c r="I423" s="129"/>
      <c r="J423" s="129"/>
      <c r="K423" s="129"/>
      <c r="L423" s="129"/>
      <c r="M423" s="129"/>
      <c r="N423" s="4"/>
      <c r="O423" s="4"/>
      <c r="P423" s="4"/>
      <c r="Q423" s="4"/>
      <c r="R423" s="4"/>
      <c r="S423" s="4"/>
      <c r="T423" s="4"/>
      <c r="U423" s="4"/>
      <c r="V423" s="4"/>
      <c r="W423" s="4"/>
      <c r="X423" s="4"/>
      <c r="Y423" s="4"/>
      <c r="Z423" s="4"/>
      <c r="AA423" s="4"/>
      <c r="AB423" s="4"/>
      <c r="AC423" s="4"/>
      <c r="AD423" s="4"/>
      <c r="AE423" s="4"/>
      <c r="AF423" s="4"/>
    </row>
    <row r="424" ht="15.75" customHeight="1">
      <c r="A424" s="4"/>
      <c r="B424" s="4"/>
      <c r="C424" s="4"/>
      <c r="D424" s="4"/>
      <c r="E424" s="4"/>
      <c r="F424" s="4"/>
      <c r="G424" s="4"/>
      <c r="H424" s="4"/>
      <c r="I424" s="129"/>
      <c r="J424" s="129"/>
      <c r="K424" s="129"/>
      <c r="L424" s="129"/>
      <c r="M424" s="129"/>
      <c r="N424" s="4"/>
      <c r="O424" s="4"/>
      <c r="P424" s="4"/>
      <c r="Q424" s="4"/>
      <c r="R424" s="4"/>
      <c r="S424" s="4"/>
      <c r="T424" s="4"/>
      <c r="U424" s="4"/>
      <c r="V424" s="4"/>
      <c r="W424" s="4"/>
      <c r="X424" s="4"/>
      <c r="Y424" s="4"/>
      <c r="Z424" s="4"/>
      <c r="AA424" s="4"/>
      <c r="AB424" s="4"/>
      <c r="AC424" s="4"/>
      <c r="AD424" s="4"/>
      <c r="AE424" s="4"/>
      <c r="AF424" s="4"/>
    </row>
    <row r="425" ht="15.75" customHeight="1">
      <c r="A425" s="4"/>
      <c r="B425" s="4"/>
      <c r="C425" s="4"/>
      <c r="D425" s="4"/>
      <c r="E425" s="4"/>
      <c r="F425" s="4"/>
      <c r="G425" s="4"/>
      <c r="H425" s="4"/>
      <c r="I425" s="129"/>
      <c r="J425" s="129"/>
      <c r="K425" s="129"/>
      <c r="L425" s="129"/>
      <c r="M425" s="129"/>
      <c r="N425" s="4"/>
      <c r="O425" s="4"/>
      <c r="P425" s="4"/>
      <c r="Q425" s="4"/>
      <c r="R425" s="4"/>
      <c r="S425" s="4"/>
      <c r="T425" s="4"/>
      <c r="U425" s="4"/>
      <c r="V425" s="4"/>
      <c r="W425" s="4"/>
      <c r="X425" s="4"/>
      <c r="Y425" s="4"/>
      <c r="Z425" s="4"/>
      <c r="AA425" s="4"/>
      <c r="AB425" s="4"/>
      <c r="AC425" s="4"/>
      <c r="AD425" s="4"/>
      <c r="AE425" s="4"/>
      <c r="AF425" s="4"/>
    </row>
    <row r="426" ht="15.75" customHeight="1">
      <c r="A426" s="4"/>
      <c r="B426" s="4"/>
      <c r="C426" s="4"/>
      <c r="D426" s="4"/>
      <c r="E426" s="4"/>
      <c r="F426" s="4"/>
      <c r="G426" s="4"/>
      <c r="H426" s="4"/>
      <c r="I426" s="129"/>
      <c r="J426" s="129"/>
      <c r="K426" s="129"/>
      <c r="L426" s="129"/>
      <c r="M426" s="129"/>
      <c r="N426" s="4"/>
      <c r="O426" s="4"/>
      <c r="P426" s="4"/>
      <c r="Q426" s="4"/>
      <c r="R426" s="4"/>
      <c r="S426" s="4"/>
      <c r="T426" s="4"/>
      <c r="U426" s="4"/>
      <c r="V426" s="4"/>
      <c r="W426" s="4"/>
      <c r="X426" s="4"/>
      <c r="Y426" s="4"/>
      <c r="Z426" s="4"/>
      <c r="AA426" s="4"/>
      <c r="AB426" s="4"/>
      <c r="AC426" s="4"/>
      <c r="AD426" s="4"/>
      <c r="AE426" s="4"/>
      <c r="AF426" s="4"/>
    </row>
    <row r="427" ht="15.75" customHeight="1">
      <c r="A427" s="4"/>
      <c r="B427" s="4"/>
      <c r="C427" s="4"/>
      <c r="D427" s="4"/>
      <c r="E427" s="4"/>
      <c r="F427" s="4"/>
      <c r="G427" s="4"/>
      <c r="H427" s="4"/>
      <c r="I427" s="129"/>
      <c r="J427" s="129"/>
      <c r="K427" s="129"/>
      <c r="L427" s="129"/>
      <c r="M427" s="129"/>
      <c r="N427" s="4"/>
      <c r="O427" s="4"/>
      <c r="P427" s="4"/>
      <c r="Q427" s="4"/>
      <c r="R427" s="4"/>
      <c r="S427" s="4"/>
      <c r="T427" s="4"/>
      <c r="U427" s="4"/>
      <c r="V427" s="4"/>
      <c r="W427" s="4"/>
      <c r="X427" s="4"/>
      <c r="Y427" s="4"/>
      <c r="Z427" s="4"/>
      <c r="AA427" s="4"/>
      <c r="AB427" s="4"/>
      <c r="AC427" s="4"/>
      <c r="AD427" s="4"/>
      <c r="AE427" s="4"/>
      <c r="AF427" s="4"/>
    </row>
    <row r="428" ht="15.75" customHeight="1">
      <c r="A428" s="4"/>
      <c r="B428" s="4"/>
      <c r="C428" s="4"/>
      <c r="D428" s="4"/>
      <c r="E428" s="4"/>
      <c r="F428" s="4"/>
      <c r="G428" s="4"/>
      <c r="H428" s="4"/>
      <c r="I428" s="129"/>
      <c r="J428" s="129"/>
      <c r="K428" s="129"/>
      <c r="L428" s="129"/>
      <c r="M428" s="129"/>
      <c r="N428" s="4"/>
      <c r="O428" s="4"/>
      <c r="P428" s="4"/>
      <c r="Q428" s="4"/>
      <c r="R428" s="4"/>
      <c r="S428" s="4"/>
      <c r="T428" s="4"/>
      <c r="U428" s="4"/>
      <c r="V428" s="4"/>
      <c r="W428" s="4"/>
      <c r="X428" s="4"/>
      <c r="Y428" s="4"/>
      <c r="Z428" s="4"/>
      <c r="AA428" s="4"/>
      <c r="AB428" s="4"/>
      <c r="AC428" s="4"/>
      <c r="AD428" s="4"/>
      <c r="AE428" s="4"/>
      <c r="AF428" s="4"/>
    </row>
    <row r="429" ht="15.75" customHeight="1">
      <c r="A429" s="4"/>
      <c r="B429" s="4"/>
      <c r="C429" s="4"/>
      <c r="D429" s="4"/>
      <c r="E429" s="4"/>
      <c r="F429" s="4"/>
      <c r="G429" s="4"/>
      <c r="H429" s="4"/>
      <c r="I429" s="129"/>
      <c r="J429" s="129"/>
      <c r="K429" s="129"/>
      <c r="L429" s="129"/>
      <c r="M429" s="129"/>
      <c r="N429" s="4"/>
      <c r="O429" s="4"/>
      <c r="P429" s="4"/>
      <c r="Q429" s="4"/>
      <c r="R429" s="4"/>
      <c r="S429" s="4"/>
      <c r="T429" s="4"/>
      <c r="U429" s="4"/>
      <c r="V429" s="4"/>
      <c r="W429" s="4"/>
      <c r="X429" s="4"/>
      <c r="Y429" s="4"/>
      <c r="Z429" s="4"/>
      <c r="AA429" s="4"/>
      <c r="AB429" s="4"/>
      <c r="AC429" s="4"/>
      <c r="AD429" s="4"/>
      <c r="AE429" s="4"/>
      <c r="AF429" s="4"/>
    </row>
    <row r="430" ht="15.75" customHeight="1">
      <c r="A430" s="4"/>
      <c r="B430" s="4"/>
      <c r="C430" s="4"/>
      <c r="D430" s="4"/>
      <c r="E430" s="4"/>
      <c r="F430" s="4"/>
      <c r="G430" s="4"/>
      <c r="H430" s="4"/>
      <c r="I430" s="129"/>
      <c r="J430" s="129"/>
      <c r="K430" s="129"/>
      <c r="L430" s="129"/>
      <c r="M430" s="129"/>
      <c r="N430" s="4"/>
      <c r="O430" s="4"/>
      <c r="P430" s="4"/>
      <c r="Q430" s="4"/>
      <c r="R430" s="4"/>
      <c r="S430" s="4"/>
      <c r="T430" s="4"/>
      <c r="U430" s="4"/>
      <c r="V430" s="4"/>
      <c r="W430" s="4"/>
      <c r="X430" s="4"/>
      <c r="Y430" s="4"/>
      <c r="Z430" s="4"/>
      <c r="AA430" s="4"/>
      <c r="AB430" s="4"/>
      <c r="AC430" s="4"/>
      <c r="AD430" s="4"/>
      <c r="AE430" s="4"/>
      <c r="AF430" s="4"/>
    </row>
    <row r="431" ht="15.75" customHeight="1">
      <c r="A431" s="4"/>
      <c r="B431" s="4"/>
      <c r="C431" s="4"/>
      <c r="D431" s="4"/>
      <c r="E431" s="4"/>
      <c r="F431" s="4"/>
      <c r="G431" s="4"/>
      <c r="H431" s="4"/>
      <c r="I431" s="129"/>
      <c r="J431" s="129"/>
      <c r="K431" s="129"/>
      <c r="L431" s="129"/>
      <c r="M431" s="129"/>
      <c r="N431" s="4"/>
      <c r="O431" s="4"/>
      <c r="P431" s="4"/>
      <c r="Q431" s="4"/>
      <c r="R431" s="4"/>
      <c r="S431" s="4"/>
      <c r="T431" s="4"/>
      <c r="U431" s="4"/>
      <c r="V431" s="4"/>
      <c r="W431" s="4"/>
      <c r="X431" s="4"/>
      <c r="Y431" s="4"/>
      <c r="Z431" s="4"/>
      <c r="AA431" s="4"/>
      <c r="AB431" s="4"/>
      <c r="AC431" s="4"/>
      <c r="AD431" s="4"/>
      <c r="AE431" s="4"/>
      <c r="AF431" s="4"/>
    </row>
    <row r="432" ht="15.75" customHeight="1">
      <c r="A432" s="4"/>
      <c r="B432" s="4"/>
      <c r="C432" s="4"/>
      <c r="D432" s="4"/>
      <c r="E432" s="4"/>
      <c r="F432" s="4"/>
      <c r="G432" s="4"/>
      <c r="H432" s="4"/>
      <c r="I432" s="129"/>
      <c r="J432" s="129"/>
      <c r="K432" s="129"/>
      <c r="L432" s="129"/>
      <c r="M432" s="129"/>
      <c r="N432" s="4"/>
      <c r="O432" s="4"/>
      <c r="P432" s="4"/>
      <c r="Q432" s="4"/>
      <c r="R432" s="4"/>
      <c r="S432" s="4"/>
      <c r="T432" s="4"/>
      <c r="U432" s="4"/>
      <c r="V432" s="4"/>
      <c r="W432" s="4"/>
      <c r="X432" s="4"/>
      <c r="Y432" s="4"/>
      <c r="Z432" s="4"/>
      <c r="AA432" s="4"/>
      <c r="AB432" s="4"/>
      <c r="AC432" s="4"/>
      <c r="AD432" s="4"/>
      <c r="AE432" s="4"/>
      <c r="AF432" s="4"/>
    </row>
    <row r="433" ht="15.75" customHeight="1">
      <c r="A433" s="4"/>
      <c r="B433" s="4"/>
      <c r="C433" s="4"/>
      <c r="D433" s="4"/>
      <c r="E433" s="4"/>
      <c r="F433" s="4"/>
      <c r="G433" s="4"/>
      <c r="H433" s="4"/>
      <c r="I433" s="129"/>
      <c r="J433" s="129"/>
      <c r="K433" s="129"/>
      <c r="L433" s="129"/>
      <c r="M433" s="129"/>
      <c r="N433" s="4"/>
      <c r="O433" s="4"/>
      <c r="P433" s="4"/>
      <c r="Q433" s="4"/>
      <c r="R433" s="4"/>
      <c r="S433" s="4"/>
      <c r="T433" s="4"/>
      <c r="U433" s="4"/>
      <c r="V433" s="4"/>
      <c r="W433" s="4"/>
      <c r="X433" s="4"/>
      <c r="Y433" s="4"/>
      <c r="Z433" s="4"/>
      <c r="AA433" s="4"/>
      <c r="AB433" s="4"/>
      <c r="AC433" s="4"/>
      <c r="AD433" s="4"/>
      <c r="AE433" s="4"/>
      <c r="AF433" s="4"/>
    </row>
    <row r="434" ht="15.75" customHeight="1">
      <c r="A434" s="4"/>
      <c r="B434" s="4"/>
      <c r="C434" s="4"/>
      <c r="D434" s="4"/>
      <c r="E434" s="4"/>
      <c r="F434" s="4"/>
      <c r="G434" s="4"/>
      <c r="H434" s="4"/>
      <c r="I434" s="129"/>
      <c r="J434" s="129"/>
      <c r="K434" s="129"/>
      <c r="L434" s="129"/>
      <c r="M434" s="129"/>
      <c r="N434" s="4"/>
      <c r="O434" s="4"/>
      <c r="P434" s="4"/>
      <c r="Q434" s="4"/>
      <c r="R434" s="4"/>
      <c r="S434" s="4"/>
      <c r="T434" s="4"/>
      <c r="U434" s="4"/>
      <c r="V434" s="4"/>
      <c r="W434" s="4"/>
      <c r="X434" s="4"/>
      <c r="Y434" s="4"/>
      <c r="Z434" s="4"/>
      <c r="AA434" s="4"/>
      <c r="AB434" s="4"/>
      <c r="AC434" s="4"/>
      <c r="AD434" s="4"/>
      <c r="AE434" s="4"/>
      <c r="AF434" s="4"/>
    </row>
    <row r="435" ht="15.75" customHeight="1">
      <c r="A435" s="4"/>
      <c r="B435" s="4"/>
      <c r="C435" s="4"/>
      <c r="D435" s="4"/>
      <c r="E435" s="4"/>
      <c r="F435" s="4"/>
      <c r="G435" s="4"/>
      <c r="H435" s="4"/>
      <c r="I435" s="129"/>
      <c r="J435" s="129"/>
      <c r="K435" s="129"/>
      <c r="L435" s="129"/>
      <c r="M435" s="129"/>
      <c r="N435" s="4"/>
      <c r="O435" s="4"/>
      <c r="P435" s="4"/>
      <c r="Q435" s="4"/>
      <c r="R435" s="4"/>
      <c r="S435" s="4"/>
      <c r="T435" s="4"/>
      <c r="U435" s="4"/>
      <c r="V435" s="4"/>
      <c r="W435" s="4"/>
      <c r="X435" s="4"/>
      <c r="Y435" s="4"/>
      <c r="Z435" s="4"/>
      <c r="AA435" s="4"/>
      <c r="AB435" s="4"/>
      <c r="AC435" s="4"/>
      <c r="AD435" s="4"/>
      <c r="AE435" s="4"/>
      <c r="AF435" s="4"/>
    </row>
    <row r="436" ht="15.75" customHeight="1">
      <c r="A436" s="4"/>
      <c r="B436" s="4"/>
      <c r="C436" s="4"/>
      <c r="D436" s="4"/>
      <c r="E436" s="4"/>
      <c r="F436" s="4"/>
      <c r="G436" s="4"/>
      <c r="H436" s="4"/>
      <c r="I436" s="129"/>
      <c r="J436" s="129"/>
      <c r="K436" s="129"/>
      <c r="L436" s="129"/>
      <c r="M436" s="129"/>
      <c r="N436" s="4"/>
      <c r="O436" s="4"/>
      <c r="P436" s="4"/>
      <c r="Q436" s="4"/>
      <c r="R436" s="4"/>
      <c r="S436" s="4"/>
      <c r="T436" s="4"/>
      <c r="U436" s="4"/>
      <c r="V436" s="4"/>
      <c r="W436" s="4"/>
      <c r="X436" s="4"/>
      <c r="Y436" s="4"/>
      <c r="Z436" s="4"/>
      <c r="AA436" s="4"/>
      <c r="AB436" s="4"/>
      <c r="AC436" s="4"/>
      <c r="AD436" s="4"/>
      <c r="AE436" s="4"/>
      <c r="AF436" s="4"/>
    </row>
    <row r="437" ht="15.75" customHeight="1">
      <c r="A437" s="4"/>
      <c r="B437" s="4"/>
      <c r="C437" s="4"/>
      <c r="D437" s="4"/>
      <c r="E437" s="4"/>
      <c r="F437" s="4"/>
      <c r="G437" s="4"/>
      <c r="H437" s="4"/>
      <c r="I437" s="129"/>
      <c r="J437" s="129"/>
      <c r="K437" s="129"/>
      <c r="L437" s="129"/>
      <c r="M437" s="129"/>
      <c r="N437" s="4"/>
      <c r="O437" s="4"/>
      <c r="P437" s="4"/>
      <c r="Q437" s="4"/>
      <c r="R437" s="4"/>
      <c r="S437" s="4"/>
      <c r="T437" s="4"/>
      <c r="U437" s="4"/>
      <c r="V437" s="4"/>
      <c r="W437" s="4"/>
      <c r="X437" s="4"/>
      <c r="Y437" s="4"/>
      <c r="Z437" s="4"/>
      <c r="AA437" s="4"/>
      <c r="AB437" s="4"/>
      <c r="AC437" s="4"/>
      <c r="AD437" s="4"/>
      <c r="AE437" s="4"/>
      <c r="AF437" s="4"/>
    </row>
    <row r="438" ht="15.75" customHeight="1">
      <c r="A438" s="4"/>
      <c r="B438" s="4"/>
      <c r="C438" s="4"/>
      <c r="D438" s="4"/>
      <c r="E438" s="4"/>
      <c r="F438" s="4"/>
      <c r="G438" s="4"/>
      <c r="H438" s="4"/>
      <c r="I438" s="129"/>
      <c r="J438" s="129"/>
      <c r="K438" s="129"/>
      <c r="L438" s="129"/>
      <c r="M438" s="129"/>
      <c r="N438" s="4"/>
      <c r="O438" s="4"/>
      <c r="P438" s="4"/>
      <c r="Q438" s="4"/>
      <c r="R438" s="4"/>
      <c r="S438" s="4"/>
      <c r="T438" s="4"/>
      <c r="U438" s="4"/>
      <c r="V438" s="4"/>
      <c r="W438" s="4"/>
      <c r="X438" s="4"/>
      <c r="Y438" s="4"/>
      <c r="Z438" s="4"/>
      <c r="AA438" s="4"/>
      <c r="AB438" s="4"/>
      <c r="AC438" s="4"/>
      <c r="AD438" s="4"/>
      <c r="AE438" s="4"/>
      <c r="AF438" s="4"/>
    </row>
    <row r="439" ht="15.75" customHeight="1">
      <c r="A439" s="4"/>
      <c r="B439" s="4"/>
      <c r="C439" s="4"/>
      <c r="D439" s="4"/>
      <c r="E439" s="4"/>
      <c r="F439" s="4"/>
      <c r="G439" s="4"/>
      <c r="H439" s="4"/>
      <c r="I439" s="129"/>
      <c r="J439" s="129"/>
      <c r="K439" s="129"/>
      <c r="L439" s="129"/>
      <c r="M439" s="129"/>
      <c r="N439" s="4"/>
      <c r="O439" s="4"/>
      <c r="P439" s="4"/>
      <c r="Q439" s="4"/>
      <c r="R439" s="4"/>
      <c r="S439" s="4"/>
      <c r="T439" s="4"/>
      <c r="U439" s="4"/>
      <c r="V439" s="4"/>
      <c r="W439" s="4"/>
      <c r="X439" s="4"/>
      <c r="Y439" s="4"/>
      <c r="Z439" s="4"/>
      <c r="AA439" s="4"/>
      <c r="AB439" s="4"/>
      <c r="AC439" s="4"/>
      <c r="AD439" s="4"/>
      <c r="AE439" s="4"/>
      <c r="AF439" s="4"/>
    </row>
    <row r="440" ht="15.75" customHeight="1">
      <c r="A440" s="4"/>
      <c r="B440" s="4"/>
      <c r="C440" s="4"/>
      <c r="D440" s="4"/>
      <c r="E440" s="4"/>
      <c r="F440" s="4"/>
      <c r="G440" s="4"/>
      <c r="H440" s="4"/>
      <c r="I440" s="129"/>
      <c r="J440" s="129"/>
      <c r="K440" s="129"/>
      <c r="L440" s="129"/>
      <c r="M440" s="129"/>
      <c r="N440" s="4"/>
      <c r="O440" s="4"/>
      <c r="P440" s="4"/>
      <c r="Q440" s="4"/>
      <c r="R440" s="4"/>
      <c r="S440" s="4"/>
      <c r="T440" s="4"/>
      <c r="U440" s="4"/>
      <c r="V440" s="4"/>
      <c r="W440" s="4"/>
      <c r="X440" s="4"/>
      <c r="Y440" s="4"/>
      <c r="Z440" s="4"/>
      <c r="AA440" s="4"/>
      <c r="AB440" s="4"/>
      <c r="AC440" s="4"/>
      <c r="AD440" s="4"/>
      <c r="AE440" s="4"/>
      <c r="AF440" s="4"/>
    </row>
    <row r="441" ht="15.75" customHeight="1">
      <c r="A441" s="4"/>
      <c r="B441" s="4"/>
      <c r="C441" s="4"/>
      <c r="D441" s="4"/>
      <c r="E441" s="4"/>
      <c r="F441" s="4"/>
      <c r="G441" s="4"/>
      <c r="H441" s="4"/>
      <c r="I441" s="129"/>
      <c r="J441" s="129"/>
      <c r="K441" s="129"/>
      <c r="L441" s="129"/>
      <c r="M441" s="129"/>
      <c r="N441" s="4"/>
      <c r="O441" s="4"/>
      <c r="P441" s="4"/>
      <c r="Q441" s="4"/>
      <c r="R441" s="4"/>
      <c r="S441" s="4"/>
      <c r="T441" s="4"/>
      <c r="U441" s="4"/>
      <c r="V441" s="4"/>
      <c r="W441" s="4"/>
      <c r="X441" s="4"/>
      <c r="Y441" s="4"/>
      <c r="Z441" s="4"/>
      <c r="AA441" s="4"/>
      <c r="AB441" s="4"/>
      <c r="AC441" s="4"/>
      <c r="AD441" s="4"/>
      <c r="AE441" s="4"/>
      <c r="AF441" s="4"/>
    </row>
    <row r="442" ht="15.75" customHeight="1">
      <c r="A442" s="4"/>
      <c r="B442" s="4"/>
      <c r="C442" s="4"/>
      <c r="D442" s="4"/>
      <c r="E442" s="4"/>
      <c r="F442" s="4"/>
      <c r="G442" s="4"/>
      <c r="H442" s="4"/>
      <c r="I442" s="129"/>
      <c r="J442" s="129"/>
      <c r="K442" s="129"/>
      <c r="L442" s="129"/>
      <c r="M442" s="129"/>
      <c r="N442" s="4"/>
      <c r="O442" s="4"/>
      <c r="P442" s="4"/>
      <c r="Q442" s="4"/>
      <c r="R442" s="4"/>
      <c r="S442" s="4"/>
      <c r="T442" s="4"/>
      <c r="U442" s="4"/>
      <c r="V442" s="4"/>
      <c r="W442" s="4"/>
      <c r="X442" s="4"/>
      <c r="Y442" s="4"/>
      <c r="Z442" s="4"/>
      <c r="AA442" s="4"/>
      <c r="AB442" s="4"/>
      <c r="AC442" s="4"/>
      <c r="AD442" s="4"/>
      <c r="AE442" s="4"/>
      <c r="AF442" s="4"/>
    </row>
    <row r="443" ht="15.75" customHeight="1">
      <c r="A443" s="4"/>
      <c r="B443" s="4"/>
      <c r="C443" s="4"/>
      <c r="D443" s="4"/>
      <c r="E443" s="4"/>
      <c r="F443" s="4"/>
      <c r="G443" s="4"/>
      <c r="H443" s="4"/>
      <c r="I443" s="129"/>
      <c r="J443" s="129"/>
      <c r="K443" s="129"/>
      <c r="L443" s="129"/>
      <c r="M443" s="129"/>
      <c r="N443" s="4"/>
      <c r="O443" s="4"/>
      <c r="P443" s="4"/>
      <c r="Q443" s="4"/>
      <c r="R443" s="4"/>
      <c r="S443" s="4"/>
      <c r="T443" s="4"/>
      <c r="U443" s="4"/>
      <c r="V443" s="4"/>
      <c r="W443" s="4"/>
      <c r="X443" s="4"/>
      <c r="Y443" s="4"/>
      <c r="Z443" s="4"/>
      <c r="AA443" s="4"/>
      <c r="AB443" s="4"/>
      <c r="AC443" s="4"/>
      <c r="AD443" s="4"/>
      <c r="AE443" s="4"/>
      <c r="AF443" s="4"/>
    </row>
    <row r="444" ht="15.75" customHeight="1">
      <c r="A444" s="4"/>
      <c r="B444" s="4"/>
      <c r="C444" s="4"/>
      <c r="D444" s="4"/>
      <c r="E444" s="4"/>
      <c r="F444" s="4"/>
      <c r="G444" s="4"/>
      <c r="H444" s="4"/>
      <c r="I444" s="129"/>
      <c r="J444" s="129"/>
      <c r="K444" s="129"/>
      <c r="L444" s="129"/>
      <c r="M444" s="129"/>
      <c r="N444" s="4"/>
      <c r="O444" s="4"/>
      <c r="P444" s="4"/>
      <c r="Q444" s="4"/>
      <c r="R444" s="4"/>
      <c r="S444" s="4"/>
      <c r="T444" s="4"/>
      <c r="U444" s="4"/>
      <c r="V444" s="4"/>
      <c r="W444" s="4"/>
      <c r="X444" s="4"/>
      <c r="Y444" s="4"/>
      <c r="Z444" s="4"/>
      <c r="AA444" s="4"/>
      <c r="AB444" s="4"/>
      <c r="AC444" s="4"/>
      <c r="AD444" s="4"/>
      <c r="AE444" s="4"/>
      <c r="AF444" s="4"/>
    </row>
    <row r="445" ht="15.75" customHeight="1">
      <c r="A445" s="4"/>
      <c r="B445" s="4"/>
      <c r="C445" s="4"/>
      <c r="D445" s="4"/>
      <c r="E445" s="4"/>
      <c r="F445" s="4"/>
      <c r="G445" s="4"/>
      <c r="H445" s="4"/>
      <c r="I445" s="129"/>
      <c r="J445" s="129"/>
      <c r="K445" s="129"/>
      <c r="L445" s="129"/>
      <c r="M445" s="129"/>
      <c r="N445" s="4"/>
      <c r="O445" s="4"/>
      <c r="P445" s="4"/>
      <c r="Q445" s="4"/>
      <c r="R445" s="4"/>
      <c r="S445" s="4"/>
      <c r="T445" s="4"/>
      <c r="U445" s="4"/>
      <c r="V445" s="4"/>
      <c r="W445" s="4"/>
      <c r="X445" s="4"/>
      <c r="Y445" s="4"/>
      <c r="Z445" s="4"/>
      <c r="AA445" s="4"/>
      <c r="AB445" s="4"/>
      <c r="AC445" s="4"/>
      <c r="AD445" s="4"/>
      <c r="AE445" s="4"/>
      <c r="AF445" s="4"/>
    </row>
    <row r="446" ht="15.75" customHeight="1">
      <c r="A446" s="4"/>
      <c r="B446" s="4"/>
      <c r="C446" s="4"/>
      <c r="D446" s="4"/>
      <c r="E446" s="4"/>
      <c r="F446" s="4"/>
      <c r="G446" s="4"/>
      <c r="H446" s="4"/>
      <c r="I446" s="129"/>
      <c r="J446" s="129"/>
      <c r="K446" s="129"/>
      <c r="L446" s="129"/>
      <c r="M446" s="129"/>
      <c r="N446" s="4"/>
      <c r="O446" s="4"/>
      <c r="P446" s="4"/>
      <c r="Q446" s="4"/>
      <c r="R446" s="4"/>
      <c r="S446" s="4"/>
      <c r="T446" s="4"/>
      <c r="U446" s="4"/>
      <c r="V446" s="4"/>
      <c r="W446" s="4"/>
      <c r="X446" s="4"/>
      <c r="Y446" s="4"/>
      <c r="Z446" s="4"/>
      <c r="AA446" s="4"/>
      <c r="AB446" s="4"/>
      <c r="AC446" s="4"/>
      <c r="AD446" s="4"/>
      <c r="AE446" s="4"/>
      <c r="AF446" s="4"/>
    </row>
    <row r="447" ht="15.75" customHeight="1">
      <c r="A447" s="4"/>
      <c r="B447" s="4"/>
      <c r="C447" s="4"/>
      <c r="D447" s="4"/>
      <c r="E447" s="4"/>
      <c r="F447" s="4"/>
      <c r="G447" s="4"/>
      <c r="H447" s="4"/>
      <c r="I447" s="129"/>
      <c r="J447" s="129"/>
      <c r="K447" s="129"/>
      <c r="L447" s="129"/>
      <c r="M447" s="129"/>
      <c r="N447" s="4"/>
      <c r="O447" s="4"/>
      <c r="P447" s="4"/>
      <c r="Q447" s="4"/>
      <c r="R447" s="4"/>
      <c r="S447" s="4"/>
      <c r="T447" s="4"/>
      <c r="U447" s="4"/>
      <c r="V447" s="4"/>
      <c r="W447" s="4"/>
      <c r="X447" s="4"/>
      <c r="Y447" s="4"/>
      <c r="Z447" s="4"/>
      <c r="AA447" s="4"/>
      <c r="AB447" s="4"/>
      <c r="AC447" s="4"/>
      <c r="AD447" s="4"/>
      <c r="AE447" s="4"/>
      <c r="AF447" s="4"/>
    </row>
    <row r="448" ht="15.75" customHeight="1">
      <c r="A448" s="4"/>
      <c r="B448" s="4"/>
      <c r="C448" s="4"/>
      <c r="D448" s="4"/>
      <c r="E448" s="4"/>
      <c r="F448" s="4"/>
      <c r="G448" s="4"/>
      <c r="H448" s="4"/>
      <c r="I448" s="129"/>
      <c r="J448" s="129"/>
      <c r="K448" s="129"/>
      <c r="L448" s="129"/>
      <c r="M448" s="129"/>
      <c r="N448" s="4"/>
      <c r="O448" s="4"/>
      <c r="P448" s="4"/>
      <c r="Q448" s="4"/>
      <c r="R448" s="4"/>
      <c r="S448" s="4"/>
      <c r="T448" s="4"/>
      <c r="U448" s="4"/>
      <c r="V448" s="4"/>
      <c r="W448" s="4"/>
      <c r="X448" s="4"/>
      <c r="Y448" s="4"/>
      <c r="Z448" s="4"/>
      <c r="AA448" s="4"/>
      <c r="AB448" s="4"/>
      <c r="AC448" s="4"/>
      <c r="AD448" s="4"/>
      <c r="AE448" s="4"/>
      <c r="AF448" s="4"/>
    </row>
    <row r="449" ht="15.75" customHeight="1">
      <c r="A449" s="4"/>
      <c r="B449" s="4"/>
      <c r="C449" s="4"/>
      <c r="D449" s="4"/>
      <c r="E449" s="4"/>
      <c r="F449" s="4"/>
      <c r="G449" s="4"/>
      <c r="H449" s="4"/>
      <c r="I449" s="129"/>
      <c r="J449" s="129"/>
      <c r="K449" s="129"/>
      <c r="L449" s="129"/>
      <c r="M449" s="129"/>
      <c r="N449" s="4"/>
      <c r="O449" s="4"/>
      <c r="P449" s="4"/>
      <c r="Q449" s="4"/>
      <c r="R449" s="4"/>
      <c r="S449" s="4"/>
      <c r="T449" s="4"/>
      <c r="U449" s="4"/>
      <c r="V449" s="4"/>
      <c r="W449" s="4"/>
      <c r="X449" s="4"/>
      <c r="Y449" s="4"/>
      <c r="Z449" s="4"/>
      <c r="AA449" s="4"/>
      <c r="AB449" s="4"/>
      <c r="AC449" s="4"/>
      <c r="AD449" s="4"/>
      <c r="AE449" s="4"/>
      <c r="AF449" s="4"/>
    </row>
    <row r="450" ht="15.75" customHeight="1">
      <c r="A450" s="4"/>
      <c r="B450" s="4"/>
      <c r="C450" s="4"/>
      <c r="D450" s="4"/>
      <c r="E450" s="4"/>
      <c r="F450" s="4"/>
      <c r="G450" s="4"/>
      <c r="H450" s="4"/>
      <c r="I450" s="129"/>
      <c r="J450" s="129"/>
      <c r="K450" s="129"/>
      <c r="L450" s="129"/>
      <c r="M450" s="129"/>
      <c r="N450" s="4"/>
      <c r="O450" s="4"/>
      <c r="P450" s="4"/>
      <c r="Q450" s="4"/>
      <c r="R450" s="4"/>
      <c r="S450" s="4"/>
      <c r="T450" s="4"/>
      <c r="U450" s="4"/>
      <c r="V450" s="4"/>
      <c r="W450" s="4"/>
      <c r="X450" s="4"/>
      <c r="Y450" s="4"/>
      <c r="Z450" s="4"/>
      <c r="AA450" s="4"/>
      <c r="AB450" s="4"/>
      <c r="AC450" s="4"/>
      <c r="AD450" s="4"/>
      <c r="AE450" s="4"/>
      <c r="AF450" s="4"/>
    </row>
    <row r="451" ht="15.75" customHeight="1">
      <c r="A451" s="4"/>
      <c r="B451" s="4"/>
      <c r="C451" s="4"/>
      <c r="D451" s="4"/>
      <c r="E451" s="4"/>
      <c r="F451" s="4"/>
      <c r="G451" s="4"/>
      <c r="H451" s="4"/>
      <c r="I451" s="129"/>
      <c r="J451" s="129"/>
      <c r="K451" s="129"/>
      <c r="L451" s="129"/>
      <c r="M451" s="129"/>
      <c r="N451" s="4"/>
      <c r="O451" s="4"/>
      <c r="P451" s="4"/>
      <c r="Q451" s="4"/>
      <c r="R451" s="4"/>
      <c r="S451" s="4"/>
      <c r="T451" s="4"/>
      <c r="U451" s="4"/>
      <c r="V451" s="4"/>
      <c r="W451" s="4"/>
      <c r="X451" s="4"/>
      <c r="Y451" s="4"/>
      <c r="Z451" s="4"/>
      <c r="AA451" s="4"/>
      <c r="AB451" s="4"/>
      <c r="AC451" s="4"/>
      <c r="AD451" s="4"/>
      <c r="AE451" s="4"/>
      <c r="AF451" s="4"/>
    </row>
    <row r="452" ht="15.75" customHeight="1">
      <c r="A452" s="4"/>
      <c r="B452" s="4"/>
      <c r="C452" s="4"/>
      <c r="D452" s="4"/>
      <c r="E452" s="4"/>
      <c r="F452" s="4"/>
      <c r="G452" s="4"/>
      <c r="H452" s="4"/>
      <c r="I452" s="129"/>
      <c r="J452" s="129"/>
      <c r="K452" s="129"/>
      <c r="L452" s="129"/>
      <c r="M452" s="129"/>
      <c r="N452" s="4"/>
      <c r="O452" s="4"/>
      <c r="P452" s="4"/>
      <c r="Q452" s="4"/>
      <c r="R452" s="4"/>
      <c r="S452" s="4"/>
      <c r="T452" s="4"/>
      <c r="U452" s="4"/>
      <c r="V452" s="4"/>
      <c r="W452" s="4"/>
      <c r="X452" s="4"/>
      <c r="Y452" s="4"/>
      <c r="Z452" s="4"/>
      <c r="AA452" s="4"/>
      <c r="AB452" s="4"/>
      <c r="AC452" s="4"/>
      <c r="AD452" s="4"/>
      <c r="AE452" s="4"/>
      <c r="AF452" s="4"/>
    </row>
    <row r="453" ht="15.75" customHeight="1">
      <c r="A453" s="4"/>
      <c r="B453" s="4"/>
      <c r="C453" s="4"/>
      <c r="D453" s="4"/>
      <c r="E453" s="4"/>
      <c r="F453" s="4"/>
      <c r="G453" s="4"/>
      <c r="H453" s="4"/>
      <c r="I453" s="129"/>
      <c r="J453" s="129"/>
      <c r="K453" s="129"/>
      <c r="L453" s="129"/>
      <c r="M453" s="129"/>
      <c r="N453" s="4"/>
      <c r="O453" s="4"/>
      <c r="P453" s="4"/>
      <c r="Q453" s="4"/>
      <c r="R453" s="4"/>
      <c r="S453" s="4"/>
      <c r="T453" s="4"/>
      <c r="U453" s="4"/>
      <c r="V453" s="4"/>
      <c r="W453" s="4"/>
      <c r="X453" s="4"/>
      <c r="Y453" s="4"/>
      <c r="Z453" s="4"/>
      <c r="AA453" s="4"/>
      <c r="AB453" s="4"/>
      <c r="AC453" s="4"/>
      <c r="AD453" s="4"/>
      <c r="AE453" s="4"/>
      <c r="AF453" s="4"/>
    </row>
    <row r="454" ht="15.75" customHeight="1">
      <c r="A454" s="4"/>
      <c r="B454" s="4"/>
      <c r="C454" s="4"/>
      <c r="D454" s="4"/>
      <c r="E454" s="4"/>
      <c r="F454" s="4"/>
      <c r="G454" s="4"/>
      <c r="H454" s="4"/>
      <c r="I454" s="129"/>
      <c r="J454" s="129"/>
      <c r="K454" s="129"/>
      <c r="L454" s="129"/>
      <c r="M454" s="129"/>
      <c r="N454" s="4"/>
      <c r="O454" s="4"/>
      <c r="P454" s="4"/>
      <c r="Q454" s="4"/>
      <c r="R454" s="4"/>
      <c r="S454" s="4"/>
      <c r="T454" s="4"/>
      <c r="U454" s="4"/>
      <c r="V454" s="4"/>
      <c r="W454" s="4"/>
      <c r="X454" s="4"/>
      <c r="Y454" s="4"/>
      <c r="Z454" s="4"/>
      <c r="AA454" s="4"/>
      <c r="AB454" s="4"/>
      <c r="AC454" s="4"/>
      <c r="AD454" s="4"/>
      <c r="AE454" s="4"/>
      <c r="AF454" s="4"/>
    </row>
    <row r="455" ht="15.75" customHeight="1">
      <c r="A455" s="4"/>
      <c r="B455" s="4"/>
      <c r="C455" s="4"/>
      <c r="D455" s="4"/>
      <c r="E455" s="4"/>
      <c r="F455" s="4"/>
      <c r="G455" s="4"/>
      <c r="H455" s="4"/>
      <c r="I455" s="129"/>
      <c r="J455" s="129"/>
      <c r="K455" s="129"/>
      <c r="L455" s="129"/>
      <c r="M455" s="129"/>
      <c r="N455" s="4"/>
      <c r="O455" s="4"/>
      <c r="P455" s="4"/>
      <c r="Q455" s="4"/>
      <c r="R455" s="4"/>
      <c r="S455" s="4"/>
      <c r="T455" s="4"/>
      <c r="U455" s="4"/>
      <c r="V455" s="4"/>
      <c r="W455" s="4"/>
      <c r="X455" s="4"/>
      <c r="Y455" s="4"/>
      <c r="Z455" s="4"/>
      <c r="AA455" s="4"/>
      <c r="AB455" s="4"/>
      <c r="AC455" s="4"/>
      <c r="AD455" s="4"/>
      <c r="AE455" s="4"/>
      <c r="AF455" s="4"/>
    </row>
    <row r="456" ht="15.75" customHeight="1">
      <c r="A456" s="4"/>
      <c r="B456" s="4"/>
      <c r="C456" s="4"/>
      <c r="D456" s="4"/>
      <c r="E456" s="4"/>
      <c r="F456" s="4"/>
      <c r="G456" s="4"/>
      <c r="H456" s="4"/>
      <c r="I456" s="129"/>
      <c r="J456" s="129"/>
      <c r="K456" s="129"/>
      <c r="L456" s="129"/>
      <c r="M456" s="129"/>
      <c r="N456" s="4"/>
      <c r="O456" s="4"/>
      <c r="P456" s="4"/>
      <c r="Q456" s="4"/>
      <c r="R456" s="4"/>
      <c r="S456" s="4"/>
      <c r="T456" s="4"/>
      <c r="U456" s="4"/>
      <c r="V456" s="4"/>
      <c r="W456" s="4"/>
      <c r="X456" s="4"/>
      <c r="Y456" s="4"/>
      <c r="Z456" s="4"/>
      <c r="AA456" s="4"/>
      <c r="AB456" s="4"/>
      <c r="AC456" s="4"/>
      <c r="AD456" s="4"/>
      <c r="AE456" s="4"/>
      <c r="AF456" s="4"/>
    </row>
    <row r="457" ht="15.75" customHeight="1">
      <c r="A457" s="4"/>
      <c r="B457" s="4"/>
      <c r="C457" s="4"/>
      <c r="D457" s="4"/>
      <c r="E457" s="4"/>
      <c r="F457" s="4"/>
      <c r="G457" s="4"/>
      <c r="H457" s="4"/>
      <c r="I457" s="129"/>
      <c r="J457" s="129"/>
      <c r="K457" s="129"/>
      <c r="L457" s="129"/>
      <c r="M457" s="129"/>
      <c r="N457" s="4"/>
      <c r="O457" s="4"/>
      <c r="P457" s="4"/>
      <c r="Q457" s="4"/>
      <c r="R457" s="4"/>
      <c r="S457" s="4"/>
      <c r="T457" s="4"/>
      <c r="U457" s="4"/>
      <c r="V457" s="4"/>
      <c r="W457" s="4"/>
      <c r="X457" s="4"/>
      <c r="Y457" s="4"/>
      <c r="Z457" s="4"/>
      <c r="AA457" s="4"/>
      <c r="AB457" s="4"/>
      <c r="AC457" s="4"/>
      <c r="AD457" s="4"/>
      <c r="AE457" s="4"/>
      <c r="AF457" s="4"/>
    </row>
    <row r="458" ht="15.75" customHeight="1">
      <c r="A458" s="4"/>
      <c r="B458" s="4"/>
      <c r="C458" s="4"/>
      <c r="D458" s="4"/>
      <c r="E458" s="4"/>
      <c r="F458" s="4"/>
      <c r="G458" s="4"/>
      <c r="H458" s="4"/>
      <c r="I458" s="129"/>
      <c r="J458" s="129"/>
      <c r="K458" s="129"/>
      <c r="L458" s="129"/>
      <c r="M458" s="129"/>
      <c r="N458" s="4"/>
      <c r="O458" s="4"/>
      <c r="P458" s="4"/>
      <c r="Q458" s="4"/>
      <c r="R458" s="4"/>
      <c r="S458" s="4"/>
      <c r="T458" s="4"/>
      <c r="U458" s="4"/>
      <c r="V458" s="4"/>
      <c r="W458" s="4"/>
      <c r="X458" s="4"/>
      <c r="Y458" s="4"/>
      <c r="Z458" s="4"/>
      <c r="AA458" s="4"/>
      <c r="AB458" s="4"/>
      <c r="AC458" s="4"/>
      <c r="AD458" s="4"/>
      <c r="AE458" s="4"/>
      <c r="AF458" s="4"/>
    </row>
    <row r="459" ht="15.75" customHeight="1">
      <c r="A459" s="4"/>
      <c r="B459" s="4"/>
      <c r="C459" s="4"/>
      <c r="D459" s="4"/>
      <c r="E459" s="4"/>
      <c r="F459" s="4"/>
      <c r="G459" s="4"/>
      <c r="H459" s="4"/>
      <c r="I459" s="129"/>
      <c r="J459" s="129"/>
      <c r="K459" s="129"/>
      <c r="L459" s="129"/>
      <c r="M459" s="129"/>
      <c r="N459" s="4"/>
      <c r="O459" s="4"/>
      <c r="P459" s="4"/>
      <c r="Q459" s="4"/>
      <c r="R459" s="4"/>
      <c r="S459" s="4"/>
      <c r="T459" s="4"/>
      <c r="U459" s="4"/>
      <c r="V459" s="4"/>
      <c r="W459" s="4"/>
      <c r="X459" s="4"/>
      <c r="Y459" s="4"/>
      <c r="Z459" s="4"/>
      <c r="AA459" s="4"/>
      <c r="AB459" s="4"/>
      <c r="AC459" s="4"/>
      <c r="AD459" s="4"/>
      <c r="AE459" s="4"/>
      <c r="AF459" s="4"/>
    </row>
    <row r="460" ht="15.75" customHeight="1">
      <c r="A460" s="4"/>
      <c r="B460" s="4"/>
      <c r="C460" s="4"/>
      <c r="D460" s="4"/>
      <c r="E460" s="4"/>
      <c r="F460" s="4"/>
      <c r="G460" s="4"/>
      <c r="H460" s="4"/>
      <c r="I460" s="129"/>
      <c r="J460" s="129"/>
      <c r="K460" s="129"/>
      <c r="L460" s="129"/>
      <c r="M460" s="129"/>
      <c r="N460" s="4"/>
      <c r="O460" s="4"/>
      <c r="P460" s="4"/>
      <c r="Q460" s="4"/>
      <c r="R460" s="4"/>
      <c r="S460" s="4"/>
      <c r="T460" s="4"/>
      <c r="U460" s="4"/>
      <c r="V460" s="4"/>
      <c r="W460" s="4"/>
      <c r="X460" s="4"/>
      <c r="Y460" s="4"/>
      <c r="Z460" s="4"/>
      <c r="AA460" s="4"/>
      <c r="AB460" s="4"/>
      <c r="AC460" s="4"/>
      <c r="AD460" s="4"/>
      <c r="AE460" s="4"/>
      <c r="AF460" s="4"/>
    </row>
    <row r="461" ht="15.75" customHeight="1">
      <c r="A461" s="4"/>
      <c r="B461" s="4"/>
      <c r="C461" s="4"/>
      <c r="D461" s="4"/>
      <c r="E461" s="4"/>
      <c r="F461" s="4"/>
      <c r="G461" s="4"/>
      <c r="H461" s="4"/>
      <c r="I461" s="129"/>
      <c r="J461" s="129"/>
      <c r="K461" s="129"/>
      <c r="L461" s="129"/>
      <c r="M461" s="129"/>
      <c r="N461" s="4"/>
      <c r="O461" s="4"/>
      <c r="P461" s="4"/>
      <c r="Q461" s="4"/>
      <c r="R461" s="4"/>
      <c r="S461" s="4"/>
      <c r="T461" s="4"/>
      <c r="U461" s="4"/>
      <c r="V461" s="4"/>
      <c r="W461" s="4"/>
      <c r="X461" s="4"/>
      <c r="Y461" s="4"/>
      <c r="Z461" s="4"/>
      <c r="AA461" s="4"/>
      <c r="AB461" s="4"/>
      <c r="AC461" s="4"/>
      <c r="AD461" s="4"/>
      <c r="AE461" s="4"/>
      <c r="AF461" s="4"/>
    </row>
    <row r="462" ht="15.75" customHeight="1">
      <c r="A462" s="4"/>
      <c r="B462" s="4"/>
      <c r="C462" s="4"/>
      <c r="D462" s="4"/>
      <c r="E462" s="4"/>
      <c r="F462" s="4"/>
      <c r="G462" s="4"/>
      <c r="H462" s="4"/>
      <c r="I462" s="129"/>
      <c r="J462" s="129"/>
      <c r="K462" s="129"/>
      <c r="L462" s="129"/>
      <c r="M462" s="129"/>
      <c r="N462" s="4"/>
      <c r="O462" s="4"/>
      <c r="P462" s="4"/>
      <c r="Q462" s="4"/>
      <c r="R462" s="4"/>
      <c r="S462" s="4"/>
      <c r="T462" s="4"/>
      <c r="U462" s="4"/>
      <c r="V462" s="4"/>
      <c r="W462" s="4"/>
      <c r="X462" s="4"/>
      <c r="Y462" s="4"/>
      <c r="Z462" s="4"/>
      <c r="AA462" s="4"/>
      <c r="AB462" s="4"/>
      <c r="AC462" s="4"/>
      <c r="AD462" s="4"/>
      <c r="AE462" s="4"/>
      <c r="AF462" s="4"/>
    </row>
    <row r="463" ht="15.75" customHeight="1">
      <c r="A463" s="4"/>
      <c r="B463" s="4"/>
      <c r="C463" s="4"/>
      <c r="D463" s="4"/>
      <c r="E463" s="4"/>
      <c r="F463" s="4"/>
      <c r="G463" s="4"/>
      <c r="H463" s="4"/>
      <c r="I463" s="129"/>
      <c r="J463" s="129"/>
      <c r="K463" s="129"/>
      <c r="L463" s="129"/>
      <c r="M463" s="129"/>
      <c r="N463" s="4"/>
      <c r="O463" s="4"/>
      <c r="P463" s="4"/>
      <c r="Q463" s="4"/>
      <c r="R463" s="4"/>
      <c r="S463" s="4"/>
      <c r="T463" s="4"/>
      <c r="U463" s="4"/>
      <c r="V463" s="4"/>
      <c r="W463" s="4"/>
      <c r="X463" s="4"/>
      <c r="Y463" s="4"/>
      <c r="Z463" s="4"/>
      <c r="AA463" s="4"/>
      <c r="AB463" s="4"/>
      <c r="AC463" s="4"/>
      <c r="AD463" s="4"/>
      <c r="AE463" s="4"/>
      <c r="AF463" s="4"/>
    </row>
    <row r="464" ht="15.75" customHeight="1">
      <c r="A464" s="4"/>
      <c r="B464" s="4"/>
      <c r="C464" s="4"/>
      <c r="D464" s="4"/>
      <c r="E464" s="4"/>
      <c r="F464" s="4"/>
      <c r="G464" s="4"/>
      <c r="H464" s="4"/>
      <c r="I464" s="129"/>
      <c r="J464" s="129"/>
      <c r="K464" s="129"/>
      <c r="L464" s="129"/>
      <c r="M464" s="129"/>
      <c r="N464" s="4"/>
      <c r="O464" s="4"/>
      <c r="P464" s="4"/>
      <c r="Q464" s="4"/>
      <c r="R464" s="4"/>
      <c r="S464" s="4"/>
      <c r="T464" s="4"/>
      <c r="U464" s="4"/>
      <c r="V464" s="4"/>
      <c r="W464" s="4"/>
      <c r="X464" s="4"/>
      <c r="Y464" s="4"/>
      <c r="Z464" s="4"/>
      <c r="AA464" s="4"/>
      <c r="AB464" s="4"/>
      <c r="AC464" s="4"/>
      <c r="AD464" s="4"/>
      <c r="AE464" s="4"/>
      <c r="AF464" s="4"/>
    </row>
    <row r="465" ht="15.75" customHeight="1">
      <c r="A465" s="4"/>
      <c r="B465" s="4"/>
      <c r="C465" s="4"/>
      <c r="D465" s="4"/>
      <c r="E465" s="4"/>
      <c r="F465" s="4"/>
      <c r="G465" s="4"/>
      <c r="H465" s="4"/>
      <c r="I465" s="129"/>
      <c r="J465" s="129"/>
      <c r="K465" s="129"/>
      <c r="L465" s="129"/>
      <c r="M465" s="129"/>
      <c r="N465" s="4"/>
      <c r="O465" s="4"/>
      <c r="P465" s="4"/>
      <c r="Q465" s="4"/>
      <c r="R465" s="4"/>
      <c r="S465" s="4"/>
      <c r="T465" s="4"/>
      <c r="U465" s="4"/>
      <c r="V465" s="4"/>
      <c r="W465" s="4"/>
      <c r="X465" s="4"/>
      <c r="Y465" s="4"/>
      <c r="Z465" s="4"/>
      <c r="AA465" s="4"/>
      <c r="AB465" s="4"/>
      <c r="AC465" s="4"/>
      <c r="AD465" s="4"/>
      <c r="AE465" s="4"/>
      <c r="AF465" s="4"/>
    </row>
    <row r="466" ht="15.75" customHeight="1">
      <c r="A466" s="4"/>
      <c r="B466" s="4"/>
      <c r="C466" s="4"/>
      <c r="D466" s="4"/>
      <c r="E466" s="4"/>
      <c r="F466" s="4"/>
      <c r="G466" s="4"/>
      <c r="H466" s="4"/>
      <c r="I466" s="129"/>
      <c r="J466" s="129"/>
      <c r="K466" s="129"/>
      <c r="L466" s="129"/>
      <c r="M466" s="129"/>
      <c r="N466" s="4"/>
      <c r="O466" s="4"/>
      <c r="P466" s="4"/>
      <c r="Q466" s="4"/>
      <c r="R466" s="4"/>
      <c r="S466" s="4"/>
      <c r="T466" s="4"/>
      <c r="U466" s="4"/>
      <c r="V466" s="4"/>
      <c r="W466" s="4"/>
      <c r="X466" s="4"/>
      <c r="Y466" s="4"/>
      <c r="Z466" s="4"/>
      <c r="AA466" s="4"/>
      <c r="AB466" s="4"/>
      <c r="AC466" s="4"/>
      <c r="AD466" s="4"/>
      <c r="AE466" s="4"/>
      <c r="AF466" s="4"/>
    </row>
    <row r="467" ht="15.75" customHeight="1">
      <c r="A467" s="4"/>
      <c r="B467" s="4"/>
      <c r="C467" s="4"/>
      <c r="D467" s="4"/>
      <c r="E467" s="4"/>
      <c r="F467" s="4"/>
      <c r="G467" s="4"/>
      <c r="H467" s="4"/>
      <c r="I467" s="129"/>
      <c r="J467" s="129"/>
      <c r="K467" s="129"/>
      <c r="L467" s="129"/>
      <c r="M467" s="129"/>
      <c r="N467" s="4"/>
      <c r="O467" s="4"/>
      <c r="P467" s="4"/>
      <c r="Q467" s="4"/>
      <c r="R467" s="4"/>
      <c r="S467" s="4"/>
      <c r="T467" s="4"/>
      <c r="U467" s="4"/>
      <c r="V467" s="4"/>
      <c r="W467" s="4"/>
      <c r="X467" s="4"/>
      <c r="Y467" s="4"/>
      <c r="Z467" s="4"/>
      <c r="AA467" s="4"/>
      <c r="AB467" s="4"/>
      <c r="AC467" s="4"/>
      <c r="AD467" s="4"/>
      <c r="AE467" s="4"/>
      <c r="AF467" s="4"/>
    </row>
    <row r="468" ht="15.75" customHeight="1">
      <c r="A468" s="4"/>
      <c r="B468" s="4"/>
      <c r="C468" s="4"/>
      <c r="D468" s="4"/>
      <c r="E468" s="4"/>
      <c r="F468" s="4"/>
      <c r="G468" s="4"/>
      <c r="H468" s="4"/>
      <c r="I468" s="129"/>
      <c r="J468" s="129"/>
      <c r="K468" s="129"/>
      <c r="L468" s="129"/>
      <c r="M468" s="129"/>
      <c r="N468" s="4"/>
      <c r="O468" s="4"/>
      <c r="P468" s="4"/>
      <c r="Q468" s="4"/>
      <c r="R468" s="4"/>
      <c r="S468" s="4"/>
      <c r="T468" s="4"/>
      <c r="U468" s="4"/>
      <c r="V468" s="4"/>
      <c r="W468" s="4"/>
      <c r="X468" s="4"/>
      <c r="Y468" s="4"/>
      <c r="Z468" s="4"/>
      <c r="AA468" s="4"/>
      <c r="AB468" s="4"/>
      <c r="AC468" s="4"/>
      <c r="AD468" s="4"/>
      <c r="AE468" s="4"/>
      <c r="AF468" s="4"/>
    </row>
    <row r="469" ht="15.75" customHeight="1">
      <c r="A469" s="4"/>
      <c r="B469" s="4"/>
      <c r="C469" s="4"/>
      <c r="D469" s="4"/>
      <c r="E469" s="4"/>
      <c r="F469" s="4"/>
      <c r="G469" s="4"/>
      <c r="H469" s="4"/>
      <c r="I469" s="129"/>
      <c r="J469" s="129"/>
      <c r="K469" s="129"/>
      <c r="L469" s="129"/>
      <c r="M469" s="129"/>
      <c r="N469" s="4"/>
      <c r="O469" s="4"/>
      <c r="P469" s="4"/>
      <c r="Q469" s="4"/>
      <c r="R469" s="4"/>
      <c r="S469" s="4"/>
      <c r="T469" s="4"/>
      <c r="U469" s="4"/>
      <c r="V469" s="4"/>
      <c r="W469" s="4"/>
      <c r="X469" s="4"/>
      <c r="Y469" s="4"/>
      <c r="Z469" s="4"/>
      <c r="AA469" s="4"/>
      <c r="AB469" s="4"/>
      <c r="AC469" s="4"/>
      <c r="AD469" s="4"/>
      <c r="AE469" s="4"/>
      <c r="AF469" s="4"/>
    </row>
    <row r="470" ht="15.75" customHeight="1">
      <c r="A470" s="4"/>
      <c r="B470" s="4"/>
      <c r="C470" s="4"/>
      <c r="D470" s="4"/>
      <c r="E470" s="4"/>
      <c r="F470" s="4"/>
      <c r="G470" s="4"/>
      <c r="H470" s="4"/>
      <c r="I470" s="129"/>
      <c r="J470" s="129"/>
      <c r="K470" s="129"/>
      <c r="L470" s="129"/>
      <c r="M470" s="129"/>
      <c r="N470" s="4"/>
      <c r="O470" s="4"/>
      <c r="P470" s="4"/>
      <c r="Q470" s="4"/>
      <c r="R470" s="4"/>
      <c r="S470" s="4"/>
      <c r="T470" s="4"/>
      <c r="U470" s="4"/>
      <c r="V470" s="4"/>
      <c r="W470" s="4"/>
      <c r="X470" s="4"/>
      <c r="Y470" s="4"/>
      <c r="Z470" s="4"/>
      <c r="AA470" s="4"/>
      <c r="AB470" s="4"/>
      <c r="AC470" s="4"/>
      <c r="AD470" s="4"/>
      <c r="AE470" s="4"/>
      <c r="AF470" s="4"/>
    </row>
    <row r="471" ht="15.75" customHeight="1">
      <c r="A471" s="4"/>
      <c r="B471" s="4"/>
      <c r="C471" s="4"/>
      <c r="D471" s="4"/>
      <c r="E471" s="4"/>
      <c r="F471" s="4"/>
      <c r="G471" s="4"/>
      <c r="H471" s="4"/>
      <c r="I471" s="129"/>
      <c r="J471" s="129"/>
      <c r="K471" s="129"/>
      <c r="L471" s="129"/>
      <c r="M471" s="129"/>
      <c r="N471" s="4"/>
      <c r="O471" s="4"/>
      <c r="P471" s="4"/>
      <c r="Q471" s="4"/>
      <c r="R471" s="4"/>
      <c r="S471" s="4"/>
      <c r="T471" s="4"/>
      <c r="U471" s="4"/>
      <c r="V471" s="4"/>
      <c r="W471" s="4"/>
      <c r="X471" s="4"/>
      <c r="Y471" s="4"/>
      <c r="Z471" s="4"/>
      <c r="AA471" s="4"/>
      <c r="AB471" s="4"/>
      <c r="AC471" s="4"/>
      <c r="AD471" s="4"/>
      <c r="AE471" s="4"/>
      <c r="AF471" s="4"/>
    </row>
    <row r="472" ht="15.75" customHeight="1">
      <c r="A472" s="4"/>
      <c r="B472" s="4"/>
      <c r="C472" s="4"/>
      <c r="D472" s="4"/>
      <c r="E472" s="4"/>
      <c r="F472" s="4"/>
      <c r="G472" s="4"/>
      <c r="H472" s="4"/>
      <c r="I472" s="129"/>
      <c r="J472" s="129"/>
      <c r="K472" s="129"/>
      <c r="L472" s="129"/>
      <c r="M472" s="129"/>
      <c r="N472" s="4"/>
      <c r="O472" s="4"/>
      <c r="P472" s="4"/>
      <c r="Q472" s="4"/>
      <c r="R472" s="4"/>
      <c r="S472" s="4"/>
      <c r="T472" s="4"/>
      <c r="U472" s="4"/>
      <c r="V472" s="4"/>
      <c r="W472" s="4"/>
      <c r="X472" s="4"/>
      <c r="Y472" s="4"/>
      <c r="Z472" s="4"/>
      <c r="AA472" s="4"/>
      <c r="AB472" s="4"/>
      <c r="AC472" s="4"/>
      <c r="AD472" s="4"/>
      <c r="AE472" s="4"/>
      <c r="AF472" s="4"/>
    </row>
    <row r="473" ht="15.75" customHeight="1">
      <c r="A473" s="4"/>
      <c r="B473" s="4"/>
      <c r="C473" s="4"/>
      <c r="D473" s="4"/>
      <c r="E473" s="4"/>
      <c r="F473" s="4"/>
      <c r="G473" s="4"/>
      <c r="H473" s="4"/>
      <c r="I473" s="129"/>
      <c r="J473" s="129"/>
      <c r="K473" s="129"/>
      <c r="L473" s="129"/>
      <c r="M473" s="129"/>
      <c r="N473" s="4"/>
      <c r="O473" s="4"/>
      <c r="P473" s="4"/>
      <c r="Q473" s="4"/>
      <c r="R473" s="4"/>
      <c r="S473" s="4"/>
      <c r="T473" s="4"/>
      <c r="U473" s="4"/>
      <c r="V473" s="4"/>
      <c r="W473" s="4"/>
      <c r="X473" s="4"/>
      <c r="Y473" s="4"/>
      <c r="Z473" s="4"/>
      <c r="AA473" s="4"/>
      <c r="AB473" s="4"/>
      <c r="AC473" s="4"/>
      <c r="AD473" s="4"/>
      <c r="AE473" s="4"/>
      <c r="AF473" s="4"/>
    </row>
    <row r="474" ht="15.75" customHeight="1">
      <c r="A474" s="4"/>
      <c r="B474" s="4"/>
      <c r="C474" s="4"/>
      <c r="D474" s="4"/>
      <c r="E474" s="4"/>
      <c r="F474" s="4"/>
      <c r="G474" s="4"/>
      <c r="H474" s="4"/>
      <c r="I474" s="129"/>
      <c r="J474" s="129"/>
      <c r="K474" s="129"/>
      <c r="L474" s="129"/>
      <c r="M474" s="129"/>
      <c r="N474" s="4"/>
      <c r="O474" s="4"/>
      <c r="P474" s="4"/>
      <c r="Q474" s="4"/>
      <c r="R474" s="4"/>
      <c r="S474" s="4"/>
      <c r="T474" s="4"/>
      <c r="U474" s="4"/>
      <c r="V474" s="4"/>
      <c r="W474" s="4"/>
      <c r="X474" s="4"/>
      <c r="Y474" s="4"/>
      <c r="Z474" s="4"/>
      <c r="AA474" s="4"/>
      <c r="AB474" s="4"/>
      <c r="AC474" s="4"/>
      <c r="AD474" s="4"/>
      <c r="AE474" s="4"/>
      <c r="AF474" s="4"/>
    </row>
    <row r="475" ht="15.75" customHeight="1">
      <c r="A475" s="4"/>
      <c r="B475" s="4"/>
      <c r="C475" s="4"/>
      <c r="D475" s="4"/>
      <c r="E475" s="4"/>
      <c r="F475" s="4"/>
      <c r="G475" s="4"/>
      <c r="H475" s="4"/>
      <c r="I475" s="129"/>
      <c r="J475" s="129"/>
      <c r="K475" s="129"/>
      <c r="L475" s="129"/>
      <c r="M475" s="129"/>
      <c r="N475" s="4"/>
      <c r="O475" s="4"/>
      <c r="P475" s="4"/>
      <c r="Q475" s="4"/>
      <c r="R475" s="4"/>
      <c r="S475" s="4"/>
      <c r="T475" s="4"/>
      <c r="U475" s="4"/>
      <c r="V475" s="4"/>
      <c r="W475" s="4"/>
      <c r="X475" s="4"/>
      <c r="Y475" s="4"/>
      <c r="Z475" s="4"/>
      <c r="AA475" s="4"/>
      <c r="AB475" s="4"/>
      <c r="AC475" s="4"/>
      <c r="AD475" s="4"/>
      <c r="AE475" s="4"/>
      <c r="AF475" s="4"/>
    </row>
    <row r="476" ht="15.75" customHeight="1">
      <c r="A476" s="4"/>
      <c r="B476" s="4"/>
      <c r="C476" s="4"/>
      <c r="D476" s="4"/>
      <c r="E476" s="4"/>
      <c r="F476" s="4"/>
      <c r="G476" s="4"/>
      <c r="H476" s="4"/>
      <c r="I476" s="129"/>
      <c r="J476" s="129"/>
      <c r="K476" s="129"/>
      <c r="L476" s="129"/>
      <c r="M476" s="129"/>
      <c r="N476" s="4"/>
      <c r="O476" s="4"/>
      <c r="P476" s="4"/>
      <c r="Q476" s="4"/>
      <c r="R476" s="4"/>
      <c r="S476" s="4"/>
      <c r="T476" s="4"/>
      <c r="U476" s="4"/>
      <c r="V476" s="4"/>
      <c r="W476" s="4"/>
      <c r="X476" s="4"/>
      <c r="Y476" s="4"/>
      <c r="Z476" s="4"/>
      <c r="AA476" s="4"/>
      <c r="AB476" s="4"/>
      <c r="AC476" s="4"/>
      <c r="AD476" s="4"/>
      <c r="AE476" s="4"/>
      <c r="AF476" s="4"/>
    </row>
    <row r="477" ht="15.75" customHeight="1">
      <c r="A477" s="4"/>
      <c r="B477" s="4"/>
      <c r="C477" s="4"/>
      <c r="D477" s="4"/>
      <c r="E477" s="4"/>
      <c r="F477" s="4"/>
      <c r="G477" s="4"/>
      <c r="H477" s="4"/>
      <c r="I477" s="129"/>
      <c r="J477" s="129"/>
      <c r="K477" s="129"/>
      <c r="L477" s="129"/>
      <c r="M477" s="129"/>
      <c r="N477" s="4"/>
      <c r="O477" s="4"/>
      <c r="P477" s="4"/>
      <c r="Q477" s="4"/>
      <c r="R477" s="4"/>
      <c r="S477" s="4"/>
      <c r="T477" s="4"/>
      <c r="U477" s="4"/>
      <c r="V477" s="4"/>
      <c r="W477" s="4"/>
      <c r="X477" s="4"/>
      <c r="Y477" s="4"/>
      <c r="Z477" s="4"/>
      <c r="AA477" s="4"/>
      <c r="AB477" s="4"/>
      <c r="AC477" s="4"/>
      <c r="AD477" s="4"/>
      <c r="AE477" s="4"/>
      <c r="AF477" s="4"/>
    </row>
    <row r="478" ht="15.75" customHeight="1">
      <c r="A478" s="4"/>
      <c r="B478" s="4"/>
      <c r="C478" s="4"/>
      <c r="D478" s="4"/>
      <c r="E478" s="4"/>
      <c r="F478" s="4"/>
      <c r="G478" s="4"/>
      <c r="H478" s="4"/>
      <c r="I478" s="129"/>
      <c r="J478" s="129"/>
      <c r="K478" s="129"/>
      <c r="L478" s="129"/>
      <c r="M478" s="129"/>
      <c r="N478" s="4"/>
      <c r="O478" s="4"/>
      <c r="P478" s="4"/>
      <c r="Q478" s="4"/>
      <c r="R478" s="4"/>
      <c r="S478" s="4"/>
      <c r="T478" s="4"/>
      <c r="U478" s="4"/>
      <c r="V478" s="4"/>
      <c r="W478" s="4"/>
      <c r="X478" s="4"/>
      <c r="Y478" s="4"/>
      <c r="Z478" s="4"/>
      <c r="AA478" s="4"/>
      <c r="AB478" s="4"/>
      <c r="AC478" s="4"/>
      <c r="AD478" s="4"/>
      <c r="AE478" s="4"/>
      <c r="AF478" s="4"/>
    </row>
    <row r="479" ht="15.75" customHeight="1">
      <c r="A479" s="4"/>
      <c r="B479" s="4"/>
      <c r="C479" s="4"/>
      <c r="D479" s="4"/>
      <c r="E479" s="4"/>
      <c r="F479" s="4"/>
      <c r="G479" s="4"/>
      <c r="H479" s="4"/>
      <c r="I479" s="129"/>
      <c r="J479" s="129"/>
      <c r="K479" s="129"/>
      <c r="L479" s="129"/>
      <c r="M479" s="129"/>
      <c r="N479" s="4"/>
      <c r="O479" s="4"/>
      <c r="P479" s="4"/>
      <c r="Q479" s="4"/>
      <c r="R479" s="4"/>
      <c r="S479" s="4"/>
      <c r="T479" s="4"/>
      <c r="U479" s="4"/>
      <c r="V479" s="4"/>
      <c r="W479" s="4"/>
      <c r="X479" s="4"/>
      <c r="Y479" s="4"/>
      <c r="Z479" s="4"/>
      <c r="AA479" s="4"/>
      <c r="AB479" s="4"/>
      <c r="AC479" s="4"/>
      <c r="AD479" s="4"/>
      <c r="AE479" s="4"/>
      <c r="AF479" s="4"/>
    </row>
    <row r="480" ht="15.75" customHeight="1">
      <c r="A480" s="4"/>
      <c r="B480" s="4"/>
      <c r="C480" s="4"/>
      <c r="D480" s="4"/>
      <c r="E480" s="4"/>
      <c r="F480" s="4"/>
      <c r="G480" s="4"/>
      <c r="H480" s="4"/>
      <c r="I480" s="129"/>
      <c r="J480" s="129"/>
      <c r="K480" s="129"/>
      <c r="L480" s="129"/>
      <c r="M480" s="129"/>
      <c r="N480" s="4"/>
      <c r="O480" s="4"/>
      <c r="P480" s="4"/>
      <c r="Q480" s="4"/>
      <c r="R480" s="4"/>
      <c r="S480" s="4"/>
      <c r="T480" s="4"/>
      <c r="U480" s="4"/>
      <c r="V480" s="4"/>
      <c r="W480" s="4"/>
      <c r="X480" s="4"/>
      <c r="Y480" s="4"/>
      <c r="Z480" s="4"/>
      <c r="AA480" s="4"/>
      <c r="AB480" s="4"/>
      <c r="AC480" s="4"/>
      <c r="AD480" s="4"/>
      <c r="AE480" s="4"/>
      <c r="AF480" s="4"/>
    </row>
    <row r="481" ht="15.75" customHeight="1">
      <c r="A481" s="4"/>
      <c r="B481" s="4"/>
      <c r="C481" s="4"/>
      <c r="D481" s="4"/>
      <c r="E481" s="4"/>
      <c r="F481" s="4"/>
      <c r="G481" s="4"/>
      <c r="H481" s="4"/>
      <c r="I481" s="129"/>
      <c r="J481" s="129"/>
      <c r="K481" s="129"/>
      <c r="L481" s="129"/>
      <c r="M481" s="129"/>
      <c r="N481" s="4"/>
      <c r="O481" s="4"/>
      <c r="P481" s="4"/>
      <c r="Q481" s="4"/>
      <c r="R481" s="4"/>
      <c r="S481" s="4"/>
      <c r="T481" s="4"/>
      <c r="U481" s="4"/>
      <c r="V481" s="4"/>
      <c r="W481" s="4"/>
      <c r="X481" s="4"/>
      <c r="Y481" s="4"/>
      <c r="Z481" s="4"/>
      <c r="AA481" s="4"/>
      <c r="AB481" s="4"/>
      <c r="AC481" s="4"/>
      <c r="AD481" s="4"/>
      <c r="AE481" s="4"/>
      <c r="AF481" s="4"/>
    </row>
    <row r="482" ht="15.75" customHeight="1">
      <c r="A482" s="4"/>
      <c r="B482" s="4"/>
      <c r="C482" s="4"/>
      <c r="D482" s="4"/>
      <c r="E482" s="4"/>
      <c r="F482" s="4"/>
      <c r="G482" s="4"/>
      <c r="H482" s="4"/>
      <c r="I482" s="129"/>
      <c r="J482" s="129"/>
      <c r="K482" s="129"/>
      <c r="L482" s="129"/>
      <c r="M482" s="129"/>
      <c r="N482" s="4"/>
      <c r="O482" s="4"/>
      <c r="P482" s="4"/>
      <c r="Q482" s="4"/>
      <c r="R482" s="4"/>
      <c r="S482" s="4"/>
      <c r="T482" s="4"/>
      <c r="U482" s="4"/>
      <c r="V482" s="4"/>
      <c r="W482" s="4"/>
      <c r="X482" s="4"/>
      <c r="Y482" s="4"/>
      <c r="Z482" s="4"/>
      <c r="AA482" s="4"/>
      <c r="AB482" s="4"/>
      <c r="AC482" s="4"/>
      <c r="AD482" s="4"/>
      <c r="AE482" s="4"/>
      <c r="AF482" s="4"/>
    </row>
    <row r="483" ht="15.75" customHeight="1">
      <c r="A483" s="4"/>
      <c r="B483" s="4"/>
      <c r="C483" s="4"/>
      <c r="D483" s="4"/>
      <c r="E483" s="4"/>
      <c r="F483" s="4"/>
      <c r="G483" s="4"/>
      <c r="H483" s="4"/>
      <c r="I483" s="129"/>
      <c r="J483" s="129"/>
      <c r="K483" s="129"/>
      <c r="L483" s="129"/>
      <c r="M483" s="129"/>
      <c r="N483" s="4"/>
      <c r="O483" s="4"/>
      <c r="P483" s="4"/>
      <c r="Q483" s="4"/>
      <c r="R483" s="4"/>
      <c r="S483" s="4"/>
      <c r="T483" s="4"/>
      <c r="U483" s="4"/>
      <c r="V483" s="4"/>
      <c r="W483" s="4"/>
      <c r="X483" s="4"/>
      <c r="Y483" s="4"/>
      <c r="Z483" s="4"/>
      <c r="AA483" s="4"/>
      <c r="AB483" s="4"/>
      <c r="AC483" s="4"/>
      <c r="AD483" s="4"/>
      <c r="AE483" s="4"/>
      <c r="AF483" s="4"/>
    </row>
    <row r="484" ht="15.75" customHeight="1">
      <c r="A484" s="4"/>
      <c r="B484" s="4"/>
      <c r="C484" s="4"/>
      <c r="D484" s="4"/>
      <c r="E484" s="4"/>
      <c r="F484" s="4"/>
      <c r="G484" s="4"/>
      <c r="H484" s="4"/>
      <c r="I484" s="129"/>
      <c r="J484" s="129"/>
      <c r="K484" s="129"/>
      <c r="L484" s="129"/>
      <c r="M484" s="129"/>
      <c r="N484" s="4"/>
      <c r="O484" s="4"/>
      <c r="P484" s="4"/>
      <c r="Q484" s="4"/>
      <c r="R484" s="4"/>
      <c r="S484" s="4"/>
      <c r="T484" s="4"/>
      <c r="U484" s="4"/>
      <c r="V484" s="4"/>
      <c r="W484" s="4"/>
      <c r="X484" s="4"/>
      <c r="Y484" s="4"/>
      <c r="Z484" s="4"/>
      <c r="AA484" s="4"/>
      <c r="AB484" s="4"/>
      <c r="AC484" s="4"/>
      <c r="AD484" s="4"/>
      <c r="AE484" s="4"/>
      <c r="AF484" s="4"/>
    </row>
    <row r="485" ht="15.75" customHeight="1">
      <c r="A485" s="4"/>
      <c r="B485" s="4"/>
      <c r="C485" s="4"/>
      <c r="D485" s="4"/>
      <c r="E485" s="4"/>
      <c r="F485" s="4"/>
      <c r="G485" s="4"/>
      <c r="H485" s="4"/>
      <c r="I485" s="129"/>
      <c r="J485" s="129"/>
      <c r="K485" s="129"/>
      <c r="L485" s="129"/>
      <c r="M485" s="129"/>
      <c r="N485" s="4"/>
      <c r="O485" s="4"/>
      <c r="P485" s="4"/>
      <c r="Q485" s="4"/>
      <c r="R485" s="4"/>
      <c r="S485" s="4"/>
      <c r="T485" s="4"/>
      <c r="U485" s="4"/>
      <c r="V485" s="4"/>
      <c r="W485" s="4"/>
      <c r="X485" s="4"/>
      <c r="Y485" s="4"/>
      <c r="Z485" s="4"/>
      <c r="AA485" s="4"/>
      <c r="AB485" s="4"/>
      <c r="AC485" s="4"/>
      <c r="AD485" s="4"/>
      <c r="AE485" s="4"/>
      <c r="AF485" s="4"/>
    </row>
    <row r="486" ht="15.75" customHeight="1">
      <c r="A486" s="4"/>
      <c r="B486" s="4"/>
      <c r="C486" s="4"/>
      <c r="D486" s="4"/>
      <c r="E486" s="4"/>
      <c r="F486" s="4"/>
      <c r="G486" s="4"/>
      <c r="H486" s="4"/>
      <c r="I486" s="129"/>
      <c r="J486" s="129"/>
      <c r="K486" s="129"/>
      <c r="L486" s="129"/>
      <c r="M486" s="129"/>
      <c r="N486" s="4"/>
      <c r="O486" s="4"/>
      <c r="P486" s="4"/>
      <c r="Q486" s="4"/>
      <c r="R486" s="4"/>
      <c r="S486" s="4"/>
      <c r="T486" s="4"/>
      <c r="U486" s="4"/>
      <c r="V486" s="4"/>
      <c r="W486" s="4"/>
      <c r="X486" s="4"/>
      <c r="Y486" s="4"/>
      <c r="Z486" s="4"/>
      <c r="AA486" s="4"/>
      <c r="AB486" s="4"/>
      <c r="AC486" s="4"/>
      <c r="AD486" s="4"/>
      <c r="AE486" s="4"/>
      <c r="AF486" s="4"/>
    </row>
    <row r="487" ht="15.75" customHeight="1">
      <c r="A487" s="4"/>
      <c r="B487" s="4"/>
      <c r="C487" s="4"/>
      <c r="D487" s="4"/>
      <c r="E487" s="4"/>
      <c r="F487" s="4"/>
      <c r="G487" s="4"/>
      <c r="H487" s="4"/>
      <c r="I487" s="129"/>
      <c r="J487" s="129"/>
      <c r="K487" s="129"/>
      <c r="L487" s="129"/>
      <c r="M487" s="129"/>
      <c r="N487" s="4"/>
      <c r="O487" s="4"/>
      <c r="P487" s="4"/>
      <c r="Q487" s="4"/>
      <c r="R487" s="4"/>
      <c r="S487" s="4"/>
      <c r="T487" s="4"/>
      <c r="U487" s="4"/>
      <c r="V487" s="4"/>
      <c r="W487" s="4"/>
      <c r="X487" s="4"/>
      <c r="Y487" s="4"/>
      <c r="Z487" s="4"/>
      <c r="AA487" s="4"/>
      <c r="AB487" s="4"/>
      <c r="AC487" s="4"/>
      <c r="AD487" s="4"/>
      <c r="AE487" s="4"/>
      <c r="AF487" s="4"/>
    </row>
    <row r="488" ht="15.75" customHeight="1">
      <c r="A488" s="4"/>
      <c r="B488" s="4"/>
      <c r="C488" s="4"/>
      <c r="D488" s="4"/>
      <c r="E488" s="4"/>
      <c r="F488" s="4"/>
      <c r="G488" s="4"/>
      <c r="H488" s="4"/>
      <c r="I488" s="129"/>
      <c r="J488" s="129"/>
      <c r="K488" s="129"/>
      <c r="L488" s="129"/>
      <c r="M488" s="129"/>
      <c r="N488" s="4"/>
      <c r="O488" s="4"/>
      <c r="P488" s="4"/>
      <c r="Q488" s="4"/>
      <c r="R488" s="4"/>
      <c r="S488" s="4"/>
      <c r="T488" s="4"/>
      <c r="U488" s="4"/>
      <c r="V488" s="4"/>
      <c r="W488" s="4"/>
      <c r="X488" s="4"/>
      <c r="Y488" s="4"/>
      <c r="Z488" s="4"/>
      <c r="AA488" s="4"/>
      <c r="AB488" s="4"/>
      <c r="AC488" s="4"/>
      <c r="AD488" s="4"/>
      <c r="AE488" s="4"/>
      <c r="AF488" s="4"/>
    </row>
    <row r="489" ht="15.75" customHeight="1">
      <c r="A489" s="4"/>
      <c r="B489" s="4"/>
      <c r="C489" s="4"/>
      <c r="D489" s="4"/>
      <c r="E489" s="4"/>
      <c r="F489" s="4"/>
      <c r="G489" s="4"/>
      <c r="H489" s="4"/>
      <c r="I489" s="129"/>
      <c r="J489" s="129"/>
      <c r="K489" s="129"/>
      <c r="L489" s="129"/>
      <c r="M489" s="129"/>
      <c r="N489" s="4"/>
      <c r="O489" s="4"/>
      <c r="P489" s="4"/>
      <c r="Q489" s="4"/>
      <c r="R489" s="4"/>
      <c r="S489" s="4"/>
      <c r="T489" s="4"/>
      <c r="U489" s="4"/>
      <c r="V489" s="4"/>
      <c r="W489" s="4"/>
      <c r="X489" s="4"/>
      <c r="Y489" s="4"/>
      <c r="Z489" s="4"/>
      <c r="AA489" s="4"/>
      <c r="AB489" s="4"/>
      <c r="AC489" s="4"/>
      <c r="AD489" s="4"/>
      <c r="AE489" s="4"/>
      <c r="AF489" s="4"/>
    </row>
    <row r="490" ht="15.75" customHeight="1">
      <c r="A490" s="4"/>
      <c r="B490" s="4"/>
      <c r="C490" s="4"/>
      <c r="D490" s="4"/>
      <c r="E490" s="4"/>
      <c r="F490" s="4"/>
      <c r="G490" s="4"/>
      <c r="H490" s="4"/>
      <c r="I490" s="129"/>
      <c r="J490" s="129"/>
      <c r="K490" s="129"/>
      <c r="L490" s="129"/>
      <c r="M490" s="129"/>
      <c r="N490" s="4"/>
      <c r="O490" s="4"/>
      <c r="P490" s="4"/>
      <c r="Q490" s="4"/>
      <c r="R490" s="4"/>
      <c r="S490" s="4"/>
      <c r="T490" s="4"/>
      <c r="U490" s="4"/>
      <c r="V490" s="4"/>
      <c r="W490" s="4"/>
      <c r="X490" s="4"/>
      <c r="Y490" s="4"/>
      <c r="Z490" s="4"/>
      <c r="AA490" s="4"/>
      <c r="AB490" s="4"/>
      <c r="AC490" s="4"/>
      <c r="AD490" s="4"/>
      <c r="AE490" s="4"/>
      <c r="AF490" s="4"/>
    </row>
    <row r="491" ht="15.75" customHeight="1">
      <c r="A491" s="4"/>
      <c r="B491" s="4"/>
      <c r="C491" s="4"/>
      <c r="D491" s="4"/>
      <c r="E491" s="4"/>
      <c r="F491" s="4"/>
      <c r="G491" s="4"/>
      <c r="H491" s="4"/>
      <c r="I491" s="129"/>
      <c r="J491" s="129"/>
      <c r="K491" s="129"/>
      <c r="L491" s="129"/>
      <c r="M491" s="129"/>
      <c r="N491" s="4"/>
      <c r="O491" s="4"/>
      <c r="P491" s="4"/>
      <c r="Q491" s="4"/>
      <c r="R491" s="4"/>
      <c r="S491" s="4"/>
      <c r="T491" s="4"/>
      <c r="U491" s="4"/>
      <c r="V491" s="4"/>
      <c r="W491" s="4"/>
      <c r="X491" s="4"/>
      <c r="Y491" s="4"/>
      <c r="Z491" s="4"/>
      <c r="AA491" s="4"/>
      <c r="AB491" s="4"/>
      <c r="AC491" s="4"/>
      <c r="AD491" s="4"/>
      <c r="AE491" s="4"/>
      <c r="AF491" s="4"/>
    </row>
    <row r="492" ht="15.75" customHeight="1">
      <c r="A492" s="4"/>
      <c r="B492" s="4"/>
      <c r="C492" s="4"/>
      <c r="D492" s="4"/>
      <c r="E492" s="4"/>
      <c r="F492" s="4"/>
      <c r="G492" s="4"/>
      <c r="H492" s="4"/>
      <c r="I492" s="129"/>
      <c r="J492" s="129"/>
      <c r="K492" s="129"/>
      <c r="L492" s="129"/>
      <c r="M492" s="129"/>
      <c r="N492" s="4"/>
      <c r="O492" s="4"/>
      <c r="P492" s="4"/>
      <c r="Q492" s="4"/>
      <c r="R492" s="4"/>
      <c r="S492" s="4"/>
      <c r="T492" s="4"/>
      <c r="U492" s="4"/>
      <c r="V492" s="4"/>
      <c r="W492" s="4"/>
      <c r="X492" s="4"/>
      <c r="Y492" s="4"/>
      <c r="Z492" s="4"/>
      <c r="AA492" s="4"/>
      <c r="AB492" s="4"/>
      <c r="AC492" s="4"/>
      <c r="AD492" s="4"/>
      <c r="AE492" s="4"/>
      <c r="AF492" s="4"/>
    </row>
    <row r="493" ht="15.75" customHeight="1">
      <c r="A493" s="4"/>
      <c r="B493" s="4"/>
      <c r="C493" s="4"/>
      <c r="D493" s="4"/>
      <c r="E493" s="4"/>
      <c r="F493" s="4"/>
      <c r="G493" s="4"/>
      <c r="H493" s="4"/>
      <c r="I493" s="129"/>
      <c r="J493" s="129"/>
      <c r="K493" s="129"/>
      <c r="L493" s="129"/>
      <c r="M493" s="129"/>
      <c r="N493" s="4"/>
      <c r="O493" s="4"/>
      <c r="P493" s="4"/>
      <c r="Q493" s="4"/>
      <c r="R493" s="4"/>
      <c r="S493" s="4"/>
      <c r="T493" s="4"/>
      <c r="U493" s="4"/>
      <c r="V493" s="4"/>
      <c r="W493" s="4"/>
      <c r="X493" s="4"/>
      <c r="Y493" s="4"/>
      <c r="Z493" s="4"/>
      <c r="AA493" s="4"/>
      <c r="AB493" s="4"/>
      <c r="AC493" s="4"/>
      <c r="AD493" s="4"/>
      <c r="AE493" s="4"/>
      <c r="AF493" s="4"/>
    </row>
    <row r="494" ht="15.75" customHeight="1">
      <c r="A494" s="4"/>
      <c r="B494" s="4"/>
      <c r="C494" s="4"/>
      <c r="D494" s="4"/>
      <c r="E494" s="4"/>
      <c r="F494" s="4"/>
      <c r="G494" s="4"/>
      <c r="H494" s="4"/>
      <c r="I494" s="129"/>
      <c r="J494" s="129"/>
      <c r="K494" s="129"/>
      <c r="L494" s="129"/>
      <c r="M494" s="129"/>
      <c r="N494" s="4"/>
      <c r="O494" s="4"/>
      <c r="P494" s="4"/>
      <c r="Q494" s="4"/>
      <c r="R494" s="4"/>
      <c r="S494" s="4"/>
      <c r="T494" s="4"/>
      <c r="U494" s="4"/>
      <c r="V494" s="4"/>
      <c r="W494" s="4"/>
      <c r="X494" s="4"/>
      <c r="Y494" s="4"/>
      <c r="Z494" s="4"/>
      <c r="AA494" s="4"/>
      <c r="AB494" s="4"/>
      <c r="AC494" s="4"/>
      <c r="AD494" s="4"/>
      <c r="AE494" s="4"/>
      <c r="AF494" s="4"/>
    </row>
    <row r="495" ht="15.75" customHeight="1">
      <c r="A495" s="4"/>
      <c r="B495" s="4"/>
      <c r="C495" s="4"/>
      <c r="D495" s="4"/>
      <c r="E495" s="4"/>
      <c r="F495" s="4"/>
      <c r="G495" s="4"/>
      <c r="H495" s="4"/>
      <c r="I495" s="129"/>
      <c r="J495" s="129"/>
      <c r="K495" s="129"/>
      <c r="L495" s="129"/>
      <c r="M495" s="129"/>
      <c r="N495" s="4"/>
      <c r="O495" s="4"/>
      <c r="P495" s="4"/>
      <c r="Q495" s="4"/>
      <c r="R495" s="4"/>
      <c r="S495" s="4"/>
      <c r="T495" s="4"/>
      <c r="U495" s="4"/>
      <c r="V495" s="4"/>
      <c r="W495" s="4"/>
      <c r="X495" s="4"/>
      <c r="Y495" s="4"/>
      <c r="Z495" s="4"/>
      <c r="AA495" s="4"/>
      <c r="AB495" s="4"/>
      <c r="AC495" s="4"/>
      <c r="AD495" s="4"/>
      <c r="AE495" s="4"/>
      <c r="AF495" s="4"/>
    </row>
    <row r="496" ht="15.75" customHeight="1">
      <c r="A496" s="4"/>
      <c r="B496" s="4"/>
      <c r="C496" s="4"/>
      <c r="D496" s="4"/>
      <c r="E496" s="4"/>
      <c r="F496" s="4"/>
      <c r="G496" s="4"/>
      <c r="H496" s="4"/>
      <c r="I496" s="129"/>
      <c r="J496" s="129"/>
      <c r="K496" s="129"/>
      <c r="L496" s="129"/>
      <c r="M496" s="129"/>
      <c r="N496" s="4"/>
      <c r="O496" s="4"/>
      <c r="P496" s="4"/>
      <c r="Q496" s="4"/>
      <c r="R496" s="4"/>
      <c r="S496" s="4"/>
      <c r="T496" s="4"/>
      <c r="U496" s="4"/>
      <c r="V496" s="4"/>
      <c r="W496" s="4"/>
      <c r="X496" s="4"/>
      <c r="Y496" s="4"/>
      <c r="Z496" s="4"/>
      <c r="AA496" s="4"/>
      <c r="AB496" s="4"/>
      <c r="AC496" s="4"/>
      <c r="AD496" s="4"/>
      <c r="AE496" s="4"/>
      <c r="AF496" s="4"/>
    </row>
    <row r="497" ht="15.75" customHeight="1">
      <c r="A497" s="4"/>
      <c r="B497" s="4"/>
      <c r="C497" s="4"/>
      <c r="D497" s="4"/>
      <c r="E497" s="4"/>
      <c r="F497" s="4"/>
      <c r="G497" s="4"/>
      <c r="H497" s="4"/>
      <c r="I497" s="129"/>
      <c r="J497" s="129"/>
      <c r="K497" s="129"/>
      <c r="L497" s="129"/>
      <c r="M497" s="129"/>
      <c r="N497" s="4"/>
      <c r="O497" s="4"/>
      <c r="P497" s="4"/>
      <c r="Q497" s="4"/>
      <c r="R497" s="4"/>
      <c r="S497" s="4"/>
      <c r="T497" s="4"/>
      <c r="U497" s="4"/>
      <c r="V497" s="4"/>
      <c r="W497" s="4"/>
      <c r="X497" s="4"/>
      <c r="Y497" s="4"/>
      <c r="Z497" s="4"/>
      <c r="AA497" s="4"/>
      <c r="AB497" s="4"/>
      <c r="AC497" s="4"/>
      <c r="AD497" s="4"/>
      <c r="AE497" s="4"/>
      <c r="AF497" s="4"/>
    </row>
    <row r="498" ht="15.75" customHeight="1">
      <c r="A498" s="4"/>
      <c r="B498" s="4"/>
      <c r="C498" s="4"/>
      <c r="D498" s="4"/>
      <c r="E498" s="4"/>
      <c r="F498" s="4"/>
      <c r="G498" s="4"/>
      <c r="H498" s="4"/>
      <c r="I498" s="129"/>
      <c r="J498" s="129"/>
      <c r="K498" s="129"/>
      <c r="L498" s="129"/>
      <c r="M498" s="129"/>
      <c r="N498" s="4"/>
      <c r="O498" s="4"/>
      <c r="P498" s="4"/>
      <c r="Q498" s="4"/>
      <c r="R498" s="4"/>
      <c r="S498" s="4"/>
      <c r="T498" s="4"/>
      <c r="U498" s="4"/>
      <c r="V498" s="4"/>
      <c r="W498" s="4"/>
      <c r="X498" s="4"/>
      <c r="Y498" s="4"/>
      <c r="Z498" s="4"/>
      <c r="AA498" s="4"/>
      <c r="AB498" s="4"/>
      <c r="AC498" s="4"/>
      <c r="AD498" s="4"/>
      <c r="AE498" s="4"/>
      <c r="AF498" s="4"/>
    </row>
    <row r="499" ht="15.75" customHeight="1">
      <c r="A499" s="4"/>
      <c r="B499" s="4"/>
      <c r="C499" s="4"/>
      <c r="D499" s="4"/>
      <c r="E499" s="4"/>
      <c r="F499" s="4"/>
      <c r="G499" s="4"/>
      <c r="H499" s="4"/>
      <c r="I499" s="129"/>
      <c r="J499" s="129"/>
      <c r="K499" s="129"/>
      <c r="L499" s="129"/>
      <c r="M499" s="129"/>
      <c r="N499" s="4"/>
      <c r="O499" s="4"/>
      <c r="P499" s="4"/>
      <c r="Q499" s="4"/>
      <c r="R499" s="4"/>
      <c r="S499" s="4"/>
      <c r="T499" s="4"/>
      <c r="U499" s="4"/>
      <c r="V499" s="4"/>
      <c r="W499" s="4"/>
      <c r="X499" s="4"/>
      <c r="Y499" s="4"/>
      <c r="Z499" s="4"/>
      <c r="AA499" s="4"/>
      <c r="AB499" s="4"/>
      <c r="AC499" s="4"/>
      <c r="AD499" s="4"/>
      <c r="AE499" s="4"/>
      <c r="AF499" s="4"/>
    </row>
    <row r="500" ht="15.75" customHeight="1">
      <c r="A500" s="4"/>
      <c r="B500" s="4"/>
      <c r="C500" s="4"/>
      <c r="D500" s="4"/>
      <c r="E500" s="4"/>
      <c r="F500" s="4"/>
      <c r="G500" s="4"/>
      <c r="H500" s="4"/>
      <c r="I500" s="129"/>
      <c r="J500" s="129"/>
      <c r="K500" s="129"/>
      <c r="L500" s="129"/>
      <c r="M500" s="129"/>
      <c r="N500" s="4"/>
      <c r="O500" s="4"/>
      <c r="P500" s="4"/>
      <c r="Q500" s="4"/>
      <c r="R500" s="4"/>
      <c r="S500" s="4"/>
      <c r="T500" s="4"/>
      <c r="U500" s="4"/>
      <c r="V500" s="4"/>
      <c r="W500" s="4"/>
      <c r="X500" s="4"/>
      <c r="Y500" s="4"/>
      <c r="Z500" s="4"/>
      <c r="AA500" s="4"/>
      <c r="AB500" s="4"/>
      <c r="AC500" s="4"/>
      <c r="AD500" s="4"/>
      <c r="AE500" s="4"/>
      <c r="AF500" s="4"/>
    </row>
    <row r="501" ht="15.75" customHeight="1">
      <c r="A501" s="4"/>
      <c r="B501" s="4"/>
      <c r="C501" s="4"/>
      <c r="D501" s="4"/>
      <c r="E501" s="4"/>
      <c r="F501" s="4"/>
      <c r="G501" s="4"/>
      <c r="H501" s="4"/>
      <c r="I501" s="129"/>
      <c r="J501" s="129"/>
      <c r="K501" s="129"/>
      <c r="L501" s="129"/>
      <c r="M501" s="129"/>
      <c r="N501" s="4"/>
      <c r="O501" s="4"/>
      <c r="P501" s="4"/>
      <c r="Q501" s="4"/>
      <c r="R501" s="4"/>
      <c r="S501" s="4"/>
      <c r="T501" s="4"/>
      <c r="U501" s="4"/>
      <c r="V501" s="4"/>
      <c r="W501" s="4"/>
      <c r="X501" s="4"/>
      <c r="Y501" s="4"/>
      <c r="Z501" s="4"/>
      <c r="AA501" s="4"/>
      <c r="AB501" s="4"/>
      <c r="AC501" s="4"/>
      <c r="AD501" s="4"/>
      <c r="AE501" s="4"/>
      <c r="AF501" s="4"/>
    </row>
    <row r="502" ht="15.75" customHeight="1">
      <c r="A502" s="4"/>
      <c r="B502" s="4"/>
      <c r="C502" s="4"/>
      <c r="D502" s="4"/>
      <c r="E502" s="4"/>
      <c r="F502" s="4"/>
      <c r="G502" s="4"/>
      <c r="H502" s="4"/>
      <c r="I502" s="129"/>
      <c r="J502" s="129"/>
      <c r="K502" s="129"/>
      <c r="L502" s="129"/>
      <c r="M502" s="129"/>
      <c r="N502" s="4"/>
      <c r="O502" s="4"/>
      <c r="P502" s="4"/>
      <c r="Q502" s="4"/>
      <c r="R502" s="4"/>
      <c r="S502" s="4"/>
      <c r="T502" s="4"/>
      <c r="U502" s="4"/>
      <c r="V502" s="4"/>
      <c r="W502" s="4"/>
      <c r="X502" s="4"/>
      <c r="Y502" s="4"/>
      <c r="Z502" s="4"/>
      <c r="AA502" s="4"/>
      <c r="AB502" s="4"/>
      <c r="AC502" s="4"/>
      <c r="AD502" s="4"/>
      <c r="AE502" s="4"/>
      <c r="AF502" s="4"/>
    </row>
    <row r="503" ht="15.75" customHeight="1">
      <c r="A503" s="4"/>
      <c r="B503" s="4"/>
      <c r="C503" s="4"/>
      <c r="D503" s="4"/>
      <c r="E503" s="4"/>
      <c r="F503" s="4"/>
      <c r="G503" s="4"/>
      <c r="H503" s="4"/>
      <c r="I503" s="129"/>
      <c r="J503" s="129"/>
      <c r="K503" s="129"/>
      <c r="L503" s="129"/>
      <c r="M503" s="129"/>
      <c r="N503" s="4"/>
      <c r="O503" s="4"/>
      <c r="P503" s="4"/>
      <c r="Q503" s="4"/>
      <c r="R503" s="4"/>
      <c r="S503" s="4"/>
      <c r="T503" s="4"/>
      <c r="U503" s="4"/>
      <c r="V503" s="4"/>
      <c r="W503" s="4"/>
      <c r="X503" s="4"/>
      <c r="Y503" s="4"/>
      <c r="Z503" s="4"/>
      <c r="AA503" s="4"/>
      <c r="AB503" s="4"/>
      <c r="AC503" s="4"/>
      <c r="AD503" s="4"/>
      <c r="AE503" s="4"/>
      <c r="AF503" s="4"/>
    </row>
    <row r="504" ht="15.75" customHeight="1">
      <c r="A504" s="4"/>
      <c r="B504" s="4"/>
      <c r="C504" s="4"/>
      <c r="D504" s="4"/>
      <c r="E504" s="4"/>
      <c r="F504" s="4"/>
      <c r="G504" s="4"/>
      <c r="H504" s="4"/>
      <c r="I504" s="129"/>
      <c r="J504" s="129"/>
      <c r="K504" s="129"/>
      <c r="L504" s="129"/>
      <c r="M504" s="129"/>
      <c r="N504" s="4"/>
      <c r="O504" s="4"/>
      <c r="P504" s="4"/>
      <c r="Q504" s="4"/>
      <c r="R504" s="4"/>
      <c r="S504" s="4"/>
      <c r="T504" s="4"/>
      <c r="U504" s="4"/>
      <c r="V504" s="4"/>
      <c r="W504" s="4"/>
      <c r="X504" s="4"/>
      <c r="Y504" s="4"/>
      <c r="Z504" s="4"/>
      <c r="AA504" s="4"/>
      <c r="AB504" s="4"/>
      <c r="AC504" s="4"/>
      <c r="AD504" s="4"/>
      <c r="AE504" s="4"/>
      <c r="AF504" s="4"/>
    </row>
    <row r="505" ht="15.75" customHeight="1">
      <c r="A505" s="4"/>
      <c r="B505" s="4"/>
      <c r="C505" s="4"/>
      <c r="D505" s="4"/>
      <c r="E505" s="4"/>
      <c r="F505" s="4"/>
      <c r="G505" s="4"/>
      <c r="H505" s="4"/>
      <c r="I505" s="129"/>
      <c r="J505" s="129"/>
      <c r="K505" s="129"/>
      <c r="L505" s="129"/>
      <c r="M505" s="129"/>
      <c r="N505" s="4"/>
      <c r="O505" s="4"/>
      <c r="P505" s="4"/>
      <c r="Q505" s="4"/>
      <c r="R505" s="4"/>
      <c r="S505" s="4"/>
      <c r="T505" s="4"/>
      <c r="U505" s="4"/>
      <c r="V505" s="4"/>
      <c r="W505" s="4"/>
      <c r="X505" s="4"/>
      <c r="Y505" s="4"/>
      <c r="Z505" s="4"/>
      <c r="AA505" s="4"/>
      <c r="AB505" s="4"/>
      <c r="AC505" s="4"/>
      <c r="AD505" s="4"/>
      <c r="AE505" s="4"/>
      <c r="AF505" s="4"/>
    </row>
    <row r="506" ht="15.75" customHeight="1">
      <c r="A506" s="4"/>
      <c r="B506" s="4"/>
      <c r="C506" s="4"/>
      <c r="D506" s="4"/>
      <c r="E506" s="4"/>
      <c r="F506" s="4"/>
      <c r="G506" s="4"/>
      <c r="H506" s="4"/>
      <c r="I506" s="129"/>
      <c r="J506" s="129"/>
      <c r="K506" s="129"/>
      <c r="L506" s="129"/>
      <c r="M506" s="129"/>
      <c r="N506" s="4"/>
      <c r="O506" s="4"/>
      <c r="P506" s="4"/>
      <c r="Q506" s="4"/>
      <c r="R506" s="4"/>
      <c r="S506" s="4"/>
      <c r="T506" s="4"/>
      <c r="U506" s="4"/>
      <c r="V506" s="4"/>
      <c r="W506" s="4"/>
      <c r="X506" s="4"/>
      <c r="Y506" s="4"/>
      <c r="Z506" s="4"/>
      <c r="AA506" s="4"/>
      <c r="AB506" s="4"/>
      <c r="AC506" s="4"/>
      <c r="AD506" s="4"/>
      <c r="AE506" s="4"/>
      <c r="AF506" s="4"/>
    </row>
    <row r="507" ht="15.75" customHeight="1">
      <c r="A507" s="4"/>
      <c r="B507" s="4"/>
      <c r="C507" s="4"/>
      <c r="D507" s="4"/>
      <c r="E507" s="4"/>
      <c r="F507" s="4"/>
      <c r="G507" s="4"/>
      <c r="H507" s="4"/>
      <c r="I507" s="129"/>
      <c r="J507" s="129"/>
      <c r="K507" s="129"/>
      <c r="L507" s="129"/>
      <c r="M507" s="129"/>
      <c r="N507" s="4"/>
      <c r="O507" s="4"/>
      <c r="P507" s="4"/>
      <c r="Q507" s="4"/>
      <c r="R507" s="4"/>
      <c r="S507" s="4"/>
      <c r="T507" s="4"/>
      <c r="U507" s="4"/>
      <c r="V507" s="4"/>
      <c r="W507" s="4"/>
      <c r="X507" s="4"/>
      <c r="Y507" s="4"/>
      <c r="Z507" s="4"/>
      <c r="AA507" s="4"/>
      <c r="AB507" s="4"/>
      <c r="AC507" s="4"/>
      <c r="AD507" s="4"/>
      <c r="AE507" s="4"/>
      <c r="AF507" s="4"/>
    </row>
    <row r="508" ht="15.75" customHeight="1">
      <c r="A508" s="4"/>
      <c r="B508" s="4"/>
      <c r="C508" s="4"/>
      <c r="D508" s="4"/>
      <c r="E508" s="4"/>
      <c r="F508" s="4"/>
      <c r="G508" s="4"/>
      <c r="H508" s="4"/>
      <c r="I508" s="129"/>
      <c r="J508" s="129"/>
      <c r="K508" s="129"/>
      <c r="L508" s="129"/>
      <c r="M508" s="129"/>
      <c r="N508" s="4"/>
      <c r="O508" s="4"/>
      <c r="P508" s="4"/>
      <c r="Q508" s="4"/>
      <c r="R508" s="4"/>
      <c r="S508" s="4"/>
      <c r="T508" s="4"/>
      <c r="U508" s="4"/>
      <c r="V508" s="4"/>
      <c r="W508" s="4"/>
      <c r="X508" s="4"/>
      <c r="Y508" s="4"/>
      <c r="Z508" s="4"/>
      <c r="AA508" s="4"/>
      <c r="AB508" s="4"/>
      <c r="AC508" s="4"/>
      <c r="AD508" s="4"/>
      <c r="AE508" s="4"/>
      <c r="AF508" s="4"/>
    </row>
    <row r="509" ht="15.75" customHeight="1">
      <c r="A509" s="4"/>
      <c r="B509" s="4"/>
      <c r="C509" s="4"/>
      <c r="D509" s="4"/>
      <c r="E509" s="4"/>
      <c r="F509" s="4"/>
      <c r="G509" s="4"/>
      <c r="H509" s="4"/>
      <c r="I509" s="129"/>
      <c r="J509" s="129"/>
      <c r="K509" s="129"/>
      <c r="L509" s="129"/>
      <c r="M509" s="129"/>
      <c r="N509" s="4"/>
      <c r="O509" s="4"/>
      <c r="P509" s="4"/>
      <c r="Q509" s="4"/>
      <c r="R509" s="4"/>
      <c r="S509" s="4"/>
      <c r="T509" s="4"/>
      <c r="U509" s="4"/>
      <c r="V509" s="4"/>
      <c r="W509" s="4"/>
      <c r="X509" s="4"/>
      <c r="Y509" s="4"/>
      <c r="Z509" s="4"/>
      <c r="AA509" s="4"/>
      <c r="AB509" s="4"/>
      <c r="AC509" s="4"/>
      <c r="AD509" s="4"/>
      <c r="AE509" s="4"/>
      <c r="AF509" s="4"/>
    </row>
    <row r="510" ht="15.75" customHeight="1">
      <c r="A510" s="4"/>
      <c r="B510" s="4"/>
      <c r="C510" s="4"/>
      <c r="D510" s="4"/>
      <c r="E510" s="4"/>
      <c r="F510" s="4"/>
      <c r="G510" s="4"/>
      <c r="H510" s="4"/>
      <c r="I510" s="129"/>
      <c r="J510" s="129"/>
      <c r="K510" s="129"/>
      <c r="L510" s="129"/>
      <c r="M510" s="129"/>
      <c r="N510" s="4"/>
      <c r="O510" s="4"/>
      <c r="P510" s="4"/>
      <c r="Q510" s="4"/>
      <c r="R510" s="4"/>
      <c r="S510" s="4"/>
      <c r="T510" s="4"/>
      <c r="U510" s="4"/>
      <c r="V510" s="4"/>
      <c r="W510" s="4"/>
      <c r="X510" s="4"/>
      <c r="Y510" s="4"/>
      <c r="Z510" s="4"/>
      <c r="AA510" s="4"/>
      <c r="AB510" s="4"/>
      <c r="AC510" s="4"/>
      <c r="AD510" s="4"/>
      <c r="AE510" s="4"/>
      <c r="AF510" s="4"/>
    </row>
    <row r="511" ht="15.75" customHeight="1">
      <c r="A511" s="4"/>
      <c r="B511" s="4"/>
      <c r="C511" s="4"/>
      <c r="D511" s="4"/>
      <c r="E511" s="4"/>
      <c r="F511" s="4"/>
      <c r="G511" s="4"/>
      <c r="H511" s="4"/>
      <c r="I511" s="129"/>
      <c r="J511" s="129"/>
      <c r="K511" s="129"/>
      <c r="L511" s="129"/>
      <c r="M511" s="129"/>
      <c r="N511" s="4"/>
      <c r="O511" s="4"/>
      <c r="P511" s="4"/>
      <c r="Q511" s="4"/>
      <c r="R511" s="4"/>
      <c r="S511" s="4"/>
      <c r="T511" s="4"/>
      <c r="U511" s="4"/>
      <c r="V511" s="4"/>
      <c r="W511" s="4"/>
      <c r="X511" s="4"/>
      <c r="Y511" s="4"/>
      <c r="Z511" s="4"/>
      <c r="AA511" s="4"/>
      <c r="AB511" s="4"/>
      <c r="AC511" s="4"/>
      <c r="AD511" s="4"/>
      <c r="AE511" s="4"/>
      <c r="AF511" s="4"/>
    </row>
    <row r="512" ht="15.75" customHeight="1">
      <c r="A512" s="4"/>
      <c r="B512" s="4"/>
      <c r="C512" s="4"/>
      <c r="D512" s="4"/>
      <c r="E512" s="4"/>
      <c r="F512" s="4"/>
      <c r="G512" s="4"/>
      <c r="H512" s="4"/>
      <c r="I512" s="129"/>
      <c r="J512" s="129"/>
      <c r="K512" s="129"/>
      <c r="L512" s="129"/>
      <c r="M512" s="129"/>
      <c r="N512" s="4"/>
      <c r="O512" s="4"/>
      <c r="P512" s="4"/>
      <c r="Q512" s="4"/>
      <c r="R512" s="4"/>
      <c r="S512" s="4"/>
      <c r="T512" s="4"/>
      <c r="U512" s="4"/>
      <c r="V512" s="4"/>
      <c r="W512" s="4"/>
      <c r="X512" s="4"/>
      <c r="Y512" s="4"/>
      <c r="Z512" s="4"/>
      <c r="AA512" s="4"/>
      <c r="AB512" s="4"/>
      <c r="AC512" s="4"/>
      <c r="AD512" s="4"/>
      <c r="AE512" s="4"/>
      <c r="AF512" s="4"/>
    </row>
    <row r="513" ht="15.75" customHeight="1">
      <c r="A513" s="4"/>
      <c r="B513" s="4"/>
      <c r="C513" s="4"/>
      <c r="D513" s="4"/>
      <c r="E513" s="4"/>
      <c r="F513" s="4"/>
      <c r="G513" s="4"/>
      <c r="H513" s="4"/>
      <c r="I513" s="129"/>
      <c r="J513" s="129"/>
      <c r="K513" s="129"/>
      <c r="L513" s="129"/>
      <c r="M513" s="129"/>
      <c r="N513" s="4"/>
      <c r="O513" s="4"/>
      <c r="P513" s="4"/>
      <c r="Q513" s="4"/>
      <c r="R513" s="4"/>
      <c r="S513" s="4"/>
      <c r="T513" s="4"/>
      <c r="U513" s="4"/>
      <c r="V513" s="4"/>
      <c r="W513" s="4"/>
      <c r="X513" s="4"/>
      <c r="Y513" s="4"/>
      <c r="Z513" s="4"/>
      <c r="AA513" s="4"/>
      <c r="AB513" s="4"/>
      <c r="AC513" s="4"/>
      <c r="AD513" s="4"/>
      <c r="AE513" s="4"/>
      <c r="AF513" s="4"/>
    </row>
    <row r="514" ht="15.75" customHeight="1">
      <c r="A514" s="4"/>
      <c r="B514" s="4"/>
      <c r="C514" s="4"/>
      <c r="D514" s="4"/>
      <c r="E514" s="4"/>
      <c r="F514" s="4"/>
      <c r="G514" s="4"/>
      <c r="H514" s="4"/>
      <c r="I514" s="129"/>
      <c r="J514" s="129"/>
      <c r="K514" s="129"/>
      <c r="L514" s="129"/>
      <c r="M514" s="129"/>
      <c r="N514" s="4"/>
      <c r="O514" s="4"/>
      <c r="P514" s="4"/>
      <c r="Q514" s="4"/>
      <c r="R514" s="4"/>
      <c r="S514" s="4"/>
      <c r="T514" s="4"/>
      <c r="U514" s="4"/>
      <c r="V514" s="4"/>
      <c r="W514" s="4"/>
      <c r="X514" s="4"/>
      <c r="Y514" s="4"/>
      <c r="Z514" s="4"/>
      <c r="AA514" s="4"/>
      <c r="AB514" s="4"/>
      <c r="AC514" s="4"/>
      <c r="AD514" s="4"/>
      <c r="AE514" s="4"/>
      <c r="AF514" s="4"/>
    </row>
    <row r="515" ht="15.75" customHeight="1">
      <c r="A515" s="4"/>
      <c r="B515" s="4"/>
      <c r="C515" s="4"/>
      <c r="D515" s="4"/>
      <c r="E515" s="4"/>
      <c r="F515" s="4"/>
      <c r="G515" s="4"/>
      <c r="H515" s="4"/>
      <c r="I515" s="129"/>
      <c r="J515" s="129"/>
      <c r="K515" s="129"/>
      <c r="L515" s="129"/>
      <c r="M515" s="129"/>
      <c r="N515" s="4"/>
      <c r="O515" s="4"/>
      <c r="P515" s="4"/>
      <c r="Q515" s="4"/>
      <c r="R515" s="4"/>
      <c r="S515" s="4"/>
      <c r="T515" s="4"/>
      <c r="U515" s="4"/>
      <c r="V515" s="4"/>
      <c r="W515" s="4"/>
      <c r="X515" s="4"/>
      <c r="Y515" s="4"/>
      <c r="Z515" s="4"/>
      <c r="AA515" s="4"/>
      <c r="AB515" s="4"/>
      <c r="AC515" s="4"/>
      <c r="AD515" s="4"/>
      <c r="AE515" s="4"/>
      <c r="AF515" s="4"/>
    </row>
    <row r="516" ht="15.75" customHeight="1">
      <c r="A516" s="4"/>
      <c r="B516" s="4"/>
      <c r="C516" s="4"/>
      <c r="D516" s="4"/>
      <c r="E516" s="4"/>
      <c r="F516" s="4"/>
      <c r="G516" s="4"/>
      <c r="H516" s="4"/>
      <c r="I516" s="129"/>
      <c r="J516" s="129"/>
      <c r="K516" s="129"/>
      <c r="L516" s="129"/>
      <c r="M516" s="129"/>
      <c r="N516" s="4"/>
      <c r="O516" s="4"/>
      <c r="P516" s="4"/>
      <c r="Q516" s="4"/>
      <c r="R516" s="4"/>
      <c r="S516" s="4"/>
      <c r="T516" s="4"/>
      <c r="U516" s="4"/>
      <c r="V516" s="4"/>
      <c r="W516" s="4"/>
      <c r="X516" s="4"/>
      <c r="Y516" s="4"/>
      <c r="Z516" s="4"/>
      <c r="AA516" s="4"/>
      <c r="AB516" s="4"/>
      <c r="AC516" s="4"/>
      <c r="AD516" s="4"/>
      <c r="AE516" s="4"/>
      <c r="AF516" s="4"/>
    </row>
    <row r="517" ht="15.75" customHeight="1">
      <c r="A517" s="4"/>
      <c r="B517" s="4"/>
      <c r="C517" s="4"/>
      <c r="D517" s="4"/>
      <c r="E517" s="4"/>
      <c r="F517" s="4"/>
      <c r="G517" s="4"/>
      <c r="H517" s="4"/>
      <c r="I517" s="129"/>
      <c r="J517" s="129"/>
      <c r="K517" s="129"/>
      <c r="L517" s="129"/>
      <c r="M517" s="129"/>
      <c r="N517" s="4"/>
      <c r="O517" s="4"/>
      <c r="P517" s="4"/>
      <c r="Q517" s="4"/>
      <c r="R517" s="4"/>
      <c r="S517" s="4"/>
      <c r="T517" s="4"/>
      <c r="U517" s="4"/>
      <c r="V517" s="4"/>
      <c r="W517" s="4"/>
      <c r="X517" s="4"/>
      <c r="Y517" s="4"/>
      <c r="Z517" s="4"/>
      <c r="AA517" s="4"/>
      <c r="AB517" s="4"/>
      <c r="AC517" s="4"/>
      <c r="AD517" s="4"/>
      <c r="AE517" s="4"/>
      <c r="AF517" s="4"/>
    </row>
    <row r="518" ht="15.75" customHeight="1">
      <c r="A518" s="4"/>
      <c r="B518" s="4"/>
      <c r="C518" s="4"/>
      <c r="D518" s="4"/>
      <c r="E518" s="4"/>
      <c r="F518" s="4"/>
      <c r="G518" s="4"/>
      <c r="H518" s="4"/>
      <c r="I518" s="129"/>
      <c r="J518" s="129"/>
      <c r="K518" s="129"/>
      <c r="L518" s="129"/>
      <c r="M518" s="129"/>
      <c r="N518" s="4"/>
      <c r="O518" s="4"/>
      <c r="P518" s="4"/>
      <c r="Q518" s="4"/>
      <c r="R518" s="4"/>
      <c r="S518" s="4"/>
      <c r="T518" s="4"/>
      <c r="U518" s="4"/>
      <c r="V518" s="4"/>
      <c r="W518" s="4"/>
      <c r="X518" s="4"/>
      <c r="Y518" s="4"/>
      <c r="Z518" s="4"/>
      <c r="AA518" s="4"/>
      <c r="AB518" s="4"/>
      <c r="AC518" s="4"/>
      <c r="AD518" s="4"/>
      <c r="AE518" s="4"/>
      <c r="AF518" s="4"/>
    </row>
    <row r="519" ht="15.75" customHeight="1">
      <c r="A519" s="4"/>
      <c r="B519" s="4"/>
      <c r="C519" s="4"/>
      <c r="D519" s="4"/>
      <c r="E519" s="4"/>
      <c r="F519" s="4"/>
      <c r="G519" s="4"/>
      <c r="H519" s="4"/>
      <c r="I519" s="129"/>
      <c r="J519" s="129"/>
      <c r="K519" s="129"/>
      <c r="L519" s="129"/>
      <c r="M519" s="129"/>
      <c r="N519" s="4"/>
      <c r="O519" s="4"/>
      <c r="P519" s="4"/>
      <c r="Q519" s="4"/>
      <c r="R519" s="4"/>
      <c r="S519" s="4"/>
      <c r="T519" s="4"/>
      <c r="U519" s="4"/>
      <c r="V519" s="4"/>
      <c r="W519" s="4"/>
      <c r="X519" s="4"/>
      <c r="Y519" s="4"/>
      <c r="Z519" s="4"/>
      <c r="AA519" s="4"/>
      <c r="AB519" s="4"/>
      <c r="AC519" s="4"/>
      <c r="AD519" s="4"/>
      <c r="AE519" s="4"/>
      <c r="AF519" s="4"/>
    </row>
    <row r="520" ht="15.75" customHeight="1">
      <c r="A520" s="4"/>
      <c r="B520" s="4"/>
      <c r="C520" s="4"/>
      <c r="D520" s="4"/>
      <c r="E520" s="4"/>
      <c r="F520" s="4"/>
      <c r="G520" s="4"/>
      <c r="H520" s="4"/>
      <c r="I520" s="129"/>
      <c r="J520" s="129"/>
      <c r="K520" s="129"/>
      <c r="L520" s="129"/>
      <c r="M520" s="129"/>
      <c r="N520" s="4"/>
      <c r="O520" s="4"/>
      <c r="P520" s="4"/>
      <c r="Q520" s="4"/>
      <c r="R520" s="4"/>
      <c r="S520" s="4"/>
      <c r="T520" s="4"/>
      <c r="U520" s="4"/>
      <c r="V520" s="4"/>
      <c r="W520" s="4"/>
      <c r="X520" s="4"/>
      <c r="Y520" s="4"/>
      <c r="Z520" s="4"/>
      <c r="AA520" s="4"/>
      <c r="AB520" s="4"/>
      <c r="AC520" s="4"/>
      <c r="AD520" s="4"/>
      <c r="AE520" s="4"/>
      <c r="AF520" s="4"/>
    </row>
    <row r="521" ht="15.75" customHeight="1">
      <c r="A521" s="4"/>
      <c r="B521" s="4"/>
      <c r="C521" s="4"/>
      <c r="D521" s="4"/>
      <c r="E521" s="4"/>
      <c r="F521" s="4"/>
      <c r="G521" s="4"/>
      <c r="H521" s="4"/>
      <c r="I521" s="129"/>
      <c r="J521" s="129"/>
      <c r="K521" s="129"/>
      <c r="L521" s="129"/>
      <c r="M521" s="129"/>
      <c r="N521" s="4"/>
      <c r="O521" s="4"/>
      <c r="P521" s="4"/>
      <c r="Q521" s="4"/>
      <c r="R521" s="4"/>
      <c r="S521" s="4"/>
      <c r="T521" s="4"/>
      <c r="U521" s="4"/>
      <c r="V521" s="4"/>
      <c r="W521" s="4"/>
      <c r="X521" s="4"/>
      <c r="Y521" s="4"/>
      <c r="Z521" s="4"/>
      <c r="AA521" s="4"/>
      <c r="AB521" s="4"/>
      <c r="AC521" s="4"/>
      <c r="AD521" s="4"/>
      <c r="AE521" s="4"/>
      <c r="AF521" s="4"/>
    </row>
    <row r="522" ht="15.75" customHeight="1">
      <c r="A522" s="4"/>
      <c r="B522" s="4"/>
      <c r="C522" s="4"/>
      <c r="D522" s="4"/>
      <c r="E522" s="4"/>
      <c r="F522" s="4"/>
      <c r="G522" s="4"/>
      <c r="H522" s="4"/>
      <c r="I522" s="129"/>
      <c r="J522" s="129"/>
      <c r="K522" s="129"/>
      <c r="L522" s="129"/>
      <c r="M522" s="129"/>
      <c r="N522" s="4"/>
      <c r="O522" s="4"/>
      <c r="P522" s="4"/>
      <c r="Q522" s="4"/>
      <c r="R522" s="4"/>
      <c r="S522" s="4"/>
      <c r="T522" s="4"/>
      <c r="U522" s="4"/>
      <c r="V522" s="4"/>
      <c r="W522" s="4"/>
      <c r="X522" s="4"/>
      <c r="Y522" s="4"/>
      <c r="Z522" s="4"/>
      <c r="AA522" s="4"/>
      <c r="AB522" s="4"/>
      <c r="AC522" s="4"/>
      <c r="AD522" s="4"/>
      <c r="AE522" s="4"/>
      <c r="AF522" s="4"/>
    </row>
    <row r="523" ht="15.75" customHeight="1">
      <c r="A523" s="4"/>
      <c r="B523" s="4"/>
      <c r="C523" s="4"/>
      <c r="D523" s="4"/>
      <c r="E523" s="4"/>
      <c r="F523" s="4"/>
      <c r="G523" s="4"/>
      <c r="H523" s="4"/>
      <c r="I523" s="129"/>
      <c r="J523" s="129"/>
      <c r="K523" s="129"/>
      <c r="L523" s="129"/>
      <c r="M523" s="129"/>
      <c r="N523" s="4"/>
      <c r="O523" s="4"/>
      <c r="P523" s="4"/>
      <c r="Q523" s="4"/>
      <c r="R523" s="4"/>
      <c r="S523" s="4"/>
      <c r="T523" s="4"/>
      <c r="U523" s="4"/>
      <c r="V523" s="4"/>
      <c r="W523" s="4"/>
      <c r="X523" s="4"/>
      <c r="Y523" s="4"/>
      <c r="Z523" s="4"/>
      <c r="AA523" s="4"/>
      <c r="AB523" s="4"/>
      <c r="AC523" s="4"/>
      <c r="AD523" s="4"/>
      <c r="AE523" s="4"/>
      <c r="AF523" s="4"/>
    </row>
    <row r="524" ht="15.75" customHeight="1">
      <c r="A524" s="4"/>
      <c r="B524" s="4"/>
      <c r="C524" s="4"/>
      <c r="D524" s="4"/>
      <c r="E524" s="4"/>
      <c r="F524" s="4"/>
      <c r="G524" s="4"/>
      <c r="H524" s="4"/>
      <c r="I524" s="129"/>
      <c r="J524" s="129"/>
      <c r="K524" s="129"/>
      <c r="L524" s="129"/>
      <c r="M524" s="129"/>
      <c r="N524" s="4"/>
      <c r="O524" s="4"/>
      <c r="P524" s="4"/>
      <c r="Q524" s="4"/>
      <c r="R524" s="4"/>
      <c r="S524" s="4"/>
      <c r="T524" s="4"/>
      <c r="U524" s="4"/>
      <c r="V524" s="4"/>
      <c r="W524" s="4"/>
      <c r="X524" s="4"/>
      <c r="Y524" s="4"/>
      <c r="Z524" s="4"/>
      <c r="AA524" s="4"/>
      <c r="AB524" s="4"/>
      <c r="AC524" s="4"/>
      <c r="AD524" s="4"/>
      <c r="AE524" s="4"/>
      <c r="AF524" s="4"/>
    </row>
    <row r="525" ht="15.75" customHeight="1">
      <c r="A525" s="4"/>
      <c r="B525" s="4"/>
      <c r="C525" s="4"/>
      <c r="D525" s="4"/>
      <c r="E525" s="4"/>
      <c r="F525" s="4"/>
      <c r="G525" s="4"/>
      <c r="H525" s="4"/>
      <c r="I525" s="129"/>
      <c r="J525" s="129"/>
      <c r="K525" s="129"/>
      <c r="L525" s="129"/>
      <c r="M525" s="129"/>
      <c r="N525" s="4"/>
      <c r="O525" s="4"/>
      <c r="P525" s="4"/>
      <c r="Q525" s="4"/>
      <c r="R525" s="4"/>
      <c r="S525" s="4"/>
      <c r="T525" s="4"/>
      <c r="U525" s="4"/>
      <c r="V525" s="4"/>
      <c r="W525" s="4"/>
      <c r="X525" s="4"/>
      <c r="Y525" s="4"/>
      <c r="Z525" s="4"/>
      <c r="AA525" s="4"/>
      <c r="AB525" s="4"/>
      <c r="AC525" s="4"/>
      <c r="AD525" s="4"/>
      <c r="AE525" s="4"/>
      <c r="AF525" s="4"/>
    </row>
    <row r="526" ht="15.75" customHeight="1">
      <c r="A526" s="4"/>
      <c r="B526" s="4"/>
      <c r="C526" s="4"/>
      <c r="D526" s="4"/>
      <c r="E526" s="4"/>
      <c r="F526" s="4"/>
      <c r="G526" s="4"/>
      <c r="H526" s="4"/>
      <c r="I526" s="129"/>
      <c r="J526" s="129"/>
      <c r="K526" s="129"/>
      <c r="L526" s="129"/>
      <c r="M526" s="129"/>
      <c r="N526" s="4"/>
      <c r="O526" s="4"/>
      <c r="P526" s="4"/>
      <c r="Q526" s="4"/>
      <c r="R526" s="4"/>
      <c r="S526" s="4"/>
      <c r="T526" s="4"/>
      <c r="U526" s="4"/>
      <c r="V526" s="4"/>
      <c r="W526" s="4"/>
      <c r="X526" s="4"/>
      <c r="Y526" s="4"/>
      <c r="Z526" s="4"/>
      <c r="AA526" s="4"/>
      <c r="AB526" s="4"/>
      <c r="AC526" s="4"/>
      <c r="AD526" s="4"/>
      <c r="AE526" s="4"/>
      <c r="AF526" s="4"/>
    </row>
    <row r="527" ht="15.75" customHeight="1">
      <c r="A527" s="4"/>
      <c r="B527" s="4"/>
      <c r="C527" s="4"/>
      <c r="D527" s="4"/>
      <c r="E527" s="4"/>
      <c r="F527" s="4"/>
      <c r="G527" s="4"/>
      <c r="H527" s="4"/>
      <c r="I527" s="129"/>
      <c r="J527" s="129"/>
      <c r="K527" s="129"/>
      <c r="L527" s="129"/>
      <c r="M527" s="129"/>
      <c r="N527" s="4"/>
      <c r="O527" s="4"/>
      <c r="P527" s="4"/>
      <c r="Q527" s="4"/>
      <c r="R527" s="4"/>
      <c r="S527" s="4"/>
      <c r="T527" s="4"/>
      <c r="U527" s="4"/>
      <c r="V527" s="4"/>
      <c r="W527" s="4"/>
      <c r="X527" s="4"/>
      <c r="Y527" s="4"/>
      <c r="Z527" s="4"/>
      <c r="AA527" s="4"/>
      <c r="AB527" s="4"/>
      <c r="AC527" s="4"/>
      <c r="AD527" s="4"/>
      <c r="AE527" s="4"/>
      <c r="AF527" s="4"/>
    </row>
    <row r="528" ht="15.75" customHeight="1">
      <c r="A528" s="4"/>
      <c r="B528" s="4"/>
      <c r="C528" s="4"/>
      <c r="D528" s="4"/>
      <c r="E528" s="4"/>
      <c r="F528" s="4"/>
      <c r="G528" s="4"/>
      <c r="H528" s="4"/>
      <c r="I528" s="129"/>
      <c r="J528" s="129"/>
      <c r="K528" s="129"/>
      <c r="L528" s="129"/>
      <c r="M528" s="129"/>
      <c r="N528" s="4"/>
      <c r="O528" s="4"/>
      <c r="P528" s="4"/>
      <c r="Q528" s="4"/>
      <c r="R528" s="4"/>
      <c r="S528" s="4"/>
      <c r="T528" s="4"/>
      <c r="U528" s="4"/>
      <c r="V528" s="4"/>
      <c r="W528" s="4"/>
      <c r="X528" s="4"/>
      <c r="Y528" s="4"/>
      <c r="Z528" s="4"/>
      <c r="AA528" s="4"/>
      <c r="AB528" s="4"/>
      <c r="AC528" s="4"/>
      <c r="AD528" s="4"/>
      <c r="AE528" s="4"/>
      <c r="AF528" s="4"/>
    </row>
    <row r="529" ht="15.75" customHeight="1">
      <c r="A529" s="4"/>
      <c r="B529" s="4"/>
      <c r="C529" s="4"/>
      <c r="D529" s="4"/>
      <c r="E529" s="4"/>
      <c r="F529" s="4"/>
      <c r="G529" s="4"/>
      <c r="H529" s="4"/>
      <c r="I529" s="129"/>
      <c r="J529" s="129"/>
      <c r="K529" s="129"/>
      <c r="L529" s="129"/>
      <c r="M529" s="129"/>
      <c r="N529" s="4"/>
      <c r="O529" s="4"/>
      <c r="P529" s="4"/>
      <c r="Q529" s="4"/>
      <c r="R529" s="4"/>
      <c r="S529" s="4"/>
      <c r="T529" s="4"/>
      <c r="U529" s="4"/>
      <c r="V529" s="4"/>
      <c r="W529" s="4"/>
      <c r="X529" s="4"/>
      <c r="Y529" s="4"/>
      <c r="Z529" s="4"/>
      <c r="AA529" s="4"/>
      <c r="AB529" s="4"/>
      <c r="AC529" s="4"/>
      <c r="AD529" s="4"/>
      <c r="AE529" s="4"/>
      <c r="AF529" s="4"/>
    </row>
    <row r="530" ht="15.75" customHeight="1">
      <c r="A530" s="4"/>
      <c r="B530" s="4"/>
      <c r="C530" s="4"/>
      <c r="D530" s="4"/>
      <c r="E530" s="4"/>
      <c r="F530" s="4"/>
      <c r="G530" s="4"/>
      <c r="H530" s="4"/>
      <c r="I530" s="129"/>
      <c r="J530" s="129"/>
      <c r="K530" s="129"/>
      <c r="L530" s="129"/>
      <c r="M530" s="129"/>
      <c r="N530" s="4"/>
      <c r="O530" s="4"/>
      <c r="P530" s="4"/>
      <c r="Q530" s="4"/>
      <c r="R530" s="4"/>
      <c r="S530" s="4"/>
      <c r="T530" s="4"/>
      <c r="U530" s="4"/>
      <c r="V530" s="4"/>
      <c r="W530" s="4"/>
      <c r="X530" s="4"/>
      <c r="Y530" s="4"/>
      <c r="Z530" s="4"/>
      <c r="AA530" s="4"/>
      <c r="AB530" s="4"/>
      <c r="AC530" s="4"/>
      <c r="AD530" s="4"/>
      <c r="AE530" s="4"/>
      <c r="AF530" s="4"/>
    </row>
    <row r="531" ht="15.75" customHeight="1">
      <c r="A531" s="4"/>
      <c r="B531" s="4"/>
      <c r="C531" s="4"/>
      <c r="D531" s="4"/>
      <c r="E531" s="4"/>
      <c r="F531" s="4"/>
      <c r="G531" s="4"/>
      <c r="H531" s="4"/>
      <c r="I531" s="129"/>
      <c r="J531" s="129"/>
      <c r="K531" s="129"/>
      <c r="L531" s="129"/>
      <c r="M531" s="129"/>
      <c r="N531" s="4"/>
      <c r="O531" s="4"/>
      <c r="P531" s="4"/>
      <c r="Q531" s="4"/>
      <c r="R531" s="4"/>
      <c r="S531" s="4"/>
      <c r="T531" s="4"/>
      <c r="U531" s="4"/>
      <c r="V531" s="4"/>
      <c r="W531" s="4"/>
      <c r="X531" s="4"/>
      <c r="Y531" s="4"/>
      <c r="Z531" s="4"/>
      <c r="AA531" s="4"/>
      <c r="AB531" s="4"/>
      <c r="AC531" s="4"/>
      <c r="AD531" s="4"/>
      <c r="AE531" s="4"/>
      <c r="AF531" s="4"/>
    </row>
    <row r="532" ht="15.75" customHeight="1">
      <c r="A532" s="4"/>
      <c r="B532" s="4"/>
      <c r="C532" s="4"/>
      <c r="D532" s="4"/>
      <c r="E532" s="4"/>
      <c r="F532" s="4"/>
      <c r="G532" s="4"/>
      <c r="H532" s="4"/>
      <c r="I532" s="129"/>
      <c r="J532" s="129"/>
      <c r="K532" s="129"/>
      <c r="L532" s="129"/>
      <c r="M532" s="129"/>
      <c r="N532" s="4"/>
      <c r="O532" s="4"/>
      <c r="P532" s="4"/>
      <c r="Q532" s="4"/>
      <c r="R532" s="4"/>
      <c r="S532" s="4"/>
      <c r="T532" s="4"/>
      <c r="U532" s="4"/>
      <c r="V532" s="4"/>
      <c r="W532" s="4"/>
      <c r="X532" s="4"/>
      <c r="Y532" s="4"/>
      <c r="Z532" s="4"/>
      <c r="AA532" s="4"/>
      <c r="AB532" s="4"/>
      <c r="AC532" s="4"/>
      <c r="AD532" s="4"/>
      <c r="AE532" s="4"/>
      <c r="AF532" s="4"/>
    </row>
    <row r="533" ht="15.75" customHeight="1">
      <c r="A533" s="4"/>
      <c r="B533" s="4"/>
      <c r="C533" s="4"/>
      <c r="D533" s="4"/>
      <c r="E533" s="4"/>
      <c r="F533" s="4"/>
      <c r="G533" s="4"/>
      <c r="H533" s="4"/>
      <c r="I533" s="129"/>
      <c r="J533" s="129"/>
      <c r="K533" s="129"/>
      <c r="L533" s="129"/>
      <c r="M533" s="129"/>
      <c r="N533" s="4"/>
      <c r="O533" s="4"/>
      <c r="P533" s="4"/>
      <c r="Q533" s="4"/>
      <c r="R533" s="4"/>
      <c r="S533" s="4"/>
      <c r="T533" s="4"/>
      <c r="U533" s="4"/>
      <c r="V533" s="4"/>
      <c r="W533" s="4"/>
      <c r="X533" s="4"/>
      <c r="Y533" s="4"/>
      <c r="Z533" s="4"/>
      <c r="AA533" s="4"/>
      <c r="AB533" s="4"/>
      <c r="AC533" s="4"/>
      <c r="AD533" s="4"/>
      <c r="AE533" s="4"/>
      <c r="AF533" s="4"/>
    </row>
    <row r="534" ht="15.75" customHeight="1">
      <c r="A534" s="4"/>
      <c r="B534" s="4"/>
      <c r="C534" s="4"/>
      <c r="D534" s="4"/>
      <c r="E534" s="4"/>
      <c r="F534" s="4"/>
      <c r="G534" s="4"/>
      <c r="H534" s="4"/>
      <c r="I534" s="129"/>
      <c r="J534" s="129"/>
      <c r="K534" s="129"/>
      <c r="L534" s="129"/>
      <c r="M534" s="129"/>
      <c r="N534" s="4"/>
      <c r="O534" s="4"/>
      <c r="P534" s="4"/>
      <c r="Q534" s="4"/>
      <c r="R534" s="4"/>
      <c r="S534" s="4"/>
      <c r="T534" s="4"/>
      <c r="U534" s="4"/>
      <c r="V534" s="4"/>
      <c r="W534" s="4"/>
      <c r="X534" s="4"/>
      <c r="Y534" s="4"/>
      <c r="Z534" s="4"/>
      <c r="AA534" s="4"/>
      <c r="AB534" s="4"/>
      <c r="AC534" s="4"/>
      <c r="AD534" s="4"/>
      <c r="AE534" s="4"/>
      <c r="AF534" s="4"/>
    </row>
    <row r="535" ht="15.75" customHeight="1">
      <c r="A535" s="4"/>
      <c r="B535" s="4"/>
      <c r="C535" s="4"/>
      <c r="D535" s="4"/>
      <c r="E535" s="4"/>
      <c r="F535" s="4"/>
      <c r="G535" s="4"/>
      <c r="H535" s="4"/>
      <c r="I535" s="129"/>
      <c r="J535" s="129"/>
      <c r="K535" s="129"/>
      <c r="L535" s="129"/>
      <c r="M535" s="129"/>
      <c r="N535" s="4"/>
      <c r="O535" s="4"/>
      <c r="P535" s="4"/>
      <c r="Q535" s="4"/>
      <c r="R535" s="4"/>
      <c r="S535" s="4"/>
      <c r="T535" s="4"/>
      <c r="U535" s="4"/>
      <c r="V535" s="4"/>
      <c r="W535" s="4"/>
      <c r="X535" s="4"/>
      <c r="Y535" s="4"/>
      <c r="Z535" s="4"/>
      <c r="AA535" s="4"/>
      <c r="AB535" s="4"/>
      <c r="AC535" s="4"/>
      <c r="AD535" s="4"/>
      <c r="AE535" s="4"/>
      <c r="AF535" s="4"/>
    </row>
    <row r="536" ht="15.75" customHeight="1">
      <c r="A536" s="4"/>
      <c r="B536" s="4"/>
      <c r="C536" s="4"/>
      <c r="D536" s="4"/>
      <c r="E536" s="4"/>
      <c r="F536" s="4"/>
      <c r="G536" s="4"/>
      <c r="H536" s="4"/>
      <c r="I536" s="129"/>
      <c r="J536" s="129"/>
      <c r="K536" s="129"/>
      <c r="L536" s="129"/>
      <c r="M536" s="129"/>
      <c r="N536" s="4"/>
      <c r="O536" s="4"/>
      <c r="P536" s="4"/>
      <c r="Q536" s="4"/>
      <c r="R536" s="4"/>
      <c r="S536" s="4"/>
      <c r="T536" s="4"/>
      <c r="U536" s="4"/>
      <c r="V536" s="4"/>
      <c r="W536" s="4"/>
      <c r="X536" s="4"/>
      <c r="Y536" s="4"/>
      <c r="Z536" s="4"/>
      <c r="AA536" s="4"/>
      <c r="AB536" s="4"/>
      <c r="AC536" s="4"/>
      <c r="AD536" s="4"/>
      <c r="AE536" s="4"/>
      <c r="AF536" s="4"/>
    </row>
    <row r="537" ht="15.75" customHeight="1">
      <c r="A537" s="4"/>
      <c r="B537" s="4"/>
      <c r="C537" s="4"/>
      <c r="D537" s="4"/>
      <c r="E537" s="4"/>
      <c r="F537" s="4"/>
      <c r="G537" s="4"/>
      <c r="H537" s="4"/>
      <c r="I537" s="129"/>
      <c r="J537" s="129"/>
      <c r="K537" s="129"/>
      <c r="L537" s="129"/>
      <c r="M537" s="129"/>
      <c r="N537" s="4"/>
      <c r="O537" s="4"/>
      <c r="P537" s="4"/>
      <c r="Q537" s="4"/>
      <c r="R537" s="4"/>
      <c r="S537" s="4"/>
      <c r="T537" s="4"/>
      <c r="U537" s="4"/>
      <c r="V537" s="4"/>
      <c r="W537" s="4"/>
      <c r="X537" s="4"/>
      <c r="Y537" s="4"/>
      <c r="Z537" s="4"/>
      <c r="AA537" s="4"/>
      <c r="AB537" s="4"/>
      <c r="AC537" s="4"/>
      <c r="AD537" s="4"/>
      <c r="AE537" s="4"/>
      <c r="AF537" s="4"/>
    </row>
    <row r="538" ht="15.75" customHeight="1">
      <c r="A538" s="4"/>
      <c r="B538" s="4"/>
      <c r="C538" s="4"/>
      <c r="D538" s="4"/>
      <c r="E538" s="4"/>
      <c r="F538" s="4"/>
      <c r="G538" s="4"/>
      <c r="H538" s="4"/>
      <c r="I538" s="129"/>
      <c r="J538" s="129"/>
      <c r="K538" s="129"/>
      <c r="L538" s="129"/>
      <c r="M538" s="129"/>
      <c r="N538" s="4"/>
      <c r="O538" s="4"/>
      <c r="P538" s="4"/>
      <c r="Q538" s="4"/>
      <c r="R538" s="4"/>
      <c r="S538" s="4"/>
      <c r="T538" s="4"/>
      <c r="U538" s="4"/>
      <c r="V538" s="4"/>
      <c r="W538" s="4"/>
      <c r="X538" s="4"/>
      <c r="Y538" s="4"/>
      <c r="Z538" s="4"/>
      <c r="AA538" s="4"/>
      <c r="AB538" s="4"/>
      <c r="AC538" s="4"/>
      <c r="AD538" s="4"/>
      <c r="AE538" s="4"/>
      <c r="AF538" s="4"/>
    </row>
    <row r="539" ht="15.75" customHeight="1">
      <c r="A539" s="4"/>
      <c r="B539" s="4"/>
      <c r="C539" s="4"/>
      <c r="D539" s="4"/>
      <c r="E539" s="4"/>
      <c r="F539" s="4"/>
      <c r="G539" s="4"/>
      <c r="H539" s="4"/>
      <c r="I539" s="129"/>
      <c r="J539" s="129"/>
      <c r="K539" s="129"/>
      <c r="L539" s="129"/>
      <c r="M539" s="129"/>
      <c r="N539" s="4"/>
      <c r="O539" s="4"/>
      <c r="P539" s="4"/>
      <c r="Q539" s="4"/>
      <c r="R539" s="4"/>
      <c r="S539" s="4"/>
      <c r="T539" s="4"/>
      <c r="U539" s="4"/>
      <c r="V539" s="4"/>
      <c r="W539" s="4"/>
      <c r="X539" s="4"/>
      <c r="Y539" s="4"/>
      <c r="Z539" s="4"/>
      <c r="AA539" s="4"/>
      <c r="AB539" s="4"/>
      <c r="AC539" s="4"/>
      <c r="AD539" s="4"/>
      <c r="AE539" s="4"/>
      <c r="AF539" s="4"/>
    </row>
    <row r="540" ht="15.75" customHeight="1">
      <c r="A540" s="4"/>
      <c r="B540" s="4"/>
      <c r="C540" s="4"/>
      <c r="D540" s="4"/>
      <c r="E540" s="4"/>
      <c r="F540" s="4"/>
      <c r="G540" s="4"/>
      <c r="H540" s="4"/>
      <c r="I540" s="129"/>
      <c r="J540" s="129"/>
      <c r="K540" s="129"/>
      <c r="L540" s="129"/>
      <c r="M540" s="129"/>
      <c r="N540" s="4"/>
      <c r="O540" s="4"/>
      <c r="P540" s="4"/>
      <c r="Q540" s="4"/>
      <c r="R540" s="4"/>
      <c r="S540" s="4"/>
      <c r="T540" s="4"/>
      <c r="U540" s="4"/>
      <c r="V540" s="4"/>
      <c r="W540" s="4"/>
      <c r="X540" s="4"/>
      <c r="Y540" s="4"/>
      <c r="Z540" s="4"/>
      <c r="AA540" s="4"/>
      <c r="AB540" s="4"/>
      <c r="AC540" s="4"/>
      <c r="AD540" s="4"/>
      <c r="AE540" s="4"/>
      <c r="AF540" s="4"/>
    </row>
    <row r="541" ht="15.75" customHeight="1">
      <c r="A541" s="4"/>
      <c r="B541" s="4"/>
      <c r="C541" s="4"/>
      <c r="D541" s="4"/>
      <c r="E541" s="4"/>
      <c r="F541" s="4"/>
      <c r="G541" s="4"/>
      <c r="H541" s="4"/>
      <c r="I541" s="129"/>
      <c r="J541" s="129"/>
      <c r="K541" s="129"/>
      <c r="L541" s="129"/>
      <c r="M541" s="129"/>
      <c r="N541" s="4"/>
      <c r="O541" s="4"/>
      <c r="P541" s="4"/>
      <c r="Q541" s="4"/>
      <c r="R541" s="4"/>
      <c r="S541" s="4"/>
      <c r="T541" s="4"/>
      <c r="U541" s="4"/>
      <c r="V541" s="4"/>
      <c r="W541" s="4"/>
      <c r="X541" s="4"/>
      <c r="Y541" s="4"/>
      <c r="Z541" s="4"/>
      <c r="AA541" s="4"/>
      <c r="AB541" s="4"/>
      <c r="AC541" s="4"/>
      <c r="AD541" s="4"/>
      <c r="AE541" s="4"/>
      <c r="AF541" s="4"/>
    </row>
    <row r="542" ht="15.75" customHeight="1">
      <c r="A542" s="4"/>
      <c r="B542" s="4"/>
      <c r="C542" s="4"/>
      <c r="D542" s="4"/>
      <c r="E542" s="4"/>
      <c r="F542" s="4"/>
      <c r="G542" s="4"/>
      <c r="H542" s="4"/>
      <c r="I542" s="129"/>
      <c r="J542" s="129"/>
      <c r="K542" s="129"/>
      <c r="L542" s="129"/>
      <c r="M542" s="129"/>
      <c r="N542" s="4"/>
      <c r="O542" s="4"/>
      <c r="P542" s="4"/>
      <c r="Q542" s="4"/>
      <c r="R542" s="4"/>
      <c r="S542" s="4"/>
      <c r="T542" s="4"/>
      <c r="U542" s="4"/>
      <c r="V542" s="4"/>
      <c r="W542" s="4"/>
      <c r="X542" s="4"/>
      <c r="Y542" s="4"/>
      <c r="Z542" s="4"/>
      <c r="AA542" s="4"/>
      <c r="AB542" s="4"/>
      <c r="AC542" s="4"/>
      <c r="AD542" s="4"/>
      <c r="AE542" s="4"/>
      <c r="AF542" s="4"/>
    </row>
    <row r="543" ht="15.75" customHeight="1">
      <c r="A543" s="4"/>
      <c r="B543" s="4"/>
      <c r="C543" s="4"/>
      <c r="D543" s="4"/>
      <c r="E543" s="4"/>
      <c r="F543" s="4"/>
      <c r="G543" s="4"/>
      <c r="H543" s="4"/>
      <c r="I543" s="129"/>
      <c r="J543" s="129"/>
      <c r="K543" s="129"/>
      <c r="L543" s="129"/>
      <c r="M543" s="129"/>
      <c r="N543" s="4"/>
      <c r="O543" s="4"/>
      <c r="P543" s="4"/>
      <c r="Q543" s="4"/>
      <c r="R543" s="4"/>
      <c r="S543" s="4"/>
      <c r="T543" s="4"/>
      <c r="U543" s="4"/>
      <c r="V543" s="4"/>
      <c r="W543" s="4"/>
      <c r="X543" s="4"/>
      <c r="Y543" s="4"/>
      <c r="Z543" s="4"/>
      <c r="AA543" s="4"/>
      <c r="AB543" s="4"/>
      <c r="AC543" s="4"/>
      <c r="AD543" s="4"/>
      <c r="AE543" s="4"/>
      <c r="AF543" s="4"/>
    </row>
    <row r="544" ht="15.75" customHeight="1">
      <c r="A544" s="4"/>
      <c r="B544" s="4"/>
      <c r="C544" s="4"/>
      <c r="D544" s="4"/>
      <c r="E544" s="4"/>
      <c r="F544" s="4"/>
      <c r="G544" s="4"/>
      <c r="H544" s="4"/>
      <c r="I544" s="129"/>
      <c r="J544" s="129"/>
      <c r="K544" s="129"/>
      <c r="L544" s="129"/>
      <c r="M544" s="129"/>
      <c r="N544" s="4"/>
      <c r="O544" s="4"/>
      <c r="P544" s="4"/>
      <c r="Q544" s="4"/>
      <c r="R544" s="4"/>
      <c r="S544" s="4"/>
      <c r="T544" s="4"/>
      <c r="U544" s="4"/>
      <c r="V544" s="4"/>
      <c r="W544" s="4"/>
      <c r="X544" s="4"/>
      <c r="Y544" s="4"/>
      <c r="Z544" s="4"/>
      <c r="AA544" s="4"/>
      <c r="AB544" s="4"/>
      <c r="AC544" s="4"/>
      <c r="AD544" s="4"/>
      <c r="AE544" s="4"/>
      <c r="AF544" s="4"/>
    </row>
    <row r="545" ht="15.75" customHeight="1">
      <c r="A545" s="4"/>
      <c r="B545" s="4"/>
      <c r="C545" s="4"/>
      <c r="D545" s="4"/>
      <c r="E545" s="4"/>
      <c r="F545" s="4"/>
      <c r="G545" s="4"/>
      <c r="H545" s="4"/>
      <c r="I545" s="129"/>
      <c r="J545" s="129"/>
      <c r="K545" s="129"/>
      <c r="L545" s="129"/>
      <c r="M545" s="129"/>
      <c r="N545" s="4"/>
      <c r="O545" s="4"/>
      <c r="P545" s="4"/>
      <c r="Q545" s="4"/>
      <c r="R545" s="4"/>
      <c r="S545" s="4"/>
      <c r="T545" s="4"/>
      <c r="U545" s="4"/>
      <c r="V545" s="4"/>
      <c r="W545" s="4"/>
      <c r="X545" s="4"/>
      <c r="Y545" s="4"/>
      <c r="Z545" s="4"/>
      <c r="AA545" s="4"/>
      <c r="AB545" s="4"/>
      <c r="AC545" s="4"/>
      <c r="AD545" s="4"/>
      <c r="AE545" s="4"/>
      <c r="AF545" s="4"/>
    </row>
    <row r="546" ht="15.75" customHeight="1">
      <c r="A546" s="4"/>
      <c r="B546" s="4"/>
      <c r="C546" s="4"/>
      <c r="D546" s="4"/>
      <c r="E546" s="4"/>
      <c r="F546" s="4"/>
      <c r="G546" s="4"/>
      <c r="H546" s="4"/>
      <c r="I546" s="129"/>
      <c r="J546" s="129"/>
      <c r="K546" s="129"/>
      <c r="L546" s="129"/>
      <c r="M546" s="129"/>
      <c r="N546" s="4"/>
      <c r="O546" s="4"/>
      <c r="P546" s="4"/>
      <c r="Q546" s="4"/>
      <c r="R546" s="4"/>
      <c r="S546" s="4"/>
      <c r="T546" s="4"/>
      <c r="U546" s="4"/>
      <c r="V546" s="4"/>
      <c r="W546" s="4"/>
      <c r="X546" s="4"/>
      <c r="Y546" s="4"/>
      <c r="Z546" s="4"/>
      <c r="AA546" s="4"/>
      <c r="AB546" s="4"/>
      <c r="AC546" s="4"/>
      <c r="AD546" s="4"/>
      <c r="AE546" s="4"/>
      <c r="AF546" s="4"/>
    </row>
    <row r="547" ht="15.75" customHeight="1">
      <c r="A547" s="4"/>
      <c r="B547" s="4"/>
      <c r="C547" s="4"/>
      <c r="D547" s="4"/>
      <c r="E547" s="4"/>
      <c r="F547" s="4"/>
      <c r="G547" s="4"/>
      <c r="H547" s="4"/>
      <c r="I547" s="129"/>
      <c r="J547" s="129"/>
      <c r="K547" s="129"/>
      <c r="L547" s="129"/>
      <c r="M547" s="129"/>
      <c r="N547" s="4"/>
      <c r="O547" s="4"/>
      <c r="P547" s="4"/>
      <c r="Q547" s="4"/>
      <c r="R547" s="4"/>
      <c r="S547" s="4"/>
      <c r="T547" s="4"/>
      <c r="U547" s="4"/>
      <c r="V547" s="4"/>
      <c r="W547" s="4"/>
      <c r="X547" s="4"/>
      <c r="Y547" s="4"/>
      <c r="Z547" s="4"/>
      <c r="AA547" s="4"/>
      <c r="AB547" s="4"/>
      <c r="AC547" s="4"/>
      <c r="AD547" s="4"/>
      <c r="AE547" s="4"/>
      <c r="AF547" s="4"/>
    </row>
    <row r="548" ht="15.75" customHeight="1">
      <c r="A548" s="4"/>
      <c r="B548" s="4"/>
      <c r="C548" s="4"/>
      <c r="D548" s="4"/>
      <c r="E548" s="4"/>
      <c r="F548" s="4"/>
      <c r="G548" s="4"/>
      <c r="H548" s="4"/>
      <c r="I548" s="129"/>
      <c r="J548" s="129"/>
      <c r="K548" s="129"/>
      <c r="L548" s="129"/>
      <c r="M548" s="129"/>
      <c r="N548" s="4"/>
      <c r="O548" s="4"/>
      <c r="P548" s="4"/>
      <c r="Q548" s="4"/>
      <c r="R548" s="4"/>
      <c r="S548" s="4"/>
      <c r="T548" s="4"/>
      <c r="U548" s="4"/>
      <c r="V548" s="4"/>
      <c r="W548" s="4"/>
      <c r="X548" s="4"/>
      <c r="Y548" s="4"/>
      <c r="Z548" s="4"/>
      <c r="AA548" s="4"/>
      <c r="AB548" s="4"/>
      <c r="AC548" s="4"/>
      <c r="AD548" s="4"/>
      <c r="AE548" s="4"/>
      <c r="AF548" s="4"/>
    </row>
    <row r="549" ht="15.75" customHeight="1">
      <c r="A549" s="4"/>
      <c r="B549" s="4"/>
      <c r="C549" s="4"/>
      <c r="D549" s="4"/>
      <c r="E549" s="4"/>
      <c r="F549" s="4"/>
      <c r="G549" s="4"/>
      <c r="H549" s="4"/>
      <c r="I549" s="129"/>
      <c r="J549" s="129"/>
      <c r="K549" s="129"/>
      <c r="L549" s="129"/>
      <c r="M549" s="129"/>
      <c r="N549" s="4"/>
      <c r="O549" s="4"/>
      <c r="P549" s="4"/>
      <c r="Q549" s="4"/>
      <c r="R549" s="4"/>
      <c r="S549" s="4"/>
      <c r="T549" s="4"/>
      <c r="U549" s="4"/>
      <c r="V549" s="4"/>
      <c r="W549" s="4"/>
      <c r="X549" s="4"/>
      <c r="Y549" s="4"/>
      <c r="Z549" s="4"/>
      <c r="AA549" s="4"/>
      <c r="AB549" s="4"/>
      <c r="AC549" s="4"/>
      <c r="AD549" s="4"/>
      <c r="AE549" s="4"/>
      <c r="AF549" s="4"/>
    </row>
    <row r="550" ht="15.75" customHeight="1">
      <c r="A550" s="4"/>
      <c r="B550" s="4"/>
      <c r="C550" s="4"/>
      <c r="D550" s="4"/>
      <c r="E550" s="4"/>
      <c r="F550" s="4"/>
      <c r="G550" s="4"/>
      <c r="H550" s="4"/>
      <c r="I550" s="129"/>
      <c r="J550" s="129"/>
      <c r="K550" s="129"/>
      <c r="L550" s="129"/>
      <c r="M550" s="129"/>
      <c r="N550" s="4"/>
      <c r="O550" s="4"/>
      <c r="P550" s="4"/>
      <c r="Q550" s="4"/>
      <c r="R550" s="4"/>
      <c r="S550" s="4"/>
      <c r="T550" s="4"/>
      <c r="U550" s="4"/>
      <c r="V550" s="4"/>
      <c r="W550" s="4"/>
      <c r="X550" s="4"/>
      <c r="Y550" s="4"/>
      <c r="Z550" s="4"/>
      <c r="AA550" s="4"/>
      <c r="AB550" s="4"/>
      <c r="AC550" s="4"/>
      <c r="AD550" s="4"/>
      <c r="AE550" s="4"/>
      <c r="AF550" s="4"/>
    </row>
    <row r="551" ht="15.75" customHeight="1">
      <c r="A551" s="4"/>
      <c r="B551" s="4"/>
      <c r="C551" s="4"/>
      <c r="D551" s="4"/>
      <c r="E551" s="4"/>
      <c r="F551" s="4"/>
      <c r="G551" s="4"/>
      <c r="H551" s="4"/>
      <c r="I551" s="129"/>
      <c r="J551" s="129"/>
      <c r="K551" s="129"/>
      <c r="L551" s="129"/>
      <c r="M551" s="129"/>
      <c r="N551" s="4"/>
      <c r="O551" s="4"/>
      <c r="P551" s="4"/>
      <c r="Q551" s="4"/>
      <c r="R551" s="4"/>
      <c r="S551" s="4"/>
      <c r="T551" s="4"/>
      <c r="U551" s="4"/>
      <c r="V551" s="4"/>
      <c r="W551" s="4"/>
      <c r="X551" s="4"/>
      <c r="Y551" s="4"/>
      <c r="Z551" s="4"/>
      <c r="AA551" s="4"/>
      <c r="AB551" s="4"/>
      <c r="AC551" s="4"/>
      <c r="AD551" s="4"/>
      <c r="AE551" s="4"/>
      <c r="AF551" s="4"/>
    </row>
    <row r="552" ht="15.75" customHeight="1">
      <c r="A552" s="4"/>
      <c r="B552" s="4"/>
      <c r="C552" s="4"/>
      <c r="D552" s="4"/>
      <c r="E552" s="4"/>
      <c r="F552" s="4"/>
      <c r="G552" s="4"/>
      <c r="H552" s="4"/>
      <c r="I552" s="129"/>
      <c r="J552" s="129"/>
      <c r="K552" s="129"/>
      <c r="L552" s="129"/>
      <c r="M552" s="129"/>
      <c r="N552" s="4"/>
      <c r="O552" s="4"/>
      <c r="P552" s="4"/>
      <c r="Q552" s="4"/>
      <c r="R552" s="4"/>
      <c r="S552" s="4"/>
      <c r="T552" s="4"/>
      <c r="U552" s="4"/>
      <c r="V552" s="4"/>
      <c r="W552" s="4"/>
      <c r="X552" s="4"/>
      <c r="Y552" s="4"/>
      <c r="Z552" s="4"/>
      <c r="AA552" s="4"/>
      <c r="AB552" s="4"/>
      <c r="AC552" s="4"/>
      <c r="AD552" s="4"/>
      <c r="AE552" s="4"/>
      <c r="AF552" s="4"/>
    </row>
    <row r="553" ht="15.75" customHeight="1">
      <c r="A553" s="4"/>
      <c r="B553" s="4"/>
      <c r="C553" s="4"/>
      <c r="D553" s="4"/>
      <c r="E553" s="4"/>
      <c r="F553" s="4"/>
      <c r="G553" s="4"/>
      <c r="H553" s="4"/>
      <c r="I553" s="129"/>
      <c r="J553" s="129"/>
      <c r="K553" s="129"/>
      <c r="L553" s="129"/>
      <c r="M553" s="129"/>
      <c r="N553" s="4"/>
      <c r="O553" s="4"/>
      <c r="P553" s="4"/>
      <c r="Q553" s="4"/>
      <c r="R553" s="4"/>
      <c r="S553" s="4"/>
      <c r="T553" s="4"/>
      <c r="U553" s="4"/>
      <c r="V553" s="4"/>
      <c r="W553" s="4"/>
      <c r="X553" s="4"/>
      <c r="Y553" s="4"/>
      <c r="Z553" s="4"/>
      <c r="AA553" s="4"/>
      <c r="AB553" s="4"/>
      <c r="AC553" s="4"/>
      <c r="AD553" s="4"/>
      <c r="AE553" s="4"/>
      <c r="AF553" s="4"/>
    </row>
    <row r="554" ht="15.75" customHeight="1">
      <c r="A554" s="4"/>
      <c r="B554" s="4"/>
      <c r="C554" s="4"/>
      <c r="D554" s="4"/>
      <c r="E554" s="4"/>
      <c r="F554" s="4"/>
      <c r="G554" s="4"/>
      <c r="H554" s="4"/>
      <c r="I554" s="129"/>
      <c r="J554" s="129"/>
      <c r="K554" s="129"/>
      <c r="L554" s="129"/>
      <c r="M554" s="129"/>
      <c r="N554" s="4"/>
      <c r="O554" s="4"/>
      <c r="P554" s="4"/>
      <c r="Q554" s="4"/>
      <c r="R554" s="4"/>
      <c r="S554" s="4"/>
      <c r="T554" s="4"/>
      <c r="U554" s="4"/>
      <c r="V554" s="4"/>
      <c r="W554" s="4"/>
      <c r="X554" s="4"/>
      <c r="Y554" s="4"/>
      <c r="Z554" s="4"/>
      <c r="AA554" s="4"/>
      <c r="AB554" s="4"/>
      <c r="AC554" s="4"/>
      <c r="AD554" s="4"/>
      <c r="AE554" s="4"/>
      <c r="AF554" s="4"/>
    </row>
    <row r="555" ht="15.75" customHeight="1">
      <c r="A555" s="4"/>
      <c r="B555" s="4"/>
      <c r="C555" s="4"/>
      <c r="D555" s="4"/>
      <c r="E555" s="4"/>
      <c r="F555" s="4"/>
      <c r="G555" s="4"/>
      <c r="H555" s="4"/>
      <c r="I555" s="129"/>
      <c r="J555" s="129"/>
      <c r="K555" s="129"/>
      <c r="L555" s="129"/>
      <c r="M555" s="129"/>
      <c r="N555" s="4"/>
      <c r="O555" s="4"/>
      <c r="P555" s="4"/>
      <c r="Q555" s="4"/>
      <c r="R555" s="4"/>
      <c r="S555" s="4"/>
      <c r="T555" s="4"/>
      <c r="U555" s="4"/>
      <c r="V555" s="4"/>
      <c r="W555" s="4"/>
      <c r="X555" s="4"/>
      <c r="Y555" s="4"/>
      <c r="Z555" s="4"/>
      <c r="AA555" s="4"/>
      <c r="AB555" s="4"/>
      <c r="AC555" s="4"/>
      <c r="AD555" s="4"/>
      <c r="AE555" s="4"/>
      <c r="AF555" s="4"/>
    </row>
    <row r="556" ht="15.75" customHeight="1">
      <c r="A556" s="4"/>
      <c r="B556" s="4"/>
      <c r="C556" s="4"/>
      <c r="D556" s="4"/>
      <c r="E556" s="4"/>
      <c r="F556" s="4"/>
      <c r="G556" s="4"/>
      <c r="H556" s="4"/>
      <c r="I556" s="129"/>
      <c r="J556" s="129"/>
      <c r="K556" s="129"/>
      <c r="L556" s="129"/>
      <c r="M556" s="129"/>
      <c r="N556" s="4"/>
      <c r="O556" s="4"/>
      <c r="P556" s="4"/>
      <c r="Q556" s="4"/>
      <c r="R556" s="4"/>
      <c r="S556" s="4"/>
      <c r="T556" s="4"/>
      <c r="U556" s="4"/>
      <c r="V556" s="4"/>
      <c r="W556" s="4"/>
      <c r="X556" s="4"/>
      <c r="Y556" s="4"/>
      <c r="Z556" s="4"/>
      <c r="AA556" s="4"/>
      <c r="AB556" s="4"/>
      <c r="AC556" s="4"/>
      <c r="AD556" s="4"/>
      <c r="AE556" s="4"/>
      <c r="AF556" s="4"/>
    </row>
    <row r="557" ht="15.75" customHeight="1">
      <c r="A557" s="4"/>
      <c r="B557" s="4"/>
      <c r="C557" s="4"/>
      <c r="D557" s="4"/>
      <c r="E557" s="4"/>
      <c r="F557" s="4"/>
      <c r="G557" s="4"/>
      <c r="H557" s="4"/>
      <c r="I557" s="129"/>
      <c r="J557" s="129"/>
      <c r="K557" s="129"/>
      <c r="L557" s="129"/>
      <c r="M557" s="129"/>
      <c r="N557" s="4"/>
      <c r="O557" s="4"/>
      <c r="P557" s="4"/>
      <c r="Q557" s="4"/>
      <c r="R557" s="4"/>
      <c r="S557" s="4"/>
      <c r="T557" s="4"/>
      <c r="U557" s="4"/>
      <c r="V557" s="4"/>
      <c r="W557" s="4"/>
      <c r="X557" s="4"/>
      <c r="Y557" s="4"/>
      <c r="Z557" s="4"/>
      <c r="AA557" s="4"/>
      <c r="AB557" s="4"/>
      <c r="AC557" s="4"/>
      <c r="AD557" s="4"/>
      <c r="AE557" s="4"/>
      <c r="AF557" s="4"/>
    </row>
    <row r="558" ht="15.75" customHeight="1">
      <c r="A558" s="4"/>
      <c r="B558" s="4"/>
      <c r="C558" s="4"/>
      <c r="D558" s="4"/>
      <c r="E558" s="4"/>
      <c r="F558" s="4"/>
      <c r="G558" s="4"/>
      <c r="H558" s="4"/>
      <c r="I558" s="129"/>
      <c r="J558" s="129"/>
      <c r="K558" s="129"/>
      <c r="L558" s="129"/>
      <c r="M558" s="129"/>
      <c r="N558" s="4"/>
      <c r="O558" s="4"/>
      <c r="P558" s="4"/>
      <c r="Q558" s="4"/>
      <c r="R558" s="4"/>
      <c r="S558" s="4"/>
      <c r="T558" s="4"/>
      <c r="U558" s="4"/>
      <c r="V558" s="4"/>
      <c r="W558" s="4"/>
      <c r="X558" s="4"/>
      <c r="Y558" s="4"/>
      <c r="Z558" s="4"/>
      <c r="AA558" s="4"/>
      <c r="AB558" s="4"/>
      <c r="AC558" s="4"/>
      <c r="AD558" s="4"/>
      <c r="AE558" s="4"/>
      <c r="AF558" s="4"/>
    </row>
    <row r="559" ht="15.75" customHeight="1">
      <c r="A559" s="4"/>
      <c r="B559" s="4"/>
      <c r="C559" s="4"/>
      <c r="D559" s="4"/>
      <c r="E559" s="4"/>
      <c r="F559" s="4"/>
      <c r="G559" s="4"/>
      <c r="H559" s="4"/>
      <c r="I559" s="129"/>
      <c r="J559" s="129"/>
      <c r="K559" s="129"/>
      <c r="L559" s="129"/>
      <c r="M559" s="129"/>
      <c r="N559" s="4"/>
      <c r="O559" s="4"/>
      <c r="P559" s="4"/>
      <c r="Q559" s="4"/>
      <c r="R559" s="4"/>
      <c r="S559" s="4"/>
      <c r="T559" s="4"/>
      <c r="U559" s="4"/>
      <c r="V559" s="4"/>
      <c r="W559" s="4"/>
      <c r="X559" s="4"/>
      <c r="Y559" s="4"/>
      <c r="Z559" s="4"/>
      <c r="AA559" s="4"/>
      <c r="AB559" s="4"/>
      <c r="AC559" s="4"/>
      <c r="AD559" s="4"/>
      <c r="AE559" s="4"/>
      <c r="AF559" s="4"/>
    </row>
    <row r="560" ht="15.75" customHeight="1">
      <c r="A560" s="4"/>
      <c r="B560" s="4"/>
      <c r="C560" s="4"/>
      <c r="D560" s="4"/>
      <c r="E560" s="4"/>
      <c r="F560" s="4"/>
      <c r="G560" s="4"/>
      <c r="H560" s="4"/>
      <c r="I560" s="129"/>
      <c r="J560" s="129"/>
      <c r="K560" s="129"/>
      <c r="L560" s="129"/>
      <c r="M560" s="129"/>
      <c r="N560" s="4"/>
      <c r="O560" s="4"/>
      <c r="P560" s="4"/>
      <c r="Q560" s="4"/>
      <c r="R560" s="4"/>
      <c r="S560" s="4"/>
      <c r="T560" s="4"/>
      <c r="U560" s="4"/>
      <c r="V560" s="4"/>
      <c r="W560" s="4"/>
      <c r="X560" s="4"/>
      <c r="Y560" s="4"/>
      <c r="Z560" s="4"/>
      <c r="AA560" s="4"/>
      <c r="AB560" s="4"/>
      <c r="AC560" s="4"/>
      <c r="AD560" s="4"/>
      <c r="AE560" s="4"/>
      <c r="AF560" s="4"/>
    </row>
    <row r="561" ht="15.75" customHeight="1">
      <c r="A561" s="4"/>
      <c r="B561" s="4"/>
      <c r="C561" s="4"/>
      <c r="D561" s="4"/>
      <c r="E561" s="4"/>
      <c r="F561" s="4"/>
      <c r="G561" s="4"/>
      <c r="H561" s="4"/>
      <c r="I561" s="129"/>
      <c r="J561" s="129"/>
      <c r="K561" s="129"/>
      <c r="L561" s="129"/>
      <c r="M561" s="129"/>
      <c r="N561" s="4"/>
      <c r="O561" s="4"/>
      <c r="P561" s="4"/>
      <c r="Q561" s="4"/>
      <c r="R561" s="4"/>
      <c r="S561" s="4"/>
      <c r="T561" s="4"/>
      <c r="U561" s="4"/>
      <c r="V561" s="4"/>
      <c r="W561" s="4"/>
      <c r="X561" s="4"/>
      <c r="Y561" s="4"/>
      <c r="Z561" s="4"/>
      <c r="AA561" s="4"/>
      <c r="AB561" s="4"/>
      <c r="AC561" s="4"/>
      <c r="AD561" s="4"/>
      <c r="AE561" s="4"/>
      <c r="AF561" s="4"/>
    </row>
    <row r="562" ht="15.75" customHeight="1">
      <c r="A562" s="4"/>
      <c r="B562" s="4"/>
      <c r="C562" s="4"/>
      <c r="D562" s="4"/>
      <c r="E562" s="4"/>
      <c r="F562" s="4"/>
      <c r="G562" s="4"/>
      <c r="H562" s="4"/>
      <c r="I562" s="129"/>
      <c r="J562" s="129"/>
      <c r="K562" s="129"/>
      <c r="L562" s="129"/>
      <c r="M562" s="129"/>
      <c r="N562" s="4"/>
      <c r="O562" s="4"/>
      <c r="P562" s="4"/>
      <c r="Q562" s="4"/>
      <c r="R562" s="4"/>
      <c r="S562" s="4"/>
      <c r="T562" s="4"/>
      <c r="U562" s="4"/>
      <c r="V562" s="4"/>
      <c r="W562" s="4"/>
      <c r="X562" s="4"/>
      <c r="Y562" s="4"/>
      <c r="Z562" s="4"/>
      <c r="AA562" s="4"/>
      <c r="AB562" s="4"/>
      <c r="AC562" s="4"/>
      <c r="AD562" s="4"/>
      <c r="AE562" s="4"/>
      <c r="AF562" s="4"/>
    </row>
    <row r="563" ht="15.75" customHeight="1">
      <c r="A563" s="4"/>
      <c r="B563" s="4"/>
      <c r="C563" s="4"/>
      <c r="D563" s="4"/>
      <c r="E563" s="4"/>
      <c r="F563" s="4"/>
      <c r="G563" s="4"/>
      <c r="H563" s="4"/>
      <c r="I563" s="129"/>
      <c r="J563" s="129"/>
      <c r="K563" s="129"/>
      <c r="L563" s="129"/>
      <c r="M563" s="129"/>
      <c r="N563" s="4"/>
      <c r="O563" s="4"/>
      <c r="P563" s="4"/>
      <c r="Q563" s="4"/>
      <c r="R563" s="4"/>
      <c r="S563" s="4"/>
      <c r="T563" s="4"/>
      <c r="U563" s="4"/>
      <c r="V563" s="4"/>
      <c r="W563" s="4"/>
      <c r="X563" s="4"/>
      <c r="Y563" s="4"/>
      <c r="Z563" s="4"/>
      <c r="AA563" s="4"/>
      <c r="AB563" s="4"/>
      <c r="AC563" s="4"/>
      <c r="AD563" s="4"/>
      <c r="AE563" s="4"/>
      <c r="AF563" s="4"/>
    </row>
    <row r="564" ht="15.75" customHeight="1">
      <c r="A564" s="4"/>
      <c r="B564" s="4"/>
      <c r="C564" s="4"/>
      <c r="D564" s="4"/>
      <c r="E564" s="4"/>
      <c r="F564" s="4"/>
      <c r="G564" s="4"/>
      <c r="H564" s="4"/>
      <c r="I564" s="129"/>
      <c r="J564" s="129"/>
      <c r="K564" s="129"/>
      <c r="L564" s="129"/>
      <c r="M564" s="129"/>
      <c r="N564" s="4"/>
      <c r="O564" s="4"/>
      <c r="P564" s="4"/>
      <c r="Q564" s="4"/>
      <c r="R564" s="4"/>
      <c r="S564" s="4"/>
      <c r="T564" s="4"/>
      <c r="U564" s="4"/>
      <c r="V564" s="4"/>
      <c r="W564" s="4"/>
      <c r="X564" s="4"/>
      <c r="Y564" s="4"/>
      <c r="Z564" s="4"/>
      <c r="AA564" s="4"/>
      <c r="AB564" s="4"/>
      <c r="AC564" s="4"/>
      <c r="AD564" s="4"/>
      <c r="AE564" s="4"/>
      <c r="AF564" s="4"/>
    </row>
    <row r="565" ht="15.75" customHeight="1">
      <c r="A565" s="4"/>
      <c r="B565" s="4"/>
      <c r="C565" s="4"/>
      <c r="D565" s="4"/>
      <c r="E565" s="4"/>
      <c r="F565" s="4"/>
      <c r="G565" s="4"/>
      <c r="H565" s="4"/>
      <c r="I565" s="129"/>
      <c r="J565" s="129"/>
      <c r="K565" s="129"/>
      <c r="L565" s="129"/>
      <c r="M565" s="129"/>
      <c r="N565" s="4"/>
      <c r="O565" s="4"/>
      <c r="P565" s="4"/>
      <c r="Q565" s="4"/>
      <c r="R565" s="4"/>
      <c r="S565" s="4"/>
      <c r="T565" s="4"/>
      <c r="U565" s="4"/>
      <c r="V565" s="4"/>
      <c r="W565" s="4"/>
      <c r="X565" s="4"/>
      <c r="Y565" s="4"/>
      <c r="Z565" s="4"/>
      <c r="AA565" s="4"/>
      <c r="AB565" s="4"/>
      <c r="AC565" s="4"/>
      <c r="AD565" s="4"/>
      <c r="AE565" s="4"/>
      <c r="AF565" s="4"/>
    </row>
    <row r="566" ht="15.75" customHeight="1">
      <c r="A566" s="4"/>
      <c r="B566" s="4"/>
      <c r="C566" s="4"/>
      <c r="D566" s="4"/>
      <c r="E566" s="4"/>
      <c r="F566" s="4"/>
      <c r="G566" s="4"/>
      <c r="H566" s="4"/>
      <c r="I566" s="129"/>
      <c r="J566" s="129"/>
      <c r="K566" s="129"/>
      <c r="L566" s="129"/>
      <c r="M566" s="129"/>
      <c r="N566" s="4"/>
      <c r="O566" s="4"/>
      <c r="P566" s="4"/>
      <c r="Q566" s="4"/>
      <c r="R566" s="4"/>
      <c r="S566" s="4"/>
      <c r="T566" s="4"/>
      <c r="U566" s="4"/>
      <c r="V566" s="4"/>
      <c r="W566" s="4"/>
      <c r="X566" s="4"/>
      <c r="Y566" s="4"/>
      <c r="Z566" s="4"/>
      <c r="AA566" s="4"/>
      <c r="AB566" s="4"/>
      <c r="AC566" s="4"/>
      <c r="AD566" s="4"/>
      <c r="AE566" s="4"/>
      <c r="AF566" s="4"/>
    </row>
    <row r="567" ht="15.75" customHeight="1">
      <c r="A567" s="4"/>
      <c r="B567" s="4"/>
      <c r="C567" s="4"/>
      <c r="D567" s="4"/>
      <c r="E567" s="4"/>
      <c r="F567" s="4"/>
      <c r="G567" s="4"/>
      <c r="H567" s="4"/>
      <c r="I567" s="129"/>
      <c r="J567" s="129"/>
      <c r="K567" s="129"/>
      <c r="L567" s="129"/>
      <c r="M567" s="129"/>
      <c r="N567" s="4"/>
      <c r="O567" s="4"/>
      <c r="P567" s="4"/>
      <c r="Q567" s="4"/>
      <c r="R567" s="4"/>
      <c r="S567" s="4"/>
      <c r="T567" s="4"/>
      <c r="U567" s="4"/>
      <c r="V567" s="4"/>
      <c r="W567" s="4"/>
      <c r="X567" s="4"/>
      <c r="Y567" s="4"/>
      <c r="Z567" s="4"/>
      <c r="AA567" s="4"/>
      <c r="AB567" s="4"/>
      <c r="AC567" s="4"/>
      <c r="AD567" s="4"/>
      <c r="AE567" s="4"/>
      <c r="AF567" s="4"/>
    </row>
    <row r="568" ht="15.75" customHeight="1">
      <c r="A568" s="4"/>
      <c r="B568" s="4"/>
      <c r="C568" s="4"/>
      <c r="D568" s="4"/>
      <c r="E568" s="4"/>
      <c r="F568" s="4"/>
      <c r="G568" s="4"/>
      <c r="H568" s="4"/>
      <c r="I568" s="129"/>
      <c r="J568" s="129"/>
      <c r="K568" s="129"/>
      <c r="L568" s="129"/>
      <c r="M568" s="129"/>
      <c r="N568" s="4"/>
      <c r="O568" s="4"/>
      <c r="P568" s="4"/>
      <c r="Q568" s="4"/>
      <c r="R568" s="4"/>
      <c r="S568" s="4"/>
      <c r="T568" s="4"/>
      <c r="U568" s="4"/>
      <c r="V568" s="4"/>
      <c r="W568" s="4"/>
      <c r="X568" s="4"/>
      <c r="Y568" s="4"/>
      <c r="Z568" s="4"/>
      <c r="AA568" s="4"/>
      <c r="AB568" s="4"/>
      <c r="AC568" s="4"/>
      <c r="AD568" s="4"/>
      <c r="AE568" s="4"/>
      <c r="AF568" s="4"/>
    </row>
    <row r="569" ht="15.75" customHeight="1">
      <c r="A569" s="4"/>
      <c r="B569" s="4"/>
      <c r="C569" s="4"/>
      <c r="D569" s="4"/>
      <c r="E569" s="4"/>
      <c r="F569" s="4"/>
      <c r="G569" s="4"/>
      <c r="H569" s="4"/>
      <c r="I569" s="129"/>
      <c r="J569" s="129"/>
      <c r="K569" s="129"/>
      <c r="L569" s="129"/>
      <c r="M569" s="129"/>
      <c r="N569" s="4"/>
      <c r="O569" s="4"/>
      <c r="P569" s="4"/>
      <c r="Q569" s="4"/>
      <c r="R569" s="4"/>
      <c r="S569" s="4"/>
      <c r="T569" s="4"/>
      <c r="U569" s="4"/>
      <c r="V569" s="4"/>
      <c r="W569" s="4"/>
      <c r="X569" s="4"/>
      <c r="Y569" s="4"/>
      <c r="Z569" s="4"/>
      <c r="AA569" s="4"/>
      <c r="AB569" s="4"/>
      <c r="AC569" s="4"/>
      <c r="AD569" s="4"/>
      <c r="AE569" s="4"/>
      <c r="AF569" s="4"/>
    </row>
    <row r="570" ht="15.75" customHeight="1">
      <c r="A570" s="4"/>
      <c r="B570" s="4"/>
      <c r="C570" s="4"/>
      <c r="D570" s="4"/>
      <c r="E570" s="4"/>
      <c r="F570" s="4"/>
      <c r="G570" s="4"/>
      <c r="H570" s="4"/>
      <c r="I570" s="129"/>
      <c r="J570" s="129"/>
      <c r="K570" s="129"/>
      <c r="L570" s="129"/>
      <c r="M570" s="129"/>
      <c r="N570" s="4"/>
      <c r="O570" s="4"/>
      <c r="P570" s="4"/>
      <c r="Q570" s="4"/>
      <c r="R570" s="4"/>
      <c r="S570" s="4"/>
      <c r="T570" s="4"/>
      <c r="U570" s="4"/>
      <c r="V570" s="4"/>
      <c r="W570" s="4"/>
      <c r="X570" s="4"/>
      <c r="Y570" s="4"/>
      <c r="Z570" s="4"/>
      <c r="AA570" s="4"/>
      <c r="AB570" s="4"/>
      <c r="AC570" s="4"/>
      <c r="AD570" s="4"/>
      <c r="AE570" s="4"/>
      <c r="AF570" s="4"/>
    </row>
    <row r="571" ht="15.75" customHeight="1">
      <c r="A571" s="4"/>
      <c r="B571" s="4"/>
      <c r="C571" s="4"/>
      <c r="D571" s="4"/>
      <c r="E571" s="4"/>
      <c r="F571" s="4"/>
      <c r="G571" s="4"/>
      <c r="H571" s="4"/>
      <c r="I571" s="129"/>
      <c r="J571" s="129"/>
      <c r="K571" s="129"/>
      <c r="L571" s="129"/>
      <c r="M571" s="129"/>
      <c r="N571" s="4"/>
      <c r="O571" s="4"/>
      <c r="P571" s="4"/>
      <c r="Q571" s="4"/>
      <c r="R571" s="4"/>
      <c r="S571" s="4"/>
      <c r="T571" s="4"/>
      <c r="U571" s="4"/>
      <c r="V571" s="4"/>
      <c r="W571" s="4"/>
      <c r="X571" s="4"/>
      <c r="Y571" s="4"/>
      <c r="Z571" s="4"/>
      <c r="AA571" s="4"/>
      <c r="AB571" s="4"/>
      <c r="AC571" s="4"/>
      <c r="AD571" s="4"/>
      <c r="AE571" s="4"/>
      <c r="AF571" s="4"/>
    </row>
    <row r="572" ht="15.75" customHeight="1">
      <c r="A572" s="4"/>
      <c r="B572" s="4"/>
      <c r="C572" s="4"/>
      <c r="D572" s="4"/>
      <c r="E572" s="4"/>
      <c r="F572" s="4"/>
      <c r="G572" s="4"/>
      <c r="H572" s="4"/>
      <c r="I572" s="129"/>
      <c r="J572" s="129"/>
      <c r="K572" s="129"/>
      <c r="L572" s="129"/>
      <c r="M572" s="129"/>
      <c r="N572" s="4"/>
      <c r="O572" s="4"/>
      <c r="P572" s="4"/>
      <c r="Q572" s="4"/>
      <c r="R572" s="4"/>
      <c r="S572" s="4"/>
      <c r="T572" s="4"/>
      <c r="U572" s="4"/>
      <c r="V572" s="4"/>
      <c r="W572" s="4"/>
      <c r="X572" s="4"/>
      <c r="Y572" s="4"/>
      <c r="Z572" s="4"/>
      <c r="AA572" s="4"/>
      <c r="AB572" s="4"/>
      <c r="AC572" s="4"/>
      <c r="AD572" s="4"/>
      <c r="AE572" s="4"/>
      <c r="AF572" s="4"/>
    </row>
    <row r="573" ht="15.75" customHeight="1">
      <c r="A573" s="4"/>
      <c r="B573" s="4"/>
      <c r="C573" s="4"/>
      <c r="D573" s="4"/>
      <c r="E573" s="4"/>
      <c r="F573" s="4"/>
      <c r="G573" s="4"/>
      <c r="H573" s="4"/>
      <c r="I573" s="129"/>
      <c r="J573" s="129"/>
      <c r="K573" s="129"/>
      <c r="L573" s="129"/>
      <c r="M573" s="129"/>
      <c r="N573" s="4"/>
      <c r="O573" s="4"/>
      <c r="P573" s="4"/>
      <c r="Q573" s="4"/>
      <c r="R573" s="4"/>
      <c r="S573" s="4"/>
      <c r="T573" s="4"/>
      <c r="U573" s="4"/>
      <c r="V573" s="4"/>
      <c r="W573" s="4"/>
      <c r="X573" s="4"/>
      <c r="Y573" s="4"/>
      <c r="Z573" s="4"/>
      <c r="AA573" s="4"/>
      <c r="AB573" s="4"/>
      <c r="AC573" s="4"/>
      <c r="AD573" s="4"/>
      <c r="AE573" s="4"/>
      <c r="AF573" s="4"/>
    </row>
    <row r="574" ht="15.75" customHeight="1">
      <c r="A574" s="4"/>
      <c r="B574" s="4"/>
      <c r="C574" s="4"/>
      <c r="D574" s="4"/>
      <c r="E574" s="4"/>
      <c r="F574" s="4"/>
      <c r="G574" s="4"/>
      <c r="H574" s="4"/>
      <c r="I574" s="129"/>
      <c r="J574" s="129"/>
      <c r="K574" s="129"/>
      <c r="L574" s="129"/>
      <c r="M574" s="129"/>
      <c r="N574" s="4"/>
      <c r="O574" s="4"/>
      <c r="P574" s="4"/>
      <c r="Q574" s="4"/>
      <c r="R574" s="4"/>
      <c r="S574" s="4"/>
      <c r="T574" s="4"/>
      <c r="U574" s="4"/>
      <c r="V574" s="4"/>
      <c r="W574" s="4"/>
      <c r="X574" s="4"/>
      <c r="Y574" s="4"/>
      <c r="Z574" s="4"/>
      <c r="AA574" s="4"/>
      <c r="AB574" s="4"/>
      <c r="AC574" s="4"/>
      <c r="AD574" s="4"/>
      <c r="AE574" s="4"/>
      <c r="AF574" s="4"/>
    </row>
    <row r="575" ht="15.75" customHeight="1">
      <c r="A575" s="4"/>
      <c r="B575" s="4"/>
      <c r="C575" s="4"/>
      <c r="D575" s="4"/>
      <c r="E575" s="4"/>
      <c r="F575" s="4"/>
      <c r="G575" s="4"/>
      <c r="H575" s="4"/>
      <c r="I575" s="129"/>
      <c r="J575" s="129"/>
      <c r="K575" s="129"/>
      <c r="L575" s="129"/>
      <c r="M575" s="129"/>
      <c r="N575" s="4"/>
      <c r="O575" s="4"/>
      <c r="P575" s="4"/>
      <c r="Q575" s="4"/>
      <c r="R575" s="4"/>
      <c r="S575" s="4"/>
      <c r="T575" s="4"/>
      <c r="U575" s="4"/>
      <c r="V575" s="4"/>
      <c r="W575" s="4"/>
      <c r="X575" s="4"/>
      <c r="Y575" s="4"/>
      <c r="Z575" s="4"/>
      <c r="AA575" s="4"/>
      <c r="AB575" s="4"/>
      <c r="AC575" s="4"/>
      <c r="AD575" s="4"/>
      <c r="AE575" s="4"/>
      <c r="AF575" s="4"/>
    </row>
    <row r="576" ht="15.75" customHeight="1">
      <c r="A576" s="4"/>
      <c r="B576" s="4"/>
      <c r="C576" s="4"/>
      <c r="D576" s="4"/>
      <c r="E576" s="4"/>
      <c r="F576" s="4"/>
      <c r="G576" s="4"/>
      <c r="H576" s="4"/>
      <c r="I576" s="129"/>
      <c r="J576" s="129"/>
      <c r="K576" s="129"/>
      <c r="L576" s="129"/>
      <c r="M576" s="129"/>
      <c r="N576" s="4"/>
      <c r="O576" s="4"/>
      <c r="P576" s="4"/>
      <c r="Q576" s="4"/>
      <c r="R576" s="4"/>
      <c r="S576" s="4"/>
      <c r="T576" s="4"/>
      <c r="U576" s="4"/>
      <c r="V576" s="4"/>
      <c r="W576" s="4"/>
      <c r="X576" s="4"/>
      <c r="Y576" s="4"/>
      <c r="Z576" s="4"/>
      <c r="AA576" s="4"/>
      <c r="AB576" s="4"/>
      <c r="AC576" s="4"/>
      <c r="AD576" s="4"/>
      <c r="AE576" s="4"/>
      <c r="AF576" s="4"/>
    </row>
    <row r="577" ht="15.75" customHeight="1">
      <c r="A577" s="4"/>
      <c r="B577" s="4"/>
      <c r="C577" s="4"/>
      <c r="D577" s="4"/>
      <c r="E577" s="4"/>
      <c r="F577" s="4"/>
      <c r="G577" s="4"/>
      <c r="H577" s="4"/>
      <c r="I577" s="129"/>
      <c r="J577" s="129"/>
      <c r="K577" s="129"/>
      <c r="L577" s="129"/>
      <c r="M577" s="129"/>
      <c r="N577" s="4"/>
      <c r="O577" s="4"/>
      <c r="P577" s="4"/>
      <c r="Q577" s="4"/>
      <c r="R577" s="4"/>
      <c r="S577" s="4"/>
      <c r="T577" s="4"/>
      <c r="U577" s="4"/>
      <c r="V577" s="4"/>
      <c r="W577" s="4"/>
      <c r="X577" s="4"/>
      <c r="Y577" s="4"/>
      <c r="Z577" s="4"/>
      <c r="AA577" s="4"/>
      <c r="AB577" s="4"/>
      <c r="AC577" s="4"/>
      <c r="AD577" s="4"/>
      <c r="AE577" s="4"/>
      <c r="AF577" s="4"/>
    </row>
    <row r="578" ht="15.75" customHeight="1">
      <c r="A578" s="4"/>
      <c r="B578" s="4"/>
      <c r="C578" s="4"/>
      <c r="D578" s="4"/>
      <c r="E578" s="4"/>
      <c r="F578" s="4"/>
      <c r="G578" s="4"/>
      <c r="H578" s="4"/>
      <c r="I578" s="129"/>
      <c r="J578" s="129"/>
      <c r="K578" s="129"/>
      <c r="L578" s="129"/>
      <c r="M578" s="129"/>
      <c r="N578" s="4"/>
      <c r="O578" s="4"/>
      <c r="P578" s="4"/>
      <c r="Q578" s="4"/>
      <c r="R578" s="4"/>
      <c r="S578" s="4"/>
      <c r="T578" s="4"/>
      <c r="U578" s="4"/>
      <c r="V578" s="4"/>
      <c r="W578" s="4"/>
      <c r="X578" s="4"/>
      <c r="Y578" s="4"/>
      <c r="Z578" s="4"/>
      <c r="AA578" s="4"/>
      <c r="AB578" s="4"/>
      <c r="AC578" s="4"/>
      <c r="AD578" s="4"/>
      <c r="AE578" s="4"/>
      <c r="AF578" s="4"/>
    </row>
    <row r="579" ht="15.75" customHeight="1">
      <c r="A579" s="4"/>
      <c r="B579" s="4"/>
      <c r="C579" s="4"/>
      <c r="D579" s="4"/>
      <c r="E579" s="4"/>
      <c r="F579" s="4"/>
      <c r="G579" s="4"/>
      <c r="H579" s="4"/>
      <c r="I579" s="129"/>
      <c r="J579" s="129"/>
      <c r="K579" s="129"/>
      <c r="L579" s="129"/>
      <c r="M579" s="129"/>
      <c r="N579" s="4"/>
      <c r="O579" s="4"/>
      <c r="P579" s="4"/>
      <c r="Q579" s="4"/>
      <c r="R579" s="4"/>
      <c r="S579" s="4"/>
      <c r="T579" s="4"/>
      <c r="U579" s="4"/>
      <c r="V579" s="4"/>
      <c r="W579" s="4"/>
      <c r="X579" s="4"/>
      <c r="Y579" s="4"/>
      <c r="Z579" s="4"/>
      <c r="AA579" s="4"/>
      <c r="AB579" s="4"/>
      <c r="AC579" s="4"/>
      <c r="AD579" s="4"/>
      <c r="AE579" s="4"/>
      <c r="AF579" s="4"/>
    </row>
    <row r="580" ht="15.75" customHeight="1">
      <c r="A580" s="4"/>
      <c r="B580" s="4"/>
      <c r="C580" s="4"/>
      <c r="D580" s="4"/>
      <c r="E580" s="4"/>
      <c r="F580" s="4"/>
      <c r="G580" s="4"/>
      <c r="H580" s="4"/>
      <c r="I580" s="129"/>
      <c r="J580" s="129"/>
      <c r="K580" s="129"/>
      <c r="L580" s="129"/>
      <c r="M580" s="129"/>
      <c r="N580" s="4"/>
      <c r="O580" s="4"/>
      <c r="P580" s="4"/>
      <c r="Q580" s="4"/>
      <c r="R580" s="4"/>
      <c r="S580" s="4"/>
      <c r="T580" s="4"/>
      <c r="U580" s="4"/>
      <c r="V580" s="4"/>
      <c r="W580" s="4"/>
      <c r="X580" s="4"/>
      <c r="Y580" s="4"/>
      <c r="Z580" s="4"/>
      <c r="AA580" s="4"/>
      <c r="AB580" s="4"/>
      <c r="AC580" s="4"/>
      <c r="AD580" s="4"/>
      <c r="AE580" s="4"/>
      <c r="AF580" s="4"/>
    </row>
    <row r="581" ht="15.75" customHeight="1">
      <c r="A581" s="4"/>
      <c r="B581" s="4"/>
      <c r="C581" s="4"/>
      <c r="D581" s="4"/>
      <c r="E581" s="4"/>
      <c r="F581" s="4"/>
      <c r="G581" s="4"/>
      <c r="H581" s="4"/>
      <c r="I581" s="129"/>
      <c r="J581" s="129"/>
      <c r="K581" s="129"/>
      <c r="L581" s="129"/>
      <c r="M581" s="129"/>
      <c r="N581" s="4"/>
      <c r="O581" s="4"/>
      <c r="P581" s="4"/>
      <c r="Q581" s="4"/>
      <c r="R581" s="4"/>
      <c r="S581" s="4"/>
      <c r="T581" s="4"/>
      <c r="U581" s="4"/>
      <c r="V581" s="4"/>
      <c r="W581" s="4"/>
      <c r="X581" s="4"/>
      <c r="Y581" s="4"/>
      <c r="Z581" s="4"/>
      <c r="AA581" s="4"/>
      <c r="AB581" s="4"/>
      <c r="AC581" s="4"/>
      <c r="AD581" s="4"/>
      <c r="AE581" s="4"/>
      <c r="AF581" s="4"/>
    </row>
    <row r="582" ht="15.75" customHeight="1">
      <c r="A582" s="4"/>
      <c r="B582" s="4"/>
      <c r="C582" s="4"/>
      <c r="D582" s="4"/>
      <c r="E582" s="4"/>
      <c r="F582" s="4"/>
      <c r="G582" s="4"/>
      <c r="H582" s="4"/>
      <c r="I582" s="129"/>
      <c r="J582" s="129"/>
      <c r="K582" s="129"/>
      <c r="L582" s="129"/>
      <c r="M582" s="129"/>
      <c r="N582" s="4"/>
      <c r="O582" s="4"/>
      <c r="P582" s="4"/>
      <c r="Q582" s="4"/>
      <c r="R582" s="4"/>
      <c r="S582" s="4"/>
      <c r="T582" s="4"/>
      <c r="U582" s="4"/>
      <c r="V582" s="4"/>
      <c r="W582" s="4"/>
      <c r="X582" s="4"/>
      <c r="Y582" s="4"/>
      <c r="Z582" s="4"/>
      <c r="AA582" s="4"/>
      <c r="AB582" s="4"/>
      <c r="AC582" s="4"/>
      <c r="AD582" s="4"/>
      <c r="AE582" s="4"/>
      <c r="AF582" s="4"/>
    </row>
    <row r="583" ht="15.75" customHeight="1">
      <c r="A583" s="4"/>
      <c r="B583" s="4"/>
      <c r="C583" s="4"/>
      <c r="D583" s="4"/>
      <c r="E583" s="4"/>
      <c r="F583" s="4"/>
      <c r="G583" s="4"/>
      <c r="H583" s="4"/>
      <c r="I583" s="129"/>
      <c r="J583" s="129"/>
      <c r="K583" s="129"/>
      <c r="L583" s="129"/>
      <c r="M583" s="129"/>
      <c r="N583" s="4"/>
      <c r="O583" s="4"/>
      <c r="P583" s="4"/>
      <c r="Q583" s="4"/>
      <c r="R583" s="4"/>
      <c r="S583" s="4"/>
      <c r="T583" s="4"/>
      <c r="U583" s="4"/>
      <c r="V583" s="4"/>
      <c r="W583" s="4"/>
      <c r="X583" s="4"/>
      <c r="Y583" s="4"/>
      <c r="Z583" s="4"/>
      <c r="AA583" s="4"/>
      <c r="AB583" s="4"/>
      <c r="AC583" s="4"/>
      <c r="AD583" s="4"/>
      <c r="AE583" s="4"/>
      <c r="AF583" s="4"/>
    </row>
    <row r="584" ht="15.75" customHeight="1">
      <c r="A584" s="4"/>
      <c r="B584" s="4"/>
      <c r="C584" s="4"/>
      <c r="D584" s="4"/>
      <c r="E584" s="4"/>
      <c r="F584" s="4"/>
      <c r="G584" s="4"/>
      <c r="H584" s="4"/>
      <c r="I584" s="129"/>
      <c r="J584" s="129"/>
      <c r="K584" s="129"/>
      <c r="L584" s="129"/>
      <c r="M584" s="129"/>
      <c r="N584" s="4"/>
      <c r="O584" s="4"/>
      <c r="P584" s="4"/>
      <c r="Q584" s="4"/>
      <c r="R584" s="4"/>
      <c r="S584" s="4"/>
      <c r="T584" s="4"/>
      <c r="U584" s="4"/>
      <c r="V584" s="4"/>
      <c r="W584" s="4"/>
      <c r="X584" s="4"/>
      <c r="Y584" s="4"/>
      <c r="Z584" s="4"/>
      <c r="AA584" s="4"/>
      <c r="AB584" s="4"/>
      <c r="AC584" s="4"/>
      <c r="AD584" s="4"/>
      <c r="AE584" s="4"/>
      <c r="AF584" s="4"/>
    </row>
    <row r="585" ht="15.75" customHeight="1">
      <c r="A585" s="4"/>
      <c r="B585" s="4"/>
      <c r="C585" s="4"/>
      <c r="D585" s="4"/>
      <c r="E585" s="4"/>
      <c r="F585" s="4"/>
      <c r="G585" s="4"/>
      <c r="H585" s="4"/>
      <c r="I585" s="129"/>
      <c r="J585" s="129"/>
      <c r="K585" s="129"/>
      <c r="L585" s="129"/>
      <c r="M585" s="129"/>
      <c r="N585" s="4"/>
      <c r="O585" s="4"/>
      <c r="P585" s="4"/>
      <c r="Q585" s="4"/>
      <c r="R585" s="4"/>
      <c r="S585" s="4"/>
      <c r="T585" s="4"/>
      <c r="U585" s="4"/>
      <c r="V585" s="4"/>
      <c r="W585" s="4"/>
      <c r="X585" s="4"/>
      <c r="Y585" s="4"/>
      <c r="Z585" s="4"/>
      <c r="AA585" s="4"/>
      <c r="AB585" s="4"/>
      <c r="AC585" s="4"/>
      <c r="AD585" s="4"/>
      <c r="AE585" s="4"/>
      <c r="AF585" s="4"/>
    </row>
    <row r="586" ht="15.75" customHeight="1">
      <c r="A586" s="4"/>
      <c r="B586" s="4"/>
      <c r="C586" s="4"/>
      <c r="D586" s="4"/>
      <c r="E586" s="4"/>
      <c r="F586" s="4"/>
      <c r="G586" s="4"/>
      <c r="H586" s="4"/>
      <c r="I586" s="129"/>
      <c r="J586" s="129"/>
      <c r="K586" s="129"/>
      <c r="L586" s="129"/>
      <c r="M586" s="129"/>
      <c r="N586" s="4"/>
      <c r="O586" s="4"/>
      <c r="P586" s="4"/>
      <c r="Q586" s="4"/>
      <c r="R586" s="4"/>
      <c r="S586" s="4"/>
      <c r="T586" s="4"/>
      <c r="U586" s="4"/>
      <c r="V586" s="4"/>
      <c r="W586" s="4"/>
      <c r="X586" s="4"/>
      <c r="Y586" s="4"/>
      <c r="Z586" s="4"/>
      <c r="AA586" s="4"/>
      <c r="AB586" s="4"/>
      <c r="AC586" s="4"/>
      <c r="AD586" s="4"/>
      <c r="AE586" s="4"/>
      <c r="AF586" s="4"/>
    </row>
    <row r="587" ht="15.75" customHeight="1">
      <c r="A587" s="4"/>
      <c r="B587" s="4"/>
      <c r="C587" s="4"/>
      <c r="D587" s="4"/>
      <c r="E587" s="4"/>
      <c r="F587" s="4"/>
      <c r="G587" s="4"/>
      <c r="H587" s="4"/>
      <c r="I587" s="129"/>
      <c r="J587" s="129"/>
      <c r="K587" s="129"/>
      <c r="L587" s="129"/>
      <c r="M587" s="129"/>
      <c r="N587" s="4"/>
      <c r="O587" s="4"/>
      <c r="P587" s="4"/>
      <c r="Q587" s="4"/>
      <c r="R587" s="4"/>
      <c r="S587" s="4"/>
      <c r="T587" s="4"/>
      <c r="U587" s="4"/>
      <c r="V587" s="4"/>
      <c r="W587" s="4"/>
      <c r="X587" s="4"/>
      <c r="Y587" s="4"/>
      <c r="Z587" s="4"/>
      <c r="AA587" s="4"/>
      <c r="AB587" s="4"/>
      <c r="AC587" s="4"/>
      <c r="AD587" s="4"/>
      <c r="AE587" s="4"/>
      <c r="AF587" s="4"/>
    </row>
    <row r="588" ht="15.75" customHeight="1">
      <c r="A588" s="4"/>
      <c r="B588" s="4"/>
      <c r="C588" s="4"/>
      <c r="D588" s="4"/>
      <c r="E588" s="4"/>
      <c r="F588" s="4"/>
      <c r="G588" s="4"/>
      <c r="H588" s="4"/>
      <c r="I588" s="129"/>
      <c r="J588" s="129"/>
      <c r="K588" s="129"/>
      <c r="L588" s="129"/>
      <c r="M588" s="129"/>
      <c r="N588" s="4"/>
      <c r="O588" s="4"/>
      <c r="P588" s="4"/>
      <c r="Q588" s="4"/>
      <c r="R588" s="4"/>
      <c r="S588" s="4"/>
      <c r="T588" s="4"/>
      <c r="U588" s="4"/>
      <c r="V588" s="4"/>
      <c r="W588" s="4"/>
      <c r="X588" s="4"/>
      <c r="Y588" s="4"/>
      <c r="Z588" s="4"/>
      <c r="AA588" s="4"/>
      <c r="AB588" s="4"/>
      <c r="AC588" s="4"/>
      <c r="AD588" s="4"/>
      <c r="AE588" s="4"/>
      <c r="AF588" s="4"/>
    </row>
    <row r="589" ht="15.75" customHeight="1">
      <c r="A589" s="4"/>
      <c r="B589" s="4"/>
      <c r="C589" s="4"/>
      <c r="D589" s="4"/>
      <c r="E589" s="4"/>
      <c r="F589" s="4"/>
      <c r="G589" s="4"/>
      <c r="H589" s="4"/>
      <c r="I589" s="129"/>
      <c r="J589" s="129"/>
      <c r="K589" s="129"/>
      <c r="L589" s="129"/>
      <c r="M589" s="129"/>
      <c r="N589" s="4"/>
      <c r="O589" s="4"/>
      <c r="P589" s="4"/>
      <c r="Q589" s="4"/>
      <c r="R589" s="4"/>
      <c r="S589" s="4"/>
      <c r="T589" s="4"/>
      <c r="U589" s="4"/>
      <c r="V589" s="4"/>
      <c r="W589" s="4"/>
      <c r="X589" s="4"/>
      <c r="Y589" s="4"/>
      <c r="Z589" s="4"/>
      <c r="AA589" s="4"/>
      <c r="AB589" s="4"/>
      <c r="AC589" s="4"/>
      <c r="AD589" s="4"/>
      <c r="AE589" s="4"/>
      <c r="AF589" s="4"/>
    </row>
    <row r="590" ht="15.75" customHeight="1">
      <c r="A590" s="4"/>
      <c r="B590" s="4"/>
      <c r="C590" s="4"/>
      <c r="D590" s="4"/>
      <c r="E590" s="4"/>
      <c r="F590" s="4"/>
      <c r="G590" s="4"/>
      <c r="H590" s="4"/>
      <c r="I590" s="129"/>
      <c r="J590" s="129"/>
      <c r="K590" s="129"/>
      <c r="L590" s="129"/>
      <c r="M590" s="129"/>
      <c r="N590" s="4"/>
      <c r="O590" s="4"/>
      <c r="P590" s="4"/>
      <c r="Q590" s="4"/>
      <c r="R590" s="4"/>
      <c r="S590" s="4"/>
      <c r="T590" s="4"/>
      <c r="U590" s="4"/>
      <c r="V590" s="4"/>
      <c r="W590" s="4"/>
      <c r="X590" s="4"/>
      <c r="Y590" s="4"/>
      <c r="Z590" s="4"/>
      <c r="AA590" s="4"/>
      <c r="AB590" s="4"/>
      <c r="AC590" s="4"/>
      <c r="AD590" s="4"/>
      <c r="AE590" s="4"/>
      <c r="AF590" s="4"/>
    </row>
    <row r="591" ht="15.75" customHeight="1">
      <c r="A591" s="4"/>
      <c r="B591" s="4"/>
      <c r="C591" s="4"/>
      <c r="D591" s="4"/>
      <c r="E591" s="4"/>
      <c r="F591" s="4"/>
      <c r="G591" s="4"/>
      <c r="H591" s="4"/>
      <c r="I591" s="129"/>
      <c r="J591" s="129"/>
      <c r="K591" s="129"/>
      <c r="L591" s="129"/>
      <c r="M591" s="129"/>
      <c r="N591" s="4"/>
      <c r="O591" s="4"/>
      <c r="P591" s="4"/>
      <c r="Q591" s="4"/>
      <c r="R591" s="4"/>
      <c r="S591" s="4"/>
      <c r="T591" s="4"/>
      <c r="U591" s="4"/>
      <c r="V591" s="4"/>
      <c r="W591" s="4"/>
      <c r="X591" s="4"/>
      <c r="Y591" s="4"/>
      <c r="Z591" s="4"/>
      <c r="AA591" s="4"/>
      <c r="AB591" s="4"/>
      <c r="AC591" s="4"/>
      <c r="AD591" s="4"/>
      <c r="AE591" s="4"/>
      <c r="AF591" s="4"/>
    </row>
    <row r="592" ht="15.75" customHeight="1">
      <c r="A592" s="4"/>
      <c r="B592" s="4"/>
      <c r="C592" s="4"/>
      <c r="D592" s="4"/>
      <c r="E592" s="4"/>
      <c r="F592" s="4"/>
      <c r="G592" s="4"/>
      <c r="H592" s="4"/>
      <c r="I592" s="129"/>
      <c r="J592" s="129"/>
      <c r="K592" s="129"/>
      <c r="L592" s="129"/>
      <c r="M592" s="129"/>
      <c r="N592" s="4"/>
      <c r="O592" s="4"/>
      <c r="P592" s="4"/>
      <c r="Q592" s="4"/>
      <c r="R592" s="4"/>
      <c r="S592" s="4"/>
      <c r="T592" s="4"/>
      <c r="U592" s="4"/>
      <c r="V592" s="4"/>
      <c r="W592" s="4"/>
      <c r="X592" s="4"/>
      <c r="Y592" s="4"/>
      <c r="Z592" s="4"/>
      <c r="AA592" s="4"/>
      <c r="AB592" s="4"/>
      <c r="AC592" s="4"/>
      <c r="AD592" s="4"/>
      <c r="AE592" s="4"/>
      <c r="AF592" s="4"/>
    </row>
    <row r="593" ht="15.75" customHeight="1">
      <c r="A593" s="4"/>
      <c r="B593" s="4"/>
      <c r="C593" s="4"/>
      <c r="D593" s="4"/>
      <c r="E593" s="4"/>
      <c r="F593" s="4"/>
      <c r="G593" s="4"/>
      <c r="H593" s="4"/>
      <c r="I593" s="129"/>
      <c r="J593" s="129"/>
      <c r="K593" s="129"/>
      <c r="L593" s="129"/>
      <c r="M593" s="129"/>
      <c r="N593" s="4"/>
      <c r="O593" s="4"/>
      <c r="P593" s="4"/>
      <c r="Q593" s="4"/>
      <c r="R593" s="4"/>
      <c r="S593" s="4"/>
      <c r="T593" s="4"/>
      <c r="U593" s="4"/>
      <c r="V593" s="4"/>
      <c r="W593" s="4"/>
      <c r="X593" s="4"/>
      <c r="Y593" s="4"/>
      <c r="Z593" s="4"/>
      <c r="AA593" s="4"/>
      <c r="AB593" s="4"/>
      <c r="AC593" s="4"/>
      <c r="AD593" s="4"/>
      <c r="AE593" s="4"/>
      <c r="AF593" s="4"/>
    </row>
    <row r="594" ht="15.75" customHeight="1">
      <c r="A594" s="4"/>
      <c r="B594" s="4"/>
      <c r="C594" s="4"/>
      <c r="D594" s="4"/>
      <c r="E594" s="4"/>
      <c r="F594" s="4"/>
      <c r="G594" s="4"/>
      <c r="H594" s="4"/>
      <c r="I594" s="129"/>
      <c r="J594" s="129"/>
      <c r="K594" s="129"/>
      <c r="L594" s="129"/>
      <c r="M594" s="129"/>
      <c r="N594" s="4"/>
      <c r="O594" s="4"/>
      <c r="P594" s="4"/>
      <c r="Q594" s="4"/>
      <c r="R594" s="4"/>
      <c r="S594" s="4"/>
      <c r="T594" s="4"/>
      <c r="U594" s="4"/>
      <c r="V594" s="4"/>
      <c r="W594" s="4"/>
      <c r="X594" s="4"/>
      <c r="Y594" s="4"/>
      <c r="Z594" s="4"/>
      <c r="AA594" s="4"/>
      <c r="AB594" s="4"/>
      <c r="AC594" s="4"/>
      <c r="AD594" s="4"/>
      <c r="AE594" s="4"/>
      <c r="AF594" s="4"/>
    </row>
    <row r="595" ht="15.75" customHeight="1">
      <c r="A595" s="4"/>
      <c r="B595" s="4"/>
      <c r="C595" s="4"/>
      <c r="D595" s="4"/>
      <c r="E595" s="4"/>
      <c r="F595" s="4"/>
      <c r="G595" s="4"/>
      <c r="H595" s="4"/>
      <c r="I595" s="129"/>
      <c r="J595" s="129"/>
      <c r="K595" s="129"/>
      <c r="L595" s="129"/>
      <c r="M595" s="129"/>
      <c r="N595" s="4"/>
      <c r="O595" s="4"/>
      <c r="P595" s="4"/>
      <c r="Q595" s="4"/>
      <c r="R595" s="4"/>
      <c r="S595" s="4"/>
      <c r="T595" s="4"/>
      <c r="U595" s="4"/>
      <c r="V595" s="4"/>
      <c r="W595" s="4"/>
      <c r="X595" s="4"/>
      <c r="Y595" s="4"/>
      <c r="Z595" s="4"/>
      <c r="AA595" s="4"/>
      <c r="AB595" s="4"/>
      <c r="AC595" s="4"/>
      <c r="AD595" s="4"/>
      <c r="AE595" s="4"/>
      <c r="AF595" s="4"/>
    </row>
    <row r="596" ht="15.75" customHeight="1">
      <c r="A596" s="4"/>
      <c r="B596" s="4"/>
      <c r="C596" s="4"/>
      <c r="D596" s="4"/>
      <c r="E596" s="4"/>
      <c r="F596" s="4"/>
      <c r="G596" s="4"/>
      <c r="H596" s="4"/>
      <c r="I596" s="129"/>
      <c r="J596" s="129"/>
      <c r="K596" s="129"/>
      <c r="L596" s="129"/>
      <c r="M596" s="129"/>
      <c r="N596" s="4"/>
      <c r="O596" s="4"/>
      <c r="P596" s="4"/>
      <c r="Q596" s="4"/>
      <c r="R596" s="4"/>
      <c r="S596" s="4"/>
      <c r="T596" s="4"/>
      <c r="U596" s="4"/>
      <c r="V596" s="4"/>
      <c r="W596" s="4"/>
      <c r="X596" s="4"/>
      <c r="Y596" s="4"/>
      <c r="Z596" s="4"/>
      <c r="AA596" s="4"/>
      <c r="AB596" s="4"/>
      <c r="AC596" s="4"/>
      <c r="AD596" s="4"/>
      <c r="AE596" s="4"/>
      <c r="AF596" s="4"/>
    </row>
    <row r="597" ht="15.75" customHeight="1">
      <c r="A597" s="4"/>
      <c r="B597" s="4"/>
      <c r="C597" s="4"/>
      <c r="D597" s="4"/>
      <c r="E597" s="4"/>
      <c r="F597" s="4"/>
      <c r="G597" s="4"/>
      <c r="H597" s="4"/>
      <c r="I597" s="129"/>
      <c r="J597" s="129"/>
      <c r="K597" s="129"/>
      <c r="L597" s="129"/>
      <c r="M597" s="129"/>
      <c r="N597" s="4"/>
      <c r="O597" s="4"/>
      <c r="P597" s="4"/>
      <c r="Q597" s="4"/>
      <c r="R597" s="4"/>
      <c r="S597" s="4"/>
      <c r="T597" s="4"/>
      <c r="U597" s="4"/>
      <c r="V597" s="4"/>
      <c r="W597" s="4"/>
      <c r="X597" s="4"/>
      <c r="Y597" s="4"/>
      <c r="Z597" s="4"/>
      <c r="AA597" s="4"/>
      <c r="AB597" s="4"/>
      <c r="AC597" s="4"/>
      <c r="AD597" s="4"/>
      <c r="AE597" s="4"/>
      <c r="AF597" s="4"/>
    </row>
    <row r="598" ht="15.75" customHeight="1">
      <c r="A598" s="4"/>
      <c r="B598" s="4"/>
      <c r="C598" s="4"/>
      <c r="D598" s="4"/>
      <c r="E598" s="4"/>
      <c r="F598" s="4"/>
      <c r="G598" s="4"/>
      <c r="H598" s="4"/>
      <c r="I598" s="129"/>
      <c r="J598" s="129"/>
      <c r="K598" s="129"/>
      <c r="L598" s="129"/>
      <c r="M598" s="129"/>
      <c r="N598" s="4"/>
      <c r="O598" s="4"/>
      <c r="P598" s="4"/>
      <c r="Q598" s="4"/>
      <c r="R598" s="4"/>
      <c r="S598" s="4"/>
      <c r="T598" s="4"/>
      <c r="U598" s="4"/>
      <c r="V598" s="4"/>
      <c r="W598" s="4"/>
      <c r="X598" s="4"/>
      <c r="Y598" s="4"/>
      <c r="Z598" s="4"/>
      <c r="AA598" s="4"/>
      <c r="AB598" s="4"/>
      <c r="AC598" s="4"/>
      <c r="AD598" s="4"/>
      <c r="AE598" s="4"/>
      <c r="AF598" s="4"/>
    </row>
    <row r="599" ht="15.75" customHeight="1">
      <c r="A599" s="4"/>
      <c r="B599" s="4"/>
      <c r="C599" s="4"/>
      <c r="D599" s="4"/>
      <c r="E599" s="4"/>
      <c r="F599" s="4"/>
      <c r="G599" s="4"/>
      <c r="H599" s="4"/>
      <c r="I599" s="129"/>
      <c r="J599" s="129"/>
      <c r="K599" s="129"/>
      <c r="L599" s="129"/>
      <c r="M599" s="129"/>
      <c r="N599" s="4"/>
      <c r="O599" s="4"/>
      <c r="P599" s="4"/>
      <c r="Q599" s="4"/>
      <c r="R599" s="4"/>
      <c r="S599" s="4"/>
      <c r="T599" s="4"/>
      <c r="U599" s="4"/>
      <c r="V599" s="4"/>
      <c r="W599" s="4"/>
      <c r="X599" s="4"/>
      <c r="Y599" s="4"/>
      <c r="Z599" s="4"/>
      <c r="AA599" s="4"/>
      <c r="AB599" s="4"/>
      <c r="AC599" s="4"/>
      <c r="AD599" s="4"/>
      <c r="AE599" s="4"/>
      <c r="AF599" s="4"/>
    </row>
    <row r="600" ht="15.75" customHeight="1">
      <c r="A600" s="4"/>
      <c r="B600" s="4"/>
      <c r="C600" s="4"/>
      <c r="D600" s="4"/>
      <c r="E600" s="4"/>
      <c r="F600" s="4"/>
      <c r="G600" s="4"/>
      <c r="H600" s="4"/>
      <c r="I600" s="129"/>
      <c r="J600" s="129"/>
      <c r="K600" s="129"/>
      <c r="L600" s="129"/>
      <c r="M600" s="129"/>
      <c r="N600" s="4"/>
      <c r="O600" s="4"/>
      <c r="P600" s="4"/>
      <c r="Q600" s="4"/>
      <c r="R600" s="4"/>
      <c r="S600" s="4"/>
      <c r="T600" s="4"/>
      <c r="U600" s="4"/>
      <c r="V600" s="4"/>
      <c r="W600" s="4"/>
      <c r="X600" s="4"/>
      <c r="Y600" s="4"/>
      <c r="Z600" s="4"/>
      <c r="AA600" s="4"/>
      <c r="AB600" s="4"/>
      <c r="AC600" s="4"/>
      <c r="AD600" s="4"/>
      <c r="AE600" s="4"/>
      <c r="AF600" s="4"/>
    </row>
    <row r="601" ht="15.75" customHeight="1">
      <c r="A601" s="4"/>
      <c r="B601" s="4"/>
      <c r="C601" s="4"/>
      <c r="D601" s="4"/>
      <c r="E601" s="4"/>
      <c r="F601" s="4"/>
      <c r="G601" s="4"/>
      <c r="H601" s="4"/>
      <c r="I601" s="129"/>
      <c r="J601" s="129"/>
      <c r="K601" s="129"/>
      <c r="L601" s="129"/>
      <c r="M601" s="129"/>
      <c r="N601" s="4"/>
      <c r="O601" s="4"/>
      <c r="P601" s="4"/>
      <c r="Q601" s="4"/>
      <c r="R601" s="4"/>
      <c r="S601" s="4"/>
      <c r="T601" s="4"/>
      <c r="U601" s="4"/>
      <c r="V601" s="4"/>
      <c r="W601" s="4"/>
      <c r="X601" s="4"/>
      <c r="Y601" s="4"/>
      <c r="Z601" s="4"/>
      <c r="AA601" s="4"/>
      <c r="AB601" s="4"/>
      <c r="AC601" s="4"/>
      <c r="AD601" s="4"/>
      <c r="AE601" s="4"/>
      <c r="AF601" s="4"/>
    </row>
    <row r="602" ht="15.75" customHeight="1">
      <c r="A602" s="4"/>
      <c r="B602" s="4"/>
      <c r="C602" s="4"/>
      <c r="D602" s="4"/>
      <c r="E602" s="4"/>
      <c r="F602" s="4"/>
      <c r="G602" s="4"/>
      <c r="H602" s="4"/>
      <c r="I602" s="129"/>
      <c r="J602" s="129"/>
      <c r="K602" s="129"/>
      <c r="L602" s="129"/>
      <c r="M602" s="129"/>
      <c r="N602" s="4"/>
      <c r="O602" s="4"/>
      <c r="P602" s="4"/>
      <c r="Q602" s="4"/>
      <c r="R602" s="4"/>
      <c r="S602" s="4"/>
      <c r="T602" s="4"/>
      <c r="U602" s="4"/>
      <c r="V602" s="4"/>
      <c r="W602" s="4"/>
      <c r="X602" s="4"/>
      <c r="Y602" s="4"/>
      <c r="Z602" s="4"/>
      <c r="AA602" s="4"/>
      <c r="AB602" s="4"/>
      <c r="AC602" s="4"/>
      <c r="AD602" s="4"/>
      <c r="AE602" s="4"/>
      <c r="AF602" s="4"/>
    </row>
    <row r="603" ht="15.75" customHeight="1">
      <c r="A603" s="4"/>
      <c r="B603" s="4"/>
      <c r="C603" s="4"/>
      <c r="D603" s="4"/>
      <c r="E603" s="4"/>
      <c r="F603" s="4"/>
      <c r="G603" s="4"/>
      <c r="H603" s="4"/>
      <c r="I603" s="129"/>
      <c r="J603" s="129"/>
      <c r="K603" s="129"/>
      <c r="L603" s="129"/>
      <c r="M603" s="129"/>
      <c r="N603" s="4"/>
      <c r="O603" s="4"/>
      <c r="P603" s="4"/>
      <c r="Q603" s="4"/>
      <c r="R603" s="4"/>
      <c r="S603" s="4"/>
      <c r="T603" s="4"/>
      <c r="U603" s="4"/>
      <c r="V603" s="4"/>
      <c r="W603" s="4"/>
      <c r="X603" s="4"/>
      <c r="Y603" s="4"/>
      <c r="Z603" s="4"/>
      <c r="AA603" s="4"/>
      <c r="AB603" s="4"/>
      <c r="AC603" s="4"/>
      <c r="AD603" s="4"/>
      <c r="AE603" s="4"/>
      <c r="AF603" s="4"/>
    </row>
    <row r="604" ht="15.75" customHeight="1">
      <c r="A604" s="4"/>
      <c r="B604" s="4"/>
      <c r="C604" s="4"/>
      <c r="D604" s="4"/>
      <c r="E604" s="4"/>
      <c r="F604" s="4"/>
      <c r="G604" s="4"/>
      <c r="H604" s="4"/>
      <c r="I604" s="129"/>
      <c r="J604" s="129"/>
      <c r="K604" s="129"/>
      <c r="L604" s="129"/>
      <c r="M604" s="129"/>
      <c r="N604" s="4"/>
      <c r="O604" s="4"/>
      <c r="P604" s="4"/>
      <c r="Q604" s="4"/>
      <c r="R604" s="4"/>
      <c r="S604" s="4"/>
      <c r="T604" s="4"/>
      <c r="U604" s="4"/>
      <c r="V604" s="4"/>
      <c r="W604" s="4"/>
      <c r="X604" s="4"/>
      <c r="Y604" s="4"/>
      <c r="Z604" s="4"/>
      <c r="AA604" s="4"/>
      <c r="AB604" s="4"/>
      <c r="AC604" s="4"/>
      <c r="AD604" s="4"/>
      <c r="AE604" s="4"/>
      <c r="AF604" s="4"/>
    </row>
    <row r="605" ht="15.75" customHeight="1">
      <c r="A605" s="4"/>
      <c r="B605" s="4"/>
      <c r="C605" s="4"/>
      <c r="D605" s="4"/>
      <c r="E605" s="4"/>
      <c r="F605" s="4"/>
      <c r="G605" s="4"/>
      <c r="H605" s="4"/>
      <c r="I605" s="129"/>
      <c r="J605" s="129"/>
      <c r="K605" s="129"/>
      <c r="L605" s="129"/>
      <c r="M605" s="129"/>
      <c r="N605" s="4"/>
      <c r="O605" s="4"/>
      <c r="P605" s="4"/>
      <c r="Q605" s="4"/>
      <c r="R605" s="4"/>
      <c r="S605" s="4"/>
      <c r="T605" s="4"/>
      <c r="U605" s="4"/>
      <c r="V605" s="4"/>
      <c r="W605" s="4"/>
      <c r="X605" s="4"/>
      <c r="Y605" s="4"/>
      <c r="Z605" s="4"/>
      <c r="AA605" s="4"/>
      <c r="AB605" s="4"/>
      <c r="AC605" s="4"/>
      <c r="AD605" s="4"/>
      <c r="AE605" s="4"/>
      <c r="AF605" s="4"/>
    </row>
    <row r="606" ht="15.75" customHeight="1">
      <c r="A606" s="4"/>
      <c r="B606" s="4"/>
      <c r="C606" s="4"/>
      <c r="D606" s="4"/>
      <c r="E606" s="4"/>
      <c r="F606" s="4"/>
      <c r="G606" s="4"/>
      <c r="H606" s="4"/>
      <c r="I606" s="129"/>
      <c r="J606" s="129"/>
      <c r="K606" s="129"/>
      <c r="L606" s="129"/>
      <c r="M606" s="129"/>
      <c r="N606" s="4"/>
      <c r="O606" s="4"/>
      <c r="P606" s="4"/>
      <c r="Q606" s="4"/>
      <c r="R606" s="4"/>
      <c r="S606" s="4"/>
      <c r="T606" s="4"/>
      <c r="U606" s="4"/>
      <c r="V606" s="4"/>
      <c r="W606" s="4"/>
      <c r="X606" s="4"/>
      <c r="Y606" s="4"/>
      <c r="Z606" s="4"/>
      <c r="AA606" s="4"/>
      <c r="AB606" s="4"/>
      <c r="AC606" s="4"/>
      <c r="AD606" s="4"/>
      <c r="AE606" s="4"/>
      <c r="AF606" s="4"/>
    </row>
    <row r="607" ht="15.75" customHeight="1">
      <c r="A607" s="4"/>
      <c r="B607" s="4"/>
      <c r="C607" s="4"/>
      <c r="D607" s="4"/>
      <c r="E607" s="4"/>
      <c r="F607" s="4"/>
      <c r="G607" s="4"/>
      <c r="H607" s="4"/>
      <c r="I607" s="129"/>
      <c r="J607" s="129"/>
      <c r="K607" s="129"/>
      <c r="L607" s="129"/>
      <c r="M607" s="129"/>
      <c r="N607" s="4"/>
      <c r="O607" s="4"/>
      <c r="P607" s="4"/>
      <c r="Q607" s="4"/>
      <c r="R607" s="4"/>
      <c r="S607" s="4"/>
      <c r="T607" s="4"/>
      <c r="U607" s="4"/>
      <c r="V607" s="4"/>
      <c r="W607" s="4"/>
      <c r="X607" s="4"/>
      <c r="Y607" s="4"/>
      <c r="Z607" s="4"/>
      <c r="AA607" s="4"/>
      <c r="AB607" s="4"/>
      <c r="AC607" s="4"/>
      <c r="AD607" s="4"/>
      <c r="AE607" s="4"/>
      <c r="AF607" s="4"/>
    </row>
    <row r="608" ht="15.75" customHeight="1">
      <c r="A608" s="4"/>
      <c r="B608" s="4"/>
      <c r="C608" s="4"/>
      <c r="D608" s="4"/>
      <c r="E608" s="4"/>
      <c r="F608" s="4"/>
      <c r="G608" s="4"/>
      <c r="H608" s="4"/>
      <c r="I608" s="129"/>
      <c r="J608" s="129"/>
      <c r="K608" s="129"/>
      <c r="L608" s="129"/>
      <c r="M608" s="129"/>
      <c r="N608" s="4"/>
      <c r="O608" s="4"/>
      <c r="P608" s="4"/>
      <c r="Q608" s="4"/>
      <c r="R608" s="4"/>
      <c r="S608" s="4"/>
      <c r="T608" s="4"/>
      <c r="U608" s="4"/>
      <c r="V608" s="4"/>
      <c r="W608" s="4"/>
      <c r="X608" s="4"/>
      <c r="Y608" s="4"/>
      <c r="Z608" s="4"/>
      <c r="AA608" s="4"/>
      <c r="AB608" s="4"/>
      <c r="AC608" s="4"/>
      <c r="AD608" s="4"/>
      <c r="AE608" s="4"/>
      <c r="AF608" s="4"/>
    </row>
    <row r="609" ht="15.75" customHeight="1">
      <c r="A609" s="4"/>
      <c r="B609" s="4"/>
      <c r="C609" s="4"/>
      <c r="D609" s="4"/>
      <c r="E609" s="4"/>
      <c r="F609" s="4"/>
      <c r="G609" s="4"/>
      <c r="H609" s="4"/>
      <c r="I609" s="129"/>
      <c r="J609" s="129"/>
      <c r="K609" s="129"/>
      <c r="L609" s="129"/>
      <c r="M609" s="129"/>
      <c r="N609" s="4"/>
      <c r="O609" s="4"/>
      <c r="P609" s="4"/>
      <c r="Q609" s="4"/>
      <c r="R609" s="4"/>
      <c r="S609" s="4"/>
      <c r="T609" s="4"/>
      <c r="U609" s="4"/>
      <c r="V609" s="4"/>
      <c r="W609" s="4"/>
      <c r="X609" s="4"/>
      <c r="Y609" s="4"/>
      <c r="Z609" s="4"/>
      <c r="AA609" s="4"/>
      <c r="AB609" s="4"/>
      <c r="AC609" s="4"/>
      <c r="AD609" s="4"/>
      <c r="AE609" s="4"/>
      <c r="AF609" s="4"/>
    </row>
    <row r="610" ht="15.75" customHeight="1">
      <c r="A610" s="4"/>
      <c r="B610" s="4"/>
      <c r="C610" s="4"/>
      <c r="D610" s="4"/>
      <c r="E610" s="4"/>
      <c r="F610" s="4"/>
      <c r="G610" s="4"/>
      <c r="H610" s="4"/>
      <c r="I610" s="129"/>
      <c r="J610" s="129"/>
      <c r="K610" s="129"/>
      <c r="L610" s="129"/>
      <c r="M610" s="129"/>
      <c r="N610" s="4"/>
      <c r="O610" s="4"/>
      <c r="P610" s="4"/>
      <c r="Q610" s="4"/>
      <c r="R610" s="4"/>
      <c r="S610" s="4"/>
      <c r="T610" s="4"/>
      <c r="U610" s="4"/>
      <c r="V610" s="4"/>
      <c r="W610" s="4"/>
      <c r="X610" s="4"/>
      <c r="Y610" s="4"/>
      <c r="Z610" s="4"/>
      <c r="AA610" s="4"/>
      <c r="AB610" s="4"/>
      <c r="AC610" s="4"/>
      <c r="AD610" s="4"/>
      <c r="AE610" s="4"/>
      <c r="AF610" s="4"/>
    </row>
    <row r="611" ht="15.75" customHeight="1">
      <c r="A611" s="4"/>
      <c r="B611" s="4"/>
      <c r="C611" s="4"/>
      <c r="D611" s="4"/>
      <c r="E611" s="4"/>
      <c r="F611" s="4"/>
      <c r="G611" s="4"/>
      <c r="H611" s="4"/>
      <c r="I611" s="129"/>
      <c r="J611" s="129"/>
      <c r="K611" s="129"/>
      <c r="L611" s="129"/>
      <c r="M611" s="129"/>
      <c r="N611" s="4"/>
      <c r="O611" s="4"/>
      <c r="P611" s="4"/>
      <c r="Q611" s="4"/>
      <c r="R611" s="4"/>
      <c r="S611" s="4"/>
      <c r="T611" s="4"/>
      <c r="U611" s="4"/>
      <c r="V611" s="4"/>
      <c r="W611" s="4"/>
      <c r="X611" s="4"/>
      <c r="Y611" s="4"/>
      <c r="Z611" s="4"/>
      <c r="AA611" s="4"/>
      <c r="AB611" s="4"/>
      <c r="AC611" s="4"/>
      <c r="AD611" s="4"/>
      <c r="AE611" s="4"/>
      <c r="AF611" s="4"/>
    </row>
    <row r="612" ht="15.75" customHeight="1">
      <c r="A612" s="4"/>
      <c r="B612" s="4"/>
      <c r="C612" s="4"/>
      <c r="D612" s="4"/>
      <c r="E612" s="4"/>
      <c r="F612" s="4"/>
      <c r="G612" s="4"/>
      <c r="H612" s="4"/>
      <c r="I612" s="129"/>
      <c r="J612" s="129"/>
      <c r="K612" s="129"/>
      <c r="L612" s="129"/>
      <c r="M612" s="129"/>
      <c r="N612" s="4"/>
      <c r="O612" s="4"/>
      <c r="P612" s="4"/>
      <c r="Q612" s="4"/>
      <c r="R612" s="4"/>
      <c r="S612" s="4"/>
      <c r="T612" s="4"/>
      <c r="U612" s="4"/>
      <c r="V612" s="4"/>
      <c r="W612" s="4"/>
      <c r="X612" s="4"/>
      <c r="Y612" s="4"/>
      <c r="Z612" s="4"/>
      <c r="AA612" s="4"/>
      <c r="AB612" s="4"/>
      <c r="AC612" s="4"/>
      <c r="AD612" s="4"/>
      <c r="AE612" s="4"/>
      <c r="AF612" s="4"/>
    </row>
    <row r="613" ht="15.75" customHeight="1">
      <c r="A613" s="4"/>
      <c r="B613" s="4"/>
      <c r="C613" s="4"/>
      <c r="D613" s="4"/>
      <c r="E613" s="4"/>
      <c r="F613" s="4"/>
      <c r="G613" s="4"/>
      <c r="H613" s="4"/>
      <c r="I613" s="129"/>
      <c r="J613" s="129"/>
      <c r="K613" s="129"/>
      <c r="L613" s="129"/>
      <c r="M613" s="129"/>
      <c r="N613" s="4"/>
      <c r="O613" s="4"/>
      <c r="P613" s="4"/>
      <c r="Q613" s="4"/>
      <c r="R613" s="4"/>
      <c r="S613" s="4"/>
      <c r="T613" s="4"/>
      <c r="U613" s="4"/>
      <c r="V613" s="4"/>
      <c r="W613" s="4"/>
      <c r="X613" s="4"/>
      <c r="Y613" s="4"/>
      <c r="Z613" s="4"/>
      <c r="AA613" s="4"/>
      <c r="AB613" s="4"/>
      <c r="AC613" s="4"/>
      <c r="AD613" s="4"/>
      <c r="AE613" s="4"/>
      <c r="AF613" s="4"/>
    </row>
    <row r="614" ht="15.75" customHeight="1">
      <c r="A614" s="4"/>
      <c r="B614" s="4"/>
      <c r="C614" s="4"/>
      <c r="D614" s="4"/>
      <c r="E614" s="4"/>
      <c r="F614" s="4"/>
      <c r="G614" s="4"/>
      <c r="H614" s="4"/>
      <c r="I614" s="129"/>
      <c r="J614" s="129"/>
      <c r="K614" s="129"/>
      <c r="L614" s="129"/>
      <c r="M614" s="129"/>
      <c r="N614" s="4"/>
      <c r="O614" s="4"/>
      <c r="P614" s="4"/>
      <c r="Q614" s="4"/>
      <c r="R614" s="4"/>
      <c r="S614" s="4"/>
      <c r="T614" s="4"/>
      <c r="U614" s="4"/>
      <c r="V614" s="4"/>
      <c r="W614" s="4"/>
      <c r="X614" s="4"/>
      <c r="Y614" s="4"/>
      <c r="Z614" s="4"/>
      <c r="AA614" s="4"/>
      <c r="AB614" s="4"/>
      <c r="AC614" s="4"/>
      <c r="AD614" s="4"/>
      <c r="AE614" s="4"/>
      <c r="AF614" s="4"/>
    </row>
    <row r="615" ht="15.75" customHeight="1">
      <c r="A615" s="4"/>
      <c r="B615" s="4"/>
      <c r="C615" s="4"/>
      <c r="D615" s="4"/>
      <c r="E615" s="4"/>
      <c r="F615" s="4"/>
      <c r="G615" s="4"/>
      <c r="H615" s="4"/>
      <c r="I615" s="129"/>
      <c r="J615" s="129"/>
      <c r="K615" s="129"/>
      <c r="L615" s="129"/>
      <c r="M615" s="129"/>
      <c r="N615" s="4"/>
      <c r="O615" s="4"/>
      <c r="P615" s="4"/>
      <c r="Q615" s="4"/>
      <c r="R615" s="4"/>
      <c r="S615" s="4"/>
      <c r="T615" s="4"/>
      <c r="U615" s="4"/>
      <c r="V615" s="4"/>
      <c r="W615" s="4"/>
      <c r="X615" s="4"/>
      <c r="Y615" s="4"/>
      <c r="Z615" s="4"/>
      <c r="AA615" s="4"/>
      <c r="AB615" s="4"/>
      <c r="AC615" s="4"/>
      <c r="AD615" s="4"/>
      <c r="AE615" s="4"/>
      <c r="AF615" s="4"/>
    </row>
    <row r="616" ht="15.75" customHeight="1">
      <c r="A616" s="4"/>
      <c r="B616" s="4"/>
      <c r="C616" s="4"/>
      <c r="D616" s="4"/>
      <c r="E616" s="4"/>
      <c r="F616" s="4"/>
      <c r="G616" s="4"/>
      <c r="H616" s="4"/>
      <c r="I616" s="129"/>
      <c r="J616" s="129"/>
      <c r="K616" s="129"/>
      <c r="L616" s="129"/>
      <c r="M616" s="129"/>
      <c r="N616" s="4"/>
      <c r="O616" s="4"/>
      <c r="P616" s="4"/>
      <c r="Q616" s="4"/>
      <c r="R616" s="4"/>
      <c r="S616" s="4"/>
      <c r="T616" s="4"/>
      <c r="U616" s="4"/>
      <c r="V616" s="4"/>
      <c r="W616" s="4"/>
      <c r="X616" s="4"/>
      <c r="Y616" s="4"/>
      <c r="Z616" s="4"/>
      <c r="AA616" s="4"/>
      <c r="AB616" s="4"/>
      <c r="AC616" s="4"/>
      <c r="AD616" s="4"/>
      <c r="AE616" s="4"/>
      <c r="AF616" s="4"/>
    </row>
    <row r="617" ht="15.75" customHeight="1">
      <c r="A617" s="4"/>
      <c r="B617" s="4"/>
      <c r="C617" s="4"/>
      <c r="D617" s="4"/>
      <c r="E617" s="4"/>
      <c r="F617" s="4"/>
      <c r="G617" s="4"/>
      <c r="H617" s="4"/>
      <c r="I617" s="129"/>
      <c r="J617" s="129"/>
      <c r="K617" s="129"/>
      <c r="L617" s="129"/>
      <c r="M617" s="129"/>
      <c r="N617" s="4"/>
      <c r="O617" s="4"/>
      <c r="P617" s="4"/>
      <c r="Q617" s="4"/>
      <c r="R617" s="4"/>
      <c r="S617" s="4"/>
      <c r="T617" s="4"/>
      <c r="U617" s="4"/>
      <c r="V617" s="4"/>
      <c r="W617" s="4"/>
      <c r="X617" s="4"/>
      <c r="Y617" s="4"/>
      <c r="Z617" s="4"/>
      <c r="AA617" s="4"/>
      <c r="AB617" s="4"/>
      <c r="AC617" s="4"/>
      <c r="AD617" s="4"/>
      <c r="AE617" s="4"/>
      <c r="AF617" s="4"/>
    </row>
    <row r="618" ht="15.75" customHeight="1">
      <c r="A618" s="4"/>
      <c r="B618" s="4"/>
      <c r="C618" s="4"/>
      <c r="D618" s="4"/>
      <c r="E618" s="4"/>
      <c r="F618" s="4"/>
      <c r="G618" s="4"/>
      <c r="H618" s="4"/>
      <c r="I618" s="129"/>
      <c r="J618" s="129"/>
      <c r="K618" s="129"/>
      <c r="L618" s="129"/>
      <c r="M618" s="129"/>
      <c r="N618" s="4"/>
      <c r="O618" s="4"/>
      <c r="P618" s="4"/>
      <c r="Q618" s="4"/>
      <c r="R618" s="4"/>
      <c r="S618" s="4"/>
      <c r="T618" s="4"/>
      <c r="U618" s="4"/>
      <c r="V618" s="4"/>
      <c r="W618" s="4"/>
      <c r="X618" s="4"/>
      <c r="Y618" s="4"/>
      <c r="Z618" s="4"/>
      <c r="AA618" s="4"/>
      <c r="AB618" s="4"/>
      <c r="AC618" s="4"/>
      <c r="AD618" s="4"/>
      <c r="AE618" s="4"/>
      <c r="AF618" s="4"/>
    </row>
    <row r="619" ht="15.75" customHeight="1">
      <c r="A619" s="4"/>
      <c r="B619" s="4"/>
      <c r="C619" s="4"/>
      <c r="D619" s="4"/>
      <c r="E619" s="4"/>
      <c r="F619" s="4"/>
      <c r="G619" s="4"/>
      <c r="H619" s="4"/>
      <c r="I619" s="129"/>
      <c r="J619" s="129"/>
      <c r="K619" s="129"/>
      <c r="L619" s="129"/>
      <c r="M619" s="129"/>
      <c r="N619" s="4"/>
      <c r="O619" s="4"/>
      <c r="P619" s="4"/>
      <c r="Q619" s="4"/>
      <c r="R619" s="4"/>
      <c r="S619" s="4"/>
      <c r="T619" s="4"/>
      <c r="U619" s="4"/>
      <c r="V619" s="4"/>
      <c r="W619" s="4"/>
      <c r="X619" s="4"/>
      <c r="Y619" s="4"/>
      <c r="Z619" s="4"/>
      <c r="AA619" s="4"/>
      <c r="AB619" s="4"/>
      <c r="AC619" s="4"/>
      <c r="AD619" s="4"/>
      <c r="AE619" s="4"/>
      <c r="AF619" s="4"/>
    </row>
    <row r="620" ht="15.75" customHeight="1">
      <c r="A620" s="4"/>
      <c r="B620" s="4"/>
      <c r="C620" s="4"/>
      <c r="D620" s="4"/>
      <c r="E620" s="4"/>
      <c r="F620" s="4"/>
      <c r="G620" s="4"/>
      <c r="H620" s="4"/>
      <c r="I620" s="129"/>
      <c r="J620" s="129"/>
      <c r="K620" s="129"/>
      <c r="L620" s="129"/>
      <c r="M620" s="129"/>
      <c r="N620" s="4"/>
      <c r="O620" s="4"/>
      <c r="P620" s="4"/>
      <c r="Q620" s="4"/>
      <c r="R620" s="4"/>
      <c r="S620" s="4"/>
      <c r="T620" s="4"/>
      <c r="U620" s="4"/>
      <c r="V620" s="4"/>
      <c r="W620" s="4"/>
      <c r="X620" s="4"/>
      <c r="Y620" s="4"/>
      <c r="Z620" s="4"/>
      <c r="AA620" s="4"/>
      <c r="AB620" s="4"/>
      <c r="AC620" s="4"/>
      <c r="AD620" s="4"/>
      <c r="AE620" s="4"/>
      <c r="AF620" s="4"/>
    </row>
    <row r="621" ht="15.75" customHeight="1">
      <c r="A621" s="4"/>
      <c r="B621" s="4"/>
      <c r="C621" s="4"/>
      <c r="D621" s="4"/>
      <c r="E621" s="4"/>
      <c r="F621" s="4"/>
      <c r="G621" s="4"/>
      <c r="H621" s="4"/>
      <c r="I621" s="129"/>
      <c r="J621" s="129"/>
      <c r="K621" s="129"/>
      <c r="L621" s="129"/>
      <c r="M621" s="129"/>
      <c r="N621" s="4"/>
      <c r="O621" s="4"/>
      <c r="P621" s="4"/>
      <c r="Q621" s="4"/>
      <c r="R621" s="4"/>
      <c r="S621" s="4"/>
      <c r="T621" s="4"/>
      <c r="U621" s="4"/>
      <c r="V621" s="4"/>
      <c r="W621" s="4"/>
      <c r="X621" s="4"/>
      <c r="Y621" s="4"/>
      <c r="Z621" s="4"/>
      <c r="AA621" s="4"/>
      <c r="AB621" s="4"/>
      <c r="AC621" s="4"/>
      <c r="AD621" s="4"/>
      <c r="AE621" s="4"/>
      <c r="AF621" s="4"/>
    </row>
    <row r="622" ht="15.75" customHeight="1">
      <c r="A622" s="4"/>
      <c r="B622" s="4"/>
      <c r="C622" s="4"/>
      <c r="D622" s="4"/>
      <c r="E622" s="4"/>
      <c r="F622" s="4"/>
      <c r="G622" s="4"/>
      <c r="H622" s="4"/>
      <c r="I622" s="129"/>
      <c r="J622" s="129"/>
      <c r="K622" s="129"/>
      <c r="L622" s="129"/>
      <c r="M622" s="129"/>
      <c r="N622" s="4"/>
      <c r="O622" s="4"/>
      <c r="P622" s="4"/>
      <c r="Q622" s="4"/>
      <c r="R622" s="4"/>
      <c r="S622" s="4"/>
      <c r="T622" s="4"/>
      <c r="U622" s="4"/>
      <c r="V622" s="4"/>
      <c r="W622" s="4"/>
      <c r="X622" s="4"/>
      <c r="Y622" s="4"/>
      <c r="Z622" s="4"/>
      <c r="AA622" s="4"/>
      <c r="AB622" s="4"/>
      <c r="AC622" s="4"/>
      <c r="AD622" s="4"/>
      <c r="AE622" s="4"/>
      <c r="AF622" s="4"/>
    </row>
    <row r="623" ht="15.75" customHeight="1">
      <c r="A623" s="4"/>
      <c r="B623" s="4"/>
      <c r="C623" s="4"/>
      <c r="D623" s="4"/>
      <c r="E623" s="4"/>
      <c r="F623" s="4"/>
      <c r="G623" s="4"/>
      <c r="H623" s="4"/>
      <c r="I623" s="129"/>
      <c r="J623" s="129"/>
      <c r="K623" s="129"/>
      <c r="L623" s="129"/>
      <c r="M623" s="129"/>
      <c r="N623" s="4"/>
      <c r="O623" s="4"/>
      <c r="P623" s="4"/>
      <c r="Q623" s="4"/>
      <c r="R623" s="4"/>
      <c r="S623" s="4"/>
      <c r="T623" s="4"/>
      <c r="U623" s="4"/>
      <c r="V623" s="4"/>
      <c r="W623" s="4"/>
      <c r="X623" s="4"/>
      <c r="Y623" s="4"/>
      <c r="Z623" s="4"/>
      <c r="AA623" s="4"/>
      <c r="AB623" s="4"/>
      <c r="AC623" s="4"/>
      <c r="AD623" s="4"/>
      <c r="AE623" s="4"/>
      <c r="AF623" s="4"/>
    </row>
    <row r="624" ht="15.75" customHeight="1">
      <c r="A624" s="4"/>
      <c r="B624" s="4"/>
      <c r="C624" s="4"/>
      <c r="D624" s="4"/>
      <c r="E624" s="4"/>
      <c r="F624" s="4"/>
      <c r="G624" s="4"/>
      <c r="H624" s="4"/>
      <c r="I624" s="129"/>
      <c r="J624" s="129"/>
      <c r="K624" s="129"/>
      <c r="L624" s="129"/>
      <c r="M624" s="129"/>
      <c r="N624" s="4"/>
      <c r="O624" s="4"/>
      <c r="P624" s="4"/>
      <c r="Q624" s="4"/>
      <c r="R624" s="4"/>
      <c r="S624" s="4"/>
      <c r="T624" s="4"/>
      <c r="U624" s="4"/>
      <c r="V624" s="4"/>
      <c r="W624" s="4"/>
      <c r="X624" s="4"/>
      <c r="Y624" s="4"/>
      <c r="Z624" s="4"/>
      <c r="AA624" s="4"/>
      <c r="AB624" s="4"/>
      <c r="AC624" s="4"/>
      <c r="AD624" s="4"/>
      <c r="AE624" s="4"/>
      <c r="AF624" s="4"/>
    </row>
    <row r="625" ht="15.75" customHeight="1">
      <c r="A625" s="4"/>
      <c r="B625" s="4"/>
      <c r="C625" s="4"/>
      <c r="D625" s="4"/>
      <c r="E625" s="4"/>
      <c r="F625" s="4"/>
      <c r="G625" s="4"/>
      <c r="H625" s="4"/>
      <c r="I625" s="129"/>
      <c r="J625" s="129"/>
      <c r="K625" s="129"/>
      <c r="L625" s="129"/>
      <c r="M625" s="129"/>
      <c r="N625" s="4"/>
      <c r="O625" s="4"/>
      <c r="P625" s="4"/>
      <c r="Q625" s="4"/>
      <c r="R625" s="4"/>
      <c r="S625" s="4"/>
      <c r="T625" s="4"/>
      <c r="U625" s="4"/>
      <c r="V625" s="4"/>
      <c r="W625" s="4"/>
      <c r="X625" s="4"/>
      <c r="Y625" s="4"/>
      <c r="Z625" s="4"/>
      <c r="AA625" s="4"/>
      <c r="AB625" s="4"/>
      <c r="AC625" s="4"/>
      <c r="AD625" s="4"/>
      <c r="AE625" s="4"/>
      <c r="AF625" s="4"/>
    </row>
    <row r="626" ht="15.75" customHeight="1">
      <c r="A626" s="4"/>
      <c r="B626" s="4"/>
      <c r="C626" s="4"/>
      <c r="D626" s="4"/>
      <c r="E626" s="4"/>
      <c r="F626" s="4"/>
      <c r="G626" s="4"/>
      <c r="H626" s="4"/>
      <c r="I626" s="129"/>
      <c r="J626" s="129"/>
      <c r="K626" s="129"/>
      <c r="L626" s="129"/>
      <c r="M626" s="129"/>
      <c r="N626" s="4"/>
      <c r="O626" s="4"/>
      <c r="P626" s="4"/>
      <c r="Q626" s="4"/>
      <c r="R626" s="4"/>
      <c r="S626" s="4"/>
      <c r="T626" s="4"/>
      <c r="U626" s="4"/>
      <c r="V626" s="4"/>
      <c r="W626" s="4"/>
      <c r="X626" s="4"/>
      <c r="Y626" s="4"/>
      <c r="Z626" s="4"/>
      <c r="AA626" s="4"/>
      <c r="AB626" s="4"/>
      <c r="AC626" s="4"/>
      <c r="AD626" s="4"/>
      <c r="AE626" s="4"/>
      <c r="AF626" s="4"/>
    </row>
    <row r="627" ht="15.75" customHeight="1">
      <c r="A627" s="4"/>
      <c r="B627" s="4"/>
      <c r="C627" s="4"/>
      <c r="D627" s="4"/>
      <c r="E627" s="4"/>
      <c r="F627" s="4"/>
      <c r="G627" s="4"/>
      <c r="H627" s="4"/>
      <c r="I627" s="129"/>
      <c r="J627" s="129"/>
      <c r="K627" s="129"/>
      <c r="L627" s="129"/>
      <c r="M627" s="129"/>
      <c r="N627" s="4"/>
      <c r="O627" s="4"/>
      <c r="P627" s="4"/>
      <c r="Q627" s="4"/>
      <c r="R627" s="4"/>
      <c r="S627" s="4"/>
      <c r="T627" s="4"/>
      <c r="U627" s="4"/>
      <c r="V627" s="4"/>
      <c r="W627" s="4"/>
      <c r="X627" s="4"/>
      <c r="Y627" s="4"/>
      <c r="Z627" s="4"/>
      <c r="AA627" s="4"/>
      <c r="AB627" s="4"/>
      <c r="AC627" s="4"/>
      <c r="AD627" s="4"/>
      <c r="AE627" s="4"/>
      <c r="AF627" s="4"/>
    </row>
    <row r="628" ht="15.75" customHeight="1">
      <c r="A628" s="4"/>
      <c r="B628" s="4"/>
      <c r="C628" s="4"/>
      <c r="D628" s="4"/>
      <c r="E628" s="4"/>
      <c r="F628" s="4"/>
      <c r="G628" s="4"/>
      <c r="H628" s="4"/>
      <c r="I628" s="129"/>
      <c r="J628" s="129"/>
      <c r="K628" s="129"/>
      <c r="L628" s="129"/>
      <c r="M628" s="129"/>
      <c r="N628" s="4"/>
      <c r="O628" s="4"/>
      <c r="P628" s="4"/>
      <c r="Q628" s="4"/>
      <c r="R628" s="4"/>
      <c r="S628" s="4"/>
      <c r="T628" s="4"/>
      <c r="U628" s="4"/>
      <c r="V628" s="4"/>
      <c r="W628" s="4"/>
      <c r="X628" s="4"/>
      <c r="Y628" s="4"/>
      <c r="Z628" s="4"/>
      <c r="AA628" s="4"/>
      <c r="AB628" s="4"/>
      <c r="AC628" s="4"/>
      <c r="AD628" s="4"/>
      <c r="AE628" s="4"/>
      <c r="AF628" s="4"/>
    </row>
    <row r="629" ht="15.75" customHeight="1">
      <c r="A629" s="4"/>
      <c r="B629" s="4"/>
      <c r="C629" s="4"/>
      <c r="D629" s="4"/>
      <c r="E629" s="4"/>
      <c r="F629" s="4"/>
      <c r="G629" s="4"/>
      <c r="H629" s="4"/>
      <c r="I629" s="129"/>
      <c r="J629" s="129"/>
      <c r="K629" s="129"/>
      <c r="L629" s="129"/>
      <c r="M629" s="129"/>
      <c r="N629" s="4"/>
      <c r="O629" s="4"/>
      <c r="P629" s="4"/>
      <c r="Q629" s="4"/>
      <c r="R629" s="4"/>
      <c r="S629" s="4"/>
      <c r="T629" s="4"/>
      <c r="U629" s="4"/>
      <c r="V629" s="4"/>
      <c r="W629" s="4"/>
      <c r="X629" s="4"/>
      <c r="Y629" s="4"/>
      <c r="Z629" s="4"/>
      <c r="AA629" s="4"/>
      <c r="AB629" s="4"/>
      <c r="AC629" s="4"/>
      <c r="AD629" s="4"/>
      <c r="AE629" s="4"/>
      <c r="AF629" s="4"/>
    </row>
    <row r="630" ht="15.75" customHeight="1">
      <c r="A630" s="4"/>
      <c r="B630" s="4"/>
      <c r="C630" s="4"/>
      <c r="D630" s="4"/>
      <c r="E630" s="4"/>
      <c r="F630" s="4"/>
      <c r="G630" s="4"/>
      <c r="H630" s="4"/>
      <c r="I630" s="129"/>
      <c r="J630" s="129"/>
      <c r="K630" s="129"/>
      <c r="L630" s="129"/>
      <c r="M630" s="129"/>
      <c r="N630" s="4"/>
      <c r="O630" s="4"/>
      <c r="P630" s="4"/>
      <c r="Q630" s="4"/>
      <c r="R630" s="4"/>
      <c r="S630" s="4"/>
      <c r="T630" s="4"/>
      <c r="U630" s="4"/>
      <c r="V630" s="4"/>
      <c r="W630" s="4"/>
      <c r="X630" s="4"/>
      <c r="Y630" s="4"/>
      <c r="Z630" s="4"/>
      <c r="AA630" s="4"/>
      <c r="AB630" s="4"/>
      <c r="AC630" s="4"/>
      <c r="AD630" s="4"/>
      <c r="AE630" s="4"/>
      <c r="AF630" s="4"/>
    </row>
    <row r="631" ht="15.75" customHeight="1">
      <c r="A631" s="4"/>
      <c r="B631" s="4"/>
      <c r="C631" s="4"/>
      <c r="D631" s="4"/>
      <c r="E631" s="4"/>
      <c r="F631" s="4"/>
      <c r="G631" s="4"/>
      <c r="H631" s="4"/>
      <c r="I631" s="129"/>
      <c r="J631" s="129"/>
      <c r="K631" s="129"/>
      <c r="L631" s="129"/>
      <c r="M631" s="129"/>
      <c r="N631" s="4"/>
      <c r="O631" s="4"/>
      <c r="P631" s="4"/>
      <c r="Q631" s="4"/>
      <c r="R631" s="4"/>
      <c r="S631" s="4"/>
      <c r="T631" s="4"/>
      <c r="U631" s="4"/>
      <c r="V631" s="4"/>
      <c r="W631" s="4"/>
      <c r="X631" s="4"/>
      <c r="Y631" s="4"/>
      <c r="Z631" s="4"/>
      <c r="AA631" s="4"/>
      <c r="AB631" s="4"/>
      <c r="AC631" s="4"/>
      <c r="AD631" s="4"/>
      <c r="AE631" s="4"/>
      <c r="AF631" s="4"/>
    </row>
    <row r="632" ht="15.75" customHeight="1">
      <c r="A632" s="4"/>
      <c r="B632" s="4"/>
      <c r="C632" s="4"/>
      <c r="D632" s="4"/>
      <c r="E632" s="4"/>
      <c r="F632" s="4"/>
      <c r="G632" s="4"/>
      <c r="H632" s="4"/>
      <c r="I632" s="129"/>
      <c r="J632" s="129"/>
      <c r="K632" s="129"/>
      <c r="L632" s="129"/>
      <c r="M632" s="129"/>
      <c r="N632" s="4"/>
      <c r="O632" s="4"/>
      <c r="P632" s="4"/>
      <c r="Q632" s="4"/>
      <c r="R632" s="4"/>
      <c r="S632" s="4"/>
      <c r="T632" s="4"/>
      <c r="U632" s="4"/>
      <c r="V632" s="4"/>
      <c r="W632" s="4"/>
      <c r="X632" s="4"/>
      <c r="Y632" s="4"/>
      <c r="Z632" s="4"/>
      <c r="AA632" s="4"/>
      <c r="AB632" s="4"/>
      <c r="AC632" s="4"/>
      <c r="AD632" s="4"/>
      <c r="AE632" s="4"/>
      <c r="AF632" s="4"/>
    </row>
    <row r="633" ht="15.75" customHeight="1">
      <c r="A633" s="4"/>
      <c r="B633" s="4"/>
      <c r="C633" s="4"/>
      <c r="D633" s="4"/>
      <c r="E633" s="4"/>
      <c r="F633" s="4"/>
      <c r="G633" s="4"/>
      <c r="H633" s="4"/>
      <c r="I633" s="129"/>
      <c r="J633" s="129"/>
      <c r="K633" s="129"/>
      <c r="L633" s="129"/>
      <c r="M633" s="129"/>
      <c r="N633" s="4"/>
      <c r="O633" s="4"/>
      <c r="P633" s="4"/>
      <c r="Q633" s="4"/>
      <c r="R633" s="4"/>
      <c r="S633" s="4"/>
      <c r="T633" s="4"/>
      <c r="U633" s="4"/>
      <c r="V633" s="4"/>
      <c r="W633" s="4"/>
      <c r="X633" s="4"/>
      <c r="Y633" s="4"/>
      <c r="Z633" s="4"/>
      <c r="AA633" s="4"/>
      <c r="AB633" s="4"/>
      <c r="AC633" s="4"/>
      <c r="AD633" s="4"/>
      <c r="AE633" s="4"/>
      <c r="AF633" s="4"/>
    </row>
    <row r="634" ht="15.75" customHeight="1">
      <c r="A634" s="4"/>
      <c r="B634" s="4"/>
      <c r="C634" s="4"/>
      <c r="D634" s="4"/>
      <c r="E634" s="4"/>
      <c r="F634" s="4"/>
      <c r="G634" s="4"/>
      <c r="H634" s="4"/>
      <c r="I634" s="129"/>
      <c r="J634" s="129"/>
      <c r="K634" s="129"/>
      <c r="L634" s="129"/>
      <c r="M634" s="129"/>
      <c r="N634" s="4"/>
      <c r="O634" s="4"/>
      <c r="P634" s="4"/>
      <c r="Q634" s="4"/>
      <c r="R634" s="4"/>
      <c r="S634" s="4"/>
      <c r="T634" s="4"/>
      <c r="U634" s="4"/>
      <c r="V634" s="4"/>
      <c r="W634" s="4"/>
      <c r="X634" s="4"/>
      <c r="Y634" s="4"/>
      <c r="Z634" s="4"/>
      <c r="AA634" s="4"/>
      <c r="AB634" s="4"/>
      <c r="AC634" s="4"/>
      <c r="AD634" s="4"/>
      <c r="AE634" s="4"/>
      <c r="AF634" s="4"/>
    </row>
    <row r="635" ht="15.75" customHeight="1">
      <c r="A635" s="4"/>
      <c r="B635" s="4"/>
      <c r="C635" s="4"/>
      <c r="D635" s="4"/>
      <c r="E635" s="4"/>
      <c r="F635" s="4"/>
      <c r="G635" s="4"/>
      <c r="H635" s="4"/>
      <c r="I635" s="129"/>
      <c r="J635" s="129"/>
      <c r="K635" s="129"/>
      <c r="L635" s="129"/>
      <c r="M635" s="129"/>
      <c r="N635" s="4"/>
      <c r="O635" s="4"/>
      <c r="P635" s="4"/>
      <c r="Q635" s="4"/>
      <c r="R635" s="4"/>
      <c r="S635" s="4"/>
      <c r="T635" s="4"/>
      <c r="U635" s="4"/>
      <c r="V635" s="4"/>
      <c r="W635" s="4"/>
      <c r="X635" s="4"/>
      <c r="Y635" s="4"/>
      <c r="Z635" s="4"/>
      <c r="AA635" s="4"/>
      <c r="AB635" s="4"/>
      <c r="AC635" s="4"/>
      <c r="AD635" s="4"/>
      <c r="AE635" s="4"/>
      <c r="AF635" s="4"/>
    </row>
    <row r="636" ht="15.75" customHeight="1">
      <c r="A636" s="4"/>
      <c r="B636" s="4"/>
      <c r="C636" s="4"/>
      <c r="D636" s="4"/>
      <c r="E636" s="4"/>
      <c r="F636" s="4"/>
      <c r="G636" s="4"/>
      <c r="H636" s="4"/>
      <c r="I636" s="129"/>
      <c r="J636" s="129"/>
      <c r="K636" s="129"/>
      <c r="L636" s="129"/>
      <c r="M636" s="129"/>
      <c r="N636" s="4"/>
      <c r="O636" s="4"/>
      <c r="P636" s="4"/>
      <c r="Q636" s="4"/>
      <c r="R636" s="4"/>
      <c r="S636" s="4"/>
      <c r="T636" s="4"/>
      <c r="U636" s="4"/>
      <c r="V636" s="4"/>
      <c r="W636" s="4"/>
      <c r="X636" s="4"/>
      <c r="Y636" s="4"/>
      <c r="Z636" s="4"/>
      <c r="AA636" s="4"/>
      <c r="AB636" s="4"/>
      <c r="AC636" s="4"/>
      <c r="AD636" s="4"/>
      <c r="AE636" s="4"/>
      <c r="AF636" s="4"/>
    </row>
    <row r="637" ht="15.75" customHeight="1">
      <c r="A637" s="4"/>
      <c r="B637" s="4"/>
      <c r="C637" s="4"/>
      <c r="D637" s="4"/>
      <c r="E637" s="4"/>
      <c r="F637" s="4"/>
      <c r="G637" s="4"/>
      <c r="H637" s="4"/>
      <c r="I637" s="129"/>
      <c r="J637" s="129"/>
      <c r="K637" s="129"/>
      <c r="L637" s="129"/>
      <c r="M637" s="129"/>
      <c r="N637" s="4"/>
      <c r="O637" s="4"/>
      <c r="P637" s="4"/>
      <c r="Q637" s="4"/>
      <c r="R637" s="4"/>
      <c r="S637" s="4"/>
      <c r="T637" s="4"/>
      <c r="U637" s="4"/>
      <c r="V637" s="4"/>
      <c r="W637" s="4"/>
      <c r="X637" s="4"/>
      <c r="Y637" s="4"/>
      <c r="Z637" s="4"/>
      <c r="AA637" s="4"/>
      <c r="AB637" s="4"/>
      <c r="AC637" s="4"/>
      <c r="AD637" s="4"/>
      <c r="AE637" s="4"/>
      <c r="AF637" s="4"/>
    </row>
    <row r="638" ht="15.75" customHeight="1">
      <c r="A638" s="4"/>
      <c r="B638" s="4"/>
      <c r="C638" s="4"/>
      <c r="D638" s="4"/>
      <c r="E638" s="4"/>
      <c r="F638" s="4"/>
      <c r="G638" s="4"/>
      <c r="H638" s="4"/>
      <c r="I638" s="129"/>
      <c r="J638" s="129"/>
      <c r="K638" s="129"/>
      <c r="L638" s="129"/>
      <c r="M638" s="129"/>
      <c r="N638" s="4"/>
      <c r="O638" s="4"/>
      <c r="P638" s="4"/>
      <c r="Q638" s="4"/>
      <c r="R638" s="4"/>
      <c r="S638" s="4"/>
      <c r="T638" s="4"/>
      <c r="U638" s="4"/>
      <c r="V638" s="4"/>
      <c r="W638" s="4"/>
      <c r="X638" s="4"/>
      <c r="Y638" s="4"/>
      <c r="Z638" s="4"/>
      <c r="AA638" s="4"/>
      <c r="AB638" s="4"/>
      <c r="AC638" s="4"/>
      <c r="AD638" s="4"/>
      <c r="AE638" s="4"/>
      <c r="AF638" s="4"/>
    </row>
    <row r="639" ht="15.75" customHeight="1">
      <c r="A639" s="4"/>
      <c r="B639" s="4"/>
      <c r="C639" s="4"/>
      <c r="D639" s="4"/>
      <c r="E639" s="4"/>
      <c r="F639" s="4"/>
      <c r="G639" s="4"/>
      <c r="H639" s="4"/>
      <c r="I639" s="129"/>
      <c r="J639" s="129"/>
      <c r="K639" s="129"/>
      <c r="L639" s="129"/>
      <c r="M639" s="129"/>
      <c r="N639" s="4"/>
      <c r="O639" s="4"/>
      <c r="P639" s="4"/>
      <c r="Q639" s="4"/>
      <c r="R639" s="4"/>
      <c r="S639" s="4"/>
      <c r="T639" s="4"/>
      <c r="U639" s="4"/>
      <c r="V639" s="4"/>
      <c r="W639" s="4"/>
      <c r="X639" s="4"/>
      <c r="Y639" s="4"/>
      <c r="Z639" s="4"/>
      <c r="AA639" s="4"/>
      <c r="AB639" s="4"/>
      <c r="AC639" s="4"/>
      <c r="AD639" s="4"/>
      <c r="AE639" s="4"/>
      <c r="AF639" s="4"/>
    </row>
    <row r="640" ht="15.75" customHeight="1">
      <c r="A640" s="4"/>
      <c r="B640" s="4"/>
      <c r="C640" s="4"/>
      <c r="D640" s="4"/>
      <c r="E640" s="4"/>
      <c r="F640" s="4"/>
      <c r="G640" s="4"/>
      <c r="H640" s="4"/>
      <c r="I640" s="129"/>
      <c r="J640" s="129"/>
      <c r="K640" s="129"/>
      <c r="L640" s="129"/>
      <c r="M640" s="129"/>
      <c r="N640" s="4"/>
      <c r="O640" s="4"/>
      <c r="P640" s="4"/>
      <c r="Q640" s="4"/>
      <c r="R640" s="4"/>
      <c r="S640" s="4"/>
      <c r="T640" s="4"/>
      <c r="U640" s="4"/>
      <c r="V640" s="4"/>
      <c r="W640" s="4"/>
      <c r="X640" s="4"/>
      <c r="Y640" s="4"/>
      <c r="Z640" s="4"/>
      <c r="AA640" s="4"/>
      <c r="AB640" s="4"/>
      <c r="AC640" s="4"/>
      <c r="AD640" s="4"/>
      <c r="AE640" s="4"/>
      <c r="AF640" s="4"/>
    </row>
    <row r="641" ht="15.75" customHeight="1">
      <c r="A641" s="4"/>
      <c r="B641" s="4"/>
      <c r="C641" s="4"/>
      <c r="D641" s="4"/>
      <c r="E641" s="4"/>
      <c r="F641" s="4"/>
      <c r="G641" s="4"/>
      <c r="H641" s="4"/>
      <c r="I641" s="129"/>
      <c r="J641" s="129"/>
      <c r="K641" s="129"/>
      <c r="L641" s="129"/>
      <c r="M641" s="129"/>
      <c r="N641" s="4"/>
      <c r="O641" s="4"/>
      <c r="P641" s="4"/>
      <c r="Q641" s="4"/>
      <c r="R641" s="4"/>
      <c r="S641" s="4"/>
      <c r="T641" s="4"/>
      <c r="U641" s="4"/>
      <c r="V641" s="4"/>
      <c r="W641" s="4"/>
      <c r="X641" s="4"/>
      <c r="Y641" s="4"/>
      <c r="Z641" s="4"/>
      <c r="AA641" s="4"/>
      <c r="AB641" s="4"/>
      <c r="AC641" s="4"/>
      <c r="AD641" s="4"/>
      <c r="AE641" s="4"/>
      <c r="AF641" s="4"/>
    </row>
    <row r="642" ht="15.75" customHeight="1">
      <c r="A642" s="4"/>
      <c r="B642" s="4"/>
      <c r="C642" s="4"/>
      <c r="D642" s="4"/>
      <c r="E642" s="4"/>
      <c r="F642" s="4"/>
      <c r="G642" s="4"/>
      <c r="H642" s="4"/>
      <c r="I642" s="129"/>
      <c r="J642" s="129"/>
      <c r="K642" s="129"/>
      <c r="L642" s="129"/>
      <c r="M642" s="129"/>
      <c r="N642" s="4"/>
      <c r="O642" s="4"/>
      <c r="P642" s="4"/>
      <c r="Q642" s="4"/>
      <c r="R642" s="4"/>
      <c r="S642" s="4"/>
      <c r="T642" s="4"/>
      <c r="U642" s="4"/>
      <c r="V642" s="4"/>
      <c r="W642" s="4"/>
      <c r="X642" s="4"/>
      <c r="Y642" s="4"/>
      <c r="Z642" s="4"/>
      <c r="AA642" s="4"/>
      <c r="AB642" s="4"/>
      <c r="AC642" s="4"/>
      <c r="AD642" s="4"/>
      <c r="AE642" s="4"/>
      <c r="AF642" s="4"/>
    </row>
    <row r="643" ht="15.75" customHeight="1">
      <c r="A643" s="4"/>
      <c r="B643" s="4"/>
      <c r="C643" s="4"/>
      <c r="D643" s="4"/>
      <c r="E643" s="4"/>
      <c r="F643" s="4"/>
      <c r="G643" s="4"/>
      <c r="H643" s="4"/>
      <c r="I643" s="129"/>
      <c r="J643" s="129"/>
      <c r="K643" s="129"/>
      <c r="L643" s="129"/>
      <c r="M643" s="129"/>
      <c r="N643" s="4"/>
      <c r="O643" s="4"/>
      <c r="P643" s="4"/>
      <c r="Q643" s="4"/>
      <c r="R643" s="4"/>
      <c r="S643" s="4"/>
      <c r="T643" s="4"/>
      <c r="U643" s="4"/>
      <c r="V643" s="4"/>
      <c r="W643" s="4"/>
      <c r="X643" s="4"/>
      <c r="Y643" s="4"/>
      <c r="Z643" s="4"/>
      <c r="AA643" s="4"/>
      <c r="AB643" s="4"/>
      <c r="AC643" s="4"/>
      <c r="AD643" s="4"/>
      <c r="AE643" s="4"/>
      <c r="AF643" s="4"/>
    </row>
    <row r="644" ht="15.75" customHeight="1">
      <c r="A644" s="4"/>
      <c r="B644" s="4"/>
      <c r="C644" s="4"/>
      <c r="D644" s="4"/>
      <c r="E644" s="4"/>
      <c r="F644" s="4"/>
      <c r="G644" s="4"/>
      <c r="H644" s="4"/>
      <c r="I644" s="129"/>
      <c r="J644" s="129"/>
      <c r="K644" s="129"/>
      <c r="L644" s="129"/>
      <c r="M644" s="129"/>
      <c r="N644" s="4"/>
      <c r="O644" s="4"/>
      <c r="P644" s="4"/>
      <c r="Q644" s="4"/>
      <c r="R644" s="4"/>
      <c r="S644" s="4"/>
      <c r="T644" s="4"/>
      <c r="U644" s="4"/>
      <c r="V644" s="4"/>
      <c r="W644" s="4"/>
      <c r="X644" s="4"/>
      <c r="Y644" s="4"/>
      <c r="Z644" s="4"/>
      <c r="AA644" s="4"/>
      <c r="AB644" s="4"/>
      <c r="AC644" s="4"/>
      <c r="AD644" s="4"/>
      <c r="AE644" s="4"/>
      <c r="AF644" s="4"/>
    </row>
    <row r="645" ht="15.75" customHeight="1">
      <c r="A645" s="4"/>
      <c r="B645" s="4"/>
      <c r="C645" s="4"/>
      <c r="D645" s="4"/>
      <c r="E645" s="4"/>
      <c r="F645" s="4"/>
      <c r="G645" s="4"/>
      <c r="H645" s="4"/>
      <c r="I645" s="129"/>
      <c r="J645" s="129"/>
      <c r="K645" s="129"/>
      <c r="L645" s="129"/>
      <c r="M645" s="129"/>
      <c r="N645" s="4"/>
      <c r="O645" s="4"/>
      <c r="P645" s="4"/>
      <c r="Q645" s="4"/>
      <c r="R645" s="4"/>
      <c r="S645" s="4"/>
      <c r="T645" s="4"/>
      <c r="U645" s="4"/>
      <c r="V645" s="4"/>
      <c r="W645" s="4"/>
      <c r="X645" s="4"/>
      <c r="Y645" s="4"/>
      <c r="Z645" s="4"/>
      <c r="AA645" s="4"/>
      <c r="AB645" s="4"/>
      <c r="AC645" s="4"/>
      <c r="AD645" s="4"/>
      <c r="AE645" s="4"/>
      <c r="AF645" s="4"/>
    </row>
    <row r="646" ht="15.75" customHeight="1">
      <c r="A646" s="4"/>
      <c r="B646" s="4"/>
      <c r="C646" s="4"/>
      <c r="D646" s="4"/>
      <c r="E646" s="4"/>
      <c r="F646" s="4"/>
      <c r="G646" s="4"/>
      <c r="H646" s="4"/>
      <c r="I646" s="129"/>
      <c r="J646" s="129"/>
      <c r="K646" s="129"/>
      <c r="L646" s="129"/>
      <c r="M646" s="129"/>
      <c r="N646" s="4"/>
      <c r="O646" s="4"/>
      <c r="P646" s="4"/>
      <c r="Q646" s="4"/>
      <c r="R646" s="4"/>
      <c r="S646" s="4"/>
      <c r="T646" s="4"/>
      <c r="U646" s="4"/>
      <c r="V646" s="4"/>
      <c r="W646" s="4"/>
      <c r="X646" s="4"/>
      <c r="Y646" s="4"/>
      <c r="Z646" s="4"/>
      <c r="AA646" s="4"/>
      <c r="AB646" s="4"/>
      <c r="AC646" s="4"/>
      <c r="AD646" s="4"/>
      <c r="AE646" s="4"/>
      <c r="AF646" s="4"/>
    </row>
    <row r="647" ht="15.75" customHeight="1">
      <c r="A647" s="4"/>
      <c r="B647" s="4"/>
      <c r="C647" s="4"/>
      <c r="D647" s="4"/>
      <c r="E647" s="4"/>
      <c r="F647" s="4"/>
      <c r="G647" s="4"/>
      <c r="H647" s="4"/>
      <c r="I647" s="129"/>
      <c r="J647" s="129"/>
      <c r="K647" s="129"/>
      <c r="L647" s="129"/>
      <c r="M647" s="129"/>
      <c r="N647" s="4"/>
      <c r="O647" s="4"/>
      <c r="P647" s="4"/>
      <c r="Q647" s="4"/>
      <c r="R647" s="4"/>
      <c r="S647" s="4"/>
      <c r="T647" s="4"/>
      <c r="U647" s="4"/>
      <c r="V647" s="4"/>
      <c r="W647" s="4"/>
      <c r="X647" s="4"/>
      <c r="Y647" s="4"/>
      <c r="Z647" s="4"/>
      <c r="AA647" s="4"/>
      <c r="AB647" s="4"/>
      <c r="AC647" s="4"/>
      <c r="AD647" s="4"/>
      <c r="AE647" s="4"/>
      <c r="AF647" s="4"/>
    </row>
    <row r="648" ht="15.75" customHeight="1">
      <c r="A648" s="4"/>
      <c r="B648" s="4"/>
      <c r="C648" s="4"/>
      <c r="D648" s="4"/>
      <c r="E648" s="4"/>
      <c r="F648" s="4"/>
      <c r="G648" s="4"/>
      <c r="H648" s="4"/>
      <c r="I648" s="129"/>
      <c r="J648" s="129"/>
      <c r="K648" s="129"/>
      <c r="L648" s="129"/>
      <c r="M648" s="129"/>
      <c r="N648" s="4"/>
      <c r="O648" s="4"/>
      <c r="P648" s="4"/>
      <c r="Q648" s="4"/>
      <c r="R648" s="4"/>
      <c r="S648" s="4"/>
      <c r="T648" s="4"/>
      <c r="U648" s="4"/>
      <c r="V648" s="4"/>
      <c r="W648" s="4"/>
      <c r="X648" s="4"/>
      <c r="Y648" s="4"/>
      <c r="Z648" s="4"/>
      <c r="AA648" s="4"/>
      <c r="AB648" s="4"/>
      <c r="AC648" s="4"/>
      <c r="AD648" s="4"/>
      <c r="AE648" s="4"/>
      <c r="AF648" s="4"/>
    </row>
    <row r="649" ht="15.75" customHeight="1">
      <c r="A649" s="4"/>
      <c r="B649" s="4"/>
      <c r="C649" s="4"/>
      <c r="D649" s="4"/>
      <c r="E649" s="4"/>
      <c r="F649" s="4"/>
      <c r="G649" s="4"/>
      <c r="H649" s="4"/>
      <c r="I649" s="129"/>
      <c r="J649" s="129"/>
      <c r="K649" s="129"/>
      <c r="L649" s="129"/>
      <c r="M649" s="129"/>
      <c r="N649" s="4"/>
      <c r="O649" s="4"/>
      <c r="P649" s="4"/>
      <c r="Q649" s="4"/>
      <c r="R649" s="4"/>
      <c r="S649" s="4"/>
      <c r="T649" s="4"/>
      <c r="U649" s="4"/>
      <c r="V649" s="4"/>
      <c r="W649" s="4"/>
      <c r="X649" s="4"/>
      <c r="Y649" s="4"/>
      <c r="Z649" s="4"/>
      <c r="AA649" s="4"/>
      <c r="AB649" s="4"/>
      <c r="AC649" s="4"/>
      <c r="AD649" s="4"/>
      <c r="AE649" s="4"/>
      <c r="AF649" s="4"/>
    </row>
    <row r="650" ht="15.75" customHeight="1">
      <c r="A650" s="4"/>
      <c r="B650" s="4"/>
      <c r="C650" s="4"/>
      <c r="D650" s="4"/>
      <c r="E650" s="4"/>
      <c r="F650" s="4"/>
      <c r="G650" s="4"/>
      <c r="H650" s="4"/>
      <c r="I650" s="129"/>
      <c r="J650" s="129"/>
      <c r="K650" s="129"/>
      <c r="L650" s="129"/>
      <c r="M650" s="129"/>
      <c r="N650" s="4"/>
      <c r="O650" s="4"/>
      <c r="P650" s="4"/>
      <c r="Q650" s="4"/>
      <c r="R650" s="4"/>
      <c r="S650" s="4"/>
      <c r="T650" s="4"/>
      <c r="U650" s="4"/>
      <c r="V650" s="4"/>
      <c r="W650" s="4"/>
      <c r="X650" s="4"/>
      <c r="Y650" s="4"/>
      <c r="Z650" s="4"/>
      <c r="AA650" s="4"/>
      <c r="AB650" s="4"/>
      <c r="AC650" s="4"/>
      <c r="AD650" s="4"/>
      <c r="AE650" s="4"/>
      <c r="AF650" s="4"/>
    </row>
    <row r="651" ht="15.75" customHeight="1">
      <c r="A651" s="4"/>
      <c r="B651" s="4"/>
      <c r="C651" s="4"/>
      <c r="D651" s="4"/>
      <c r="E651" s="4"/>
      <c r="F651" s="4"/>
      <c r="G651" s="4"/>
      <c r="H651" s="4"/>
      <c r="I651" s="129"/>
      <c r="J651" s="129"/>
      <c r="K651" s="129"/>
      <c r="L651" s="129"/>
      <c r="M651" s="129"/>
      <c r="N651" s="4"/>
      <c r="O651" s="4"/>
      <c r="P651" s="4"/>
      <c r="Q651" s="4"/>
      <c r="R651" s="4"/>
      <c r="S651" s="4"/>
      <c r="T651" s="4"/>
      <c r="U651" s="4"/>
      <c r="V651" s="4"/>
      <c r="W651" s="4"/>
      <c r="X651" s="4"/>
      <c r="Y651" s="4"/>
      <c r="Z651" s="4"/>
      <c r="AA651" s="4"/>
      <c r="AB651" s="4"/>
      <c r="AC651" s="4"/>
      <c r="AD651" s="4"/>
      <c r="AE651" s="4"/>
      <c r="AF651" s="4"/>
    </row>
    <row r="652" ht="15.75" customHeight="1">
      <c r="A652" s="4"/>
      <c r="B652" s="4"/>
      <c r="C652" s="4"/>
      <c r="D652" s="4"/>
      <c r="E652" s="4"/>
      <c r="F652" s="4"/>
      <c r="G652" s="4"/>
      <c r="H652" s="4"/>
      <c r="I652" s="129"/>
      <c r="J652" s="129"/>
      <c r="K652" s="129"/>
      <c r="L652" s="129"/>
      <c r="M652" s="129"/>
      <c r="N652" s="4"/>
      <c r="O652" s="4"/>
      <c r="P652" s="4"/>
      <c r="Q652" s="4"/>
      <c r="R652" s="4"/>
      <c r="S652" s="4"/>
      <c r="T652" s="4"/>
      <c r="U652" s="4"/>
      <c r="V652" s="4"/>
      <c r="W652" s="4"/>
      <c r="X652" s="4"/>
      <c r="Y652" s="4"/>
      <c r="Z652" s="4"/>
      <c r="AA652" s="4"/>
      <c r="AB652" s="4"/>
      <c r="AC652" s="4"/>
      <c r="AD652" s="4"/>
      <c r="AE652" s="4"/>
      <c r="AF652" s="4"/>
    </row>
    <row r="653" ht="15.75" customHeight="1">
      <c r="A653" s="4"/>
      <c r="B653" s="4"/>
      <c r="C653" s="4"/>
      <c r="D653" s="4"/>
      <c r="E653" s="4"/>
      <c r="F653" s="4"/>
      <c r="G653" s="4"/>
      <c r="H653" s="4"/>
      <c r="I653" s="129"/>
      <c r="J653" s="129"/>
      <c r="K653" s="129"/>
      <c r="L653" s="129"/>
      <c r="M653" s="129"/>
      <c r="N653" s="4"/>
      <c r="O653" s="4"/>
      <c r="P653" s="4"/>
      <c r="Q653" s="4"/>
      <c r="R653" s="4"/>
      <c r="S653" s="4"/>
      <c r="T653" s="4"/>
      <c r="U653" s="4"/>
      <c r="V653" s="4"/>
      <c r="W653" s="4"/>
      <c r="X653" s="4"/>
      <c r="Y653" s="4"/>
      <c r="Z653" s="4"/>
      <c r="AA653" s="4"/>
      <c r="AB653" s="4"/>
      <c r="AC653" s="4"/>
      <c r="AD653" s="4"/>
      <c r="AE653" s="4"/>
      <c r="AF653" s="4"/>
    </row>
    <row r="654" ht="15.75" customHeight="1">
      <c r="A654" s="4"/>
      <c r="B654" s="4"/>
      <c r="C654" s="4"/>
      <c r="D654" s="4"/>
      <c r="E654" s="4"/>
      <c r="F654" s="4"/>
      <c r="G654" s="4"/>
      <c r="H654" s="4"/>
      <c r="I654" s="129"/>
      <c r="J654" s="129"/>
      <c r="K654" s="129"/>
      <c r="L654" s="129"/>
      <c r="M654" s="129"/>
      <c r="N654" s="4"/>
      <c r="O654" s="4"/>
      <c r="P654" s="4"/>
      <c r="Q654" s="4"/>
      <c r="R654" s="4"/>
      <c r="S654" s="4"/>
      <c r="T654" s="4"/>
      <c r="U654" s="4"/>
      <c r="V654" s="4"/>
      <c r="W654" s="4"/>
      <c r="X654" s="4"/>
      <c r="Y654" s="4"/>
      <c r="Z654" s="4"/>
      <c r="AA654" s="4"/>
      <c r="AB654" s="4"/>
      <c r="AC654" s="4"/>
      <c r="AD654" s="4"/>
      <c r="AE654" s="4"/>
      <c r="AF654" s="4"/>
    </row>
    <row r="655" ht="15.75" customHeight="1">
      <c r="A655" s="4"/>
      <c r="B655" s="4"/>
      <c r="C655" s="4"/>
      <c r="D655" s="4"/>
      <c r="E655" s="4"/>
      <c r="F655" s="4"/>
      <c r="G655" s="4"/>
      <c r="H655" s="4"/>
      <c r="I655" s="129"/>
      <c r="J655" s="129"/>
      <c r="K655" s="129"/>
      <c r="L655" s="129"/>
      <c r="M655" s="129"/>
      <c r="N655" s="4"/>
      <c r="O655" s="4"/>
      <c r="P655" s="4"/>
      <c r="Q655" s="4"/>
      <c r="R655" s="4"/>
      <c r="S655" s="4"/>
      <c r="T655" s="4"/>
      <c r="U655" s="4"/>
      <c r="V655" s="4"/>
      <c r="W655" s="4"/>
      <c r="X655" s="4"/>
      <c r="Y655" s="4"/>
      <c r="Z655" s="4"/>
      <c r="AA655" s="4"/>
      <c r="AB655" s="4"/>
      <c r="AC655" s="4"/>
      <c r="AD655" s="4"/>
      <c r="AE655" s="4"/>
      <c r="AF655" s="4"/>
    </row>
    <row r="656" ht="15.75" customHeight="1">
      <c r="A656" s="4"/>
      <c r="B656" s="4"/>
      <c r="C656" s="4"/>
      <c r="D656" s="4"/>
      <c r="E656" s="4"/>
      <c r="F656" s="4"/>
      <c r="G656" s="4"/>
      <c r="H656" s="4"/>
      <c r="I656" s="129"/>
      <c r="J656" s="129"/>
      <c r="K656" s="129"/>
      <c r="L656" s="129"/>
      <c r="M656" s="129"/>
      <c r="N656" s="4"/>
      <c r="O656" s="4"/>
      <c r="P656" s="4"/>
      <c r="Q656" s="4"/>
      <c r="R656" s="4"/>
      <c r="S656" s="4"/>
      <c r="T656" s="4"/>
      <c r="U656" s="4"/>
      <c r="V656" s="4"/>
      <c r="W656" s="4"/>
      <c r="X656" s="4"/>
      <c r="Y656" s="4"/>
      <c r="Z656" s="4"/>
      <c r="AA656" s="4"/>
      <c r="AB656" s="4"/>
      <c r="AC656" s="4"/>
      <c r="AD656" s="4"/>
      <c r="AE656" s="4"/>
      <c r="AF656" s="4"/>
    </row>
    <row r="657" ht="15.75" customHeight="1">
      <c r="A657" s="4"/>
      <c r="B657" s="4"/>
      <c r="C657" s="4"/>
      <c r="D657" s="4"/>
      <c r="E657" s="4"/>
      <c r="F657" s="4"/>
      <c r="G657" s="4"/>
      <c r="H657" s="4"/>
      <c r="I657" s="129"/>
      <c r="J657" s="129"/>
      <c r="K657" s="129"/>
      <c r="L657" s="129"/>
      <c r="M657" s="129"/>
      <c r="N657" s="4"/>
      <c r="O657" s="4"/>
      <c r="P657" s="4"/>
      <c r="Q657" s="4"/>
      <c r="R657" s="4"/>
      <c r="S657" s="4"/>
      <c r="T657" s="4"/>
      <c r="U657" s="4"/>
      <c r="V657" s="4"/>
      <c r="W657" s="4"/>
      <c r="X657" s="4"/>
      <c r="Y657" s="4"/>
      <c r="Z657" s="4"/>
      <c r="AA657" s="4"/>
      <c r="AB657" s="4"/>
      <c r="AC657" s="4"/>
      <c r="AD657" s="4"/>
      <c r="AE657" s="4"/>
      <c r="AF657" s="4"/>
    </row>
    <row r="658" ht="15.75" customHeight="1">
      <c r="A658" s="4"/>
      <c r="B658" s="4"/>
      <c r="C658" s="4"/>
      <c r="D658" s="4"/>
      <c r="E658" s="4"/>
      <c r="F658" s="4"/>
      <c r="G658" s="4"/>
      <c r="H658" s="4"/>
      <c r="I658" s="129"/>
      <c r="J658" s="129"/>
      <c r="K658" s="129"/>
      <c r="L658" s="129"/>
      <c r="M658" s="129"/>
      <c r="N658" s="4"/>
      <c r="O658" s="4"/>
      <c r="P658" s="4"/>
      <c r="Q658" s="4"/>
      <c r="R658" s="4"/>
      <c r="S658" s="4"/>
      <c r="T658" s="4"/>
      <c r="U658" s="4"/>
      <c r="V658" s="4"/>
      <c r="W658" s="4"/>
      <c r="X658" s="4"/>
      <c r="Y658" s="4"/>
      <c r="Z658" s="4"/>
      <c r="AA658" s="4"/>
      <c r="AB658" s="4"/>
      <c r="AC658" s="4"/>
      <c r="AD658" s="4"/>
      <c r="AE658" s="4"/>
      <c r="AF658" s="4"/>
    </row>
    <row r="659" ht="15.75" customHeight="1">
      <c r="A659" s="4"/>
      <c r="B659" s="4"/>
      <c r="C659" s="4"/>
      <c r="D659" s="4"/>
      <c r="E659" s="4"/>
      <c r="F659" s="4"/>
      <c r="G659" s="4"/>
      <c r="H659" s="4"/>
      <c r="I659" s="129"/>
      <c r="J659" s="129"/>
      <c r="K659" s="129"/>
      <c r="L659" s="129"/>
      <c r="M659" s="129"/>
      <c r="N659" s="4"/>
      <c r="O659" s="4"/>
      <c r="P659" s="4"/>
      <c r="Q659" s="4"/>
      <c r="R659" s="4"/>
      <c r="S659" s="4"/>
      <c r="T659" s="4"/>
      <c r="U659" s="4"/>
      <c r="V659" s="4"/>
      <c r="W659" s="4"/>
      <c r="X659" s="4"/>
      <c r="Y659" s="4"/>
      <c r="Z659" s="4"/>
      <c r="AA659" s="4"/>
      <c r="AB659" s="4"/>
      <c r="AC659" s="4"/>
      <c r="AD659" s="4"/>
      <c r="AE659" s="4"/>
      <c r="AF659" s="4"/>
    </row>
    <row r="660" ht="15.75" customHeight="1">
      <c r="A660" s="4"/>
      <c r="B660" s="4"/>
      <c r="C660" s="4"/>
      <c r="D660" s="4"/>
      <c r="E660" s="4"/>
      <c r="F660" s="4"/>
      <c r="G660" s="4"/>
      <c r="H660" s="4"/>
      <c r="I660" s="129"/>
      <c r="J660" s="129"/>
      <c r="K660" s="129"/>
      <c r="L660" s="129"/>
      <c r="M660" s="129"/>
      <c r="N660" s="4"/>
      <c r="O660" s="4"/>
      <c r="P660" s="4"/>
      <c r="Q660" s="4"/>
      <c r="R660" s="4"/>
      <c r="S660" s="4"/>
      <c r="T660" s="4"/>
      <c r="U660" s="4"/>
      <c r="V660" s="4"/>
      <c r="W660" s="4"/>
      <c r="X660" s="4"/>
      <c r="Y660" s="4"/>
      <c r="Z660" s="4"/>
      <c r="AA660" s="4"/>
      <c r="AB660" s="4"/>
      <c r="AC660" s="4"/>
      <c r="AD660" s="4"/>
      <c r="AE660" s="4"/>
      <c r="AF660" s="4"/>
    </row>
    <row r="661" ht="15.75" customHeight="1">
      <c r="A661" s="4"/>
      <c r="B661" s="4"/>
      <c r="C661" s="4"/>
      <c r="D661" s="4"/>
      <c r="E661" s="4"/>
      <c r="F661" s="4"/>
      <c r="G661" s="4"/>
      <c r="H661" s="4"/>
      <c r="I661" s="129"/>
      <c r="J661" s="129"/>
      <c r="K661" s="129"/>
      <c r="L661" s="129"/>
      <c r="M661" s="129"/>
      <c r="N661" s="4"/>
      <c r="O661" s="4"/>
      <c r="P661" s="4"/>
      <c r="Q661" s="4"/>
      <c r="R661" s="4"/>
      <c r="S661" s="4"/>
      <c r="T661" s="4"/>
      <c r="U661" s="4"/>
      <c r="V661" s="4"/>
      <c r="W661" s="4"/>
      <c r="X661" s="4"/>
      <c r="Y661" s="4"/>
      <c r="Z661" s="4"/>
      <c r="AA661" s="4"/>
      <c r="AB661" s="4"/>
      <c r="AC661" s="4"/>
      <c r="AD661" s="4"/>
      <c r="AE661" s="4"/>
      <c r="AF661" s="4"/>
    </row>
    <row r="662" ht="15.75" customHeight="1">
      <c r="A662" s="4"/>
      <c r="B662" s="4"/>
      <c r="C662" s="4"/>
      <c r="D662" s="4"/>
      <c r="E662" s="4"/>
      <c r="F662" s="4"/>
      <c r="G662" s="4"/>
      <c r="H662" s="4"/>
      <c r="I662" s="129"/>
      <c r="J662" s="129"/>
      <c r="K662" s="129"/>
      <c r="L662" s="129"/>
      <c r="M662" s="129"/>
      <c r="N662" s="4"/>
      <c r="O662" s="4"/>
      <c r="P662" s="4"/>
      <c r="Q662" s="4"/>
      <c r="R662" s="4"/>
      <c r="S662" s="4"/>
      <c r="T662" s="4"/>
      <c r="U662" s="4"/>
      <c r="V662" s="4"/>
      <c r="W662" s="4"/>
      <c r="X662" s="4"/>
      <c r="Y662" s="4"/>
      <c r="Z662" s="4"/>
      <c r="AA662" s="4"/>
      <c r="AB662" s="4"/>
      <c r="AC662" s="4"/>
      <c r="AD662" s="4"/>
      <c r="AE662" s="4"/>
      <c r="AF662" s="4"/>
    </row>
    <row r="663" ht="15.75" customHeight="1">
      <c r="A663" s="4"/>
      <c r="B663" s="4"/>
      <c r="C663" s="4"/>
      <c r="D663" s="4"/>
      <c r="E663" s="4"/>
      <c r="F663" s="4"/>
      <c r="G663" s="4"/>
      <c r="H663" s="4"/>
      <c r="I663" s="129"/>
      <c r="J663" s="129"/>
      <c r="K663" s="129"/>
      <c r="L663" s="129"/>
      <c r="M663" s="129"/>
      <c r="N663" s="4"/>
      <c r="O663" s="4"/>
      <c r="P663" s="4"/>
      <c r="Q663" s="4"/>
      <c r="R663" s="4"/>
      <c r="S663" s="4"/>
      <c r="T663" s="4"/>
      <c r="U663" s="4"/>
      <c r="V663" s="4"/>
      <c r="W663" s="4"/>
      <c r="X663" s="4"/>
      <c r="Y663" s="4"/>
      <c r="Z663" s="4"/>
      <c r="AA663" s="4"/>
      <c r="AB663" s="4"/>
      <c r="AC663" s="4"/>
      <c r="AD663" s="4"/>
      <c r="AE663" s="4"/>
      <c r="AF663" s="4"/>
    </row>
    <row r="664" ht="15.75" customHeight="1">
      <c r="A664" s="4"/>
      <c r="B664" s="4"/>
      <c r="C664" s="4"/>
      <c r="D664" s="4"/>
      <c r="E664" s="4"/>
      <c r="F664" s="4"/>
      <c r="G664" s="4"/>
      <c r="H664" s="4"/>
      <c r="I664" s="129"/>
      <c r="J664" s="129"/>
      <c r="K664" s="129"/>
      <c r="L664" s="129"/>
      <c r="M664" s="129"/>
      <c r="N664" s="4"/>
      <c r="O664" s="4"/>
      <c r="P664" s="4"/>
      <c r="Q664" s="4"/>
      <c r="R664" s="4"/>
      <c r="S664" s="4"/>
      <c r="T664" s="4"/>
      <c r="U664" s="4"/>
      <c r="V664" s="4"/>
      <c r="W664" s="4"/>
      <c r="X664" s="4"/>
      <c r="Y664" s="4"/>
      <c r="Z664" s="4"/>
      <c r="AA664" s="4"/>
      <c r="AB664" s="4"/>
      <c r="AC664" s="4"/>
      <c r="AD664" s="4"/>
      <c r="AE664" s="4"/>
      <c r="AF664" s="4"/>
    </row>
    <row r="665" ht="15.75" customHeight="1">
      <c r="A665" s="4"/>
      <c r="B665" s="4"/>
      <c r="C665" s="4"/>
      <c r="D665" s="4"/>
      <c r="E665" s="4"/>
      <c r="F665" s="4"/>
      <c r="G665" s="4"/>
      <c r="H665" s="4"/>
      <c r="I665" s="129"/>
      <c r="J665" s="129"/>
      <c r="K665" s="129"/>
      <c r="L665" s="129"/>
      <c r="M665" s="129"/>
      <c r="N665" s="4"/>
      <c r="O665" s="4"/>
      <c r="P665" s="4"/>
      <c r="Q665" s="4"/>
      <c r="R665" s="4"/>
      <c r="S665" s="4"/>
      <c r="T665" s="4"/>
      <c r="U665" s="4"/>
      <c r="V665" s="4"/>
      <c r="W665" s="4"/>
      <c r="X665" s="4"/>
      <c r="Y665" s="4"/>
      <c r="Z665" s="4"/>
      <c r="AA665" s="4"/>
      <c r="AB665" s="4"/>
      <c r="AC665" s="4"/>
      <c r="AD665" s="4"/>
      <c r="AE665" s="4"/>
      <c r="AF665" s="4"/>
    </row>
    <row r="666" ht="15.75" customHeight="1">
      <c r="A666" s="4"/>
      <c r="B666" s="4"/>
      <c r="C666" s="4"/>
      <c r="D666" s="4"/>
      <c r="E666" s="4"/>
      <c r="F666" s="4"/>
      <c r="G666" s="4"/>
      <c r="H666" s="4"/>
      <c r="I666" s="129"/>
      <c r="J666" s="129"/>
      <c r="K666" s="129"/>
      <c r="L666" s="129"/>
      <c r="M666" s="129"/>
      <c r="N666" s="4"/>
      <c r="O666" s="4"/>
      <c r="P666" s="4"/>
      <c r="Q666" s="4"/>
      <c r="R666" s="4"/>
      <c r="S666" s="4"/>
      <c r="T666" s="4"/>
      <c r="U666" s="4"/>
      <c r="V666" s="4"/>
      <c r="W666" s="4"/>
      <c r="X666" s="4"/>
      <c r="Y666" s="4"/>
      <c r="Z666" s="4"/>
      <c r="AA666" s="4"/>
      <c r="AB666" s="4"/>
      <c r="AC666" s="4"/>
      <c r="AD666" s="4"/>
      <c r="AE666" s="4"/>
      <c r="AF666" s="4"/>
    </row>
    <row r="667" ht="15.75" customHeight="1">
      <c r="A667" s="4"/>
      <c r="B667" s="4"/>
      <c r="C667" s="4"/>
      <c r="D667" s="4"/>
      <c r="E667" s="4"/>
      <c r="F667" s="4"/>
      <c r="G667" s="4"/>
      <c r="H667" s="4"/>
      <c r="I667" s="129"/>
      <c r="J667" s="129"/>
      <c r="K667" s="129"/>
      <c r="L667" s="129"/>
      <c r="M667" s="129"/>
      <c r="N667" s="4"/>
      <c r="O667" s="4"/>
      <c r="P667" s="4"/>
      <c r="Q667" s="4"/>
      <c r="R667" s="4"/>
      <c r="S667" s="4"/>
      <c r="T667" s="4"/>
      <c r="U667" s="4"/>
      <c r="V667" s="4"/>
      <c r="W667" s="4"/>
      <c r="X667" s="4"/>
      <c r="Y667" s="4"/>
      <c r="Z667" s="4"/>
      <c r="AA667" s="4"/>
      <c r="AB667" s="4"/>
      <c r="AC667" s="4"/>
      <c r="AD667" s="4"/>
      <c r="AE667" s="4"/>
      <c r="AF667" s="4"/>
    </row>
    <row r="668" ht="15.75" customHeight="1">
      <c r="A668" s="4"/>
      <c r="B668" s="4"/>
      <c r="C668" s="4"/>
      <c r="D668" s="4"/>
      <c r="E668" s="4"/>
      <c r="F668" s="4"/>
      <c r="G668" s="4"/>
      <c r="H668" s="4"/>
      <c r="I668" s="129"/>
      <c r="J668" s="129"/>
      <c r="K668" s="129"/>
      <c r="L668" s="129"/>
      <c r="M668" s="129"/>
      <c r="N668" s="4"/>
      <c r="O668" s="4"/>
      <c r="P668" s="4"/>
      <c r="Q668" s="4"/>
      <c r="R668" s="4"/>
      <c r="S668" s="4"/>
      <c r="T668" s="4"/>
      <c r="U668" s="4"/>
      <c r="V668" s="4"/>
      <c r="W668" s="4"/>
      <c r="X668" s="4"/>
      <c r="Y668" s="4"/>
      <c r="Z668" s="4"/>
      <c r="AA668" s="4"/>
      <c r="AB668" s="4"/>
      <c r="AC668" s="4"/>
      <c r="AD668" s="4"/>
      <c r="AE668" s="4"/>
      <c r="AF668" s="4"/>
    </row>
    <row r="669" ht="15.75" customHeight="1">
      <c r="A669" s="4"/>
      <c r="B669" s="4"/>
      <c r="C669" s="4"/>
      <c r="D669" s="4"/>
      <c r="E669" s="4"/>
      <c r="F669" s="4"/>
      <c r="G669" s="4"/>
      <c r="H669" s="4"/>
      <c r="I669" s="129"/>
      <c r="J669" s="129"/>
      <c r="K669" s="129"/>
      <c r="L669" s="129"/>
      <c r="M669" s="129"/>
      <c r="N669" s="4"/>
      <c r="O669" s="4"/>
      <c r="P669" s="4"/>
      <c r="Q669" s="4"/>
      <c r="R669" s="4"/>
      <c r="S669" s="4"/>
      <c r="T669" s="4"/>
      <c r="U669" s="4"/>
      <c r="V669" s="4"/>
      <c r="W669" s="4"/>
      <c r="X669" s="4"/>
      <c r="Y669" s="4"/>
      <c r="Z669" s="4"/>
      <c r="AA669" s="4"/>
      <c r="AB669" s="4"/>
      <c r="AC669" s="4"/>
      <c r="AD669" s="4"/>
      <c r="AE669" s="4"/>
      <c r="AF669" s="4"/>
    </row>
    <row r="670" ht="15.75" customHeight="1">
      <c r="A670" s="4"/>
      <c r="B670" s="4"/>
      <c r="C670" s="4"/>
      <c r="D670" s="4"/>
      <c r="E670" s="4"/>
      <c r="F670" s="4"/>
      <c r="G670" s="4"/>
      <c r="H670" s="4"/>
      <c r="I670" s="129"/>
      <c r="J670" s="129"/>
      <c r="K670" s="129"/>
      <c r="L670" s="129"/>
      <c r="M670" s="129"/>
      <c r="N670" s="4"/>
      <c r="O670" s="4"/>
      <c r="P670" s="4"/>
      <c r="Q670" s="4"/>
      <c r="R670" s="4"/>
      <c r="S670" s="4"/>
      <c r="T670" s="4"/>
      <c r="U670" s="4"/>
      <c r="V670" s="4"/>
      <c r="W670" s="4"/>
      <c r="X670" s="4"/>
      <c r="Y670" s="4"/>
      <c r="Z670" s="4"/>
      <c r="AA670" s="4"/>
      <c r="AB670" s="4"/>
      <c r="AC670" s="4"/>
      <c r="AD670" s="4"/>
      <c r="AE670" s="4"/>
      <c r="AF670" s="4"/>
    </row>
    <row r="671" ht="15.75" customHeight="1">
      <c r="A671" s="4"/>
      <c r="B671" s="4"/>
      <c r="C671" s="4"/>
      <c r="D671" s="4"/>
      <c r="E671" s="4"/>
      <c r="F671" s="4"/>
      <c r="G671" s="4"/>
      <c r="H671" s="4"/>
      <c r="I671" s="129"/>
      <c r="J671" s="129"/>
      <c r="K671" s="129"/>
      <c r="L671" s="129"/>
      <c r="M671" s="129"/>
      <c r="N671" s="4"/>
      <c r="O671" s="4"/>
      <c r="P671" s="4"/>
      <c r="Q671" s="4"/>
      <c r="R671" s="4"/>
      <c r="S671" s="4"/>
      <c r="T671" s="4"/>
      <c r="U671" s="4"/>
      <c r="V671" s="4"/>
      <c r="W671" s="4"/>
      <c r="X671" s="4"/>
      <c r="Y671" s="4"/>
      <c r="Z671" s="4"/>
      <c r="AA671" s="4"/>
      <c r="AB671" s="4"/>
      <c r="AC671" s="4"/>
      <c r="AD671" s="4"/>
      <c r="AE671" s="4"/>
      <c r="AF671" s="4"/>
    </row>
    <row r="672" ht="15.75" customHeight="1">
      <c r="A672" s="4"/>
      <c r="B672" s="4"/>
      <c r="C672" s="4"/>
      <c r="D672" s="4"/>
      <c r="E672" s="4"/>
      <c r="F672" s="4"/>
      <c r="G672" s="4"/>
      <c r="H672" s="4"/>
      <c r="I672" s="129"/>
      <c r="J672" s="129"/>
      <c r="K672" s="129"/>
      <c r="L672" s="129"/>
      <c r="M672" s="129"/>
      <c r="N672" s="4"/>
      <c r="O672" s="4"/>
      <c r="P672" s="4"/>
      <c r="Q672" s="4"/>
      <c r="R672" s="4"/>
      <c r="S672" s="4"/>
      <c r="T672" s="4"/>
      <c r="U672" s="4"/>
      <c r="V672" s="4"/>
      <c r="W672" s="4"/>
      <c r="X672" s="4"/>
      <c r="Y672" s="4"/>
      <c r="Z672" s="4"/>
      <c r="AA672" s="4"/>
      <c r="AB672" s="4"/>
      <c r="AC672" s="4"/>
      <c r="AD672" s="4"/>
      <c r="AE672" s="4"/>
      <c r="AF672" s="4"/>
    </row>
    <row r="673" ht="15.75" customHeight="1">
      <c r="A673" s="4"/>
      <c r="B673" s="4"/>
      <c r="C673" s="4"/>
      <c r="D673" s="4"/>
      <c r="E673" s="4"/>
      <c r="F673" s="4"/>
      <c r="G673" s="4"/>
      <c r="H673" s="4"/>
      <c r="I673" s="129"/>
      <c r="J673" s="129"/>
      <c r="K673" s="129"/>
      <c r="L673" s="129"/>
      <c r="M673" s="129"/>
      <c r="N673" s="4"/>
      <c r="O673" s="4"/>
      <c r="P673" s="4"/>
      <c r="Q673" s="4"/>
      <c r="R673" s="4"/>
      <c r="S673" s="4"/>
      <c r="T673" s="4"/>
      <c r="U673" s="4"/>
      <c r="V673" s="4"/>
      <c r="W673" s="4"/>
      <c r="X673" s="4"/>
      <c r="Y673" s="4"/>
      <c r="Z673" s="4"/>
      <c r="AA673" s="4"/>
      <c r="AB673" s="4"/>
      <c r="AC673" s="4"/>
      <c r="AD673" s="4"/>
      <c r="AE673" s="4"/>
      <c r="AF673" s="4"/>
    </row>
    <row r="674" ht="15.75" customHeight="1">
      <c r="A674" s="4"/>
      <c r="B674" s="4"/>
      <c r="C674" s="4"/>
      <c r="D674" s="4"/>
      <c r="E674" s="4"/>
      <c r="F674" s="4"/>
      <c r="G674" s="4"/>
      <c r="H674" s="4"/>
      <c r="I674" s="129"/>
      <c r="J674" s="129"/>
      <c r="K674" s="129"/>
      <c r="L674" s="129"/>
      <c r="M674" s="129"/>
      <c r="N674" s="4"/>
      <c r="O674" s="4"/>
      <c r="P674" s="4"/>
      <c r="Q674" s="4"/>
      <c r="R674" s="4"/>
      <c r="S674" s="4"/>
      <c r="T674" s="4"/>
      <c r="U674" s="4"/>
      <c r="V674" s="4"/>
      <c r="W674" s="4"/>
      <c r="X674" s="4"/>
      <c r="Y674" s="4"/>
      <c r="Z674" s="4"/>
      <c r="AA674" s="4"/>
      <c r="AB674" s="4"/>
      <c r="AC674" s="4"/>
      <c r="AD674" s="4"/>
      <c r="AE674" s="4"/>
      <c r="AF674" s="4"/>
    </row>
    <row r="675" ht="15.75" customHeight="1">
      <c r="A675" s="4"/>
      <c r="B675" s="4"/>
      <c r="C675" s="4"/>
      <c r="D675" s="4"/>
      <c r="E675" s="4"/>
      <c r="F675" s="4"/>
      <c r="G675" s="4"/>
      <c r="H675" s="4"/>
      <c r="I675" s="129"/>
      <c r="J675" s="129"/>
      <c r="K675" s="129"/>
      <c r="L675" s="129"/>
      <c r="M675" s="129"/>
      <c r="N675" s="4"/>
      <c r="O675" s="4"/>
      <c r="P675" s="4"/>
      <c r="Q675" s="4"/>
      <c r="R675" s="4"/>
      <c r="S675" s="4"/>
      <c r="T675" s="4"/>
      <c r="U675" s="4"/>
      <c r="V675" s="4"/>
      <c r="W675" s="4"/>
      <c r="X675" s="4"/>
      <c r="Y675" s="4"/>
      <c r="Z675" s="4"/>
      <c r="AA675" s="4"/>
      <c r="AB675" s="4"/>
      <c r="AC675" s="4"/>
      <c r="AD675" s="4"/>
      <c r="AE675" s="4"/>
      <c r="AF675" s="4"/>
    </row>
    <row r="676" ht="15.75" customHeight="1">
      <c r="A676" s="4"/>
      <c r="B676" s="4"/>
      <c r="C676" s="4"/>
      <c r="D676" s="4"/>
      <c r="E676" s="4"/>
      <c r="F676" s="4"/>
      <c r="G676" s="4"/>
      <c r="H676" s="4"/>
      <c r="I676" s="129"/>
      <c r="J676" s="129"/>
      <c r="K676" s="129"/>
      <c r="L676" s="129"/>
      <c r="M676" s="129"/>
      <c r="N676" s="4"/>
      <c r="O676" s="4"/>
      <c r="P676" s="4"/>
      <c r="Q676" s="4"/>
      <c r="R676" s="4"/>
      <c r="S676" s="4"/>
      <c r="T676" s="4"/>
      <c r="U676" s="4"/>
      <c r="V676" s="4"/>
      <c r="W676" s="4"/>
      <c r="X676" s="4"/>
      <c r="Y676" s="4"/>
      <c r="Z676" s="4"/>
      <c r="AA676" s="4"/>
      <c r="AB676" s="4"/>
      <c r="AC676" s="4"/>
      <c r="AD676" s="4"/>
      <c r="AE676" s="4"/>
      <c r="AF676" s="4"/>
    </row>
    <row r="677" ht="15.75" customHeight="1">
      <c r="A677" s="4"/>
      <c r="B677" s="4"/>
      <c r="C677" s="4"/>
      <c r="D677" s="4"/>
      <c r="E677" s="4"/>
      <c r="F677" s="4"/>
      <c r="G677" s="4"/>
      <c r="H677" s="4"/>
      <c r="I677" s="129"/>
      <c r="J677" s="129"/>
      <c r="K677" s="129"/>
      <c r="L677" s="129"/>
      <c r="M677" s="129"/>
      <c r="N677" s="4"/>
      <c r="O677" s="4"/>
      <c r="P677" s="4"/>
      <c r="Q677" s="4"/>
      <c r="R677" s="4"/>
      <c r="S677" s="4"/>
      <c r="T677" s="4"/>
      <c r="U677" s="4"/>
      <c r="V677" s="4"/>
      <c r="W677" s="4"/>
      <c r="X677" s="4"/>
      <c r="Y677" s="4"/>
      <c r="Z677" s="4"/>
      <c r="AA677" s="4"/>
      <c r="AB677" s="4"/>
      <c r="AC677" s="4"/>
      <c r="AD677" s="4"/>
      <c r="AE677" s="4"/>
      <c r="AF677" s="4"/>
    </row>
    <row r="678" ht="15.75" customHeight="1">
      <c r="A678" s="4"/>
      <c r="B678" s="4"/>
      <c r="C678" s="4"/>
      <c r="D678" s="4"/>
      <c r="E678" s="4"/>
      <c r="F678" s="4"/>
      <c r="G678" s="4"/>
      <c r="H678" s="4"/>
      <c r="I678" s="129"/>
      <c r="J678" s="129"/>
      <c r="K678" s="129"/>
      <c r="L678" s="129"/>
      <c r="M678" s="129"/>
      <c r="N678" s="4"/>
      <c r="O678" s="4"/>
      <c r="P678" s="4"/>
      <c r="Q678" s="4"/>
      <c r="R678" s="4"/>
      <c r="S678" s="4"/>
      <c r="T678" s="4"/>
      <c r="U678" s="4"/>
      <c r="V678" s="4"/>
      <c r="W678" s="4"/>
      <c r="X678" s="4"/>
      <c r="Y678" s="4"/>
      <c r="Z678" s="4"/>
      <c r="AA678" s="4"/>
      <c r="AB678" s="4"/>
      <c r="AC678" s="4"/>
      <c r="AD678" s="4"/>
      <c r="AE678" s="4"/>
      <c r="AF678" s="4"/>
    </row>
    <row r="679" ht="15.75" customHeight="1">
      <c r="A679" s="4"/>
      <c r="B679" s="4"/>
      <c r="C679" s="4"/>
      <c r="D679" s="4"/>
      <c r="E679" s="4"/>
      <c r="F679" s="4"/>
      <c r="G679" s="4"/>
      <c r="H679" s="4"/>
      <c r="I679" s="129"/>
      <c r="J679" s="129"/>
      <c r="K679" s="129"/>
      <c r="L679" s="129"/>
      <c r="M679" s="129"/>
      <c r="N679" s="4"/>
      <c r="O679" s="4"/>
      <c r="P679" s="4"/>
      <c r="Q679" s="4"/>
      <c r="R679" s="4"/>
      <c r="S679" s="4"/>
      <c r="T679" s="4"/>
      <c r="U679" s="4"/>
      <c r="V679" s="4"/>
      <c r="W679" s="4"/>
      <c r="X679" s="4"/>
      <c r="Y679" s="4"/>
      <c r="Z679" s="4"/>
      <c r="AA679" s="4"/>
      <c r="AB679" s="4"/>
      <c r="AC679" s="4"/>
      <c r="AD679" s="4"/>
      <c r="AE679" s="4"/>
      <c r="AF679" s="4"/>
    </row>
    <row r="680" ht="15.75" customHeight="1">
      <c r="A680" s="4"/>
      <c r="B680" s="4"/>
      <c r="C680" s="4"/>
      <c r="D680" s="4"/>
      <c r="E680" s="4"/>
      <c r="F680" s="4"/>
      <c r="G680" s="4"/>
      <c r="H680" s="4"/>
      <c r="I680" s="129"/>
      <c r="J680" s="129"/>
      <c r="K680" s="129"/>
      <c r="L680" s="129"/>
      <c r="M680" s="129"/>
      <c r="N680" s="4"/>
      <c r="O680" s="4"/>
      <c r="P680" s="4"/>
      <c r="Q680" s="4"/>
      <c r="R680" s="4"/>
      <c r="S680" s="4"/>
      <c r="T680" s="4"/>
      <c r="U680" s="4"/>
      <c r="V680" s="4"/>
      <c r="W680" s="4"/>
      <c r="X680" s="4"/>
      <c r="Y680" s="4"/>
      <c r="Z680" s="4"/>
      <c r="AA680" s="4"/>
      <c r="AB680" s="4"/>
      <c r="AC680" s="4"/>
      <c r="AD680" s="4"/>
      <c r="AE680" s="4"/>
      <c r="AF680" s="4"/>
    </row>
    <row r="681" ht="15.75" customHeight="1">
      <c r="A681" s="4"/>
      <c r="B681" s="4"/>
      <c r="C681" s="4"/>
      <c r="D681" s="4"/>
      <c r="E681" s="4"/>
      <c r="F681" s="4"/>
      <c r="G681" s="4"/>
      <c r="H681" s="4"/>
      <c r="I681" s="129"/>
      <c r="J681" s="129"/>
      <c r="K681" s="129"/>
      <c r="L681" s="129"/>
      <c r="M681" s="129"/>
      <c r="N681" s="4"/>
      <c r="O681" s="4"/>
      <c r="P681" s="4"/>
      <c r="Q681" s="4"/>
      <c r="R681" s="4"/>
      <c r="S681" s="4"/>
      <c r="T681" s="4"/>
      <c r="U681" s="4"/>
      <c r="V681" s="4"/>
      <c r="W681" s="4"/>
      <c r="X681" s="4"/>
      <c r="Y681" s="4"/>
      <c r="Z681" s="4"/>
      <c r="AA681" s="4"/>
      <c r="AB681" s="4"/>
      <c r="AC681" s="4"/>
      <c r="AD681" s="4"/>
      <c r="AE681" s="4"/>
      <c r="AF681" s="4"/>
    </row>
    <row r="682" ht="15.75" customHeight="1">
      <c r="A682" s="4"/>
      <c r="B682" s="4"/>
      <c r="C682" s="4"/>
      <c r="D682" s="4"/>
      <c r="E682" s="4"/>
      <c r="F682" s="4"/>
      <c r="G682" s="4"/>
      <c r="H682" s="4"/>
      <c r="I682" s="129"/>
      <c r="J682" s="129"/>
      <c r="K682" s="129"/>
      <c r="L682" s="129"/>
      <c r="M682" s="129"/>
      <c r="N682" s="4"/>
      <c r="O682" s="4"/>
      <c r="P682" s="4"/>
      <c r="Q682" s="4"/>
      <c r="R682" s="4"/>
      <c r="S682" s="4"/>
      <c r="T682" s="4"/>
      <c r="U682" s="4"/>
      <c r="V682" s="4"/>
      <c r="W682" s="4"/>
      <c r="X682" s="4"/>
      <c r="Y682" s="4"/>
      <c r="Z682" s="4"/>
      <c r="AA682" s="4"/>
      <c r="AB682" s="4"/>
      <c r="AC682" s="4"/>
      <c r="AD682" s="4"/>
      <c r="AE682" s="4"/>
      <c r="AF682" s="4"/>
    </row>
    <row r="683" ht="15.75" customHeight="1">
      <c r="A683" s="4"/>
      <c r="B683" s="4"/>
      <c r="C683" s="4"/>
      <c r="D683" s="4"/>
      <c r="E683" s="4"/>
      <c r="F683" s="4"/>
      <c r="G683" s="4"/>
      <c r="H683" s="4"/>
      <c r="I683" s="129"/>
      <c r="J683" s="129"/>
      <c r="K683" s="129"/>
      <c r="L683" s="129"/>
      <c r="M683" s="129"/>
      <c r="N683" s="4"/>
      <c r="O683" s="4"/>
      <c r="P683" s="4"/>
      <c r="Q683" s="4"/>
      <c r="R683" s="4"/>
      <c r="S683" s="4"/>
      <c r="T683" s="4"/>
      <c r="U683" s="4"/>
      <c r="V683" s="4"/>
      <c r="W683" s="4"/>
      <c r="X683" s="4"/>
      <c r="Y683" s="4"/>
      <c r="Z683" s="4"/>
      <c r="AA683" s="4"/>
      <c r="AB683" s="4"/>
      <c r="AC683" s="4"/>
      <c r="AD683" s="4"/>
      <c r="AE683" s="4"/>
      <c r="AF683" s="4"/>
    </row>
    <row r="684" ht="15.75" customHeight="1">
      <c r="A684" s="4"/>
      <c r="B684" s="4"/>
      <c r="C684" s="4"/>
      <c r="D684" s="4"/>
      <c r="E684" s="4"/>
      <c r="F684" s="4"/>
      <c r="G684" s="4"/>
      <c r="H684" s="4"/>
      <c r="I684" s="129"/>
      <c r="J684" s="129"/>
      <c r="K684" s="129"/>
      <c r="L684" s="129"/>
      <c r="M684" s="129"/>
      <c r="N684" s="4"/>
      <c r="O684" s="4"/>
      <c r="P684" s="4"/>
      <c r="Q684" s="4"/>
      <c r="R684" s="4"/>
      <c r="S684" s="4"/>
      <c r="T684" s="4"/>
      <c r="U684" s="4"/>
      <c r="V684" s="4"/>
      <c r="W684" s="4"/>
      <c r="X684" s="4"/>
      <c r="Y684" s="4"/>
      <c r="Z684" s="4"/>
      <c r="AA684" s="4"/>
      <c r="AB684" s="4"/>
      <c r="AC684" s="4"/>
      <c r="AD684" s="4"/>
      <c r="AE684" s="4"/>
      <c r="AF684" s="4"/>
    </row>
    <row r="685" ht="15.75" customHeight="1">
      <c r="A685" s="4"/>
      <c r="B685" s="4"/>
      <c r="C685" s="4"/>
      <c r="D685" s="4"/>
      <c r="E685" s="4"/>
      <c r="F685" s="4"/>
      <c r="G685" s="4"/>
      <c r="H685" s="4"/>
      <c r="I685" s="129"/>
      <c r="J685" s="129"/>
      <c r="K685" s="129"/>
      <c r="L685" s="129"/>
      <c r="M685" s="129"/>
      <c r="N685" s="4"/>
      <c r="O685" s="4"/>
      <c r="P685" s="4"/>
      <c r="Q685" s="4"/>
      <c r="R685" s="4"/>
      <c r="S685" s="4"/>
      <c r="T685" s="4"/>
      <c r="U685" s="4"/>
      <c r="V685" s="4"/>
      <c r="W685" s="4"/>
      <c r="X685" s="4"/>
      <c r="Y685" s="4"/>
      <c r="Z685" s="4"/>
      <c r="AA685" s="4"/>
      <c r="AB685" s="4"/>
      <c r="AC685" s="4"/>
      <c r="AD685" s="4"/>
      <c r="AE685" s="4"/>
      <c r="AF685" s="4"/>
    </row>
    <row r="686" ht="15.75" customHeight="1">
      <c r="A686" s="4"/>
      <c r="B686" s="4"/>
      <c r="C686" s="4"/>
      <c r="D686" s="4"/>
      <c r="E686" s="4"/>
      <c r="F686" s="4"/>
      <c r="G686" s="4"/>
      <c r="H686" s="4"/>
      <c r="I686" s="129"/>
      <c r="J686" s="129"/>
      <c r="K686" s="129"/>
      <c r="L686" s="129"/>
      <c r="M686" s="129"/>
      <c r="N686" s="4"/>
      <c r="O686" s="4"/>
      <c r="P686" s="4"/>
      <c r="Q686" s="4"/>
      <c r="R686" s="4"/>
      <c r="S686" s="4"/>
      <c r="T686" s="4"/>
      <c r="U686" s="4"/>
      <c r="V686" s="4"/>
      <c r="W686" s="4"/>
      <c r="X686" s="4"/>
      <c r="Y686" s="4"/>
      <c r="Z686" s="4"/>
      <c r="AA686" s="4"/>
      <c r="AB686" s="4"/>
      <c r="AC686" s="4"/>
      <c r="AD686" s="4"/>
      <c r="AE686" s="4"/>
      <c r="AF686" s="4"/>
    </row>
    <row r="687" ht="15.75" customHeight="1">
      <c r="A687" s="4"/>
      <c r="B687" s="4"/>
      <c r="C687" s="4"/>
      <c r="D687" s="4"/>
      <c r="E687" s="4"/>
      <c r="F687" s="4"/>
      <c r="G687" s="4"/>
      <c r="H687" s="4"/>
      <c r="I687" s="129"/>
      <c r="J687" s="129"/>
      <c r="K687" s="129"/>
      <c r="L687" s="129"/>
      <c r="M687" s="129"/>
      <c r="N687" s="4"/>
      <c r="O687" s="4"/>
      <c r="P687" s="4"/>
      <c r="Q687" s="4"/>
      <c r="R687" s="4"/>
      <c r="S687" s="4"/>
      <c r="T687" s="4"/>
      <c r="U687" s="4"/>
      <c r="V687" s="4"/>
      <c r="W687" s="4"/>
      <c r="X687" s="4"/>
      <c r="Y687" s="4"/>
      <c r="Z687" s="4"/>
      <c r="AA687" s="4"/>
      <c r="AB687" s="4"/>
      <c r="AC687" s="4"/>
      <c r="AD687" s="4"/>
      <c r="AE687" s="4"/>
      <c r="AF687" s="4"/>
    </row>
    <row r="688" ht="15.75" customHeight="1">
      <c r="A688" s="4"/>
      <c r="B688" s="4"/>
      <c r="C688" s="4"/>
      <c r="D688" s="4"/>
      <c r="E688" s="4"/>
      <c r="F688" s="4"/>
      <c r="G688" s="4"/>
      <c r="H688" s="4"/>
      <c r="I688" s="129"/>
      <c r="J688" s="129"/>
      <c r="K688" s="129"/>
      <c r="L688" s="129"/>
      <c r="M688" s="129"/>
      <c r="N688" s="4"/>
      <c r="O688" s="4"/>
      <c r="P688" s="4"/>
      <c r="Q688" s="4"/>
      <c r="R688" s="4"/>
      <c r="S688" s="4"/>
      <c r="T688" s="4"/>
      <c r="U688" s="4"/>
      <c r="V688" s="4"/>
      <c r="W688" s="4"/>
      <c r="X688" s="4"/>
      <c r="Y688" s="4"/>
      <c r="Z688" s="4"/>
      <c r="AA688" s="4"/>
      <c r="AB688" s="4"/>
      <c r="AC688" s="4"/>
      <c r="AD688" s="4"/>
      <c r="AE688" s="4"/>
      <c r="AF688" s="4"/>
    </row>
    <row r="689" ht="15.75" customHeight="1">
      <c r="A689" s="4"/>
      <c r="B689" s="4"/>
      <c r="C689" s="4"/>
      <c r="D689" s="4"/>
      <c r="E689" s="4"/>
      <c r="F689" s="4"/>
      <c r="G689" s="4"/>
      <c r="H689" s="4"/>
      <c r="I689" s="129"/>
      <c r="J689" s="129"/>
      <c r="K689" s="129"/>
      <c r="L689" s="129"/>
      <c r="M689" s="129"/>
      <c r="N689" s="4"/>
      <c r="O689" s="4"/>
      <c r="P689" s="4"/>
      <c r="Q689" s="4"/>
      <c r="R689" s="4"/>
      <c r="S689" s="4"/>
      <c r="T689" s="4"/>
      <c r="U689" s="4"/>
      <c r="V689" s="4"/>
      <c r="W689" s="4"/>
      <c r="X689" s="4"/>
      <c r="Y689" s="4"/>
      <c r="Z689" s="4"/>
      <c r="AA689" s="4"/>
      <c r="AB689" s="4"/>
      <c r="AC689" s="4"/>
      <c r="AD689" s="4"/>
      <c r="AE689" s="4"/>
      <c r="AF689" s="4"/>
    </row>
    <row r="690" ht="15.75" customHeight="1">
      <c r="A690" s="4"/>
      <c r="B690" s="4"/>
      <c r="C690" s="4"/>
      <c r="D690" s="4"/>
      <c r="E690" s="4"/>
      <c r="F690" s="4"/>
      <c r="G690" s="4"/>
      <c r="H690" s="4"/>
      <c r="I690" s="129"/>
      <c r="J690" s="129"/>
      <c r="K690" s="129"/>
      <c r="L690" s="129"/>
      <c r="M690" s="129"/>
      <c r="N690" s="4"/>
      <c r="O690" s="4"/>
      <c r="P690" s="4"/>
      <c r="Q690" s="4"/>
      <c r="R690" s="4"/>
      <c r="S690" s="4"/>
      <c r="T690" s="4"/>
      <c r="U690" s="4"/>
      <c r="V690" s="4"/>
      <c r="W690" s="4"/>
      <c r="X690" s="4"/>
      <c r="Y690" s="4"/>
      <c r="Z690" s="4"/>
      <c r="AA690" s="4"/>
      <c r="AB690" s="4"/>
      <c r="AC690" s="4"/>
      <c r="AD690" s="4"/>
      <c r="AE690" s="4"/>
      <c r="AF690" s="4"/>
    </row>
    <row r="691" ht="15.75" customHeight="1">
      <c r="A691" s="4"/>
      <c r="B691" s="4"/>
      <c r="C691" s="4"/>
      <c r="D691" s="4"/>
      <c r="E691" s="4"/>
      <c r="F691" s="4"/>
      <c r="G691" s="4"/>
      <c r="H691" s="4"/>
      <c r="I691" s="129"/>
      <c r="J691" s="129"/>
      <c r="K691" s="129"/>
      <c r="L691" s="129"/>
      <c r="M691" s="129"/>
      <c r="N691" s="4"/>
      <c r="O691" s="4"/>
      <c r="P691" s="4"/>
      <c r="Q691" s="4"/>
      <c r="R691" s="4"/>
      <c r="S691" s="4"/>
      <c r="T691" s="4"/>
      <c r="U691" s="4"/>
      <c r="V691" s="4"/>
      <c r="W691" s="4"/>
      <c r="X691" s="4"/>
      <c r="Y691" s="4"/>
      <c r="Z691" s="4"/>
      <c r="AA691" s="4"/>
      <c r="AB691" s="4"/>
      <c r="AC691" s="4"/>
      <c r="AD691" s="4"/>
      <c r="AE691" s="4"/>
      <c r="AF691" s="4"/>
    </row>
    <row r="692" ht="15.75" customHeight="1">
      <c r="A692" s="4"/>
      <c r="B692" s="4"/>
      <c r="C692" s="4"/>
      <c r="D692" s="4"/>
      <c r="E692" s="4"/>
      <c r="F692" s="4"/>
      <c r="G692" s="4"/>
      <c r="H692" s="4"/>
      <c r="I692" s="129"/>
      <c r="J692" s="129"/>
      <c r="K692" s="129"/>
      <c r="L692" s="129"/>
      <c r="M692" s="129"/>
      <c r="N692" s="4"/>
      <c r="O692" s="4"/>
      <c r="P692" s="4"/>
      <c r="Q692" s="4"/>
      <c r="R692" s="4"/>
      <c r="S692" s="4"/>
      <c r="T692" s="4"/>
      <c r="U692" s="4"/>
      <c r="V692" s="4"/>
      <c r="W692" s="4"/>
      <c r="X692" s="4"/>
      <c r="Y692" s="4"/>
      <c r="Z692" s="4"/>
      <c r="AA692" s="4"/>
      <c r="AB692" s="4"/>
      <c r="AC692" s="4"/>
      <c r="AD692" s="4"/>
      <c r="AE692" s="4"/>
      <c r="AF692" s="4"/>
    </row>
    <row r="693" ht="15.75" customHeight="1">
      <c r="A693" s="4"/>
      <c r="B693" s="4"/>
      <c r="C693" s="4"/>
      <c r="D693" s="4"/>
      <c r="E693" s="4"/>
      <c r="F693" s="4"/>
      <c r="G693" s="4"/>
      <c r="H693" s="4"/>
      <c r="I693" s="129"/>
      <c r="J693" s="129"/>
      <c r="K693" s="129"/>
      <c r="L693" s="129"/>
      <c r="M693" s="129"/>
      <c r="N693" s="4"/>
      <c r="O693" s="4"/>
      <c r="P693" s="4"/>
      <c r="Q693" s="4"/>
      <c r="R693" s="4"/>
      <c r="S693" s="4"/>
      <c r="T693" s="4"/>
      <c r="U693" s="4"/>
      <c r="V693" s="4"/>
      <c r="W693" s="4"/>
      <c r="X693" s="4"/>
      <c r="Y693" s="4"/>
      <c r="Z693" s="4"/>
      <c r="AA693" s="4"/>
      <c r="AB693" s="4"/>
      <c r="AC693" s="4"/>
      <c r="AD693" s="4"/>
      <c r="AE693" s="4"/>
      <c r="AF693" s="4"/>
    </row>
    <row r="694" ht="15.75" customHeight="1">
      <c r="A694" s="4"/>
      <c r="B694" s="4"/>
      <c r="C694" s="4"/>
      <c r="D694" s="4"/>
      <c r="E694" s="4"/>
      <c r="F694" s="4"/>
      <c r="G694" s="4"/>
      <c r="H694" s="4"/>
      <c r="I694" s="129"/>
      <c r="J694" s="129"/>
      <c r="K694" s="129"/>
      <c r="L694" s="129"/>
      <c r="M694" s="129"/>
      <c r="N694" s="4"/>
      <c r="O694" s="4"/>
      <c r="P694" s="4"/>
      <c r="Q694" s="4"/>
      <c r="R694" s="4"/>
      <c r="S694" s="4"/>
      <c r="T694" s="4"/>
      <c r="U694" s="4"/>
      <c r="V694" s="4"/>
      <c r="W694" s="4"/>
      <c r="X694" s="4"/>
      <c r="Y694" s="4"/>
      <c r="Z694" s="4"/>
      <c r="AA694" s="4"/>
      <c r="AB694" s="4"/>
      <c r="AC694" s="4"/>
      <c r="AD694" s="4"/>
      <c r="AE694" s="4"/>
      <c r="AF694" s="4"/>
    </row>
    <row r="695" ht="15.75" customHeight="1">
      <c r="A695" s="4"/>
      <c r="B695" s="4"/>
      <c r="C695" s="4"/>
      <c r="D695" s="4"/>
      <c r="E695" s="4"/>
      <c r="F695" s="4"/>
      <c r="G695" s="4"/>
      <c r="H695" s="4"/>
      <c r="I695" s="129"/>
      <c r="J695" s="129"/>
      <c r="K695" s="129"/>
      <c r="L695" s="129"/>
      <c r="M695" s="129"/>
      <c r="N695" s="4"/>
      <c r="O695" s="4"/>
      <c r="P695" s="4"/>
      <c r="Q695" s="4"/>
      <c r="R695" s="4"/>
      <c r="S695" s="4"/>
      <c r="T695" s="4"/>
      <c r="U695" s="4"/>
      <c r="V695" s="4"/>
      <c r="W695" s="4"/>
      <c r="X695" s="4"/>
      <c r="Y695" s="4"/>
      <c r="Z695" s="4"/>
      <c r="AA695" s="4"/>
      <c r="AB695" s="4"/>
      <c r="AC695" s="4"/>
      <c r="AD695" s="4"/>
      <c r="AE695" s="4"/>
      <c r="AF695" s="4"/>
    </row>
    <row r="696" ht="15.75" customHeight="1">
      <c r="A696" s="4"/>
      <c r="B696" s="4"/>
      <c r="C696" s="4"/>
      <c r="D696" s="4"/>
      <c r="E696" s="4"/>
      <c r="F696" s="4"/>
      <c r="G696" s="4"/>
      <c r="H696" s="4"/>
      <c r="I696" s="129"/>
      <c r="J696" s="129"/>
      <c r="K696" s="129"/>
      <c r="L696" s="129"/>
      <c r="M696" s="129"/>
      <c r="N696" s="4"/>
      <c r="O696" s="4"/>
      <c r="P696" s="4"/>
      <c r="Q696" s="4"/>
      <c r="R696" s="4"/>
      <c r="S696" s="4"/>
      <c r="T696" s="4"/>
      <c r="U696" s="4"/>
      <c r="V696" s="4"/>
      <c r="W696" s="4"/>
      <c r="X696" s="4"/>
      <c r="Y696" s="4"/>
      <c r="Z696" s="4"/>
      <c r="AA696" s="4"/>
      <c r="AB696" s="4"/>
      <c r="AC696" s="4"/>
      <c r="AD696" s="4"/>
      <c r="AE696" s="4"/>
      <c r="AF696" s="4"/>
    </row>
    <row r="697" ht="15.75" customHeight="1">
      <c r="A697" s="4"/>
      <c r="B697" s="4"/>
      <c r="C697" s="4"/>
      <c r="D697" s="4"/>
      <c r="E697" s="4"/>
      <c r="F697" s="4"/>
      <c r="G697" s="4"/>
      <c r="H697" s="4"/>
      <c r="I697" s="129"/>
      <c r="J697" s="129"/>
      <c r="K697" s="129"/>
      <c r="L697" s="129"/>
      <c r="M697" s="129"/>
      <c r="N697" s="4"/>
      <c r="O697" s="4"/>
      <c r="P697" s="4"/>
      <c r="Q697" s="4"/>
      <c r="R697" s="4"/>
      <c r="S697" s="4"/>
      <c r="T697" s="4"/>
      <c r="U697" s="4"/>
      <c r="V697" s="4"/>
      <c r="W697" s="4"/>
      <c r="X697" s="4"/>
      <c r="Y697" s="4"/>
      <c r="Z697" s="4"/>
      <c r="AA697" s="4"/>
      <c r="AB697" s="4"/>
      <c r="AC697" s="4"/>
      <c r="AD697" s="4"/>
      <c r="AE697" s="4"/>
      <c r="AF697" s="4"/>
    </row>
    <row r="698" ht="15.75" customHeight="1">
      <c r="A698" s="4"/>
      <c r="B698" s="4"/>
      <c r="C698" s="4"/>
      <c r="D698" s="4"/>
      <c r="E698" s="4"/>
      <c r="F698" s="4"/>
      <c r="G698" s="4"/>
      <c r="H698" s="4"/>
      <c r="I698" s="129"/>
      <c r="J698" s="129"/>
      <c r="K698" s="129"/>
      <c r="L698" s="129"/>
      <c r="M698" s="129"/>
      <c r="N698" s="4"/>
      <c r="O698" s="4"/>
      <c r="P698" s="4"/>
      <c r="Q698" s="4"/>
      <c r="R698" s="4"/>
      <c r="S698" s="4"/>
      <c r="T698" s="4"/>
      <c r="U698" s="4"/>
      <c r="V698" s="4"/>
      <c r="W698" s="4"/>
      <c r="X698" s="4"/>
      <c r="Y698" s="4"/>
      <c r="Z698" s="4"/>
      <c r="AA698" s="4"/>
      <c r="AB698" s="4"/>
      <c r="AC698" s="4"/>
      <c r="AD698" s="4"/>
      <c r="AE698" s="4"/>
      <c r="AF698" s="4"/>
    </row>
    <row r="699" ht="15.75" customHeight="1">
      <c r="A699" s="4"/>
      <c r="B699" s="4"/>
      <c r="C699" s="4"/>
      <c r="D699" s="4"/>
      <c r="E699" s="4"/>
      <c r="F699" s="4"/>
      <c r="G699" s="4"/>
      <c r="H699" s="4"/>
      <c r="I699" s="129"/>
      <c r="J699" s="129"/>
      <c r="K699" s="129"/>
      <c r="L699" s="129"/>
      <c r="M699" s="129"/>
      <c r="N699" s="4"/>
      <c r="O699" s="4"/>
      <c r="P699" s="4"/>
      <c r="Q699" s="4"/>
      <c r="R699" s="4"/>
      <c r="S699" s="4"/>
      <c r="T699" s="4"/>
      <c r="U699" s="4"/>
      <c r="V699" s="4"/>
      <c r="W699" s="4"/>
      <c r="X699" s="4"/>
      <c r="Y699" s="4"/>
      <c r="Z699" s="4"/>
      <c r="AA699" s="4"/>
      <c r="AB699" s="4"/>
      <c r="AC699" s="4"/>
      <c r="AD699" s="4"/>
      <c r="AE699" s="4"/>
      <c r="AF699" s="4"/>
    </row>
    <row r="700" ht="15.75" customHeight="1">
      <c r="A700" s="4"/>
      <c r="B700" s="4"/>
      <c r="C700" s="4"/>
      <c r="D700" s="4"/>
      <c r="E700" s="4"/>
      <c r="F700" s="4"/>
      <c r="G700" s="4"/>
      <c r="H700" s="4"/>
      <c r="I700" s="129"/>
      <c r="J700" s="129"/>
      <c r="K700" s="129"/>
      <c r="L700" s="129"/>
      <c r="M700" s="129"/>
      <c r="N700" s="4"/>
      <c r="O700" s="4"/>
      <c r="P700" s="4"/>
      <c r="Q700" s="4"/>
      <c r="R700" s="4"/>
      <c r="S700" s="4"/>
      <c r="T700" s="4"/>
      <c r="U700" s="4"/>
      <c r="V700" s="4"/>
      <c r="W700" s="4"/>
      <c r="X700" s="4"/>
      <c r="Y700" s="4"/>
      <c r="Z700" s="4"/>
      <c r="AA700" s="4"/>
      <c r="AB700" s="4"/>
      <c r="AC700" s="4"/>
      <c r="AD700" s="4"/>
      <c r="AE700" s="4"/>
      <c r="AF700" s="4"/>
    </row>
    <row r="701" ht="15.75" customHeight="1">
      <c r="A701" s="4"/>
      <c r="B701" s="4"/>
      <c r="C701" s="4"/>
      <c r="D701" s="4"/>
      <c r="E701" s="4"/>
      <c r="F701" s="4"/>
      <c r="G701" s="4"/>
      <c r="H701" s="4"/>
      <c r="I701" s="129"/>
      <c r="J701" s="129"/>
      <c r="K701" s="129"/>
      <c r="L701" s="129"/>
      <c r="M701" s="129"/>
      <c r="N701" s="4"/>
      <c r="O701" s="4"/>
      <c r="P701" s="4"/>
      <c r="Q701" s="4"/>
      <c r="R701" s="4"/>
      <c r="S701" s="4"/>
      <c r="T701" s="4"/>
      <c r="U701" s="4"/>
      <c r="V701" s="4"/>
      <c r="W701" s="4"/>
      <c r="X701" s="4"/>
      <c r="Y701" s="4"/>
      <c r="Z701" s="4"/>
      <c r="AA701" s="4"/>
      <c r="AB701" s="4"/>
      <c r="AC701" s="4"/>
      <c r="AD701" s="4"/>
      <c r="AE701" s="4"/>
      <c r="AF701" s="4"/>
    </row>
    <row r="702" ht="15.75" customHeight="1">
      <c r="A702" s="4"/>
      <c r="B702" s="4"/>
      <c r="C702" s="4"/>
      <c r="D702" s="4"/>
      <c r="E702" s="4"/>
      <c r="F702" s="4"/>
      <c r="G702" s="4"/>
      <c r="H702" s="4"/>
      <c r="I702" s="129"/>
      <c r="J702" s="129"/>
      <c r="K702" s="129"/>
      <c r="L702" s="129"/>
      <c r="M702" s="129"/>
      <c r="N702" s="4"/>
      <c r="O702" s="4"/>
      <c r="P702" s="4"/>
      <c r="Q702" s="4"/>
      <c r="R702" s="4"/>
      <c r="S702" s="4"/>
      <c r="T702" s="4"/>
      <c r="U702" s="4"/>
      <c r="V702" s="4"/>
      <c r="W702" s="4"/>
      <c r="X702" s="4"/>
      <c r="Y702" s="4"/>
      <c r="Z702" s="4"/>
      <c r="AA702" s="4"/>
      <c r="AB702" s="4"/>
      <c r="AC702" s="4"/>
      <c r="AD702" s="4"/>
      <c r="AE702" s="4"/>
      <c r="AF702" s="4"/>
    </row>
    <row r="703" ht="15.75" customHeight="1">
      <c r="A703" s="4"/>
      <c r="B703" s="4"/>
      <c r="C703" s="4"/>
      <c r="D703" s="4"/>
      <c r="E703" s="4"/>
      <c r="F703" s="4"/>
      <c r="G703" s="4"/>
      <c r="H703" s="4"/>
      <c r="I703" s="129"/>
      <c r="J703" s="129"/>
      <c r="K703" s="129"/>
      <c r="L703" s="129"/>
      <c r="M703" s="129"/>
      <c r="N703" s="4"/>
      <c r="O703" s="4"/>
      <c r="P703" s="4"/>
      <c r="Q703" s="4"/>
      <c r="R703" s="4"/>
      <c r="S703" s="4"/>
      <c r="T703" s="4"/>
      <c r="U703" s="4"/>
      <c r="V703" s="4"/>
      <c r="W703" s="4"/>
      <c r="X703" s="4"/>
      <c r="Y703" s="4"/>
      <c r="Z703" s="4"/>
      <c r="AA703" s="4"/>
      <c r="AB703" s="4"/>
      <c r="AC703" s="4"/>
      <c r="AD703" s="4"/>
      <c r="AE703" s="4"/>
      <c r="AF703" s="4"/>
    </row>
    <row r="704" ht="15.75" customHeight="1">
      <c r="A704" s="4"/>
      <c r="B704" s="4"/>
      <c r="C704" s="4"/>
      <c r="D704" s="4"/>
      <c r="E704" s="4"/>
      <c r="F704" s="4"/>
      <c r="G704" s="4"/>
      <c r="H704" s="4"/>
      <c r="I704" s="129"/>
      <c r="J704" s="129"/>
      <c r="K704" s="129"/>
      <c r="L704" s="129"/>
      <c r="M704" s="129"/>
      <c r="N704" s="4"/>
      <c r="O704" s="4"/>
      <c r="P704" s="4"/>
      <c r="Q704" s="4"/>
      <c r="R704" s="4"/>
      <c r="S704" s="4"/>
      <c r="T704" s="4"/>
      <c r="U704" s="4"/>
      <c r="V704" s="4"/>
      <c r="W704" s="4"/>
      <c r="X704" s="4"/>
      <c r="Y704" s="4"/>
      <c r="Z704" s="4"/>
      <c r="AA704" s="4"/>
      <c r="AB704" s="4"/>
      <c r="AC704" s="4"/>
      <c r="AD704" s="4"/>
      <c r="AE704" s="4"/>
      <c r="AF704" s="4"/>
    </row>
    <row r="705" ht="15.75" customHeight="1">
      <c r="A705" s="4"/>
      <c r="B705" s="4"/>
      <c r="C705" s="4"/>
      <c r="D705" s="4"/>
      <c r="E705" s="4"/>
      <c r="F705" s="4"/>
      <c r="G705" s="4"/>
      <c r="H705" s="4"/>
      <c r="I705" s="129"/>
      <c r="J705" s="129"/>
      <c r="K705" s="129"/>
      <c r="L705" s="129"/>
      <c r="M705" s="129"/>
      <c r="N705" s="4"/>
      <c r="O705" s="4"/>
      <c r="P705" s="4"/>
      <c r="Q705" s="4"/>
      <c r="R705" s="4"/>
      <c r="S705" s="4"/>
      <c r="T705" s="4"/>
      <c r="U705" s="4"/>
      <c r="V705" s="4"/>
      <c r="W705" s="4"/>
      <c r="X705" s="4"/>
      <c r="Y705" s="4"/>
      <c r="Z705" s="4"/>
      <c r="AA705" s="4"/>
      <c r="AB705" s="4"/>
      <c r="AC705" s="4"/>
      <c r="AD705" s="4"/>
      <c r="AE705" s="4"/>
      <c r="AF705" s="4"/>
    </row>
    <row r="706" ht="15.75" customHeight="1">
      <c r="A706" s="4"/>
      <c r="B706" s="4"/>
      <c r="C706" s="4"/>
      <c r="D706" s="4"/>
      <c r="E706" s="4"/>
      <c r="F706" s="4"/>
      <c r="G706" s="4"/>
      <c r="H706" s="4"/>
      <c r="I706" s="129"/>
      <c r="J706" s="129"/>
      <c r="K706" s="129"/>
      <c r="L706" s="129"/>
      <c r="M706" s="129"/>
      <c r="N706" s="4"/>
      <c r="O706" s="4"/>
      <c r="P706" s="4"/>
      <c r="Q706" s="4"/>
      <c r="R706" s="4"/>
      <c r="S706" s="4"/>
      <c r="T706" s="4"/>
      <c r="U706" s="4"/>
      <c r="V706" s="4"/>
      <c r="W706" s="4"/>
      <c r="X706" s="4"/>
      <c r="Y706" s="4"/>
      <c r="Z706" s="4"/>
      <c r="AA706" s="4"/>
      <c r="AB706" s="4"/>
      <c r="AC706" s="4"/>
      <c r="AD706" s="4"/>
      <c r="AE706" s="4"/>
      <c r="AF706" s="4"/>
    </row>
    <row r="707" ht="15.75" customHeight="1">
      <c r="A707" s="4"/>
      <c r="B707" s="4"/>
      <c r="C707" s="4"/>
      <c r="D707" s="4"/>
      <c r="E707" s="4"/>
      <c r="F707" s="4"/>
      <c r="G707" s="4"/>
      <c r="H707" s="4"/>
      <c r="I707" s="129"/>
      <c r="J707" s="129"/>
      <c r="K707" s="129"/>
      <c r="L707" s="129"/>
      <c r="M707" s="129"/>
      <c r="N707" s="4"/>
      <c r="O707" s="4"/>
      <c r="P707" s="4"/>
      <c r="Q707" s="4"/>
      <c r="R707" s="4"/>
      <c r="S707" s="4"/>
      <c r="T707" s="4"/>
      <c r="U707" s="4"/>
      <c r="V707" s="4"/>
      <c r="W707" s="4"/>
      <c r="X707" s="4"/>
      <c r="Y707" s="4"/>
      <c r="Z707" s="4"/>
      <c r="AA707" s="4"/>
      <c r="AB707" s="4"/>
      <c r="AC707" s="4"/>
      <c r="AD707" s="4"/>
      <c r="AE707" s="4"/>
      <c r="AF707" s="4"/>
    </row>
    <row r="708" ht="15.75" customHeight="1">
      <c r="A708" s="4"/>
      <c r="B708" s="4"/>
      <c r="C708" s="4"/>
      <c r="D708" s="4"/>
      <c r="E708" s="4"/>
      <c r="F708" s="4"/>
      <c r="G708" s="4"/>
      <c r="H708" s="4"/>
      <c r="I708" s="129"/>
      <c r="J708" s="129"/>
      <c r="K708" s="129"/>
      <c r="L708" s="129"/>
      <c r="M708" s="129"/>
      <c r="N708" s="4"/>
      <c r="O708" s="4"/>
      <c r="P708" s="4"/>
      <c r="Q708" s="4"/>
      <c r="R708" s="4"/>
      <c r="S708" s="4"/>
      <c r="T708" s="4"/>
      <c r="U708" s="4"/>
      <c r="V708" s="4"/>
      <c r="W708" s="4"/>
      <c r="X708" s="4"/>
      <c r="Y708" s="4"/>
      <c r="Z708" s="4"/>
      <c r="AA708" s="4"/>
      <c r="AB708" s="4"/>
      <c r="AC708" s="4"/>
      <c r="AD708" s="4"/>
      <c r="AE708" s="4"/>
      <c r="AF708" s="4"/>
    </row>
    <row r="709" ht="15.75" customHeight="1">
      <c r="A709" s="4"/>
      <c r="B709" s="4"/>
      <c r="C709" s="4"/>
      <c r="D709" s="4"/>
      <c r="E709" s="4"/>
      <c r="F709" s="4"/>
      <c r="G709" s="4"/>
      <c r="H709" s="4"/>
      <c r="I709" s="129"/>
      <c r="J709" s="129"/>
      <c r="K709" s="129"/>
      <c r="L709" s="129"/>
      <c r="M709" s="129"/>
      <c r="N709" s="4"/>
      <c r="O709" s="4"/>
      <c r="P709" s="4"/>
      <c r="Q709" s="4"/>
      <c r="R709" s="4"/>
      <c r="S709" s="4"/>
      <c r="T709" s="4"/>
      <c r="U709" s="4"/>
      <c r="V709" s="4"/>
      <c r="W709" s="4"/>
      <c r="X709" s="4"/>
      <c r="Y709" s="4"/>
      <c r="Z709" s="4"/>
      <c r="AA709" s="4"/>
      <c r="AB709" s="4"/>
      <c r="AC709" s="4"/>
      <c r="AD709" s="4"/>
      <c r="AE709" s="4"/>
      <c r="AF709" s="4"/>
    </row>
    <row r="710" ht="15.75" customHeight="1">
      <c r="A710" s="4"/>
      <c r="B710" s="4"/>
      <c r="C710" s="4"/>
      <c r="D710" s="4"/>
      <c r="E710" s="4"/>
      <c r="F710" s="4"/>
      <c r="G710" s="4"/>
      <c r="H710" s="4"/>
      <c r="I710" s="129"/>
      <c r="J710" s="129"/>
      <c r="K710" s="129"/>
      <c r="L710" s="129"/>
      <c r="M710" s="129"/>
      <c r="N710" s="4"/>
      <c r="O710" s="4"/>
      <c r="P710" s="4"/>
      <c r="Q710" s="4"/>
      <c r="R710" s="4"/>
      <c r="S710" s="4"/>
      <c r="T710" s="4"/>
      <c r="U710" s="4"/>
      <c r="V710" s="4"/>
      <c r="W710" s="4"/>
      <c r="X710" s="4"/>
      <c r="Y710" s="4"/>
      <c r="Z710" s="4"/>
      <c r="AA710" s="4"/>
      <c r="AB710" s="4"/>
      <c r="AC710" s="4"/>
      <c r="AD710" s="4"/>
      <c r="AE710" s="4"/>
      <c r="AF710" s="4"/>
    </row>
    <row r="711" ht="15.75" customHeight="1">
      <c r="A711" s="4"/>
      <c r="B711" s="4"/>
      <c r="C711" s="4"/>
      <c r="D711" s="4"/>
      <c r="E711" s="4"/>
      <c r="F711" s="4"/>
      <c r="G711" s="4"/>
      <c r="H711" s="4"/>
      <c r="I711" s="129"/>
      <c r="J711" s="129"/>
      <c r="K711" s="129"/>
      <c r="L711" s="129"/>
      <c r="M711" s="129"/>
      <c r="N711" s="4"/>
      <c r="O711" s="4"/>
      <c r="P711" s="4"/>
      <c r="Q711" s="4"/>
      <c r="R711" s="4"/>
      <c r="S711" s="4"/>
      <c r="T711" s="4"/>
      <c r="U711" s="4"/>
      <c r="V711" s="4"/>
      <c r="W711" s="4"/>
      <c r="X711" s="4"/>
      <c r="Y711" s="4"/>
      <c r="Z711" s="4"/>
      <c r="AA711" s="4"/>
      <c r="AB711" s="4"/>
      <c r="AC711" s="4"/>
      <c r="AD711" s="4"/>
      <c r="AE711" s="4"/>
      <c r="AF711" s="4"/>
    </row>
    <row r="712" ht="15.75" customHeight="1">
      <c r="A712" s="4"/>
      <c r="B712" s="4"/>
      <c r="C712" s="4"/>
      <c r="D712" s="4"/>
      <c r="E712" s="4"/>
      <c r="F712" s="4"/>
      <c r="G712" s="4"/>
      <c r="H712" s="4"/>
      <c r="I712" s="129"/>
      <c r="J712" s="129"/>
      <c r="K712" s="129"/>
      <c r="L712" s="129"/>
      <c r="M712" s="129"/>
      <c r="N712" s="4"/>
      <c r="O712" s="4"/>
      <c r="P712" s="4"/>
      <c r="Q712" s="4"/>
      <c r="R712" s="4"/>
      <c r="S712" s="4"/>
      <c r="T712" s="4"/>
      <c r="U712" s="4"/>
      <c r="V712" s="4"/>
      <c r="W712" s="4"/>
      <c r="X712" s="4"/>
      <c r="Y712" s="4"/>
      <c r="Z712" s="4"/>
      <c r="AA712" s="4"/>
      <c r="AB712" s="4"/>
      <c r="AC712" s="4"/>
      <c r="AD712" s="4"/>
      <c r="AE712" s="4"/>
      <c r="AF712" s="4"/>
    </row>
    <row r="713" ht="15.75" customHeight="1">
      <c r="A713" s="4"/>
      <c r="B713" s="4"/>
      <c r="C713" s="4"/>
      <c r="D713" s="4"/>
      <c r="E713" s="4"/>
      <c r="F713" s="4"/>
      <c r="G713" s="4"/>
      <c r="H713" s="4"/>
      <c r="I713" s="129"/>
      <c r="J713" s="129"/>
      <c r="K713" s="129"/>
      <c r="L713" s="129"/>
      <c r="M713" s="129"/>
      <c r="N713" s="4"/>
      <c r="O713" s="4"/>
      <c r="P713" s="4"/>
      <c r="Q713" s="4"/>
      <c r="R713" s="4"/>
      <c r="S713" s="4"/>
      <c r="T713" s="4"/>
      <c r="U713" s="4"/>
      <c r="V713" s="4"/>
      <c r="W713" s="4"/>
      <c r="X713" s="4"/>
      <c r="Y713" s="4"/>
      <c r="Z713" s="4"/>
      <c r="AA713" s="4"/>
      <c r="AB713" s="4"/>
      <c r="AC713" s="4"/>
      <c r="AD713" s="4"/>
      <c r="AE713" s="4"/>
      <c r="AF713" s="4"/>
    </row>
    <row r="714" ht="15.75" customHeight="1">
      <c r="A714" s="4"/>
      <c r="B714" s="4"/>
      <c r="C714" s="4"/>
      <c r="D714" s="4"/>
      <c r="E714" s="4"/>
      <c r="F714" s="4"/>
      <c r="G714" s="4"/>
      <c r="H714" s="4"/>
      <c r="I714" s="129"/>
      <c r="J714" s="129"/>
      <c r="K714" s="129"/>
      <c r="L714" s="129"/>
      <c r="M714" s="129"/>
      <c r="N714" s="4"/>
      <c r="O714" s="4"/>
      <c r="P714" s="4"/>
      <c r="Q714" s="4"/>
      <c r="R714" s="4"/>
      <c r="S714" s="4"/>
      <c r="T714" s="4"/>
      <c r="U714" s="4"/>
      <c r="V714" s="4"/>
      <c r="W714" s="4"/>
      <c r="X714" s="4"/>
      <c r="Y714" s="4"/>
      <c r="Z714" s="4"/>
      <c r="AA714" s="4"/>
      <c r="AB714" s="4"/>
      <c r="AC714" s="4"/>
      <c r="AD714" s="4"/>
      <c r="AE714" s="4"/>
      <c r="AF714" s="4"/>
    </row>
    <row r="715" ht="15.75" customHeight="1">
      <c r="A715" s="4"/>
      <c r="B715" s="4"/>
      <c r="C715" s="4"/>
      <c r="D715" s="4"/>
      <c r="E715" s="4"/>
      <c r="F715" s="4"/>
      <c r="G715" s="4"/>
      <c r="H715" s="4"/>
      <c r="I715" s="129"/>
      <c r="J715" s="129"/>
      <c r="K715" s="129"/>
      <c r="L715" s="129"/>
      <c r="M715" s="129"/>
      <c r="N715" s="4"/>
      <c r="O715" s="4"/>
      <c r="P715" s="4"/>
      <c r="Q715" s="4"/>
      <c r="R715" s="4"/>
      <c r="S715" s="4"/>
      <c r="T715" s="4"/>
      <c r="U715" s="4"/>
      <c r="V715" s="4"/>
      <c r="W715" s="4"/>
      <c r="X715" s="4"/>
      <c r="Y715" s="4"/>
      <c r="Z715" s="4"/>
      <c r="AA715" s="4"/>
      <c r="AB715" s="4"/>
      <c r="AC715" s="4"/>
      <c r="AD715" s="4"/>
      <c r="AE715" s="4"/>
      <c r="AF715" s="4"/>
    </row>
    <row r="716" ht="15.75" customHeight="1">
      <c r="A716" s="4"/>
      <c r="B716" s="4"/>
      <c r="C716" s="4"/>
      <c r="D716" s="4"/>
      <c r="E716" s="4"/>
      <c r="F716" s="4"/>
      <c r="G716" s="4"/>
      <c r="H716" s="4"/>
      <c r="I716" s="129"/>
      <c r="J716" s="129"/>
      <c r="K716" s="129"/>
      <c r="L716" s="129"/>
      <c r="M716" s="129"/>
      <c r="N716" s="4"/>
      <c r="O716" s="4"/>
      <c r="P716" s="4"/>
      <c r="Q716" s="4"/>
      <c r="R716" s="4"/>
      <c r="S716" s="4"/>
      <c r="T716" s="4"/>
      <c r="U716" s="4"/>
      <c r="V716" s="4"/>
      <c r="W716" s="4"/>
      <c r="X716" s="4"/>
      <c r="Y716" s="4"/>
      <c r="Z716" s="4"/>
      <c r="AA716" s="4"/>
      <c r="AB716" s="4"/>
      <c r="AC716" s="4"/>
      <c r="AD716" s="4"/>
      <c r="AE716" s="4"/>
      <c r="AF716" s="4"/>
    </row>
    <row r="717" ht="15.75" customHeight="1">
      <c r="A717" s="4"/>
      <c r="B717" s="4"/>
      <c r="C717" s="4"/>
      <c r="D717" s="4"/>
      <c r="E717" s="4"/>
      <c r="F717" s="4"/>
      <c r="G717" s="4"/>
      <c r="H717" s="4"/>
      <c r="I717" s="129"/>
      <c r="J717" s="129"/>
      <c r="K717" s="129"/>
      <c r="L717" s="129"/>
      <c r="M717" s="129"/>
      <c r="N717" s="4"/>
      <c r="O717" s="4"/>
      <c r="P717" s="4"/>
      <c r="Q717" s="4"/>
      <c r="R717" s="4"/>
      <c r="S717" s="4"/>
      <c r="T717" s="4"/>
      <c r="U717" s="4"/>
      <c r="V717" s="4"/>
      <c r="W717" s="4"/>
      <c r="X717" s="4"/>
      <c r="Y717" s="4"/>
      <c r="Z717" s="4"/>
      <c r="AA717" s="4"/>
      <c r="AB717" s="4"/>
      <c r="AC717" s="4"/>
      <c r="AD717" s="4"/>
      <c r="AE717" s="4"/>
      <c r="AF717" s="4"/>
    </row>
    <row r="718" ht="15.75" customHeight="1">
      <c r="A718" s="4"/>
      <c r="B718" s="4"/>
      <c r="C718" s="4"/>
      <c r="D718" s="4"/>
      <c r="E718" s="4"/>
      <c r="F718" s="4"/>
      <c r="G718" s="4"/>
      <c r="H718" s="4"/>
      <c r="I718" s="129"/>
      <c r="J718" s="129"/>
      <c r="K718" s="129"/>
      <c r="L718" s="129"/>
      <c r="M718" s="129"/>
      <c r="N718" s="4"/>
      <c r="O718" s="4"/>
      <c r="P718" s="4"/>
      <c r="Q718" s="4"/>
      <c r="R718" s="4"/>
      <c r="S718" s="4"/>
      <c r="T718" s="4"/>
      <c r="U718" s="4"/>
      <c r="V718" s="4"/>
      <c r="W718" s="4"/>
      <c r="X718" s="4"/>
      <c r="Y718" s="4"/>
      <c r="Z718" s="4"/>
      <c r="AA718" s="4"/>
      <c r="AB718" s="4"/>
      <c r="AC718" s="4"/>
      <c r="AD718" s="4"/>
      <c r="AE718" s="4"/>
      <c r="AF718" s="4"/>
    </row>
    <row r="719" ht="15.75" customHeight="1">
      <c r="A719" s="4"/>
      <c r="B719" s="4"/>
      <c r="C719" s="4"/>
      <c r="D719" s="4"/>
      <c r="E719" s="4"/>
      <c r="F719" s="4"/>
      <c r="G719" s="4"/>
      <c r="H719" s="4"/>
      <c r="I719" s="129"/>
      <c r="J719" s="129"/>
      <c r="K719" s="129"/>
      <c r="L719" s="129"/>
      <c r="M719" s="129"/>
      <c r="N719" s="4"/>
      <c r="O719" s="4"/>
      <c r="P719" s="4"/>
      <c r="Q719" s="4"/>
      <c r="R719" s="4"/>
      <c r="S719" s="4"/>
      <c r="T719" s="4"/>
      <c r="U719" s="4"/>
      <c r="V719" s="4"/>
      <c r="W719" s="4"/>
      <c r="X719" s="4"/>
      <c r="Y719" s="4"/>
      <c r="Z719" s="4"/>
      <c r="AA719" s="4"/>
      <c r="AB719" s="4"/>
      <c r="AC719" s="4"/>
      <c r="AD719" s="4"/>
      <c r="AE719" s="4"/>
      <c r="AF719" s="4"/>
    </row>
    <row r="720" ht="15.75" customHeight="1">
      <c r="A720" s="4"/>
      <c r="B720" s="4"/>
      <c r="C720" s="4"/>
      <c r="D720" s="4"/>
      <c r="E720" s="4"/>
      <c r="F720" s="4"/>
      <c r="G720" s="4"/>
      <c r="H720" s="4"/>
      <c r="I720" s="129"/>
      <c r="J720" s="129"/>
      <c r="K720" s="129"/>
      <c r="L720" s="129"/>
      <c r="M720" s="129"/>
      <c r="N720" s="4"/>
      <c r="O720" s="4"/>
      <c r="P720" s="4"/>
      <c r="Q720" s="4"/>
      <c r="R720" s="4"/>
      <c r="S720" s="4"/>
      <c r="T720" s="4"/>
      <c r="U720" s="4"/>
      <c r="V720" s="4"/>
      <c r="W720" s="4"/>
      <c r="X720" s="4"/>
      <c r="Y720" s="4"/>
      <c r="Z720" s="4"/>
      <c r="AA720" s="4"/>
      <c r="AB720" s="4"/>
      <c r="AC720" s="4"/>
      <c r="AD720" s="4"/>
      <c r="AE720" s="4"/>
      <c r="AF720" s="4"/>
    </row>
    <row r="721" ht="15.75" customHeight="1">
      <c r="A721" s="4"/>
      <c r="B721" s="4"/>
      <c r="C721" s="4"/>
      <c r="D721" s="4"/>
      <c r="E721" s="4"/>
      <c r="F721" s="4"/>
      <c r="G721" s="4"/>
      <c r="H721" s="4"/>
      <c r="I721" s="129"/>
      <c r="J721" s="129"/>
      <c r="K721" s="129"/>
      <c r="L721" s="129"/>
      <c r="M721" s="129"/>
      <c r="N721" s="4"/>
      <c r="O721" s="4"/>
      <c r="P721" s="4"/>
      <c r="Q721" s="4"/>
      <c r="R721" s="4"/>
      <c r="S721" s="4"/>
      <c r="T721" s="4"/>
      <c r="U721" s="4"/>
      <c r="V721" s="4"/>
      <c r="W721" s="4"/>
      <c r="X721" s="4"/>
      <c r="Y721" s="4"/>
      <c r="Z721" s="4"/>
      <c r="AA721" s="4"/>
      <c r="AB721" s="4"/>
      <c r="AC721" s="4"/>
      <c r="AD721" s="4"/>
      <c r="AE721" s="4"/>
      <c r="AF721" s="4"/>
    </row>
    <row r="722" ht="15.75" customHeight="1">
      <c r="A722" s="4"/>
      <c r="B722" s="4"/>
      <c r="C722" s="4"/>
      <c r="D722" s="4"/>
      <c r="E722" s="4"/>
      <c r="F722" s="4"/>
      <c r="G722" s="4"/>
      <c r="H722" s="4"/>
      <c r="I722" s="129"/>
      <c r="J722" s="129"/>
      <c r="K722" s="129"/>
      <c r="L722" s="129"/>
      <c r="M722" s="129"/>
      <c r="N722" s="4"/>
      <c r="O722" s="4"/>
      <c r="P722" s="4"/>
      <c r="Q722" s="4"/>
      <c r="R722" s="4"/>
      <c r="S722" s="4"/>
      <c r="T722" s="4"/>
      <c r="U722" s="4"/>
      <c r="V722" s="4"/>
      <c r="W722" s="4"/>
      <c r="X722" s="4"/>
      <c r="Y722" s="4"/>
      <c r="Z722" s="4"/>
      <c r="AA722" s="4"/>
      <c r="AB722" s="4"/>
      <c r="AC722" s="4"/>
      <c r="AD722" s="4"/>
      <c r="AE722" s="4"/>
      <c r="AF722" s="4"/>
    </row>
    <row r="723" ht="15.75" customHeight="1">
      <c r="A723" s="4"/>
      <c r="B723" s="4"/>
      <c r="C723" s="4"/>
      <c r="D723" s="4"/>
      <c r="E723" s="4"/>
      <c r="F723" s="4"/>
      <c r="G723" s="4"/>
      <c r="H723" s="4"/>
      <c r="I723" s="129"/>
      <c r="J723" s="129"/>
      <c r="K723" s="129"/>
      <c r="L723" s="129"/>
      <c r="M723" s="129"/>
      <c r="N723" s="4"/>
      <c r="O723" s="4"/>
      <c r="P723" s="4"/>
      <c r="Q723" s="4"/>
      <c r="R723" s="4"/>
      <c r="S723" s="4"/>
      <c r="T723" s="4"/>
      <c r="U723" s="4"/>
      <c r="V723" s="4"/>
      <c r="W723" s="4"/>
      <c r="X723" s="4"/>
      <c r="Y723" s="4"/>
      <c r="Z723" s="4"/>
      <c r="AA723" s="4"/>
      <c r="AB723" s="4"/>
      <c r="AC723" s="4"/>
      <c r="AD723" s="4"/>
      <c r="AE723" s="4"/>
      <c r="AF723" s="4"/>
    </row>
    <row r="724" ht="15.75" customHeight="1">
      <c r="A724" s="4"/>
      <c r="B724" s="4"/>
      <c r="C724" s="4"/>
      <c r="D724" s="4"/>
      <c r="E724" s="4"/>
      <c r="F724" s="4"/>
      <c r="G724" s="4"/>
      <c r="H724" s="4"/>
      <c r="I724" s="129"/>
      <c r="J724" s="129"/>
      <c r="K724" s="129"/>
      <c r="L724" s="129"/>
      <c r="M724" s="129"/>
      <c r="N724" s="4"/>
      <c r="O724" s="4"/>
      <c r="P724" s="4"/>
      <c r="Q724" s="4"/>
      <c r="R724" s="4"/>
      <c r="S724" s="4"/>
      <c r="T724" s="4"/>
      <c r="U724" s="4"/>
      <c r="V724" s="4"/>
      <c r="W724" s="4"/>
      <c r="X724" s="4"/>
      <c r="Y724" s="4"/>
      <c r="Z724" s="4"/>
      <c r="AA724" s="4"/>
      <c r="AB724" s="4"/>
      <c r="AC724" s="4"/>
      <c r="AD724" s="4"/>
      <c r="AE724" s="4"/>
      <c r="AF724" s="4"/>
    </row>
    <row r="725" ht="15.75" customHeight="1">
      <c r="A725" s="4"/>
      <c r="B725" s="4"/>
      <c r="C725" s="4"/>
      <c r="D725" s="4"/>
      <c r="E725" s="4"/>
      <c r="F725" s="4"/>
      <c r="G725" s="4"/>
      <c r="H725" s="4"/>
      <c r="I725" s="129"/>
      <c r="J725" s="129"/>
      <c r="K725" s="129"/>
      <c r="L725" s="129"/>
      <c r="M725" s="129"/>
      <c r="N725" s="4"/>
      <c r="O725" s="4"/>
      <c r="P725" s="4"/>
      <c r="Q725" s="4"/>
      <c r="R725" s="4"/>
      <c r="S725" s="4"/>
      <c r="T725" s="4"/>
      <c r="U725" s="4"/>
      <c r="V725" s="4"/>
      <c r="W725" s="4"/>
      <c r="X725" s="4"/>
      <c r="Y725" s="4"/>
      <c r="Z725" s="4"/>
      <c r="AA725" s="4"/>
      <c r="AB725" s="4"/>
      <c r="AC725" s="4"/>
      <c r="AD725" s="4"/>
      <c r="AE725" s="4"/>
      <c r="AF725" s="4"/>
    </row>
    <row r="726" ht="15.75" customHeight="1">
      <c r="A726" s="4"/>
      <c r="B726" s="4"/>
      <c r="C726" s="4"/>
      <c r="D726" s="4"/>
      <c r="E726" s="4"/>
      <c r="F726" s="4"/>
      <c r="G726" s="4"/>
      <c r="H726" s="4"/>
      <c r="I726" s="129"/>
      <c r="J726" s="129"/>
      <c r="K726" s="129"/>
      <c r="L726" s="129"/>
      <c r="M726" s="129"/>
      <c r="N726" s="4"/>
      <c r="O726" s="4"/>
      <c r="P726" s="4"/>
      <c r="Q726" s="4"/>
      <c r="R726" s="4"/>
      <c r="S726" s="4"/>
      <c r="T726" s="4"/>
      <c r="U726" s="4"/>
      <c r="V726" s="4"/>
      <c r="W726" s="4"/>
      <c r="X726" s="4"/>
      <c r="Y726" s="4"/>
      <c r="Z726" s="4"/>
      <c r="AA726" s="4"/>
      <c r="AB726" s="4"/>
      <c r="AC726" s="4"/>
      <c r="AD726" s="4"/>
      <c r="AE726" s="4"/>
      <c r="AF726" s="4"/>
    </row>
    <row r="727" ht="15.75" customHeight="1">
      <c r="A727" s="4"/>
      <c r="B727" s="4"/>
      <c r="C727" s="4"/>
      <c r="D727" s="4"/>
      <c r="E727" s="4"/>
      <c r="F727" s="4"/>
      <c r="G727" s="4"/>
      <c r="H727" s="4"/>
      <c r="I727" s="129"/>
      <c r="J727" s="129"/>
      <c r="K727" s="129"/>
      <c r="L727" s="129"/>
      <c r="M727" s="129"/>
      <c r="N727" s="4"/>
      <c r="O727" s="4"/>
      <c r="P727" s="4"/>
      <c r="Q727" s="4"/>
      <c r="R727" s="4"/>
      <c r="S727" s="4"/>
      <c r="T727" s="4"/>
      <c r="U727" s="4"/>
      <c r="V727" s="4"/>
      <c r="W727" s="4"/>
      <c r="X727" s="4"/>
      <c r="Y727" s="4"/>
      <c r="Z727" s="4"/>
      <c r="AA727" s="4"/>
      <c r="AB727" s="4"/>
      <c r="AC727" s="4"/>
      <c r="AD727" s="4"/>
      <c r="AE727" s="4"/>
      <c r="AF727" s="4"/>
    </row>
    <row r="728" ht="15.75" customHeight="1">
      <c r="A728" s="4"/>
      <c r="B728" s="4"/>
      <c r="C728" s="4"/>
      <c r="D728" s="4"/>
      <c r="E728" s="4"/>
      <c r="F728" s="4"/>
      <c r="G728" s="4"/>
      <c r="H728" s="4"/>
      <c r="I728" s="129"/>
      <c r="J728" s="129"/>
      <c r="K728" s="129"/>
      <c r="L728" s="129"/>
      <c r="M728" s="129"/>
      <c r="N728" s="4"/>
      <c r="O728" s="4"/>
      <c r="P728" s="4"/>
      <c r="Q728" s="4"/>
      <c r="R728" s="4"/>
      <c r="S728" s="4"/>
      <c r="T728" s="4"/>
      <c r="U728" s="4"/>
      <c r="V728" s="4"/>
      <c r="W728" s="4"/>
      <c r="X728" s="4"/>
      <c r="Y728" s="4"/>
      <c r="Z728" s="4"/>
      <c r="AA728" s="4"/>
      <c r="AB728" s="4"/>
      <c r="AC728" s="4"/>
      <c r="AD728" s="4"/>
      <c r="AE728" s="4"/>
      <c r="AF728" s="4"/>
    </row>
    <row r="729" ht="15.75" customHeight="1">
      <c r="A729" s="4"/>
      <c r="B729" s="4"/>
      <c r="C729" s="4"/>
      <c r="D729" s="4"/>
      <c r="E729" s="4"/>
      <c r="F729" s="4"/>
      <c r="G729" s="4"/>
      <c r="H729" s="4"/>
      <c r="I729" s="129"/>
      <c r="J729" s="129"/>
      <c r="K729" s="129"/>
      <c r="L729" s="129"/>
      <c r="M729" s="129"/>
      <c r="N729" s="4"/>
      <c r="O729" s="4"/>
      <c r="P729" s="4"/>
      <c r="Q729" s="4"/>
      <c r="R729" s="4"/>
      <c r="S729" s="4"/>
      <c r="T729" s="4"/>
      <c r="U729" s="4"/>
      <c r="V729" s="4"/>
      <c r="W729" s="4"/>
      <c r="X729" s="4"/>
      <c r="Y729" s="4"/>
      <c r="Z729" s="4"/>
      <c r="AA729" s="4"/>
      <c r="AB729" s="4"/>
      <c r="AC729" s="4"/>
      <c r="AD729" s="4"/>
      <c r="AE729" s="4"/>
      <c r="AF729" s="4"/>
    </row>
    <row r="730" ht="15.75" customHeight="1">
      <c r="A730" s="4"/>
      <c r="B730" s="4"/>
      <c r="C730" s="4"/>
      <c r="D730" s="4"/>
      <c r="E730" s="4"/>
      <c r="F730" s="4"/>
      <c r="G730" s="4"/>
      <c r="H730" s="4"/>
      <c r="I730" s="129"/>
      <c r="J730" s="129"/>
      <c r="K730" s="129"/>
      <c r="L730" s="129"/>
      <c r="M730" s="129"/>
      <c r="N730" s="4"/>
      <c r="O730" s="4"/>
      <c r="P730" s="4"/>
      <c r="Q730" s="4"/>
      <c r="R730" s="4"/>
      <c r="S730" s="4"/>
      <c r="T730" s="4"/>
      <c r="U730" s="4"/>
      <c r="V730" s="4"/>
      <c r="W730" s="4"/>
      <c r="X730" s="4"/>
      <c r="Y730" s="4"/>
      <c r="Z730" s="4"/>
      <c r="AA730" s="4"/>
      <c r="AB730" s="4"/>
      <c r="AC730" s="4"/>
      <c r="AD730" s="4"/>
      <c r="AE730" s="4"/>
      <c r="AF730" s="4"/>
    </row>
    <row r="731" ht="15.75" customHeight="1">
      <c r="A731" s="4"/>
      <c r="B731" s="4"/>
      <c r="C731" s="4"/>
      <c r="D731" s="4"/>
      <c r="E731" s="4"/>
      <c r="F731" s="4"/>
      <c r="G731" s="4"/>
      <c r="H731" s="4"/>
      <c r="I731" s="129"/>
      <c r="J731" s="129"/>
      <c r="K731" s="129"/>
      <c r="L731" s="129"/>
      <c r="M731" s="129"/>
      <c r="N731" s="4"/>
      <c r="O731" s="4"/>
      <c r="P731" s="4"/>
      <c r="Q731" s="4"/>
      <c r="R731" s="4"/>
      <c r="S731" s="4"/>
      <c r="T731" s="4"/>
      <c r="U731" s="4"/>
      <c r="V731" s="4"/>
      <c r="W731" s="4"/>
      <c r="X731" s="4"/>
      <c r="Y731" s="4"/>
      <c r="Z731" s="4"/>
      <c r="AA731" s="4"/>
      <c r="AB731" s="4"/>
      <c r="AC731" s="4"/>
      <c r="AD731" s="4"/>
      <c r="AE731" s="4"/>
      <c r="AF731" s="4"/>
    </row>
    <row r="732" ht="15.75" customHeight="1">
      <c r="A732" s="4"/>
      <c r="B732" s="4"/>
      <c r="C732" s="4"/>
      <c r="D732" s="4"/>
      <c r="E732" s="4"/>
      <c r="F732" s="4"/>
      <c r="G732" s="4"/>
      <c r="H732" s="4"/>
      <c r="I732" s="129"/>
      <c r="J732" s="129"/>
      <c r="K732" s="129"/>
      <c r="L732" s="129"/>
      <c r="M732" s="129"/>
      <c r="N732" s="4"/>
      <c r="O732" s="4"/>
      <c r="P732" s="4"/>
      <c r="Q732" s="4"/>
      <c r="R732" s="4"/>
      <c r="S732" s="4"/>
      <c r="T732" s="4"/>
      <c r="U732" s="4"/>
      <c r="V732" s="4"/>
      <c r="W732" s="4"/>
      <c r="X732" s="4"/>
      <c r="Y732" s="4"/>
      <c r="Z732" s="4"/>
      <c r="AA732" s="4"/>
      <c r="AB732" s="4"/>
      <c r="AC732" s="4"/>
      <c r="AD732" s="4"/>
      <c r="AE732" s="4"/>
      <c r="AF732" s="4"/>
    </row>
    <row r="733" ht="15.75" customHeight="1">
      <c r="A733" s="4"/>
      <c r="B733" s="4"/>
      <c r="C733" s="4"/>
      <c r="D733" s="4"/>
      <c r="E733" s="4"/>
      <c r="F733" s="4"/>
      <c r="G733" s="4"/>
      <c r="H733" s="4"/>
      <c r="I733" s="129"/>
      <c r="J733" s="129"/>
      <c r="K733" s="129"/>
      <c r="L733" s="129"/>
      <c r="M733" s="129"/>
      <c r="N733" s="4"/>
      <c r="O733" s="4"/>
      <c r="P733" s="4"/>
      <c r="Q733" s="4"/>
      <c r="R733" s="4"/>
      <c r="S733" s="4"/>
      <c r="T733" s="4"/>
      <c r="U733" s="4"/>
      <c r="V733" s="4"/>
      <c r="W733" s="4"/>
      <c r="X733" s="4"/>
      <c r="Y733" s="4"/>
      <c r="Z733" s="4"/>
      <c r="AA733" s="4"/>
      <c r="AB733" s="4"/>
      <c r="AC733" s="4"/>
      <c r="AD733" s="4"/>
      <c r="AE733" s="4"/>
      <c r="AF733" s="4"/>
    </row>
    <row r="734" ht="15.75" customHeight="1">
      <c r="A734" s="4"/>
      <c r="B734" s="4"/>
      <c r="C734" s="4"/>
      <c r="D734" s="4"/>
      <c r="E734" s="4"/>
      <c r="F734" s="4"/>
      <c r="G734" s="4"/>
      <c r="H734" s="4"/>
      <c r="I734" s="129"/>
      <c r="J734" s="129"/>
      <c r="K734" s="129"/>
      <c r="L734" s="129"/>
      <c r="M734" s="129"/>
      <c r="N734" s="4"/>
      <c r="O734" s="4"/>
      <c r="P734" s="4"/>
      <c r="Q734" s="4"/>
      <c r="R734" s="4"/>
      <c r="S734" s="4"/>
      <c r="T734" s="4"/>
      <c r="U734" s="4"/>
      <c r="V734" s="4"/>
      <c r="W734" s="4"/>
      <c r="X734" s="4"/>
      <c r="Y734" s="4"/>
      <c r="Z734" s="4"/>
      <c r="AA734" s="4"/>
      <c r="AB734" s="4"/>
      <c r="AC734" s="4"/>
      <c r="AD734" s="4"/>
      <c r="AE734" s="4"/>
      <c r="AF734" s="4"/>
    </row>
    <row r="735" ht="15.75" customHeight="1">
      <c r="A735" s="4"/>
      <c r="B735" s="4"/>
      <c r="C735" s="4"/>
      <c r="D735" s="4"/>
      <c r="E735" s="4"/>
      <c r="F735" s="4"/>
      <c r="G735" s="4"/>
      <c r="H735" s="4"/>
      <c r="I735" s="129"/>
      <c r="J735" s="129"/>
      <c r="K735" s="129"/>
      <c r="L735" s="129"/>
      <c r="M735" s="129"/>
      <c r="N735" s="4"/>
      <c r="O735" s="4"/>
      <c r="P735" s="4"/>
      <c r="Q735" s="4"/>
      <c r="R735" s="4"/>
      <c r="S735" s="4"/>
      <c r="T735" s="4"/>
      <c r="U735" s="4"/>
      <c r="V735" s="4"/>
      <c r="W735" s="4"/>
      <c r="X735" s="4"/>
      <c r="Y735" s="4"/>
      <c r="Z735" s="4"/>
      <c r="AA735" s="4"/>
      <c r="AB735" s="4"/>
      <c r="AC735" s="4"/>
      <c r="AD735" s="4"/>
      <c r="AE735" s="4"/>
      <c r="AF735" s="4"/>
    </row>
    <row r="736" ht="15.75" customHeight="1">
      <c r="A736" s="4"/>
      <c r="B736" s="4"/>
      <c r="C736" s="4"/>
      <c r="D736" s="4"/>
      <c r="E736" s="4"/>
      <c r="F736" s="4"/>
      <c r="G736" s="4"/>
      <c r="H736" s="4"/>
      <c r="I736" s="129"/>
      <c r="J736" s="129"/>
      <c r="K736" s="129"/>
      <c r="L736" s="129"/>
      <c r="M736" s="129"/>
      <c r="N736" s="4"/>
      <c r="O736" s="4"/>
      <c r="P736" s="4"/>
      <c r="Q736" s="4"/>
      <c r="R736" s="4"/>
      <c r="S736" s="4"/>
      <c r="T736" s="4"/>
      <c r="U736" s="4"/>
      <c r="V736" s="4"/>
      <c r="W736" s="4"/>
      <c r="X736" s="4"/>
      <c r="Y736" s="4"/>
      <c r="Z736" s="4"/>
      <c r="AA736" s="4"/>
      <c r="AB736" s="4"/>
      <c r="AC736" s="4"/>
      <c r="AD736" s="4"/>
      <c r="AE736" s="4"/>
      <c r="AF736" s="4"/>
    </row>
    <row r="737" ht="15.75" customHeight="1">
      <c r="A737" s="4"/>
      <c r="B737" s="4"/>
      <c r="C737" s="4"/>
      <c r="D737" s="4"/>
      <c r="E737" s="4"/>
      <c r="F737" s="4"/>
      <c r="G737" s="4"/>
      <c r="H737" s="4"/>
      <c r="I737" s="129"/>
      <c r="J737" s="129"/>
      <c r="K737" s="129"/>
      <c r="L737" s="129"/>
      <c r="M737" s="129"/>
      <c r="N737" s="4"/>
      <c r="O737" s="4"/>
      <c r="P737" s="4"/>
      <c r="Q737" s="4"/>
      <c r="R737" s="4"/>
      <c r="S737" s="4"/>
      <c r="T737" s="4"/>
      <c r="U737" s="4"/>
      <c r="V737" s="4"/>
      <c r="W737" s="4"/>
      <c r="X737" s="4"/>
      <c r="Y737" s="4"/>
      <c r="Z737" s="4"/>
      <c r="AA737" s="4"/>
      <c r="AB737" s="4"/>
      <c r="AC737" s="4"/>
      <c r="AD737" s="4"/>
      <c r="AE737" s="4"/>
      <c r="AF737" s="4"/>
    </row>
    <row r="738" ht="15.75" customHeight="1">
      <c r="A738" s="4"/>
      <c r="B738" s="4"/>
      <c r="C738" s="4"/>
      <c r="D738" s="4"/>
      <c r="E738" s="4"/>
      <c r="F738" s="4"/>
      <c r="G738" s="4"/>
      <c r="H738" s="4"/>
      <c r="I738" s="129"/>
      <c r="J738" s="129"/>
      <c r="K738" s="129"/>
      <c r="L738" s="129"/>
      <c r="M738" s="129"/>
      <c r="N738" s="4"/>
      <c r="O738" s="4"/>
      <c r="P738" s="4"/>
      <c r="Q738" s="4"/>
      <c r="R738" s="4"/>
      <c r="S738" s="4"/>
      <c r="T738" s="4"/>
      <c r="U738" s="4"/>
      <c r="V738" s="4"/>
      <c r="W738" s="4"/>
      <c r="X738" s="4"/>
      <c r="Y738" s="4"/>
      <c r="Z738" s="4"/>
      <c r="AA738" s="4"/>
      <c r="AB738" s="4"/>
      <c r="AC738" s="4"/>
      <c r="AD738" s="4"/>
      <c r="AE738" s="4"/>
      <c r="AF738" s="4"/>
    </row>
    <row r="739" ht="15.75" customHeight="1">
      <c r="A739" s="4"/>
      <c r="B739" s="4"/>
      <c r="C739" s="4"/>
      <c r="D739" s="4"/>
      <c r="E739" s="4"/>
      <c r="F739" s="4"/>
      <c r="G739" s="4"/>
      <c r="H739" s="4"/>
      <c r="I739" s="129"/>
      <c r="J739" s="129"/>
      <c r="K739" s="129"/>
      <c r="L739" s="129"/>
      <c r="M739" s="129"/>
      <c r="N739" s="4"/>
      <c r="O739" s="4"/>
      <c r="P739" s="4"/>
      <c r="Q739" s="4"/>
      <c r="R739" s="4"/>
      <c r="S739" s="4"/>
      <c r="T739" s="4"/>
      <c r="U739" s="4"/>
      <c r="V739" s="4"/>
      <c r="W739" s="4"/>
      <c r="X739" s="4"/>
      <c r="Y739" s="4"/>
      <c r="Z739" s="4"/>
      <c r="AA739" s="4"/>
      <c r="AB739" s="4"/>
      <c r="AC739" s="4"/>
      <c r="AD739" s="4"/>
      <c r="AE739" s="4"/>
      <c r="AF739" s="4"/>
    </row>
    <row r="740" ht="15.75" customHeight="1">
      <c r="A740" s="4"/>
      <c r="B740" s="4"/>
      <c r="C740" s="4"/>
      <c r="D740" s="4"/>
      <c r="E740" s="4"/>
      <c r="F740" s="4"/>
      <c r="G740" s="4"/>
      <c r="H740" s="4"/>
      <c r="I740" s="129"/>
      <c r="J740" s="129"/>
      <c r="K740" s="129"/>
      <c r="L740" s="129"/>
      <c r="M740" s="129"/>
      <c r="N740" s="4"/>
      <c r="O740" s="4"/>
      <c r="P740" s="4"/>
      <c r="Q740" s="4"/>
      <c r="R740" s="4"/>
      <c r="S740" s="4"/>
      <c r="T740" s="4"/>
      <c r="U740" s="4"/>
      <c r="V740" s="4"/>
      <c r="W740" s="4"/>
      <c r="X740" s="4"/>
      <c r="Y740" s="4"/>
      <c r="Z740" s="4"/>
      <c r="AA740" s="4"/>
      <c r="AB740" s="4"/>
      <c r="AC740" s="4"/>
      <c r="AD740" s="4"/>
      <c r="AE740" s="4"/>
      <c r="AF740" s="4"/>
    </row>
    <row r="741" ht="15.75" customHeight="1">
      <c r="A741" s="4"/>
      <c r="B741" s="4"/>
      <c r="C741" s="4"/>
      <c r="D741" s="4"/>
      <c r="E741" s="4"/>
      <c r="F741" s="4"/>
      <c r="G741" s="4"/>
      <c r="H741" s="4"/>
      <c r="I741" s="129"/>
      <c r="J741" s="129"/>
      <c r="K741" s="129"/>
      <c r="L741" s="129"/>
      <c r="M741" s="129"/>
      <c r="N741" s="4"/>
      <c r="O741" s="4"/>
      <c r="P741" s="4"/>
      <c r="Q741" s="4"/>
      <c r="R741" s="4"/>
      <c r="S741" s="4"/>
      <c r="T741" s="4"/>
      <c r="U741" s="4"/>
      <c r="V741" s="4"/>
      <c r="W741" s="4"/>
      <c r="X741" s="4"/>
      <c r="Y741" s="4"/>
      <c r="Z741" s="4"/>
      <c r="AA741" s="4"/>
      <c r="AB741" s="4"/>
      <c r="AC741" s="4"/>
      <c r="AD741" s="4"/>
      <c r="AE741" s="4"/>
      <c r="AF741" s="4"/>
    </row>
    <row r="742" ht="15.75" customHeight="1">
      <c r="A742" s="4"/>
      <c r="B742" s="4"/>
      <c r="C742" s="4"/>
      <c r="D742" s="4"/>
      <c r="E742" s="4"/>
      <c r="F742" s="4"/>
      <c r="G742" s="4"/>
      <c r="H742" s="4"/>
      <c r="I742" s="129"/>
      <c r="J742" s="129"/>
      <c r="K742" s="129"/>
      <c r="L742" s="129"/>
      <c r="M742" s="129"/>
      <c r="N742" s="4"/>
      <c r="O742" s="4"/>
      <c r="P742" s="4"/>
      <c r="Q742" s="4"/>
      <c r="R742" s="4"/>
      <c r="S742" s="4"/>
      <c r="T742" s="4"/>
      <c r="U742" s="4"/>
      <c r="V742" s="4"/>
      <c r="W742" s="4"/>
      <c r="X742" s="4"/>
      <c r="Y742" s="4"/>
      <c r="Z742" s="4"/>
      <c r="AA742" s="4"/>
      <c r="AB742" s="4"/>
      <c r="AC742" s="4"/>
      <c r="AD742" s="4"/>
      <c r="AE742" s="4"/>
      <c r="AF742" s="4"/>
    </row>
    <row r="743" ht="15.75" customHeight="1">
      <c r="A743" s="4"/>
      <c r="B743" s="4"/>
      <c r="C743" s="4"/>
      <c r="D743" s="4"/>
      <c r="E743" s="4"/>
      <c r="F743" s="4"/>
      <c r="G743" s="4"/>
      <c r="H743" s="4"/>
      <c r="I743" s="129"/>
      <c r="J743" s="129"/>
      <c r="K743" s="129"/>
      <c r="L743" s="129"/>
      <c r="M743" s="129"/>
      <c r="N743" s="4"/>
      <c r="O743" s="4"/>
      <c r="P743" s="4"/>
      <c r="Q743" s="4"/>
      <c r="R743" s="4"/>
      <c r="S743" s="4"/>
      <c r="T743" s="4"/>
      <c r="U743" s="4"/>
      <c r="V743" s="4"/>
      <c r="W743" s="4"/>
      <c r="X743" s="4"/>
      <c r="Y743" s="4"/>
      <c r="Z743" s="4"/>
      <c r="AA743" s="4"/>
      <c r="AB743" s="4"/>
      <c r="AC743" s="4"/>
      <c r="AD743" s="4"/>
      <c r="AE743" s="4"/>
      <c r="AF743" s="4"/>
    </row>
    <row r="744" ht="15.75" customHeight="1">
      <c r="A744" s="4"/>
      <c r="B744" s="4"/>
      <c r="C744" s="4"/>
      <c r="D744" s="4"/>
      <c r="E744" s="4"/>
      <c r="F744" s="4"/>
      <c r="G744" s="4"/>
      <c r="H744" s="4"/>
      <c r="I744" s="129"/>
      <c r="J744" s="129"/>
      <c r="K744" s="129"/>
      <c r="L744" s="129"/>
      <c r="M744" s="129"/>
      <c r="N744" s="4"/>
      <c r="O744" s="4"/>
      <c r="P744" s="4"/>
      <c r="Q744" s="4"/>
      <c r="R744" s="4"/>
      <c r="S744" s="4"/>
      <c r="T744" s="4"/>
      <c r="U744" s="4"/>
      <c r="V744" s="4"/>
      <c r="W744" s="4"/>
      <c r="X744" s="4"/>
      <c r="Y744" s="4"/>
      <c r="Z744" s="4"/>
      <c r="AA744" s="4"/>
      <c r="AB744" s="4"/>
      <c r="AC744" s="4"/>
      <c r="AD744" s="4"/>
      <c r="AE744" s="4"/>
      <c r="AF744" s="4"/>
    </row>
    <row r="745" ht="15.75" customHeight="1">
      <c r="A745" s="4"/>
      <c r="B745" s="4"/>
      <c r="C745" s="4"/>
      <c r="D745" s="4"/>
      <c r="E745" s="4"/>
      <c r="F745" s="4"/>
      <c r="G745" s="4"/>
      <c r="H745" s="4"/>
      <c r="I745" s="129"/>
      <c r="J745" s="129"/>
      <c r="K745" s="129"/>
      <c r="L745" s="129"/>
      <c r="M745" s="129"/>
      <c r="N745" s="4"/>
      <c r="O745" s="4"/>
      <c r="P745" s="4"/>
      <c r="Q745" s="4"/>
      <c r="R745" s="4"/>
      <c r="S745" s="4"/>
      <c r="T745" s="4"/>
      <c r="U745" s="4"/>
      <c r="V745" s="4"/>
      <c r="W745" s="4"/>
      <c r="X745" s="4"/>
      <c r="Y745" s="4"/>
      <c r="Z745" s="4"/>
      <c r="AA745" s="4"/>
      <c r="AB745" s="4"/>
      <c r="AC745" s="4"/>
      <c r="AD745" s="4"/>
      <c r="AE745" s="4"/>
      <c r="AF745" s="4"/>
    </row>
    <row r="746" ht="15.75" customHeight="1">
      <c r="A746" s="4"/>
      <c r="B746" s="4"/>
      <c r="C746" s="4"/>
      <c r="D746" s="4"/>
      <c r="E746" s="4"/>
      <c r="F746" s="4"/>
      <c r="G746" s="4"/>
      <c r="H746" s="4"/>
      <c r="I746" s="129"/>
      <c r="J746" s="129"/>
      <c r="K746" s="129"/>
      <c r="L746" s="129"/>
      <c r="M746" s="129"/>
      <c r="N746" s="4"/>
      <c r="O746" s="4"/>
      <c r="P746" s="4"/>
      <c r="Q746" s="4"/>
      <c r="R746" s="4"/>
      <c r="S746" s="4"/>
      <c r="T746" s="4"/>
      <c r="U746" s="4"/>
      <c r="V746" s="4"/>
      <c r="W746" s="4"/>
      <c r="X746" s="4"/>
      <c r="Y746" s="4"/>
      <c r="Z746" s="4"/>
      <c r="AA746" s="4"/>
      <c r="AB746" s="4"/>
      <c r="AC746" s="4"/>
      <c r="AD746" s="4"/>
      <c r="AE746" s="4"/>
      <c r="AF746" s="4"/>
    </row>
    <row r="747" ht="15.75" customHeight="1">
      <c r="A747" s="4"/>
      <c r="B747" s="4"/>
      <c r="C747" s="4"/>
      <c r="D747" s="4"/>
      <c r="E747" s="4"/>
      <c r="F747" s="4"/>
      <c r="G747" s="4"/>
      <c r="H747" s="4"/>
      <c r="I747" s="129"/>
      <c r="J747" s="129"/>
      <c r="K747" s="129"/>
      <c r="L747" s="129"/>
      <c r="M747" s="129"/>
      <c r="N747" s="4"/>
      <c r="O747" s="4"/>
      <c r="P747" s="4"/>
      <c r="Q747" s="4"/>
      <c r="R747" s="4"/>
      <c r="S747" s="4"/>
      <c r="T747" s="4"/>
      <c r="U747" s="4"/>
      <c r="V747" s="4"/>
      <c r="W747" s="4"/>
      <c r="X747" s="4"/>
      <c r="Y747" s="4"/>
      <c r="Z747" s="4"/>
      <c r="AA747" s="4"/>
      <c r="AB747" s="4"/>
      <c r="AC747" s="4"/>
      <c r="AD747" s="4"/>
      <c r="AE747" s="4"/>
      <c r="AF747" s="4"/>
    </row>
    <row r="748" ht="15.75" customHeight="1">
      <c r="A748" s="4"/>
      <c r="B748" s="4"/>
      <c r="C748" s="4"/>
      <c r="D748" s="4"/>
      <c r="E748" s="4"/>
      <c r="F748" s="4"/>
      <c r="G748" s="4"/>
      <c r="H748" s="4"/>
      <c r="I748" s="129"/>
      <c r="J748" s="129"/>
      <c r="K748" s="129"/>
      <c r="L748" s="129"/>
      <c r="M748" s="129"/>
      <c r="N748" s="4"/>
      <c r="O748" s="4"/>
      <c r="P748" s="4"/>
      <c r="Q748" s="4"/>
      <c r="R748" s="4"/>
      <c r="S748" s="4"/>
      <c r="T748" s="4"/>
      <c r="U748" s="4"/>
      <c r="V748" s="4"/>
      <c r="W748" s="4"/>
      <c r="X748" s="4"/>
      <c r="Y748" s="4"/>
      <c r="Z748" s="4"/>
      <c r="AA748" s="4"/>
      <c r="AB748" s="4"/>
      <c r="AC748" s="4"/>
      <c r="AD748" s="4"/>
      <c r="AE748" s="4"/>
      <c r="AF748" s="4"/>
    </row>
    <row r="749" ht="15.75" customHeight="1">
      <c r="A749" s="4"/>
      <c r="B749" s="4"/>
      <c r="C749" s="4"/>
      <c r="D749" s="4"/>
      <c r="E749" s="4"/>
      <c r="F749" s="4"/>
      <c r="G749" s="4"/>
      <c r="H749" s="4"/>
      <c r="I749" s="129"/>
      <c r="J749" s="129"/>
      <c r="K749" s="129"/>
      <c r="L749" s="129"/>
      <c r="M749" s="129"/>
      <c r="N749" s="4"/>
      <c r="O749" s="4"/>
      <c r="P749" s="4"/>
      <c r="Q749" s="4"/>
      <c r="R749" s="4"/>
      <c r="S749" s="4"/>
      <c r="T749" s="4"/>
      <c r="U749" s="4"/>
      <c r="V749" s="4"/>
      <c r="W749" s="4"/>
      <c r="X749" s="4"/>
      <c r="Y749" s="4"/>
      <c r="Z749" s="4"/>
      <c r="AA749" s="4"/>
      <c r="AB749" s="4"/>
      <c r="AC749" s="4"/>
      <c r="AD749" s="4"/>
      <c r="AE749" s="4"/>
      <c r="AF749" s="4"/>
    </row>
    <row r="750" ht="15.75" customHeight="1">
      <c r="A750" s="4"/>
      <c r="B750" s="4"/>
      <c r="C750" s="4"/>
      <c r="D750" s="4"/>
      <c r="E750" s="4"/>
      <c r="F750" s="4"/>
      <c r="G750" s="4"/>
      <c r="H750" s="4"/>
      <c r="I750" s="129"/>
      <c r="J750" s="129"/>
      <c r="K750" s="129"/>
      <c r="L750" s="129"/>
      <c r="M750" s="129"/>
      <c r="N750" s="4"/>
      <c r="O750" s="4"/>
      <c r="P750" s="4"/>
      <c r="Q750" s="4"/>
      <c r="R750" s="4"/>
      <c r="S750" s="4"/>
      <c r="T750" s="4"/>
      <c r="U750" s="4"/>
      <c r="V750" s="4"/>
      <c r="W750" s="4"/>
      <c r="X750" s="4"/>
      <c r="Y750" s="4"/>
      <c r="Z750" s="4"/>
      <c r="AA750" s="4"/>
      <c r="AB750" s="4"/>
      <c r="AC750" s="4"/>
      <c r="AD750" s="4"/>
      <c r="AE750" s="4"/>
      <c r="AF750" s="4"/>
    </row>
    <row r="751" ht="15.75" customHeight="1">
      <c r="A751" s="4"/>
      <c r="B751" s="4"/>
      <c r="C751" s="4"/>
      <c r="D751" s="4"/>
      <c r="E751" s="4"/>
      <c r="F751" s="4"/>
      <c r="G751" s="4"/>
      <c r="H751" s="4"/>
      <c r="I751" s="129"/>
      <c r="J751" s="129"/>
      <c r="K751" s="129"/>
      <c r="L751" s="129"/>
      <c r="M751" s="129"/>
      <c r="N751" s="4"/>
      <c r="O751" s="4"/>
      <c r="P751" s="4"/>
      <c r="Q751" s="4"/>
      <c r="R751" s="4"/>
      <c r="S751" s="4"/>
      <c r="T751" s="4"/>
      <c r="U751" s="4"/>
      <c r="V751" s="4"/>
      <c r="W751" s="4"/>
      <c r="X751" s="4"/>
      <c r="Y751" s="4"/>
      <c r="Z751" s="4"/>
      <c r="AA751" s="4"/>
      <c r="AB751" s="4"/>
      <c r="AC751" s="4"/>
      <c r="AD751" s="4"/>
      <c r="AE751" s="4"/>
      <c r="AF751" s="4"/>
    </row>
    <row r="752" ht="15.75" customHeight="1">
      <c r="A752" s="4"/>
      <c r="B752" s="4"/>
      <c r="C752" s="4"/>
      <c r="D752" s="4"/>
      <c r="E752" s="4"/>
      <c r="F752" s="4"/>
      <c r="G752" s="4"/>
      <c r="H752" s="4"/>
      <c r="I752" s="129"/>
      <c r="J752" s="129"/>
      <c r="K752" s="129"/>
      <c r="L752" s="129"/>
      <c r="M752" s="129"/>
      <c r="N752" s="4"/>
      <c r="O752" s="4"/>
      <c r="P752" s="4"/>
      <c r="Q752" s="4"/>
      <c r="R752" s="4"/>
      <c r="S752" s="4"/>
      <c r="T752" s="4"/>
      <c r="U752" s="4"/>
      <c r="V752" s="4"/>
      <c r="W752" s="4"/>
      <c r="X752" s="4"/>
      <c r="Y752" s="4"/>
      <c r="Z752" s="4"/>
      <c r="AA752" s="4"/>
      <c r="AB752" s="4"/>
      <c r="AC752" s="4"/>
      <c r="AD752" s="4"/>
      <c r="AE752" s="4"/>
      <c r="AF752" s="4"/>
    </row>
    <row r="753" ht="15.75" customHeight="1">
      <c r="A753" s="4"/>
      <c r="B753" s="4"/>
      <c r="C753" s="4"/>
      <c r="D753" s="4"/>
      <c r="E753" s="4"/>
      <c r="F753" s="4"/>
      <c r="G753" s="4"/>
      <c r="H753" s="4"/>
      <c r="I753" s="129"/>
      <c r="J753" s="129"/>
      <c r="K753" s="129"/>
      <c r="L753" s="129"/>
      <c r="M753" s="129"/>
      <c r="N753" s="4"/>
      <c r="O753" s="4"/>
      <c r="P753" s="4"/>
      <c r="Q753" s="4"/>
      <c r="R753" s="4"/>
      <c r="S753" s="4"/>
      <c r="T753" s="4"/>
      <c r="U753" s="4"/>
      <c r="V753" s="4"/>
      <c r="W753" s="4"/>
      <c r="X753" s="4"/>
      <c r="Y753" s="4"/>
      <c r="Z753" s="4"/>
      <c r="AA753" s="4"/>
      <c r="AB753" s="4"/>
      <c r="AC753" s="4"/>
      <c r="AD753" s="4"/>
      <c r="AE753" s="4"/>
      <c r="AF753" s="4"/>
    </row>
    <row r="754" ht="15.75" customHeight="1">
      <c r="A754" s="4"/>
      <c r="B754" s="4"/>
      <c r="C754" s="4"/>
      <c r="D754" s="4"/>
      <c r="E754" s="4"/>
      <c r="F754" s="4"/>
      <c r="G754" s="4"/>
      <c r="H754" s="4"/>
      <c r="I754" s="129"/>
      <c r="J754" s="129"/>
      <c r="K754" s="129"/>
      <c r="L754" s="129"/>
      <c r="M754" s="129"/>
      <c r="N754" s="4"/>
      <c r="O754" s="4"/>
      <c r="P754" s="4"/>
      <c r="Q754" s="4"/>
      <c r="R754" s="4"/>
      <c r="S754" s="4"/>
      <c r="T754" s="4"/>
      <c r="U754" s="4"/>
      <c r="V754" s="4"/>
      <c r="W754" s="4"/>
      <c r="X754" s="4"/>
      <c r="Y754" s="4"/>
      <c r="Z754" s="4"/>
      <c r="AA754" s="4"/>
      <c r="AB754" s="4"/>
      <c r="AC754" s="4"/>
      <c r="AD754" s="4"/>
      <c r="AE754" s="4"/>
      <c r="AF754" s="4"/>
    </row>
    <row r="755" ht="15.75" customHeight="1">
      <c r="A755" s="4"/>
      <c r="B755" s="4"/>
      <c r="C755" s="4"/>
      <c r="D755" s="4"/>
      <c r="E755" s="4"/>
      <c r="F755" s="4"/>
      <c r="G755" s="4"/>
      <c r="H755" s="4"/>
      <c r="I755" s="129"/>
      <c r="J755" s="129"/>
      <c r="K755" s="129"/>
      <c r="L755" s="129"/>
      <c r="M755" s="129"/>
      <c r="N755" s="4"/>
      <c r="O755" s="4"/>
      <c r="P755" s="4"/>
      <c r="Q755" s="4"/>
      <c r="R755" s="4"/>
      <c r="S755" s="4"/>
      <c r="T755" s="4"/>
      <c r="U755" s="4"/>
      <c r="V755" s="4"/>
      <c r="W755" s="4"/>
      <c r="X755" s="4"/>
      <c r="Y755" s="4"/>
      <c r="Z755" s="4"/>
      <c r="AA755" s="4"/>
      <c r="AB755" s="4"/>
      <c r="AC755" s="4"/>
      <c r="AD755" s="4"/>
      <c r="AE755" s="4"/>
      <c r="AF755" s="4"/>
    </row>
    <row r="756" ht="15.75" customHeight="1">
      <c r="A756" s="4"/>
      <c r="B756" s="4"/>
      <c r="C756" s="4"/>
      <c r="D756" s="4"/>
      <c r="E756" s="4"/>
      <c r="F756" s="4"/>
      <c r="G756" s="4"/>
      <c r="H756" s="4"/>
      <c r="I756" s="129"/>
      <c r="J756" s="129"/>
      <c r="K756" s="129"/>
      <c r="L756" s="129"/>
      <c r="M756" s="129"/>
      <c r="N756" s="4"/>
      <c r="O756" s="4"/>
      <c r="P756" s="4"/>
      <c r="Q756" s="4"/>
      <c r="R756" s="4"/>
      <c r="S756" s="4"/>
      <c r="T756" s="4"/>
      <c r="U756" s="4"/>
      <c r="V756" s="4"/>
      <c r="W756" s="4"/>
      <c r="X756" s="4"/>
      <c r="Y756" s="4"/>
      <c r="Z756" s="4"/>
      <c r="AA756" s="4"/>
      <c r="AB756" s="4"/>
      <c r="AC756" s="4"/>
      <c r="AD756" s="4"/>
      <c r="AE756" s="4"/>
      <c r="AF756" s="4"/>
    </row>
    <row r="757" ht="15.75" customHeight="1">
      <c r="A757" s="4"/>
      <c r="B757" s="4"/>
      <c r="C757" s="4"/>
      <c r="D757" s="4"/>
      <c r="E757" s="4"/>
      <c r="F757" s="4"/>
      <c r="G757" s="4"/>
      <c r="H757" s="4"/>
      <c r="I757" s="129"/>
      <c r="J757" s="129"/>
      <c r="K757" s="129"/>
      <c r="L757" s="129"/>
      <c r="M757" s="129"/>
      <c r="N757" s="4"/>
      <c r="O757" s="4"/>
      <c r="P757" s="4"/>
      <c r="Q757" s="4"/>
      <c r="R757" s="4"/>
      <c r="S757" s="4"/>
      <c r="T757" s="4"/>
      <c r="U757" s="4"/>
      <c r="V757" s="4"/>
      <c r="W757" s="4"/>
      <c r="X757" s="4"/>
      <c r="Y757" s="4"/>
      <c r="Z757" s="4"/>
      <c r="AA757" s="4"/>
      <c r="AB757" s="4"/>
      <c r="AC757" s="4"/>
      <c r="AD757" s="4"/>
      <c r="AE757" s="4"/>
      <c r="AF757" s="4"/>
    </row>
    <row r="758" ht="15.75" customHeight="1">
      <c r="A758" s="4"/>
      <c r="B758" s="4"/>
      <c r="C758" s="4"/>
      <c r="D758" s="4"/>
      <c r="E758" s="4"/>
      <c r="F758" s="4"/>
      <c r="G758" s="4"/>
      <c r="H758" s="4"/>
      <c r="I758" s="129"/>
      <c r="J758" s="129"/>
      <c r="K758" s="129"/>
      <c r="L758" s="129"/>
      <c r="M758" s="129"/>
      <c r="N758" s="4"/>
      <c r="O758" s="4"/>
      <c r="P758" s="4"/>
      <c r="Q758" s="4"/>
      <c r="R758" s="4"/>
      <c r="S758" s="4"/>
      <c r="T758" s="4"/>
      <c r="U758" s="4"/>
      <c r="V758" s="4"/>
      <c r="W758" s="4"/>
      <c r="X758" s="4"/>
      <c r="Y758" s="4"/>
      <c r="Z758" s="4"/>
      <c r="AA758" s="4"/>
      <c r="AB758" s="4"/>
      <c r="AC758" s="4"/>
      <c r="AD758" s="4"/>
      <c r="AE758" s="4"/>
      <c r="AF758" s="4"/>
    </row>
    <row r="759" ht="15.75" customHeight="1">
      <c r="A759" s="4"/>
      <c r="B759" s="4"/>
      <c r="C759" s="4"/>
      <c r="D759" s="4"/>
      <c r="E759" s="4"/>
      <c r="F759" s="4"/>
      <c r="G759" s="4"/>
      <c r="H759" s="4"/>
      <c r="I759" s="129"/>
      <c r="J759" s="129"/>
      <c r="K759" s="129"/>
      <c r="L759" s="129"/>
      <c r="M759" s="129"/>
      <c r="N759" s="4"/>
      <c r="O759" s="4"/>
      <c r="P759" s="4"/>
      <c r="Q759" s="4"/>
      <c r="R759" s="4"/>
      <c r="S759" s="4"/>
      <c r="T759" s="4"/>
      <c r="U759" s="4"/>
      <c r="V759" s="4"/>
      <c r="W759" s="4"/>
      <c r="X759" s="4"/>
      <c r="Y759" s="4"/>
      <c r="Z759" s="4"/>
      <c r="AA759" s="4"/>
      <c r="AB759" s="4"/>
      <c r="AC759" s="4"/>
      <c r="AD759" s="4"/>
      <c r="AE759" s="4"/>
      <c r="AF759" s="4"/>
    </row>
    <row r="760" ht="15.75" customHeight="1">
      <c r="A760" s="4"/>
      <c r="B760" s="4"/>
      <c r="C760" s="4"/>
      <c r="D760" s="4"/>
      <c r="E760" s="4"/>
      <c r="F760" s="4"/>
      <c r="G760" s="4"/>
      <c r="H760" s="4"/>
      <c r="I760" s="129"/>
      <c r="J760" s="129"/>
      <c r="K760" s="129"/>
      <c r="L760" s="129"/>
      <c r="M760" s="129"/>
      <c r="N760" s="4"/>
      <c r="O760" s="4"/>
      <c r="P760" s="4"/>
      <c r="Q760" s="4"/>
      <c r="R760" s="4"/>
      <c r="S760" s="4"/>
      <c r="T760" s="4"/>
      <c r="U760" s="4"/>
      <c r="V760" s="4"/>
      <c r="W760" s="4"/>
      <c r="X760" s="4"/>
      <c r="Y760" s="4"/>
      <c r="Z760" s="4"/>
      <c r="AA760" s="4"/>
      <c r="AB760" s="4"/>
      <c r="AC760" s="4"/>
      <c r="AD760" s="4"/>
      <c r="AE760" s="4"/>
      <c r="AF760" s="4"/>
    </row>
    <row r="761" ht="15.75" customHeight="1">
      <c r="A761" s="4"/>
      <c r="B761" s="4"/>
      <c r="C761" s="4"/>
      <c r="D761" s="4"/>
      <c r="E761" s="4"/>
      <c r="F761" s="4"/>
      <c r="G761" s="4"/>
      <c r="H761" s="4"/>
      <c r="I761" s="129"/>
      <c r="J761" s="129"/>
      <c r="K761" s="129"/>
      <c r="L761" s="129"/>
      <c r="M761" s="129"/>
      <c r="N761" s="4"/>
      <c r="O761" s="4"/>
      <c r="P761" s="4"/>
      <c r="Q761" s="4"/>
      <c r="R761" s="4"/>
      <c r="S761" s="4"/>
      <c r="T761" s="4"/>
      <c r="U761" s="4"/>
      <c r="V761" s="4"/>
      <c r="W761" s="4"/>
      <c r="X761" s="4"/>
      <c r="Y761" s="4"/>
      <c r="Z761" s="4"/>
      <c r="AA761" s="4"/>
      <c r="AB761" s="4"/>
      <c r="AC761" s="4"/>
      <c r="AD761" s="4"/>
      <c r="AE761" s="4"/>
      <c r="AF761" s="4"/>
    </row>
    <row r="762" ht="15.75" customHeight="1">
      <c r="A762" s="4"/>
      <c r="B762" s="4"/>
      <c r="C762" s="4"/>
      <c r="D762" s="4"/>
      <c r="E762" s="4"/>
      <c r="F762" s="4"/>
      <c r="G762" s="4"/>
      <c r="H762" s="4"/>
      <c r="I762" s="129"/>
      <c r="J762" s="129"/>
      <c r="K762" s="129"/>
      <c r="L762" s="129"/>
      <c r="M762" s="129"/>
      <c r="N762" s="4"/>
      <c r="O762" s="4"/>
      <c r="P762" s="4"/>
      <c r="Q762" s="4"/>
      <c r="R762" s="4"/>
      <c r="S762" s="4"/>
      <c r="T762" s="4"/>
      <c r="U762" s="4"/>
      <c r="V762" s="4"/>
      <c r="W762" s="4"/>
      <c r="X762" s="4"/>
      <c r="Y762" s="4"/>
      <c r="Z762" s="4"/>
      <c r="AA762" s="4"/>
      <c r="AB762" s="4"/>
      <c r="AC762" s="4"/>
      <c r="AD762" s="4"/>
      <c r="AE762" s="4"/>
      <c r="AF762" s="4"/>
    </row>
    <row r="763" ht="15.75" customHeight="1">
      <c r="A763" s="4"/>
      <c r="B763" s="4"/>
      <c r="C763" s="4"/>
      <c r="D763" s="4"/>
      <c r="E763" s="4"/>
      <c r="F763" s="4"/>
      <c r="G763" s="4"/>
      <c r="H763" s="4"/>
      <c r="I763" s="129"/>
      <c r="J763" s="129"/>
      <c r="K763" s="129"/>
      <c r="L763" s="129"/>
      <c r="M763" s="129"/>
      <c r="N763" s="4"/>
      <c r="O763" s="4"/>
      <c r="P763" s="4"/>
      <c r="Q763" s="4"/>
      <c r="R763" s="4"/>
      <c r="S763" s="4"/>
      <c r="T763" s="4"/>
      <c r="U763" s="4"/>
      <c r="V763" s="4"/>
      <c r="W763" s="4"/>
      <c r="X763" s="4"/>
      <c r="Y763" s="4"/>
      <c r="Z763" s="4"/>
      <c r="AA763" s="4"/>
      <c r="AB763" s="4"/>
      <c r="AC763" s="4"/>
      <c r="AD763" s="4"/>
      <c r="AE763" s="4"/>
      <c r="AF763" s="4"/>
    </row>
    <row r="764" ht="15.75" customHeight="1">
      <c r="A764" s="4"/>
      <c r="B764" s="4"/>
      <c r="C764" s="4"/>
      <c r="D764" s="4"/>
      <c r="E764" s="4"/>
      <c r="F764" s="4"/>
      <c r="G764" s="4"/>
      <c r="H764" s="4"/>
      <c r="I764" s="129"/>
      <c r="J764" s="129"/>
      <c r="K764" s="129"/>
      <c r="L764" s="129"/>
      <c r="M764" s="129"/>
      <c r="N764" s="4"/>
      <c r="O764" s="4"/>
      <c r="P764" s="4"/>
      <c r="Q764" s="4"/>
      <c r="R764" s="4"/>
      <c r="S764" s="4"/>
      <c r="T764" s="4"/>
      <c r="U764" s="4"/>
      <c r="V764" s="4"/>
      <c r="W764" s="4"/>
      <c r="X764" s="4"/>
      <c r="Y764" s="4"/>
      <c r="Z764" s="4"/>
      <c r="AA764" s="4"/>
      <c r="AB764" s="4"/>
      <c r="AC764" s="4"/>
      <c r="AD764" s="4"/>
      <c r="AE764" s="4"/>
      <c r="AF764" s="4"/>
    </row>
    <row r="765" ht="15.75" customHeight="1">
      <c r="A765" s="4"/>
      <c r="B765" s="4"/>
      <c r="C765" s="4"/>
      <c r="D765" s="4"/>
      <c r="E765" s="4"/>
      <c r="F765" s="4"/>
      <c r="G765" s="4"/>
      <c r="H765" s="4"/>
      <c r="I765" s="129"/>
      <c r="J765" s="129"/>
      <c r="K765" s="129"/>
      <c r="L765" s="129"/>
      <c r="M765" s="129"/>
      <c r="N765" s="4"/>
      <c r="O765" s="4"/>
      <c r="P765" s="4"/>
      <c r="Q765" s="4"/>
      <c r="R765" s="4"/>
      <c r="S765" s="4"/>
      <c r="T765" s="4"/>
      <c r="U765" s="4"/>
      <c r="V765" s="4"/>
      <c r="W765" s="4"/>
      <c r="X765" s="4"/>
      <c r="Y765" s="4"/>
      <c r="Z765" s="4"/>
      <c r="AA765" s="4"/>
      <c r="AB765" s="4"/>
      <c r="AC765" s="4"/>
      <c r="AD765" s="4"/>
      <c r="AE765" s="4"/>
      <c r="AF765" s="4"/>
    </row>
    <row r="766" ht="15.75" customHeight="1">
      <c r="A766" s="4"/>
      <c r="B766" s="4"/>
      <c r="C766" s="4"/>
      <c r="D766" s="4"/>
      <c r="E766" s="4"/>
      <c r="F766" s="4"/>
      <c r="G766" s="4"/>
      <c r="H766" s="4"/>
      <c r="I766" s="129"/>
      <c r="J766" s="129"/>
      <c r="K766" s="129"/>
      <c r="L766" s="129"/>
      <c r="M766" s="129"/>
      <c r="N766" s="4"/>
      <c r="O766" s="4"/>
      <c r="P766" s="4"/>
      <c r="Q766" s="4"/>
      <c r="R766" s="4"/>
      <c r="S766" s="4"/>
      <c r="T766" s="4"/>
      <c r="U766" s="4"/>
      <c r="V766" s="4"/>
      <c r="W766" s="4"/>
      <c r="X766" s="4"/>
      <c r="Y766" s="4"/>
      <c r="Z766" s="4"/>
      <c r="AA766" s="4"/>
      <c r="AB766" s="4"/>
      <c r="AC766" s="4"/>
      <c r="AD766" s="4"/>
      <c r="AE766" s="4"/>
      <c r="AF766" s="4"/>
    </row>
    <row r="767" ht="15.75" customHeight="1">
      <c r="A767" s="4"/>
      <c r="B767" s="4"/>
      <c r="C767" s="4"/>
      <c r="D767" s="4"/>
      <c r="E767" s="4"/>
      <c r="F767" s="4"/>
      <c r="G767" s="4"/>
      <c r="H767" s="4"/>
      <c r="I767" s="129"/>
      <c r="J767" s="129"/>
      <c r="K767" s="129"/>
      <c r="L767" s="129"/>
      <c r="M767" s="129"/>
      <c r="N767" s="4"/>
      <c r="O767" s="4"/>
      <c r="P767" s="4"/>
      <c r="Q767" s="4"/>
      <c r="R767" s="4"/>
      <c r="S767" s="4"/>
      <c r="T767" s="4"/>
      <c r="U767" s="4"/>
      <c r="V767" s="4"/>
      <c r="W767" s="4"/>
      <c r="X767" s="4"/>
      <c r="Y767" s="4"/>
      <c r="Z767" s="4"/>
      <c r="AA767" s="4"/>
      <c r="AB767" s="4"/>
      <c r="AC767" s="4"/>
      <c r="AD767" s="4"/>
      <c r="AE767" s="4"/>
      <c r="AF767" s="4"/>
    </row>
    <row r="768" ht="15.75" customHeight="1">
      <c r="A768" s="4"/>
      <c r="B768" s="4"/>
      <c r="C768" s="4"/>
      <c r="D768" s="4"/>
      <c r="E768" s="4"/>
      <c r="F768" s="4"/>
      <c r="G768" s="4"/>
      <c r="H768" s="4"/>
      <c r="I768" s="129"/>
      <c r="J768" s="129"/>
      <c r="K768" s="129"/>
      <c r="L768" s="129"/>
      <c r="M768" s="129"/>
      <c r="N768" s="4"/>
      <c r="O768" s="4"/>
      <c r="P768" s="4"/>
      <c r="Q768" s="4"/>
      <c r="R768" s="4"/>
      <c r="S768" s="4"/>
      <c r="T768" s="4"/>
      <c r="U768" s="4"/>
      <c r="V768" s="4"/>
      <c r="W768" s="4"/>
      <c r="X768" s="4"/>
      <c r="Y768" s="4"/>
      <c r="Z768" s="4"/>
      <c r="AA768" s="4"/>
      <c r="AB768" s="4"/>
      <c r="AC768" s="4"/>
      <c r="AD768" s="4"/>
      <c r="AE768" s="4"/>
      <c r="AF768" s="4"/>
    </row>
    <row r="769" ht="15.75" customHeight="1">
      <c r="A769" s="4"/>
      <c r="B769" s="4"/>
      <c r="C769" s="4"/>
      <c r="D769" s="4"/>
      <c r="E769" s="4"/>
      <c r="F769" s="4"/>
      <c r="G769" s="4"/>
      <c r="H769" s="4"/>
      <c r="I769" s="129"/>
      <c r="J769" s="129"/>
      <c r="K769" s="129"/>
      <c r="L769" s="129"/>
      <c r="M769" s="129"/>
      <c r="N769" s="4"/>
      <c r="O769" s="4"/>
      <c r="P769" s="4"/>
      <c r="Q769" s="4"/>
      <c r="R769" s="4"/>
      <c r="S769" s="4"/>
      <c r="T769" s="4"/>
      <c r="U769" s="4"/>
      <c r="V769" s="4"/>
      <c r="W769" s="4"/>
      <c r="X769" s="4"/>
      <c r="Y769" s="4"/>
      <c r="Z769" s="4"/>
      <c r="AA769" s="4"/>
      <c r="AB769" s="4"/>
      <c r="AC769" s="4"/>
      <c r="AD769" s="4"/>
      <c r="AE769" s="4"/>
      <c r="AF769" s="4"/>
    </row>
    <row r="770" ht="15.75" customHeight="1">
      <c r="A770" s="4"/>
      <c r="B770" s="4"/>
      <c r="C770" s="4"/>
      <c r="D770" s="4"/>
      <c r="E770" s="4"/>
      <c r="F770" s="4"/>
      <c r="G770" s="4"/>
      <c r="H770" s="4"/>
      <c r="I770" s="129"/>
      <c r="J770" s="129"/>
      <c r="K770" s="129"/>
      <c r="L770" s="129"/>
      <c r="M770" s="129"/>
      <c r="N770" s="4"/>
      <c r="O770" s="4"/>
      <c r="P770" s="4"/>
      <c r="Q770" s="4"/>
      <c r="R770" s="4"/>
      <c r="S770" s="4"/>
      <c r="T770" s="4"/>
      <c r="U770" s="4"/>
      <c r="V770" s="4"/>
      <c r="W770" s="4"/>
      <c r="X770" s="4"/>
      <c r="Y770" s="4"/>
      <c r="Z770" s="4"/>
      <c r="AA770" s="4"/>
      <c r="AB770" s="4"/>
      <c r="AC770" s="4"/>
      <c r="AD770" s="4"/>
      <c r="AE770" s="4"/>
      <c r="AF770" s="4"/>
    </row>
    <row r="771" ht="15.75" customHeight="1">
      <c r="A771" s="4"/>
      <c r="B771" s="4"/>
      <c r="C771" s="4"/>
      <c r="D771" s="4"/>
      <c r="E771" s="4"/>
      <c r="F771" s="4"/>
      <c r="G771" s="4"/>
      <c r="H771" s="4"/>
      <c r="I771" s="129"/>
      <c r="J771" s="129"/>
      <c r="K771" s="129"/>
      <c r="L771" s="129"/>
      <c r="M771" s="129"/>
      <c r="N771" s="4"/>
      <c r="O771" s="4"/>
      <c r="P771" s="4"/>
      <c r="Q771" s="4"/>
      <c r="R771" s="4"/>
      <c r="S771" s="4"/>
      <c r="T771" s="4"/>
      <c r="U771" s="4"/>
      <c r="V771" s="4"/>
      <c r="W771" s="4"/>
      <c r="X771" s="4"/>
      <c r="Y771" s="4"/>
      <c r="Z771" s="4"/>
      <c r="AA771" s="4"/>
      <c r="AB771" s="4"/>
      <c r="AC771" s="4"/>
      <c r="AD771" s="4"/>
      <c r="AE771" s="4"/>
      <c r="AF771" s="4"/>
    </row>
    <row r="772" ht="15.75" customHeight="1">
      <c r="A772" s="4"/>
      <c r="B772" s="4"/>
      <c r="C772" s="4"/>
      <c r="D772" s="4"/>
      <c r="E772" s="4"/>
      <c r="F772" s="4"/>
      <c r="G772" s="4"/>
      <c r="H772" s="4"/>
      <c r="I772" s="129"/>
      <c r="J772" s="129"/>
      <c r="K772" s="129"/>
      <c r="L772" s="129"/>
      <c r="M772" s="129"/>
      <c r="N772" s="4"/>
      <c r="O772" s="4"/>
      <c r="P772" s="4"/>
      <c r="Q772" s="4"/>
      <c r="R772" s="4"/>
      <c r="S772" s="4"/>
      <c r="T772" s="4"/>
      <c r="U772" s="4"/>
      <c r="V772" s="4"/>
      <c r="W772" s="4"/>
      <c r="X772" s="4"/>
      <c r="Y772" s="4"/>
      <c r="Z772" s="4"/>
      <c r="AA772" s="4"/>
      <c r="AB772" s="4"/>
      <c r="AC772" s="4"/>
      <c r="AD772" s="4"/>
      <c r="AE772" s="4"/>
      <c r="AF772" s="4"/>
    </row>
    <row r="773" ht="15.75" customHeight="1">
      <c r="A773" s="4"/>
      <c r="B773" s="4"/>
      <c r="C773" s="4"/>
      <c r="D773" s="4"/>
      <c r="E773" s="4"/>
      <c r="F773" s="4"/>
      <c r="G773" s="4"/>
      <c r="H773" s="4"/>
      <c r="I773" s="129"/>
      <c r="J773" s="129"/>
      <c r="K773" s="129"/>
      <c r="L773" s="129"/>
      <c r="M773" s="129"/>
      <c r="N773" s="4"/>
      <c r="O773" s="4"/>
      <c r="P773" s="4"/>
      <c r="Q773" s="4"/>
      <c r="R773" s="4"/>
      <c r="S773" s="4"/>
      <c r="T773" s="4"/>
      <c r="U773" s="4"/>
      <c r="V773" s="4"/>
      <c r="W773" s="4"/>
      <c r="X773" s="4"/>
      <c r="Y773" s="4"/>
      <c r="Z773" s="4"/>
      <c r="AA773" s="4"/>
      <c r="AB773" s="4"/>
      <c r="AC773" s="4"/>
      <c r="AD773" s="4"/>
      <c r="AE773" s="4"/>
      <c r="AF773" s="4"/>
    </row>
    <row r="774" ht="15.75" customHeight="1">
      <c r="A774" s="4"/>
      <c r="B774" s="4"/>
      <c r="C774" s="4"/>
      <c r="D774" s="4"/>
      <c r="E774" s="4"/>
      <c r="F774" s="4"/>
      <c r="G774" s="4"/>
      <c r="H774" s="4"/>
      <c r="I774" s="129"/>
      <c r="J774" s="129"/>
      <c r="K774" s="129"/>
      <c r="L774" s="129"/>
      <c r="M774" s="129"/>
      <c r="N774" s="4"/>
      <c r="O774" s="4"/>
      <c r="P774" s="4"/>
      <c r="Q774" s="4"/>
      <c r="R774" s="4"/>
      <c r="S774" s="4"/>
      <c r="T774" s="4"/>
      <c r="U774" s="4"/>
      <c r="V774" s="4"/>
      <c r="W774" s="4"/>
      <c r="X774" s="4"/>
      <c r="Y774" s="4"/>
      <c r="Z774" s="4"/>
      <c r="AA774" s="4"/>
      <c r="AB774" s="4"/>
      <c r="AC774" s="4"/>
      <c r="AD774" s="4"/>
      <c r="AE774" s="4"/>
      <c r="AF774" s="4"/>
    </row>
    <row r="775" ht="15.75" customHeight="1">
      <c r="A775" s="4"/>
      <c r="B775" s="4"/>
      <c r="C775" s="4"/>
      <c r="D775" s="4"/>
      <c r="E775" s="4"/>
      <c r="F775" s="4"/>
      <c r="G775" s="4"/>
      <c r="H775" s="4"/>
      <c r="I775" s="129"/>
      <c r="J775" s="129"/>
      <c r="K775" s="129"/>
      <c r="L775" s="129"/>
      <c r="M775" s="129"/>
      <c r="N775" s="4"/>
      <c r="O775" s="4"/>
      <c r="P775" s="4"/>
      <c r="Q775" s="4"/>
      <c r="R775" s="4"/>
      <c r="S775" s="4"/>
      <c r="T775" s="4"/>
      <c r="U775" s="4"/>
      <c r="V775" s="4"/>
      <c r="W775" s="4"/>
      <c r="X775" s="4"/>
      <c r="Y775" s="4"/>
      <c r="Z775" s="4"/>
      <c r="AA775" s="4"/>
      <c r="AB775" s="4"/>
      <c r="AC775" s="4"/>
      <c r="AD775" s="4"/>
      <c r="AE775" s="4"/>
      <c r="AF775" s="4"/>
    </row>
    <row r="776" ht="15.75" customHeight="1">
      <c r="A776" s="4"/>
      <c r="B776" s="4"/>
      <c r="C776" s="4"/>
      <c r="D776" s="4"/>
      <c r="E776" s="4"/>
      <c r="F776" s="4"/>
      <c r="G776" s="4"/>
      <c r="H776" s="4"/>
      <c r="I776" s="129"/>
      <c r="J776" s="129"/>
      <c r="K776" s="129"/>
      <c r="L776" s="129"/>
      <c r="M776" s="129"/>
      <c r="N776" s="4"/>
      <c r="O776" s="4"/>
      <c r="P776" s="4"/>
      <c r="Q776" s="4"/>
      <c r="R776" s="4"/>
      <c r="S776" s="4"/>
      <c r="T776" s="4"/>
      <c r="U776" s="4"/>
      <c r="V776" s="4"/>
      <c r="W776" s="4"/>
      <c r="X776" s="4"/>
      <c r="Y776" s="4"/>
      <c r="Z776" s="4"/>
      <c r="AA776" s="4"/>
      <c r="AB776" s="4"/>
      <c r="AC776" s="4"/>
      <c r="AD776" s="4"/>
      <c r="AE776" s="4"/>
      <c r="AF776" s="4"/>
    </row>
    <row r="777" ht="15.75" customHeight="1">
      <c r="A777" s="4"/>
      <c r="B777" s="4"/>
      <c r="C777" s="4"/>
      <c r="D777" s="4"/>
      <c r="E777" s="4"/>
      <c r="F777" s="4"/>
      <c r="G777" s="4"/>
      <c r="H777" s="4"/>
      <c r="I777" s="129"/>
      <c r="J777" s="129"/>
      <c r="K777" s="129"/>
      <c r="L777" s="129"/>
      <c r="M777" s="129"/>
      <c r="N777" s="4"/>
      <c r="O777" s="4"/>
      <c r="P777" s="4"/>
      <c r="Q777" s="4"/>
      <c r="R777" s="4"/>
      <c r="S777" s="4"/>
      <c r="T777" s="4"/>
      <c r="U777" s="4"/>
      <c r="V777" s="4"/>
      <c r="W777" s="4"/>
      <c r="X777" s="4"/>
      <c r="Y777" s="4"/>
      <c r="Z777" s="4"/>
      <c r="AA777" s="4"/>
      <c r="AB777" s="4"/>
      <c r="AC777" s="4"/>
      <c r="AD777" s="4"/>
      <c r="AE777" s="4"/>
      <c r="AF777" s="4"/>
    </row>
    <row r="778" ht="15.75" customHeight="1">
      <c r="A778" s="4"/>
      <c r="B778" s="4"/>
      <c r="C778" s="4"/>
      <c r="D778" s="4"/>
      <c r="E778" s="4"/>
      <c r="F778" s="4"/>
      <c r="G778" s="4"/>
      <c r="H778" s="4"/>
      <c r="I778" s="129"/>
      <c r="J778" s="129"/>
      <c r="K778" s="129"/>
      <c r="L778" s="129"/>
      <c r="M778" s="129"/>
      <c r="N778" s="4"/>
      <c r="O778" s="4"/>
      <c r="P778" s="4"/>
      <c r="Q778" s="4"/>
      <c r="R778" s="4"/>
      <c r="S778" s="4"/>
      <c r="T778" s="4"/>
      <c r="U778" s="4"/>
      <c r="V778" s="4"/>
      <c r="W778" s="4"/>
      <c r="X778" s="4"/>
      <c r="Y778" s="4"/>
      <c r="Z778" s="4"/>
      <c r="AA778" s="4"/>
      <c r="AB778" s="4"/>
      <c r="AC778" s="4"/>
      <c r="AD778" s="4"/>
      <c r="AE778" s="4"/>
      <c r="AF778" s="4"/>
    </row>
    <row r="779" ht="15.75" customHeight="1">
      <c r="A779" s="4"/>
      <c r="B779" s="4"/>
      <c r="C779" s="4"/>
      <c r="D779" s="4"/>
      <c r="E779" s="4"/>
      <c r="F779" s="4"/>
      <c r="G779" s="4"/>
      <c r="H779" s="4"/>
      <c r="I779" s="129"/>
      <c r="J779" s="129"/>
      <c r="K779" s="129"/>
      <c r="L779" s="129"/>
      <c r="M779" s="129"/>
      <c r="N779" s="4"/>
      <c r="O779" s="4"/>
      <c r="P779" s="4"/>
      <c r="Q779" s="4"/>
      <c r="R779" s="4"/>
      <c r="S779" s="4"/>
      <c r="T779" s="4"/>
      <c r="U779" s="4"/>
      <c r="V779" s="4"/>
      <c r="W779" s="4"/>
      <c r="X779" s="4"/>
      <c r="Y779" s="4"/>
      <c r="Z779" s="4"/>
      <c r="AA779" s="4"/>
      <c r="AB779" s="4"/>
      <c r="AC779" s="4"/>
      <c r="AD779" s="4"/>
      <c r="AE779" s="4"/>
      <c r="AF779" s="4"/>
    </row>
    <row r="780" ht="15.75" customHeight="1">
      <c r="A780" s="4"/>
      <c r="B780" s="4"/>
      <c r="C780" s="4"/>
      <c r="D780" s="4"/>
      <c r="E780" s="4"/>
      <c r="F780" s="4"/>
      <c r="G780" s="4"/>
      <c r="H780" s="4"/>
      <c r="I780" s="129"/>
      <c r="J780" s="129"/>
      <c r="K780" s="129"/>
      <c r="L780" s="129"/>
      <c r="M780" s="129"/>
      <c r="N780" s="4"/>
      <c r="O780" s="4"/>
      <c r="P780" s="4"/>
      <c r="Q780" s="4"/>
      <c r="R780" s="4"/>
      <c r="S780" s="4"/>
      <c r="T780" s="4"/>
      <c r="U780" s="4"/>
      <c r="V780" s="4"/>
      <c r="W780" s="4"/>
      <c r="X780" s="4"/>
      <c r="Y780" s="4"/>
      <c r="Z780" s="4"/>
      <c r="AA780" s="4"/>
      <c r="AB780" s="4"/>
      <c r="AC780" s="4"/>
      <c r="AD780" s="4"/>
      <c r="AE780" s="4"/>
      <c r="AF780" s="4"/>
    </row>
    <row r="781" ht="15.75" customHeight="1">
      <c r="A781" s="4"/>
      <c r="B781" s="4"/>
      <c r="C781" s="4"/>
      <c r="D781" s="4"/>
      <c r="E781" s="4"/>
      <c r="F781" s="4"/>
      <c r="G781" s="4"/>
      <c r="H781" s="4"/>
      <c r="I781" s="129"/>
      <c r="J781" s="129"/>
      <c r="K781" s="129"/>
      <c r="L781" s="129"/>
      <c r="M781" s="129"/>
      <c r="N781" s="4"/>
      <c r="O781" s="4"/>
      <c r="P781" s="4"/>
      <c r="Q781" s="4"/>
      <c r="R781" s="4"/>
      <c r="S781" s="4"/>
      <c r="T781" s="4"/>
      <c r="U781" s="4"/>
      <c r="V781" s="4"/>
      <c r="W781" s="4"/>
      <c r="X781" s="4"/>
      <c r="Y781" s="4"/>
      <c r="Z781" s="4"/>
      <c r="AA781" s="4"/>
      <c r="AB781" s="4"/>
      <c r="AC781" s="4"/>
      <c r="AD781" s="4"/>
      <c r="AE781" s="4"/>
      <c r="AF781" s="4"/>
    </row>
    <row r="782" ht="15.75" customHeight="1">
      <c r="A782" s="4"/>
      <c r="B782" s="4"/>
      <c r="C782" s="4"/>
      <c r="D782" s="4"/>
      <c r="E782" s="4"/>
      <c r="F782" s="4"/>
      <c r="G782" s="4"/>
      <c r="H782" s="4"/>
      <c r="I782" s="129"/>
      <c r="J782" s="129"/>
      <c r="K782" s="129"/>
      <c r="L782" s="129"/>
      <c r="M782" s="129"/>
      <c r="N782" s="4"/>
      <c r="O782" s="4"/>
      <c r="P782" s="4"/>
      <c r="Q782" s="4"/>
      <c r="R782" s="4"/>
      <c r="S782" s="4"/>
      <c r="T782" s="4"/>
      <c r="U782" s="4"/>
      <c r="V782" s="4"/>
      <c r="W782" s="4"/>
      <c r="X782" s="4"/>
      <c r="Y782" s="4"/>
      <c r="Z782" s="4"/>
      <c r="AA782" s="4"/>
      <c r="AB782" s="4"/>
      <c r="AC782" s="4"/>
      <c r="AD782" s="4"/>
      <c r="AE782" s="4"/>
      <c r="AF782" s="4"/>
    </row>
    <row r="783" ht="15.75" customHeight="1">
      <c r="A783" s="4"/>
      <c r="B783" s="4"/>
      <c r="C783" s="4"/>
      <c r="D783" s="4"/>
      <c r="E783" s="4"/>
      <c r="F783" s="4"/>
      <c r="G783" s="4"/>
      <c r="H783" s="4"/>
      <c r="I783" s="129"/>
      <c r="J783" s="129"/>
      <c r="K783" s="129"/>
      <c r="L783" s="129"/>
      <c r="M783" s="129"/>
      <c r="N783" s="4"/>
      <c r="O783" s="4"/>
      <c r="P783" s="4"/>
      <c r="Q783" s="4"/>
      <c r="R783" s="4"/>
      <c r="S783" s="4"/>
      <c r="T783" s="4"/>
      <c r="U783" s="4"/>
      <c r="V783" s="4"/>
      <c r="W783" s="4"/>
      <c r="X783" s="4"/>
      <c r="Y783" s="4"/>
      <c r="Z783" s="4"/>
      <c r="AA783" s="4"/>
      <c r="AB783" s="4"/>
      <c r="AC783" s="4"/>
      <c r="AD783" s="4"/>
      <c r="AE783" s="4"/>
      <c r="AF783" s="4"/>
    </row>
    <row r="784" ht="15.75" customHeight="1">
      <c r="A784" s="4"/>
      <c r="B784" s="4"/>
      <c r="C784" s="4"/>
      <c r="D784" s="4"/>
      <c r="E784" s="4"/>
      <c r="F784" s="4"/>
      <c r="G784" s="4"/>
      <c r="H784" s="4"/>
      <c r="I784" s="129"/>
      <c r="J784" s="129"/>
      <c r="K784" s="129"/>
      <c r="L784" s="129"/>
      <c r="M784" s="129"/>
      <c r="N784" s="4"/>
      <c r="O784" s="4"/>
      <c r="P784" s="4"/>
      <c r="Q784" s="4"/>
      <c r="R784" s="4"/>
      <c r="S784" s="4"/>
      <c r="T784" s="4"/>
      <c r="U784" s="4"/>
      <c r="V784" s="4"/>
      <c r="W784" s="4"/>
      <c r="X784" s="4"/>
      <c r="Y784" s="4"/>
      <c r="Z784" s="4"/>
      <c r="AA784" s="4"/>
      <c r="AB784" s="4"/>
      <c r="AC784" s="4"/>
      <c r="AD784" s="4"/>
      <c r="AE784" s="4"/>
      <c r="AF784" s="4"/>
    </row>
    <row r="785" ht="15.75" customHeight="1">
      <c r="A785" s="4"/>
      <c r="B785" s="4"/>
      <c r="C785" s="4"/>
      <c r="D785" s="4"/>
      <c r="E785" s="4"/>
      <c r="F785" s="4"/>
      <c r="G785" s="4"/>
      <c r="H785" s="4"/>
      <c r="I785" s="129"/>
      <c r="J785" s="129"/>
      <c r="K785" s="129"/>
      <c r="L785" s="129"/>
      <c r="M785" s="129"/>
      <c r="N785" s="4"/>
      <c r="O785" s="4"/>
      <c r="P785" s="4"/>
      <c r="Q785" s="4"/>
      <c r="R785" s="4"/>
      <c r="S785" s="4"/>
      <c r="T785" s="4"/>
      <c r="U785" s="4"/>
      <c r="V785" s="4"/>
      <c r="W785" s="4"/>
      <c r="X785" s="4"/>
      <c r="Y785" s="4"/>
      <c r="Z785" s="4"/>
      <c r="AA785" s="4"/>
      <c r="AB785" s="4"/>
      <c r="AC785" s="4"/>
      <c r="AD785" s="4"/>
      <c r="AE785" s="4"/>
      <c r="AF785" s="4"/>
    </row>
    <row r="786" ht="15.75" customHeight="1">
      <c r="A786" s="4"/>
      <c r="B786" s="4"/>
      <c r="C786" s="4"/>
      <c r="D786" s="4"/>
      <c r="E786" s="4"/>
      <c r="F786" s="4"/>
      <c r="G786" s="4"/>
      <c r="H786" s="4"/>
      <c r="I786" s="129"/>
      <c r="J786" s="129"/>
      <c r="K786" s="129"/>
      <c r="L786" s="129"/>
      <c r="M786" s="129"/>
      <c r="N786" s="4"/>
      <c r="O786" s="4"/>
      <c r="P786" s="4"/>
      <c r="Q786" s="4"/>
      <c r="R786" s="4"/>
      <c r="S786" s="4"/>
      <c r="T786" s="4"/>
      <c r="U786" s="4"/>
      <c r="V786" s="4"/>
      <c r="W786" s="4"/>
      <c r="X786" s="4"/>
      <c r="Y786" s="4"/>
      <c r="Z786" s="4"/>
      <c r="AA786" s="4"/>
      <c r="AB786" s="4"/>
      <c r="AC786" s="4"/>
      <c r="AD786" s="4"/>
      <c r="AE786" s="4"/>
      <c r="AF786" s="4"/>
    </row>
    <row r="787" ht="15.75" customHeight="1">
      <c r="A787" s="4"/>
      <c r="B787" s="4"/>
      <c r="C787" s="4"/>
      <c r="D787" s="4"/>
      <c r="E787" s="4"/>
      <c r="F787" s="4"/>
      <c r="G787" s="4"/>
      <c r="H787" s="4"/>
      <c r="I787" s="129"/>
      <c r="J787" s="129"/>
      <c r="K787" s="129"/>
      <c r="L787" s="129"/>
      <c r="M787" s="129"/>
      <c r="N787" s="4"/>
      <c r="O787" s="4"/>
      <c r="P787" s="4"/>
      <c r="Q787" s="4"/>
      <c r="R787" s="4"/>
      <c r="S787" s="4"/>
      <c r="T787" s="4"/>
      <c r="U787" s="4"/>
      <c r="V787" s="4"/>
      <c r="W787" s="4"/>
      <c r="X787" s="4"/>
      <c r="Y787" s="4"/>
      <c r="Z787" s="4"/>
      <c r="AA787" s="4"/>
      <c r="AB787" s="4"/>
      <c r="AC787" s="4"/>
      <c r="AD787" s="4"/>
      <c r="AE787" s="4"/>
      <c r="AF787" s="4"/>
    </row>
    <row r="788" ht="15.75" customHeight="1">
      <c r="A788" s="4"/>
      <c r="B788" s="4"/>
      <c r="C788" s="4"/>
      <c r="D788" s="4"/>
      <c r="E788" s="4"/>
      <c r="F788" s="4"/>
      <c r="G788" s="4"/>
      <c r="H788" s="4"/>
      <c r="I788" s="129"/>
      <c r="J788" s="129"/>
      <c r="K788" s="129"/>
      <c r="L788" s="129"/>
      <c r="M788" s="129"/>
      <c r="N788" s="4"/>
      <c r="O788" s="4"/>
      <c r="P788" s="4"/>
      <c r="Q788" s="4"/>
      <c r="R788" s="4"/>
      <c r="S788" s="4"/>
      <c r="T788" s="4"/>
      <c r="U788" s="4"/>
      <c r="V788" s="4"/>
      <c r="W788" s="4"/>
      <c r="X788" s="4"/>
      <c r="Y788" s="4"/>
      <c r="Z788" s="4"/>
      <c r="AA788" s="4"/>
      <c r="AB788" s="4"/>
      <c r="AC788" s="4"/>
      <c r="AD788" s="4"/>
      <c r="AE788" s="4"/>
      <c r="AF788" s="4"/>
    </row>
    <row r="789" ht="15.75" customHeight="1">
      <c r="A789" s="4"/>
      <c r="B789" s="4"/>
      <c r="C789" s="4"/>
      <c r="D789" s="4"/>
      <c r="E789" s="4"/>
      <c r="F789" s="4"/>
      <c r="G789" s="4"/>
      <c r="H789" s="4"/>
      <c r="I789" s="129"/>
      <c r="J789" s="129"/>
      <c r="K789" s="129"/>
      <c r="L789" s="129"/>
      <c r="M789" s="129"/>
      <c r="N789" s="4"/>
      <c r="O789" s="4"/>
      <c r="P789" s="4"/>
      <c r="Q789" s="4"/>
      <c r="R789" s="4"/>
      <c r="S789" s="4"/>
      <c r="T789" s="4"/>
      <c r="U789" s="4"/>
      <c r="V789" s="4"/>
      <c r="W789" s="4"/>
      <c r="X789" s="4"/>
      <c r="Y789" s="4"/>
      <c r="Z789" s="4"/>
      <c r="AA789" s="4"/>
      <c r="AB789" s="4"/>
      <c r="AC789" s="4"/>
      <c r="AD789" s="4"/>
      <c r="AE789" s="4"/>
      <c r="AF789" s="4"/>
    </row>
    <row r="790" ht="15.75" customHeight="1">
      <c r="A790" s="4"/>
      <c r="B790" s="4"/>
      <c r="C790" s="4"/>
      <c r="D790" s="4"/>
      <c r="E790" s="4"/>
      <c r="F790" s="4"/>
      <c r="G790" s="4"/>
      <c r="H790" s="4"/>
      <c r="I790" s="129"/>
      <c r="J790" s="129"/>
      <c r="K790" s="129"/>
      <c r="L790" s="129"/>
      <c r="M790" s="129"/>
      <c r="N790" s="4"/>
      <c r="O790" s="4"/>
      <c r="P790" s="4"/>
      <c r="Q790" s="4"/>
      <c r="R790" s="4"/>
      <c r="S790" s="4"/>
      <c r="T790" s="4"/>
      <c r="U790" s="4"/>
      <c r="V790" s="4"/>
      <c r="W790" s="4"/>
      <c r="X790" s="4"/>
      <c r="Y790" s="4"/>
      <c r="Z790" s="4"/>
      <c r="AA790" s="4"/>
      <c r="AB790" s="4"/>
      <c r="AC790" s="4"/>
      <c r="AD790" s="4"/>
      <c r="AE790" s="4"/>
      <c r="AF790" s="4"/>
    </row>
    <row r="791" ht="15.75" customHeight="1">
      <c r="A791" s="4"/>
      <c r="B791" s="4"/>
      <c r="C791" s="4"/>
      <c r="D791" s="4"/>
      <c r="E791" s="4"/>
      <c r="F791" s="4"/>
      <c r="G791" s="4"/>
      <c r="H791" s="4"/>
      <c r="I791" s="129"/>
      <c r="J791" s="129"/>
      <c r="K791" s="129"/>
      <c r="L791" s="129"/>
      <c r="M791" s="129"/>
      <c r="N791" s="4"/>
      <c r="O791" s="4"/>
      <c r="P791" s="4"/>
      <c r="Q791" s="4"/>
      <c r="R791" s="4"/>
      <c r="S791" s="4"/>
      <c r="T791" s="4"/>
      <c r="U791" s="4"/>
      <c r="V791" s="4"/>
      <c r="W791" s="4"/>
      <c r="X791" s="4"/>
      <c r="Y791" s="4"/>
      <c r="Z791" s="4"/>
      <c r="AA791" s="4"/>
      <c r="AB791" s="4"/>
      <c r="AC791" s="4"/>
      <c r="AD791" s="4"/>
      <c r="AE791" s="4"/>
      <c r="AF791" s="4"/>
    </row>
    <row r="792" ht="15.75" customHeight="1">
      <c r="A792" s="4"/>
      <c r="B792" s="4"/>
      <c r="C792" s="4"/>
      <c r="D792" s="4"/>
      <c r="E792" s="4"/>
      <c r="F792" s="4"/>
      <c r="G792" s="4"/>
      <c r="H792" s="4"/>
      <c r="I792" s="129"/>
      <c r="J792" s="129"/>
      <c r="K792" s="129"/>
      <c r="L792" s="129"/>
      <c r="M792" s="129"/>
      <c r="N792" s="4"/>
      <c r="O792" s="4"/>
      <c r="P792" s="4"/>
      <c r="Q792" s="4"/>
      <c r="R792" s="4"/>
      <c r="S792" s="4"/>
      <c r="T792" s="4"/>
      <c r="U792" s="4"/>
      <c r="V792" s="4"/>
      <c r="W792" s="4"/>
      <c r="X792" s="4"/>
      <c r="Y792" s="4"/>
      <c r="Z792" s="4"/>
      <c r="AA792" s="4"/>
      <c r="AB792" s="4"/>
      <c r="AC792" s="4"/>
      <c r="AD792" s="4"/>
      <c r="AE792" s="4"/>
      <c r="AF792" s="4"/>
    </row>
    <row r="793" ht="15.75" customHeight="1">
      <c r="A793" s="4"/>
      <c r="B793" s="4"/>
      <c r="C793" s="4"/>
      <c r="D793" s="4"/>
      <c r="E793" s="4"/>
      <c r="F793" s="4"/>
      <c r="G793" s="4"/>
      <c r="H793" s="4"/>
      <c r="I793" s="129"/>
      <c r="J793" s="129"/>
      <c r="K793" s="129"/>
      <c r="L793" s="129"/>
      <c r="M793" s="129"/>
      <c r="N793" s="4"/>
      <c r="O793" s="4"/>
      <c r="P793" s="4"/>
      <c r="Q793" s="4"/>
      <c r="R793" s="4"/>
      <c r="S793" s="4"/>
      <c r="T793" s="4"/>
      <c r="U793" s="4"/>
      <c r="V793" s="4"/>
      <c r="W793" s="4"/>
      <c r="X793" s="4"/>
      <c r="Y793" s="4"/>
      <c r="Z793" s="4"/>
      <c r="AA793" s="4"/>
      <c r="AB793" s="4"/>
      <c r="AC793" s="4"/>
      <c r="AD793" s="4"/>
      <c r="AE793" s="4"/>
      <c r="AF793" s="4"/>
    </row>
    <row r="794" ht="15.75" customHeight="1">
      <c r="A794" s="4"/>
      <c r="B794" s="4"/>
      <c r="C794" s="4"/>
      <c r="D794" s="4"/>
      <c r="E794" s="4"/>
      <c r="F794" s="4"/>
      <c r="G794" s="4"/>
      <c r="H794" s="4"/>
      <c r="I794" s="129"/>
      <c r="J794" s="129"/>
      <c r="K794" s="129"/>
      <c r="L794" s="129"/>
      <c r="M794" s="129"/>
      <c r="N794" s="4"/>
      <c r="O794" s="4"/>
      <c r="P794" s="4"/>
      <c r="Q794" s="4"/>
      <c r="R794" s="4"/>
      <c r="S794" s="4"/>
      <c r="T794" s="4"/>
      <c r="U794" s="4"/>
      <c r="V794" s="4"/>
      <c r="W794" s="4"/>
      <c r="X794" s="4"/>
      <c r="Y794" s="4"/>
      <c r="Z794" s="4"/>
      <c r="AA794" s="4"/>
      <c r="AB794" s="4"/>
      <c r="AC794" s="4"/>
      <c r="AD794" s="4"/>
      <c r="AE794" s="4"/>
      <c r="AF794" s="4"/>
    </row>
    <row r="795" ht="15.75" customHeight="1">
      <c r="A795" s="4"/>
      <c r="B795" s="4"/>
      <c r="C795" s="4"/>
      <c r="D795" s="4"/>
      <c r="E795" s="4"/>
      <c r="F795" s="4"/>
      <c r="G795" s="4"/>
      <c r="H795" s="4"/>
      <c r="I795" s="129"/>
      <c r="J795" s="129"/>
      <c r="K795" s="129"/>
      <c r="L795" s="129"/>
      <c r="M795" s="129"/>
      <c r="N795" s="4"/>
      <c r="O795" s="4"/>
      <c r="P795" s="4"/>
      <c r="Q795" s="4"/>
      <c r="R795" s="4"/>
      <c r="S795" s="4"/>
      <c r="T795" s="4"/>
      <c r="U795" s="4"/>
      <c r="V795" s="4"/>
      <c r="W795" s="4"/>
      <c r="X795" s="4"/>
      <c r="Y795" s="4"/>
      <c r="Z795" s="4"/>
      <c r="AA795" s="4"/>
      <c r="AB795" s="4"/>
      <c r="AC795" s="4"/>
      <c r="AD795" s="4"/>
      <c r="AE795" s="4"/>
      <c r="AF795" s="4"/>
    </row>
    <row r="796" ht="15.75" customHeight="1">
      <c r="A796" s="4"/>
      <c r="B796" s="4"/>
      <c r="C796" s="4"/>
      <c r="D796" s="4"/>
      <c r="E796" s="4"/>
      <c r="F796" s="4"/>
      <c r="G796" s="4"/>
      <c r="H796" s="4"/>
      <c r="I796" s="129"/>
      <c r="J796" s="129"/>
      <c r="K796" s="129"/>
      <c r="L796" s="129"/>
      <c r="M796" s="129"/>
      <c r="N796" s="4"/>
      <c r="O796" s="4"/>
      <c r="P796" s="4"/>
      <c r="Q796" s="4"/>
      <c r="R796" s="4"/>
      <c r="S796" s="4"/>
      <c r="T796" s="4"/>
      <c r="U796" s="4"/>
      <c r="V796" s="4"/>
      <c r="W796" s="4"/>
      <c r="X796" s="4"/>
      <c r="Y796" s="4"/>
      <c r="Z796" s="4"/>
      <c r="AA796" s="4"/>
      <c r="AB796" s="4"/>
      <c r="AC796" s="4"/>
      <c r="AD796" s="4"/>
      <c r="AE796" s="4"/>
      <c r="AF796" s="4"/>
    </row>
    <row r="797" ht="15.75" customHeight="1">
      <c r="A797" s="4"/>
      <c r="B797" s="4"/>
      <c r="C797" s="4"/>
      <c r="D797" s="4"/>
      <c r="E797" s="4"/>
      <c r="F797" s="4"/>
      <c r="G797" s="4"/>
      <c r="H797" s="4"/>
      <c r="I797" s="129"/>
      <c r="J797" s="129"/>
      <c r="K797" s="129"/>
      <c r="L797" s="129"/>
      <c r="M797" s="129"/>
      <c r="N797" s="4"/>
      <c r="O797" s="4"/>
      <c r="P797" s="4"/>
      <c r="Q797" s="4"/>
      <c r="R797" s="4"/>
      <c r="S797" s="4"/>
      <c r="T797" s="4"/>
      <c r="U797" s="4"/>
      <c r="V797" s="4"/>
      <c r="W797" s="4"/>
      <c r="X797" s="4"/>
      <c r="Y797" s="4"/>
      <c r="Z797" s="4"/>
      <c r="AA797" s="4"/>
      <c r="AB797" s="4"/>
      <c r="AC797" s="4"/>
      <c r="AD797" s="4"/>
      <c r="AE797" s="4"/>
      <c r="AF797" s="4"/>
    </row>
    <row r="798" ht="15.75" customHeight="1">
      <c r="A798" s="4"/>
      <c r="B798" s="4"/>
      <c r="C798" s="4"/>
      <c r="D798" s="4"/>
      <c r="E798" s="4"/>
      <c r="F798" s="4"/>
      <c r="G798" s="4"/>
      <c r="H798" s="4"/>
      <c r="I798" s="129"/>
      <c r="J798" s="129"/>
      <c r="K798" s="129"/>
      <c r="L798" s="129"/>
      <c r="M798" s="129"/>
      <c r="N798" s="4"/>
      <c r="O798" s="4"/>
      <c r="P798" s="4"/>
      <c r="Q798" s="4"/>
      <c r="R798" s="4"/>
      <c r="S798" s="4"/>
      <c r="T798" s="4"/>
      <c r="U798" s="4"/>
      <c r="V798" s="4"/>
      <c r="W798" s="4"/>
      <c r="X798" s="4"/>
      <c r="Y798" s="4"/>
      <c r="Z798" s="4"/>
      <c r="AA798" s="4"/>
      <c r="AB798" s="4"/>
      <c r="AC798" s="4"/>
      <c r="AD798" s="4"/>
      <c r="AE798" s="4"/>
      <c r="AF798" s="4"/>
    </row>
    <row r="799" ht="15.75" customHeight="1">
      <c r="A799" s="4"/>
      <c r="B799" s="4"/>
      <c r="C799" s="4"/>
      <c r="D799" s="4"/>
      <c r="E799" s="4"/>
      <c r="F799" s="4"/>
      <c r="G799" s="4"/>
      <c r="H799" s="4"/>
      <c r="I799" s="129"/>
      <c r="J799" s="129"/>
      <c r="K799" s="129"/>
      <c r="L799" s="129"/>
      <c r="M799" s="129"/>
      <c r="N799" s="4"/>
      <c r="O799" s="4"/>
      <c r="P799" s="4"/>
      <c r="Q799" s="4"/>
      <c r="R799" s="4"/>
      <c r="S799" s="4"/>
      <c r="T799" s="4"/>
      <c r="U799" s="4"/>
      <c r="V799" s="4"/>
      <c r="W799" s="4"/>
      <c r="X799" s="4"/>
      <c r="Y799" s="4"/>
      <c r="Z799" s="4"/>
      <c r="AA799" s="4"/>
      <c r="AB799" s="4"/>
      <c r="AC799" s="4"/>
      <c r="AD799" s="4"/>
      <c r="AE799" s="4"/>
      <c r="AF799" s="4"/>
    </row>
    <row r="800" ht="15.75" customHeight="1">
      <c r="A800" s="4"/>
      <c r="B800" s="4"/>
      <c r="C800" s="4"/>
      <c r="D800" s="4"/>
      <c r="E800" s="4"/>
      <c r="F800" s="4"/>
      <c r="G800" s="4"/>
      <c r="H800" s="4"/>
      <c r="I800" s="129"/>
      <c r="J800" s="129"/>
      <c r="K800" s="129"/>
      <c r="L800" s="129"/>
      <c r="M800" s="129"/>
      <c r="N800" s="4"/>
      <c r="O800" s="4"/>
      <c r="P800" s="4"/>
      <c r="Q800" s="4"/>
      <c r="R800" s="4"/>
      <c r="S800" s="4"/>
      <c r="T800" s="4"/>
      <c r="U800" s="4"/>
      <c r="V800" s="4"/>
      <c r="W800" s="4"/>
      <c r="X800" s="4"/>
      <c r="Y800" s="4"/>
      <c r="Z800" s="4"/>
      <c r="AA800" s="4"/>
      <c r="AB800" s="4"/>
      <c r="AC800" s="4"/>
      <c r="AD800" s="4"/>
      <c r="AE800" s="4"/>
      <c r="AF800" s="4"/>
    </row>
    <row r="801" ht="15.75" customHeight="1">
      <c r="A801" s="4"/>
      <c r="B801" s="4"/>
      <c r="C801" s="4"/>
      <c r="D801" s="4"/>
      <c r="E801" s="4"/>
      <c r="F801" s="4"/>
      <c r="G801" s="4"/>
      <c r="H801" s="4"/>
      <c r="I801" s="129"/>
      <c r="J801" s="129"/>
      <c r="K801" s="129"/>
      <c r="L801" s="129"/>
      <c r="M801" s="129"/>
      <c r="N801" s="4"/>
      <c r="O801" s="4"/>
      <c r="P801" s="4"/>
      <c r="Q801" s="4"/>
      <c r="R801" s="4"/>
      <c r="S801" s="4"/>
      <c r="T801" s="4"/>
      <c r="U801" s="4"/>
      <c r="V801" s="4"/>
      <c r="W801" s="4"/>
      <c r="X801" s="4"/>
      <c r="Y801" s="4"/>
      <c r="Z801" s="4"/>
      <c r="AA801" s="4"/>
      <c r="AB801" s="4"/>
      <c r="AC801" s="4"/>
      <c r="AD801" s="4"/>
      <c r="AE801" s="4"/>
      <c r="AF801" s="4"/>
    </row>
    <row r="802" ht="15.75" customHeight="1">
      <c r="A802" s="4"/>
      <c r="B802" s="4"/>
      <c r="C802" s="4"/>
      <c r="D802" s="4"/>
      <c r="E802" s="4"/>
      <c r="F802" s="4"/>
      <c r="G802" s="4"/>
      <c r="H802" s="4"/>
      <c r="I802" s="129"/>
      <c r="J802" s="129"/>
      <c r="K802" s="129"/>
      <c r="L802" s="129"/>
      <c r="M802" s="129"/>
      <c r="N802" s="4"/>
      <c r="O802" s="4"/>
      <c r="P802" s="4"/>
      <c r="Q802" s="4"/>
      <c r="R802" s="4"/>
      <c r="S802" s="4"/>
      <c r="T802" s="4"/>
      <c r="U802" s="4"/>
      <c r="V802" s="4"/>
      <c r="W802" s="4"/>
      <c r="X802" s="4"/>
      <c r="Y802" s="4"/>
      <c r="Z802" s="4"/>
      <c r="AA802" s="4"/>
      <c r="AB802" s="4"/>
      <c r="AC802" s="4"/>
      <c r="AD802" s="4"/>
      <c r="AE802" s="4"/>
      <c r="AF802" s="4"/>
    </row>
    <row r="803" ht="15.75" customHeight="1">
      <c r="A803" s="4"/>
      <c r="B803" s="4"/>
      <c r="C803" s="4"/>
      <c r="D803" s="4"/>
      <c r="E803" s="4"/>
      <c r="F803" s="4"/>
      <c r="G803" s="4"/>
      <c r="H803" s="4"/>
      <c r="I803" s="129"/>
      <c r="J803" s="129"/>
      <c r="K803" s="129"/>
      <c r="L803" s="129"/>
      <c r="M803" s="129"/>
      <c r="N803" s="4"/>
      <c r="O803" s="4"/>
      <c r="P803" s="4"/>
      <c r="Q803" s="4"/>
      <c r="R803" s="4"/>
      <c r="S803" s="4"/>
      <c r="T803" s="4"/>
      <c r="U803" s="4"/>
      <c r="V803" s="4"/>
      <c r="W803" s="4"/>
      <c r="X803" s="4"/>
      <c r="Y803" s="4"/>
      <c r="Z803" s="4"/>
      <c r="AA803" s="4"/>
      <c r="AB803" s="4"/>
      <c r="AC803" s="4"/>
      <c r="AD803" s="4"/>
      <c r="AE803" s="4"/>
      <c r="AF803" s="4"/>
    </row>
    <row r="804" ht="15.75" customHeight="1">
      <c r="A804" s="4"/>
      <c r="B804" s="4"/>
      <c r="C804" s="4"/>
      <c r="D804" s="4"/>
      <c r="E804" s="4"/>
      <c r="F804" s="4"/>
      <c r="G804" s="4"/>
      <c r="H804" s="4"/>
      <c r="I804" s="129"/>
      <c r="J804" s="129"/>
      <c r="K804" s="129"/>
      <c r="L804" s="129"/>
      <c r="M804" s="129"/>
      <c r="N804" s="4"/>
      <c r="O804" s="4"/>
      <c r="P804" s="4"/>
      <c r="Q804" s="4"/>
      <c r="R804" s="4"/>
      <c r="S804" s="4"/>
      <c r="T804" s="4"/>
      <c r="U804" s="4"/>
      <c r="V804" s="4"/>
      <c r="W804" s="4"/>
      <c r="X804" s="4"/>
      <c r="Y804" s="4"/>
      <c r="Z804" s="4"/>
      <c r="AA804" s="4"/>
      <c r="AB804" s="4"/>
      <c r="AC804" s="4"/>
      <c r="AD804" s="4"/>
      <c r="AE804" s="4"/>
      <c r="AF804" s="4"/>
    </row>
    <row r="805" ht="15.75" customHeight="1">
      <c r="A805" s="4"/>
      <c r="B805" s="4"/>
      <c r="C805" s="4"/>
      <c r="D805" s="4"/>
      <c r="E805" s="4"/>
      <c r="F805" s="4"/>
      <c r="G805" s="4"/>
      <c r="H805" s="4"/>
      <c r="I805" s="129"/>
      <c r="J805" s="129"/>
      <c r="K805" s="129"/>
      <c r="L805" s="129"/>
      <c r="M805" s="129"/>
      <c r="N805" s="4"/>
      <c r="O805" s="4"/>
      <c r="P805" s="4"/>
      <c r="Q805" s="4"/>
      <c r="R805" s="4"/>
      <c r="S805" s="4"/>
      <c r="T805" s="4"/>
      <c r="U805" s="4"/>
      <c r="V805" s="4"/>
      <c r="W805" s="4"/>
      <c r="X805" s="4"/>
      <c r="Y805" s="4"/>
      <c r="Z805" s="4"/>
      <c r="AA805" s="4"/>
      <c r="AB805" s="4"/>
      <c r="AC805" s="4"/>
      <c r="AD805" s="4"/>
      <c r="AE805" s="4"/>
      <c r="AF805" s="4"/>
    </row>
    <row r="806" ht="15.75" customHeight="1">
      <c r="A806" s="4"/>
      <c r="B806" s="4"/>
      <c r="C806" s="4"/>
      <c r="D806" s="4"/>
      <c r="E806" s="4"/>
      <c r="F806" s="4"/>
      <c r="G806" s="4"/>
      <c r="H806" s="4"/>
      <c r="I806" s="129"/>
      <c r="J806" s="129"/>
      <c r="K806" s="129"/>
      <c r="L806" s="129"/>
      <c r="M806" s="129"/>
      <c r="N806" s="4"/>
      <c r="O806" s="4"/>
      <c r="P806" s="4"/>
      <c r="Q806" s="4"/>
      <c r="R806" s="4"/>
      <c r="S806" s="4"/>
      <c r="T806" s="4"/>
      <c r="U806" s="4"/>
      <c r="V806" s="4"/>
      <c r="W806" s="4"/>
      <c r="X806" s="4"/>
      <c r="Y806" s="4"/>
      <c r="Z806" s="4"/>
      <c r="AA806" s="4"/>
      <c r="AB806" s="4"/>
      <c r="AC806" s="4"/>
      <c r="AD806" s="4"/>
      <c r="AE806" s="4"/>
      <c r="AF806" s="4"/>
    </row>
    <row r="807" ht="15.75" customHeight="1">
      <c r="A807" s="4"/>
      <c r="B807" s="4"/>
      <c r="C807" s="4"/>
      <c r="D807" s="4"/>
      <c r="E807" s="4"/>
      <c r="F807" s="4"/>
      <c r="G807" s="4"/>
      <c r="H807" s="4"/>
      <c r="I807" s="129"/>
      <c r="J807" s="129"/>
      <c r="K807" s="129"/>
      <c r="L807" s="129"/>
      <c r="M807" s="129"/>
      <c r="N807" s="4"/>
      <c r="O807" s="4"/>
      <c r="P807" s="4"/>
      <c r="Q807" s="4"/>
      <c r="R807" s="4"/>
      <c r="S807" s="4"/>
      <c r="T807" s="4"/>
      <c r="U807" s="4"/>
      <c r="V807" s="4"/>
      <c r="W807" s="4"/>
      <c r="X807" s="4"/>
      <c r="Y807" s="4"/>
      <c r="Z807" s="4"/>
      <c r="AA807" s="4"/>
      <c r="AB807" s="4"/>
      <c r="AC807" s="4"/>
      <c r="AD807" s="4"/>
      <c r="AE807" s="4"/>
      <c r="AF807" s="4"/>
    </row>
    <row r="808" ht="15.75" customHeight="1">
      <c r="A808" s="4"/>
      <c r="B808" s="4"/>
      <c r="C808" s="4"/>
      <c r="D808" s="4"/>
      <c r="E808" s="4"/>
      <c r="F808" s="4"/>
      <c r="G808" s="4"/>
      <c r="H808" s="4"/>
      <c r="I808" s="129"/>
      <c r="J808" s="129"/>
      <c r="K808" s="129"/>
      <c r="L808" s="129"/>
      <c r="M808" s="129"/>
      <c r="N808" s="4"/>
      <c r="O808" s="4"/>
      <c r="P808" s="4"/>
      <c r="Q808" s="4"/>
      <c r="R808" s="4"/>
      <c r="S808" s="4"/>
      <c r="T808" s="4"/>
      <c r="U808" s="4"/>
      <c r="V808" s="4"/>
      <c r="W808" s="4"/>
      <c r="X808" s="4"/>
      <c r="Y808" s="4"/>
      <c r="Z808" s="4"/>
      <c r="AA808" s="4"/>
      <c r="AB808" s="4"/>
      <c r="AC808" s="4"/>
      <c r="AD808" s="4"/>
      <c r="AE808" s="4"/>
      <c r="AF808" s="4"/>
    </row>
    <row r="809" ht="15.75" customHeight="1">
      <c r="A809" s="4"/>
      <c r="B809" s="4"/>
      <c r="C809" s="4"/>
      <c r="D809" s="4"/>
      <c r="E809" s="4"/>
      <c r="F809" s="4"/>
      <c r="G809" s="4"/>
      <c r="H809" s="4"/>
      <c r="I809" s="129"/>
      <c r="J809" s="129"/>
      <c r="K809" s="129"/>
      <c r="L809" s="129"/>
      <c r="M809" s="129"/>
      <c r="N809" s="4"/>
      <c r="O809" s="4"/>
      <c r="P809" s="4"/>
      <c r="Q809" s="4"/>
      <c r="R809" s="4"/>
      <c r="S809" s="4"/>
      <c r="T809" s="4"/>
      <c r="U809" s="4"/>
      <c r="V809" s="4"/>
      <c r="W809" s="4"/>
      <c r="X809" s="4"/>
      <c r="Y809" s="4"/>
      <c r="Z809" s="4"/>
      <c r="AA809" s="4"/>
      <c r="AB809" s="4"/>
      <c r="AC809" s="4"/>
      <c r="AD809" s="4"/>
      <c r="AE809" s="4"/>
      <c r="AF809" s="4"/>
    </row>
    <row r="810" ht="15.75" customHeight="1">
      <c r="A810" s="4"/>
      <c r="B810" s="4"/>
      <c r="C810" s="4"/>
      <c r="D810" s="4"/>
      <c r="E810" s="4"/>
      <c r="F810" s="4"/>
      <c r="G810" s="4"/>
      <c r="H810" s="4"/>
      <c r="I810" s="129"/>
      <c r="J810" s="129"/>
      <c r="K810" s="129"/>
      <c r="L810" s="129"/>
      <c r="M810" s="129"/>
      <c r="N810" s="4"/>
      <c r="O810" s="4"/>
      <c r="P810" s="4"/>
      <c r="Q810" s="4"/>
      <c r="R810" s="4"/>
      <c r="S810" s="4"/>
      <c r="T810" s="4"/>
      <c r="U810" s="4"/>
      <c r="V810" s="4"/>
      <c r="W810" s="4"/>
      <c r="X810" s="4"/>
      <c r="Y810" s="4"/>
      <c r="Z810" s="4"/>
      <c r="AA810" s="4"/>
      <c r="AB810" s="4"/>
      <c r="AC810" s="4"/>
      <c r="AD810" s="4"/>
      <c r="AE810" s="4"/>
      <c r="AF810" s="4"/>
    </row>
    <row r="811" ht="15.75" customHeight="1">
      <c r="A811" s="4"/>
      <c r="B811" s="4"/>
      <c r="C811" s="4"/>
      <c r="D811" s="4"/>
      <c r="E811" s="4"/>
      <c r="F811" s="4"/>
      <c r="G811" s="4"/>
      <c r="H811" s="4"/>
      <c r="I811" s="129"/>
      <c r="J811" s="129"/>
      <c r="K811" s="129"/>
      <c r="L811" s="129"/>
      <c r="M811" s="129"/>
      <c r="N811" s="4"/>
      <c r="O811" s="4"/>
      <c r="P811" s="4"/>
      <c r="Q811" s="4"/>
      <c r="R811" s="4"/>
      <c r="S811" s="4"/>
      <c r="T811" s="4"/>
      <c r="U811" s="4"/>
      <c r="V811" s="4"/>
      <c r="W811" s="4"/>
      <c r="X811" s="4"/>
      <c r="Y811" s="4"/>
      <c r="Z811" s="4"/>
      <c r="AA811" s="4"/>
      <c r="AB811" s="4"/>
      <c r="AC811" s="4"/>
      <c r="AD811" s="4"/>
      <c r="AE811" s="4"/>
      <c r="AF811" s="4"/>
    </row>
    <row r="812" ht="15.75" customHeight="1">
      <c r="A812" s="4"/>
      <c r="B812" s="4"/>
      <c r="C812" s="4"/>
      <c r="D812" s="4"/>
      <c r="E812" s="4"/>
      <c r="F812" s="4"/>
      <c r="G812" s="4"/>
      <c r="H812" s="4"/>
      <c r="I812" s="129"/>
      <c r="J812" s="129"/>
      <c r="K812" s="129"/>
      <c r="L812" s="129"/>
      <c r="M812" s="129"/>
      <c r="N812" s="4"/>
      <c r="O812" s="4"/>
      <c r="P812" s="4"/>
      <c r="Q812" s="4"/>
      <c r="R812" s="4"/>
      <c r="S812" s="4"/>
      <c r="T812" s="4"/>
      <c r="U812" s="4"/>
      <c r="V812" s="4"/>
      <c r="W812" s="4"/>
      <c r="X812" s="4"/>
      <c r="Y812" s="4"/>
      <c r="Z812" s="4"/>
      <c r="AA812" s="4"/>
      <c r="AB812" s="4"/>
      <c r="AC812" s="4"/>
      <c r="AD812" s="4"/>
      <c r="AE812" s="4"/>
      <c r="AF812" s="4"/>
    </row>
    <row r="813" ht="15.75" customHeight="1">
      <c r="A813" s="4"/>
      <c r="B813" s="4"/>
      <c r="C813" s="4"/>
      <c r="D813" s="4"/>
      <c r="E813" s="4"/>
      <c r="F813" s="4"/>
      <c r="G813" s="4"/>
      <c r="H813" s="4"/>
      <c r="I813" s="129"/>
      <c r="J813" s="129"/>
      <c r="K813" s="129"/>
      <c r="L813" s="129"/>
      <c r="M813" s="129"/>
      <c r="N813" s="4"/>
      <c r="O813" s="4"/>
      <c r="P813" s="4"/>
      <c r="Q813" s="4"/>
      <c r="R813" s="4"/>
      <c r="S813" s="4"/>
      <c r="T813" s="4"/>
      <c r="U813" s="4"/>
      <c r="V813" s="4"/>
      <c r="W813" s="4"/>
      <c r="X813" s="4"/>
      <c r="Y813" s="4"/>
      <c r="Z813" s="4"/>
      <c r="AA813" s="4"/>
      <c r="AB813" s="4"/>
      <c r="AC813" s="4"/>
      <c r="AD813" s="4"/>
      <c r="AE813" s="4"/>
      <c r="AF813" s="4"/>
    </row>
    <row r="814" ht="15.75" customHeight="1">
      <c r="A814" s="4"/>
      <c r="B814" s="4"/>
      <c r="C814" s="4"/>
      <c r="D814" s="4"/>
      <c r="E814" s="4"/>
      <c r="F814" s="4"/>
      <c r="G814" s="4"/>
      <c r="H814" s="4"/>
      <c r="I814" s="129"/>
      <c r="J814" s="129"/>
      <c r="K814" s="129"/>
      <c r="L814" s="129"/>
      <c r="M814" s="129"/>
      <c r="N814" s="4"/>
      <c r="O814" s="4"/>
      <c r="P814" s="4"/>
      <c r="Q814" s="4"/>
      <c r="R814" s="4"/>
      <c r="S814" s="4"/>
      <c r="T814" s="4"/>
      <c r="U814" s="4"/>
      <c r="V814" s="4"/>
      <c r="W814" s="4"/>
      <c r="X814" s="4"/>
      <c r="Y814" s="4"/>
      <c r="Z814" s="4"/>
      <c r="AA814" s="4"/>
      <c r="AB814" s="4"/>
      <c r="AC814" s="4"/>
      <c r="AD814" s="4"/>
      <c r="AE814" s="4"/>
      <c r="AF814" s="4"/>
    </row>
    <row r="815" ht="15.75" customHeight="1">
      <c r="A815" s="4"/>
      <c r="B815" s="4"/>
      <c r="C815" s="4"/>
      <c r="D815" s="4"/>
      <c r="E815" s="4"/>
      <c r="F815" s="4"/>
      <c r="G815" s="4"/>
      <c r="H815" s="4"/>
      <c r="I815" s="129"/>
      <c r="J815" s="129"/>
      <c r="K815" s="129"/>
      <c r="L815" s="129"/>
      <c r="M815" s="129"/>
      <c r="N815" s="4"/>
      <c r="O815" s="4"/>
      <c r="P815" s="4"/>
      <c r="Q815" s="4"/>
      <c r="R815" s="4"/>
      <c r="S815" s="4"/>
      <c r="T815" s="4"/>
      <c r="U815" s="4"/>
      <c r="V815" s="4"/>
      <c r="W815" s="4"/>
      <c r="X815" s="4"/>
      <c r="Y815" s="4"/>
      <c r="Z815" s="4"/>
      <c r="AA815" s="4"/>
      <c r="AB815" s="4"/>
      <c r="AC815" s="4"/>
      <c r="AD815" s="4"/>
      <c r="AE815" s="4"/>
      <c r="AF815" s="4"/>
    </row>
    <row r="816" ht="15.75" customHeight="1">
      <c r="A816" s="4"/>
      <c r="B816" s="4"/>
      <c r="C816" s="4"/>
      <c r="D816" s="4"/>
      <c r="E816" s="4"/>
      <c r="F816" s="4"/>
      <c r="G816" s="4"/>
      <c r="H816" s="4"/>
      <c r="I816" s="129"/>
      <c r="J816" s="129"/>
      <c r="K816" s="129"/>
      <c r="L816" s="129"/>
      <c r="M816" s="129"/>
      <c r="N816" s="4"/>
      <c r="O816" s="4"/>
      <c r="P816" s="4"/>
      <c r="Q816" s="4"/>
      <c r="R816" s="4"/>
      <c r="S816" s="4"/>
      <c r="T816" s="4"/>
      <c r="U816" s="4"/>
      <c r="V816" s="4"/>
      <c r="W816" s="4"/>
      <c r="X816" s="4"/>
      <c r="Y816" s="4"/>
      <c r="Z816" s="4"/>
      <c r="AA816" s="4"/>
      <c r="AB816" s="4"/>
      <c r="AC816" s="4"/>
      <c r="AD816" s="4"/>
      <c r="AE816" s="4"/>
      <c r="AF816" s="4"/>
    </row>
    <row r="817" ht="15.75" customHeight="1">
      <c r="A817" s="4"/>
      <c r="B817" s="4"/>
      <c r="C817" s="4"/>
      <c r="D817" s="4"/>
      <c r="E817" s="4"/>
      <c r="F817" s="4"/>
      <c r="G817" s="4"/>
      <c r="H817" s="4"/>
      <c r="I817" s="129"/>
      <c r="J817" s="129"/>
      <c r="K817" s="129"/>
      <c r="L817" s="129"/>
      <c r="M817" s="129"/>
      <c r="N817" s="4"/>
      <c r="O817" s="4"/>
      <c r="P817" s="4"/>
      <c r="Q817" s="4"/>
      <c r="R817" s="4"/>
      <c r="S817" s="4"/>
      <c r="T817" s="4"/>
      <c r="U817" s="4"/>
      <c r="V817" s="4"/>
      <c r="W817" s="4"/>
      <c r="X817" s="4"/>
      <c r="Y817" s="4"/>
      <c r="Z817" s="4"/>
      <c r="AA817" s="4"/>
      <c r="AB817" s="4"/>
      <c r="AC817" s="4"/>
      <c r="AD817" s="4"/>
      <c r="AE817" s="4"/>
      <c r="AF817" s="4"/>
    </row>
    <row r="818" ht="15.75" customHeight="1">
      <c r="A818" s="4"/>
      <c r="B818" s="4"/>
      <c r="C818" s="4"/>
      <c r="D818" s="4"/>
      <c r="E818" s="4"/>
      <c r="F818" s="4"/>
      <c r="G818" s="4"/>
      <c r="H818" s="4"/>
      <c r="I818" s="129"/>
      <c r="J818" s="129"/>
      <c r="K818" s="129"/>
      <c r="L818" s="129"/>
      <c r="M818" s="129"/>
      <c r="N818" s="4"/>
      <c r="O818" s="4"/>
      <c r="P818" s="4"/>
      <c r="Q818" s="4"/>
      <c r="R818" s="4"/>
      <c r="S818" s="4"/>
      <c r="T818" s="4"/>
      <c r="U818" s="4"/>
      <c r="V818" s="4"/>
      <c r="W818" s="4"/>
      <c r="X818" s="4"/>
      <c r="Y818" s="4"/>
      <c r="Z818" s="4"/>
      <c r="AA818" s="4"/>
      <c r="AB818" s="4"/>
      <c r="AC818" s="4"/>
      <c r="AD818" s="4"/>
      <c r="AE818" s="4"/>
      <c r="AF818" s="4"/>
    </row>
    <row r="819" ht="15.75" customHeight="1">
      <c r="A819" s="4"/>
      <c r="B819" s="4"/>
      <c r="C819" s="4"/>
      <c r="D819" s="4"/>
      <c r="E819" s="4"/>
      <c r="F819" s="4"/>
      <c r="G819" s="4"/>
      <c r="H819" s="4"/>
      <c r="I819" s="129"/>
      <c r="J819" s="129"/>
      <c r="K819" s="129"/>
      <c r="L819" s="129"/>
      <c r="M819" s="129"/>
      <c r="N819" s="4"/>
      <c r="O819" s="4"/>
      <c r="P819" s="4"/>
      <c r="Q819" s="4"/>
      <c r="R819" s="4"/>
      <c r="S819" s="4"/>
      <c r="T819" s="4"/>
      <c r="U819" s="4"/>
      <c r="V819" s="4"/>
      <c r="W819" s="4"/>
      <c r="X819" s="4"/>
      <c r="Y819" s="4"/>
      <c r="Z819" s="4"/>
      <c r="AA819" s="4"/>
      <c r="AB819" s="4"/>
      <c r="AC819" s="4"/>
      <c r="AD819" s="4"/>
      <c r="AE819" s="4"/>
      <c r="AF819" s="4"/>
    </row>
    <row r="820" ht="15.75" customHeight="1">
      <c r="A820" s="4"/>
      <c r="B820" s="4"/>
      <c r="C820" s="4"/>
      <c r="D820" s="4"/>
      <c r="E820" s="4"/>
      <c r="F820" s="4"/>
      <c r="G820" s="4"/>
      <c r="H820" s="4"/>
      <c r="I820" s="129"/>
      <c r="J820" s="129"/>
      <c r="K820" s="129"/>
      <c r="L820" s="129"/>
      <c r="M820" s="129"/>
      <c r="N820" s="4"/>
      <c r="O820" s="4"/>
      <c r="P820" s="4"/>
      <c r="Q820" s="4"/>
      <c r="R820" s="4"/>
      <c r="S820" s="4"/>
      <c r="T820" s="4"/>
      <c r="U820" s="4"/>
      <c r="V820" s="4"/>
      <c r="W820" s="4"/>
      <c r="X820" s="4"/>
      <c r="Y820" s="4"/>
      <c r="Z820" s="4"/>
      <c r="AA820" s="4"/>
      <c r="AB820" s="4"/>
      <c r="AC820" s="4"/>
      <c r="AD820" s="4"/>
      <c r="AE820" s="4"/>
      <c r="AF820" s="4"/>
    </row>
    <row r="821" ht="15.75" customHeight="1">
      <c r="A821" s="4"/>
      <c r="B821" s="4"/>
      <c r="C821" s="4"/>
      <c r="D821" s="4"/>
      <c r="E821" s="4"/>
      <c r="F821" s="4"/>
      <c r="G821" s="4"/>
      <c r="H821" s="4"/>
      <c r="I821" s="129"/>
      <c r="J821" s="129"/>
      <c r="K821" s="129"/>
      <c r="L821" s="129"/>
      <c r="M821" s="129"/>
      <c r="N821" s="4"/>
      <c r="O821" s="4"/>
      <c r="P821" s="4"/>
      <c r="Q821" s="4"/>
      <c r="R821" s="4"/>
      <c r="S821" s="4"/>
      <c r="T821" s="4"/>
      <c r="U821" s="4"/>
      <c r="V821" s="4"/>
      <c r="W821" s="4"/>
      <c r="X821" s="4"/>
      <c r="Y821" s="4"/>
      <c r="Z821" s="4"/>
      <c r="AA821" s="4"/>
      <c r="AB821" s="4"/>
      <c r="AC821" s="4"/>
      <c r="AD821" s="4"/>
      <c r="AE821" s="4"/>
      <c r="AF821" s="4"/>
    </row>
    <row r="822" ht="15.75" customHeight="1">
      <c r="A822" s="4"/>
      <c r="B822" s="4"/>
      <c r="C822" s="4"/>
      <c r="D822" s="4"/>
      <c r="E822" s="4"/>
      <c r="F822" s="4"/>
      <c r="G822" s="4"/>
      <c r="H822" s="4"/>
      <c r="I822" s="129"/>
      <c r="J822" s="129"/>
      <c r="K822" s="129"/>
      <c r="L822" s="129"/>
      <c r="M822" s="129"/>
      <c r="N822" s="4"/>
      <c r="O822" s="4"/>
      <c r="P822" s="4"/>
      <c r="Q822" s="4"/>
      <c r="R822" s="4"/>
      <c r="S822" s="4"/>
      <c r="T822" s="4"/>
      <c r="U822" s="4"/>
      <c r="V822" s="4"/>
      <c r="W822" s="4"/>
      <c r="X822" s="4"/>
      <c r="Y822" s="4"/>
      <c r="Z822" s="4"/>
      <c r="AA822" s="4"/>
      <c r="AB822" s="4"/>
      <c r="AC822" s="4"/>
      <c r="AD822" s="4"/>
      <c r="AE822" s="4"/>
      <c r="AF822" s="4"/>
    </row>
    <row r="823" ht="15.75" customHeight="1">
      <c r="A823" s="4"/>
      <c r="B823" s="4"/>
      <c r="C823" s="4"/>
      <c r="D823" s="4"/>
      <c r="E823" s="4"/>
      <c r="F823" s="4"/>
      <c r="G823" s="4"/>
      <c r="H823" s="4"/>
      <c r="I823" s="129"/>
      <c r="J823" s="129"/>
      <c r="K823" s="129"/>
      <c r="L823" s="129"/>
      <c r="M823" s="129"/>
      <c r="N823" s="4"/>
      <c r="O823" s="4"/>
      <c r="P823" s="4"/>
      <c r="Q823" s="4"/>
      <c r="R823" s="4"/>
      <c r="S823" s="4"/>
      <c r="T823" s="4"/>
      <c r="U823" s="4"/>
      <c r="V823" s="4"/>
      <c r="W823" s="4"/>
      <c r="X823" s="4"/>
      <c r="Y823" s="4"/>
      <c r="Z823" s="4"/>
      <c r="AA823" s="4"/>
      <c r="AB823" s="4"/>
      <c r="AC823" s="4"/>
      <c r="AD823" s="4"/>
      <c r="AE823" s="4"/>
      <c r="AF823" s="4"/>
    </row>
    <row r="824" ht="15.75" customHeight="1">
      <c r="A824" s="4"/>
      <c r="B824" s="4"/>
      <c r="C824" s="4"/>
      <c r="D824" s="4"/>
      <c r="E824" s="4"/>
      <c r="F824" s="4"/>
      <c r="G824" s="4"/>
      <c r="H824" s="4"/>
      <c r="I824" s="129"/>
      <c r="J824" s="129"/>
      <c r="K824" s="129"/>
      <c r="L824" s="129"/>
      <c r="M824" s="129"/>
      <c r="N824" s="4"/>
      <c r="O824" s="4"/>
      <c r="P824" s="4"/>
      <c r="Q824" s="4"/>
      <c r="R824" s="4"/>
      <c r="S824" s="4"/>
      <c r="T824" s="4"/>
      <c r="U824" s="4"/>
      <c r="V824" s="4"/>
      <c r="W824" s="4"/>
      <c r="X824" s="4"/>
      <c r="Y824" s="4"/>
      <c r="Z824" s="4"/>
      <c r="AA824" s="4"/>
      <c r="AB824" s="4"/>
      <c r="AC824" s="4"/>
      <c r="AD824" s="4"/>
      <c r="AE824" s="4"/>
      <c r="AF824" s="4"/>
    </row>
    <row r="825" ht="15.75" customHeight="1">
      <c r="A825" s="4"/>
      <c r="B825" s="4"/>
      <c r="C825" s="4"/>
      <c r="D825" s="4"/>
      <c r="E825" s="4"/>
      <c r="F825" s="4"/>
      <c r="G825" s="4"/>
      <c r="H825" s="4"/>
      <c r="I825" s="129"/>
      <c r="J825" s="129"/>
      <c r="K825" s="129"/>
      <c r="L825" s="129"/>
      <c r="M825" s="129"/>
      <c r="N825" s="4"/>
      <c r="O825" s="4"/>
      <c r="P825" s="4"/>
      <c r="Q825" s="4"/>
      <c r="R825" s="4"/>
      <c r="S825" s="4"/>
      <c r="T825" s="4"/>
      <c r="U825" s="4"/>
      <c r="V825" s="4"/>
      <c r="W825" s="4"/>
      <c r="X825" s="4"/>
      <c r="Y825" s="4"/>
      <c r="Z825" s="4"/>
      <c r="AA825" s="4"/>
      <c r="AB825" s="4"/>
      <c r="AC825" s="4"/>
      <c r="AD825" s="4"/>
      <c r="AE825" s="4"/>
      <c r="AF825" s="4"/>
    </row>
    <row r="826" ht="15.75" customHeight="1">
      <c r="A826" s="4"/>
      <c r="B826" s="4"/>
      <c r="C826" s="4"/>
      <c r="D826" s="4"/>
      <c r="E826" s="4"/>
      <c r="F826" s="4"/>
      <c r="G826" s="4"/>
      <c r="H826" s="4"/>
      <c r="I826" s="129"/>
      <c r="J826" s="129"/>
      <c r="K826" s="129"/>
      <c r="L826" s="129"/>
      <c r="M826" s="129"/>
      <c r="N826" s="4"/>
      <c r="O826" s="4"/>
      <c r="P826" s="4"/>
      <c r="Q826" s="4"/>
      <c r="R826" s="4"/>
      <c r="S826" s="4"/>
      <c r="T826" s="4"/>
      <c r="U826" s="4"/>
      <c r="V826" s="4"/>
      <c r="W826" s="4"/>
      <c r="X826" s="4"/>
      <c r="Y826" s="4"/>
      <c r="Z826" s="4"/>
      <c r="AA826" s="4"/>
      <c r="AB826" s="4"/>
      <c r="AC826" s="4"/>
      <c r="AD826" s="4"/>
      <c r="AE826" s="4"/>
      <c r="AF826" s="4"/>
    </row>
    <row r="827" ht="15.75" customHeight="1">
      <c r="A827" s="4"/>
      <c r="B827" s="4"/>
      <c r="C827" s="4"/>
      <c r="D827" s="4"/>
      <c r="E827" s="4"/>
      <c r="F827" s="4"/>
      <c r="G827" s="4"/>
      <c r="H827" s="4"/>
      <c r="I827" s="129"/>
      <c r="J827" s="129"/>
      <c r="K827" s="129"/>
      <c r="L827" s="129"/>
      <c r="M827" s="129"/>
      <c r="N827" s="4"/>
      <c r="O827" s="4"/>
      <c r="P827" s="4"/>
      <c r="Q827" s="4"/>
      <c r="R827" s="4"/>
      <c r="S827" s="4"/>
      <c r="T827" s="4"/>
      <c r="U827" s="4"/>
      <c r="V827" s="4"/>
      <c r="W827" s="4"/>
      <c r="X827" s="4"/>
      <c r="Y827" s="4"/>
      <c r="Z827" s="4"/>
      <c r="AA827" s="4"/>
      <c r="AB827" s="4"/>
      <c r="AC827" s="4"/>
      <c r="AD827" s="4"/>
      <c r="AE827" s="4"/>
      <c r="AF827" s="4"/>
    </row>
    <row r="828" ht="15.75" customHeight="1">
      <c r="A828" s="4"/>
      <c r="B828" s="4"/>
      <c r="C828" s="4"/>
      <c r="D828" s="4"/>
      <c r="E828" s="4"/>
      <c r="F828" s="4"/>
      <c r="G828" s="4"/>
      <c r="H828" s="4"/>
      <c r="I828" s="129"/>
      <c r="J828" s="129"/>
      <c r="K828" s="129"/>
      <c r="L828" s="129"/>
      <c r="M828" s="129"/>
      <c r="N828" s="4"/>
      <c r="O828" s="4"/>
      <c r="P828" s="4"/>
      <c r="Q828" s="4"/>
      <c r="R828" s="4"/>
      <c r="S828" s="4"/>
      <c r="T828" s="4"/>
      <c r="U828" s="4"/>
      <c r="V828" s="4"/>
      <c r="W828" s="4"/>
      <c r="X828" s="4"/>
      <c r="Y828" s="4"/>
      <c r="Z828" s="4"/>
      <c r="AA828" s="4"/>
      <c r="AB828" s="4"/>
      <c r="AC828" s="4"/>
      <c r="AD828" s="4"/>
      <c r="AE828" s="4"/>
      <c r="AF828" s="4"/>
    </row>
    <row r="829" ht="15.75" customHeight="1">
      <c r="A829" s="4"/>
      <c r="B829" s="4"/>
      <c r="C829" s="4"/>
      <c r="D829" s="4"/>
      <c r="E829" s="4"/>
      <c r="F829" s="4"/>
      <c r="G829" s="4"/>
      <c r="H829" s="4"/>
      <c r="I829" s="129"/>
      <c r="J829" s="129"/>
      <c r="K829" s="129"/>
      <c r="L829" s="129"/>
      <c r="M829" s="129"/>
      <c r="N829" s="4"/>
      <c r="O829" s="4"/>
      <c r="P829" s="4"/>
      <c r="Q829" s="4"/>
      <c r="R829" s="4"/>
      <c r="S829" s="4"/>
      <c r="T829" s="4"/>
      <c r="U829" s="4"/>
      <c r="V829" s="4"/>
      <c r="W829" s="4"/>
      <c r="X829" s="4"/>
      <c r="Y829" s="4"/>
      <c r="Z829" s="4"/>
      <c r="AA829" s="4"/>
      <c r="AB829" s="4"/>
      <c r="AC829" s="4"/>
      <c r="AD829" s="4"/>
      <c r="AE829" s="4"/>
      <c r="AF829" s="4"/>
    </row>
    <row r="830" ht="15.75" customHeight="1">
      <c r="A830" s="4"/>
      <c r="B830" s="4"/>
      <c r="C830" s="4"/>
      <c r="D830" s="4"/>
      <c r="E830" s="4"/>
      <c r="F830" s="4"/>
      <c r="G830" s="4"/>
      <c r="H830" s="4"/>
      <c r="I830" s="129"/>
      <c r="J830" s="129"/>
      <c r="K830" s="129"/>
      <c r="L830" s="129"/>
      <c r="M830" s="129"/>
      <c r="N830" s="4"/>
      <c r="O830" s="4"/>
      <c r="P830" s="4"/>
      <c r="Q830" s="4"/>
      <c r="R830" s="4"/>
      <c r="S830" s="4"/>
      <c r="T830" s="4"/>
      <c r="U830" s="4"/>
      <c r="V830" s="4"/>
      <c r="W830" s="4"/>
      <c r="X830" s="4"/>
      <c r="Y830" s="4"/>
      <c r="Z830" s="4"/>
      <c r="AA830" s="4"/>
      <c r="AB830" s="4"/>
      <c r="AC830" s="4"/>
      <c r="AD830" s="4"/>
      <c r="AE830" s="4"/>
      <c r="AF830" s="4"/>
    </row>
    <row r="831" ht="15.75" customHeight="1">
      <c r="A831" s="4"/>
      <c r="B831" s="4"/>
      <c r="C831" s="4"/>
      <c r="D831" s="4"/>
      <c r="E831" s="4"/>
      <c r="F831" s="4"/>
      <c r="G831" s="4"/>
      <c r="H831" s="4"/>
      <c r="I831" s="129"/>
      <c r="J831" s="129"/>
      <c r="K831" s="129"/>
      <c r="L831" s="129"/>
      <c r="M831" s="129"/>
      <c r="N831" s="4"/>
      <c r="O831" s="4"/>
      <c r="P831" s="4"/>
      <c r="Q831" s="4"/>
      <c r="R831" s="4"/>
      <c r="S831" s="4"/>
      <c r="T831" s="4"/>
      <c r="U831" s="4"/>
      <c r="V831" s="4"/>
      <c r="W831" s="4"/>
      <c r="X831" s="4"/>
      <c r="Y831" s="4"/>
      <c r="Z831" s="4"/>
      <c r="AA831" s="4"/>
      <c r="AB831" s="4"/>
      <c r="AC831" s="4"/>
      <c r="AD831" s="4"/>
      <c r="AE831" s="4"/>
      <c r="AF831" s="4"/>
    </row>
    <row r="832" ht="15.75" customHeight="1">
      <c r="A832" s="4"/>
      <c r="B832" s="4"/>
      <c r="C832" s="4"/>
      <c r="D832" s="4"/>
      <c r="E832" s="4"/>
      <c r="F832" s="4"/>
      <c r="G832" s="4"/>
      <c r="H832" s="4"/>
      <c r="I832" s="129"/>
      <c r="J832" s="129"/>
      <c r="K832" s="129"/>
      <c r="L832" s="129"/>
      <c r="M832" s="129"/>
      <c r="N832" s="4"/>
      <c r="O832" s="4"/>
      <c r="P832" s="4"/>
      <c r="Q832" s="4"/>
      <c r="R832" s="4"/>
      <c r="S832" s="4"/>
      <c r="T832" s="4"/>
      <c r="U832" s="4"/>
      <c r="V832" s="4"/>
      <c r="W832" s="4"/>
      <c r="X832" s="4"/>
      <c r="Y832" s="4"/>
      <c r="Z832" s="4"/>
      <c r="AA832" s="4"/>
      <c r="AB832" s="4"/>
      <c r="AC832" s="4"/>
      <c r="AD832" s="4"/>
      <c r="AE832" s="4"/>
      <c r="AF832" s="4"/>
    </row>
    <row r="833" ht="15.75" customHeight="1">
      <c r="A833" s="4"/>
      <c r="B833" s="4"/>
      <c r="C833" s="4"/>
      <c r="D833" s="4"/>
      <c r="E833" s="4"/>
      <c r="F833" s="4"/>
      <c r="G833" s="4"/>
      <c r="H833" s="4"/>
      <c r="I833" s="129"/>
      <c r="J833" s="129"/>
      <c r="K833" s="129"/>
      <c r="L833" s="129"/>
      <c r="M833" s="129"/>
      <c r="N833" s="4"/>
      <c r="O833" s="4"/>
      <c r="P833" s="4"/>
      <c r="Q833" s="4"/>
      <c r="R833" s="4"/>
      <c r="S833" s="4"/>
      <c r="T833" s="4"/>
      <c r="U833" s="4"/>
      <c r="V833" s="4"/>
      <c r="W833" s="4"/>
      <c r="X833" s="4"/>
      <c r="Y833" s="4"/>
      <c r="Z833" s="4"/>
      <c r="AA833" s="4"/>
      <c r="AB833" s="4"/>
      <c r="AC833" s="4"/>
      <c r="AD833" s="4"/>
      <c r="AE833" s="4"/>
      <c r="AF833" s="4"/>
    </row>
    <row r="834" ht="15.75" customHeight="1">
      <c r="A834" s="4"/>
      <c r="B834" s="4"/>
      <c r="C834" s="4"/>
      <c r="D834" s="4"/>
      <c r="E834" s="4"/>
      <c r="F834" s="4"/>
      <c r="G834" s="4"/>
      <c r="H834" s="4"/>
      <c r="I834" s="129"/>
      <c r="J834" s="129"/>
      <c r="K834" s="129"/>
      <c r="L834" s="129"/>
      <c r="M834" s="129"/>
      <c r="N834" s="4"/>
      <c r="O834" s="4"/>
      <c r="P834" s="4"/>
      <c r="Q834" s="4"/>
      <c r="R834" s="4"/>
      <c r="S834" s="4"/>
      <c r="T834" s="4"/>
      <c r="U834" s="4"/>
      <c r="V834" s="4"/>
      <c r="W834" s="4"/>
      <c r="X834" s="4"/>
      <c r="Y834" s="4"/>
      <c r="Z834" s="4"/>
      <c r="AA834" s="4"/>
      <c r="AB834" s="4"/>
      <c r="AC834" s="4"/>
      <c r="AD834" s="4"/>
      <c r="AE834" s="4"/>
      <c r="AF834" s="4"/>
    </row>
    <row r="835" ht="15.75" customHeight="1">
      <c r="A835" s="4"/>
      <c r="B835" s="4"/>
      <c r="C835" s="4"/>
      <c r="D835" s="4"/>
      <c r="E835" s="4"/>
      <c r="F835" s="4"/>
      <c r="G835" s="4"/>
      <c r="H835" s="4"/>
      <c r="I835" s="129"/>
      <c r="J835" s="129"/>
      <c r="K835" s="129"/>
      <c r="L835" s="129"/>
      <c r="M835" s="129"/>
      <c r="N835" s="4"/>
      <c r="O835" s="4"/>
      <c r="P835" s="4"/>
      <c r="Q835" s="4"/>
      <c r="R835" s="4"/>
      <c r="S835" s="4"/>
      <c r="T835" s="4"/>
      <c r="U835" s="4"/>
      <c r="V835" s="4"/>
      <c r="W835" s="4"/>
      <c r="X835" s="4"/>
      <c r="Y835" s="4"/>
      <c r="Z835" s="4"/>
      <c r="AA835" s="4"/>
      <c r="AB835" s="4"/>
      <c r="AC835" s="4"/>
      <c r="AD835" s="4"/>
      <c r="AE835" s="4"/>
      <c r="AF835" s="4"/>
    </row>
    <row r="836" ht="15.75" customHeight="1">
      <c r="A836" s="4"/>
      <c r="B836" s="4"/>
      <c r="C836" s="4"/>
      <c r="D836" s="4"/>
      <c r="E836" s="4"/>
      <c r="F836" s="4"/>
      <c r="G836" s="4"/>
      <c r="H836" s="4"/>
      <c r="I836" s="129"/>
      <c r="J836" s="129"/>
      <c r="K836" s="129"/>
      <c r="L836" s="129"/>
      <c r="M836" s="129"/>
      <c r="N836" s="4"/>
      <c r="O836" s="4"/>
      <c r="P836" s="4"/>
      <c r="Q836" s="4"/>
      <c r="R836" s="4"/>
      <c r="S836" s="4"/>
      <c r="T836" s="4"/>
      <c r="U836" s="4"/>
      <c r="V836" s="4"/>
      <c r="W836" s="4"/>
      <c r="X836" s="4"/>
      <c r="Y836" s="4"/>
      <c r="Z836" s="4"/>
      <c r="AA836" s="4"/>
      <c r="AB836" s="4"/>
      <c r="AC836" s="4"/>
      <c r="AD836" s="4"/>
      <c r="AE836" s="4"/>
      <c r="AF836" s="4"/>
    </row>
    <row r="837" ht="15.75" customHeight="1">
      <c r="A837" s="4"/>
      <c r="B837" s="4"/>
      <c r="C837" s="4"/>
      <c r="D837" s="4"/>
      <c r="E837" s="4"/>
      <c r="F837" s="4"/>
      <c r="G837" s="4"/>
      <c r="H837" s="4"/>
      <c r="I837" s="129"/>
      <c r="J837" s="129"/>
      <c r="K837" s="129"/>
      <c r="L837" s="129"/>
      <c r="M837" s="129"/>
      <c r="N837" s="4"/>
      <c r="O837" s="4"/>
      <c r="P837" s="4"/>
      <c r="Q837" s="4"/>
      <c r="R837" s="4"/>
      <c r="S837" s="4"/>
      <c r="T837" s="4"/>
      <c r="U837" s="4"/>
      <c r="V837" s="4"/>
      <c r="W837" s="4"/>
      <c r="X837" s="4"/>
      <c r="Y837" s="4"/>
      <c r="Z837" s="4"/>
      <c r="AA837" s="4"/>
      <c r="AB837" s="4"/>
      <c r="AC837" s="4"/>
      <c r="AD837" s="4"/>
      <c r="AE837" s="4"/>
      <c r="AF837" s="4"/>
    </row>
    <row r="838" ht="15.75" customHeight="1">
      <c r="A838" s="4"/>
      <c r="B838" s="4"/>
      <c r="C838" s="4"/>
      <c r="D838" s="4"/>
      <c r="E838" s="4"/>
      <c r="F838" s="4"/>
      <c r="G838" s="4"/>
      <c r="H838" s="4"/>
      <c r="I838" s="129"/>
      <c r="J838" s="129"/>
      <c r="K838" s="129"/>
      <c r="L838" s="129"/>
      <c r="M838" s="129"/>
      <c r="N838" s="4"/>
      <c r="O838" s="4"/>
      <c r="P838" s="4"/>
      <c r="Q838" s="4"/>
      <c r="R838" s="4"/>
      <c r="S838" s="4"/>
      <c r="T838" s="4"/>
      <c r="U838" s="4"/>
      <c r="V838" s="4"/>
      <c r="W838" s="4"/>
      <c r="X838" s="4"/>
      <c r="Y838" s="4"/>
      <c r="Z838" s="4"/>
      <c r="AA838" s="4"/>
      <c r="AB838" s="4"/>
      <c r="AC838" s="4"/>
      <c r="AD838" s="4"/>
      <c r="AE838" s="4"/>
      <c r="AF838" s="4"/>
    </row>
    <row r="839" ht="15.75" customHeight="1">
      <c r="A839" s="4"/>
      <c r="B839" s="4"/>
      <c r="C839" s="4"/>
      <c r="D839" s="4"/>
      <c r="E839" s="4"/>
      <c r="F839" s="4"/>
      <c r="G839" s="4"/>
      <c r="H839" s="4"/>
      <c r="I839" s="129"/>
      <c r="J839" s="129"/>
      <c r="K839" s="129"/>
      <c r="L839" s="129"/>
      <c r="M839" s="129"/>
      <c r="N839" s="4"/>
      <c r="O839" s="4"/>
      <c r="P839" s="4"/>
      <c r="Q839" s="4"/>
      <c r="R839" s="4"/>
      <c r="S839" s="4"/>
      <c r="T839" s="4"/>
      <c r="U839" s="4"/>
      <c r="V839" s="4"/>
      <c r="W839" s="4"/>
      <c r="X839" s="4"/>
      <c r="Y839" s="4"/>
      <c r="Z839" s="4"/>
      <c r="AA839" s="4"/>
      <c r="AB839" s="4"/>
      <c r="AC839" s="4"/>
      <c r="AD839" s="4"/>
      <c r="AE839" s="4"/>
      <c r="AF839" s="4"/>
    </row>
    <row r="840" ht="15.75" customHeight="1">
      <c r="A840" s="4"/>
      <c r="B840" s="4"/>
      <c r="C840" s="4"/>
      <c r="D840" s="4"/>
      <c r="E840" s="4"/>
      <c r="F840" s="4"/>
      <c r="G840" s="4"/>
      <c r="H840" s="4"/>
      <c r="I840" s="129"/>
      <c r="J840" s="129"/>
      <c r="K840" s="129"/>
      <c r="L840" s="129"/>
      <c r="M840" s="129"/>
      <c r="N840" s="4"/>
      <c r="O840" s="4"/>
      <c r="P840" s="4"/>
      <c r="Q840" s="4"/>
      <c r="R840" s="4"/>
      <c r="S840" s="4"/>
      <c r="T840" s="4"/>
      <c r="U840" s="4"/>
      <c r="V840" s="4"/>
      <c r="W840" s="4"/>
      <c r="X840" s="4"/>
      <c r="Y840" s="4"/>
      <c r="Z840" s="4"/>
      <c r="AA840" s="4"/>
      <c r="AB840" s="4"/>
      <c r="AC840" s="4"/>
      <c r="AD840" s="4"/>
      <c r="AE840" s="4"/>
      <c r="AF840" s="4"/>
    </row>
    <row r="841" ht="15.75" customHeight="1">
      <c r="A841" s="4"/>
      <c r="B841" s="4"/>
      <c r="C841" s="4"/>
      <c r="D841" s="4"/>
      <c r="E841" s="4"/>
      <c r="F841" s="4"/>
      <c r="G841" s="4"/>
      <c r="H841" s="4"/>
      <c r="I841" s="129"/>
      <c r="J841" s="129"/>
      <c r="K841" s="129"/>
      <c r="L841" s="129"/>
      <c r="M841" s="129"/>
      <c r="N841" s="4"/>
      <c r="O841" s="4"/>
      <c r="P841" s="4"/>
      <c r="Q841" s="4"/>
      <c r="R841" s="4"/>
      <c r="S841" s="4"/>
      <c r="T841" s="4"/>
      <c r="U841" s="4"/>
      <c r="V841" s="4"/>
      <c r="W841" s="4"/>
      <c r="X841" s="4"/>
      <c r="Y841" s="4"/>
      <c r="Z841" s="4"/>
      <c r="AA841" s="4"/>
      <c r="AB841" s="4"/>
      <c r="AC841" s="4"/>
      <c r="AD841" s="4"/>
      <c r="AE841" s="4"/>
      <c r="AF841" s="4"/>
    </row>
    <row r="842" ht="15.75" customHeight="1">
      <c r="A842" s="4"/>
      <c r="B842" s="4"/>
      <c r="C842" s="4"/>
      <c r="D842" s="4"/>
      <c r="E842" s="4"/>
      <c r="F842" s="4"/>
      <c r="G842" s="4"/>
      <c r="H842" s="4"/>
      <c r="I842" s="129"/>
      <c r="J842" s="129"/>
      <c r="K842" s="129"/>
      <c r="L842" s="129"/>
      <c r="M842" s="129"/>
      <c r="N842" s="4"/>
      <c r="O842" s="4"/>
      <c r="P842" s="4"/>
      <c r="Q842" s="4"/>
      <c r="R842" s="4"/>
      <c r="S842" s="4"/>
      <c r="T842" s="4"/>
      <c r="U842" s="4"/>
      <c r="V842" s="4"/>
      <c r="W842" s="4"/>
      <c r="X842" s="4"/>
      <c r="Y842" s="4"/>
      <c r="Z842" s="4"/>
      <c r="AA842" s="4"/>
      <c r="AB842" s="4"/>
      <c r="AC842" s="4"/>
      <c r="AD842" s="4"/>
      <c r="AE842" s="4"/>
      <c r="AF842" s="4"/>
    </row>
    <row r="843" ht="15.75" customHeight="1">
      <c r="A843" s="4"/>
      <c r="B843" s="4"/>
      <c r="C843" s="4"/>
      <c r="D843" s="4"/>
      <c r="E843" s="4"/>
      <c r="F843" s="4"/>
      <c r="G843" s="4"/>
      <c r="H843" s="4"/>
      <c r="I843" s="129"/>
      <c r="J843" s="129"/>
      <c r="K843" s="129"/>
      <c r="L843" s="129"/>
      <c r="M843" s="129"/>
      <c r="N843" s="4"/>
      <c r="O843" s="4"/>
      <c r="P843" s="4"/>
      <c r="Q843" s="4"/>
      <c r="R843" s="4"/>
      <c r="S843" s="4"/>
      <c r="T843" s="4"/>
      <c r="U843" s="4"/>
      <c r="V843" s="4"/>
      <c r="W843" s="4"/>
      <c r="X843" s="4"/>
      <c r="Y843" s="4"/>
      <c r="Z843" s="4"/>
      <c r="AA843" s="4"/>
      <c r="AB843" s="4"/>
      <c r="AC843" s="4"/>
      <c r="AD843" s="4"/>
      <c r="AE843" s="4"/>
      <c r="AF843" s="4"/>
    </row>
    <row r="844" ht="15.75" customHeight="1">
      <c r="A844" s="4"/>
      <c r="B844" s="4"/>
      <c r="C844" s="4"/>
      <c r="D844" s="4"/>
      <c r="E844" s="4"/>
      <c r="F844" s="4"/>
      <c r="G844" s="4"/>
      <c r="H844" s="4"/>
      <c r="I844" s="129"/>
      <c r="J844" s="129"/>
      <c r="K844" s="129"/>
      <c r="L844" s="129"/>
      <c r="M844" s="129"/>
      <c r="N844" s="4"/>
      <c r="O844" s="4"/>
      <c r="P844" s="4"/>
      <c r="Q844" s="4"/>
      <c r="R844" s="4"/>
      <c r="S844" s="4"/>
      <c r="T844" s="4"/>
      <c r="U844" s="4"/>
      <c r="V844" s="4"/>
      <c r="W844" s="4"/>
      <c r="X844" s="4"/>
      <c r="Y844" s="4"/>
      <c r="Z844" s="4"/>
      <c r="AA844" s="4"/>
      <c r="AB844" s="4"/>
      <c r="AC844" s="4"/>
      <c r="AD844" s="4"/>
      <c r="AE844" s="4"/>
      <c r="AF844" s="4"/>
    </row>
    <row r="845" ht="15.75" customHeight="1">
      <c r="A845" s="4"/>
      <c r="B845" s="4"/>
      <c r="C845" s="4"/>
      <c r="D845" s="4"/>
      <c r="E845" s="4"/>
      <c r="F845" s="4"/>
      <c r="G845" s="4"/>
      <c r="H845" s="4"/>
      <c r="I845" s="129"/>
      <c r="J845" s="129"/>
      <c r="K845" s="129"/>
      <c r="L845" s="129"/>
      <c r="M845" s="129"/>
      <c r="N845" s="4"/>
      <c r="O845" s="4"/>
      <c r="P845" s="4"/>
      <c r="Q845" s="4"/>
      <c r="R845" s="4"/>
      <c r="S845" s="4"/>
      <c r="T845" s="4"/>
      <c r="U845" s="4"/>
      <c r="V845" s="4"/>
      <c r="W845" s="4"/>
      <c r="X845" s="4"/>
      <c r="Y845" s="4"/>
      <c r="Z845" s="4"/>
      <c r="AA845" s="4"/>
      <c r="AB845" s="4"/>
      <c r="AC845" s="4"/>
      <c r="AD845" s="4"/>
      <c r="AE845" s="4"/>
      <c r="AF845" s="4"/>
    </row>
    <row r="846" ht="15.75" customHeight="1">
      <c r="A846" s="4"/>
      <c r="B846" s="4"/>
      <c r="C846" s="4"/>
      <c r="D846" s="4"/>
      <c r="E846" s="4"/>
      <c r="F846" s="4"/>
      <c r="G846" s="4"/>
      <c r="H846" s="4"/>
      <c r="I846" s="129"/>
      <c r="J846" s="129"/>
      <c r="K846" s="129"/>
      <c r="L846" s="129"/>
      <c r="M846" s="129"/>
      <c r="N846" s="4"/>
      <c r="O846" s="4"/>
      <c r="P846" s="4"/>
      <c r="Q846" s="4"/>
      <c r="R846" s="4"/>
      <c r="S846" s="4"/>
      <c r="T846" s="4"/>
      <c r="U846" s="4"/>
      <c r="V846" s="4"/>
      <c r="W846" s="4"/>
      <c r="X846" s="4"/>
      <c r="Y846" s="4"/>
      <c r="Z846" s="4"/>
      <c r="AA846" s="4"/>
      <c r="AB846" s="4"/>
      <c r="AC846" s="4"/>
      <c r="AD846" s="4"/>
      <c r="AE846" s="4"/>
      <c r="AF846" s="4"/>
    </row>
    <row r="847" ht="15.75" customHeight="1">
      <c r="A847" s="4"/>
      <c r="B847" s="4"/>
      <c r="C847" s="4"/>
      <c r="D847" s="4"/>
      <c r="E847" s="4"/>
      <c r="F847" s="4"/>
      <c r="G847" s="4"/>
      <c r="H847" s="4"/>
      <c r="I847" s="129"/>
      <c r="J847" s="129"/>
      <c r="K847" s="129"/>
      <c r="L847" s="129"/>
      <c r="M847" s="129"/>
      <c r="N847" s="4"/>
      <c r="O847" s="4"/>
      <c r="P847" s="4"/>
      <c r="Q847" s="4"/>
      <c r="R847" s="4"/>
      <c r="S847" s="4"/>
      <c r="T847" s="4"/>
      <c r="U847" s="4"/>
      <c r="V847" s="4"/>
      <c r="W847" s="4"/>
      <c r="X847" s="4"/>
      <c r="Y847" s="4"/>
      <c r="Z847" s="4"/>
      <c r="AA847" s="4"/>
      <c r="AB847" s="4"/>
      <c r="AC847" s="4"/>
      <c r="AD847" s="4"/>
      <c r="AE847" s="4"/>
      <c r="AF847" s="4"/>
    </row>
    <row r="848" ht="15.75" customHeight="1">
      <c r="A848" s="4"/>
      <c r="B848" s="4"/>
      <c r="C848" s="4"/>
      <c r="D848" s="4"/>
      <c r="E848" s="4"/>
      <c r="F848" s="4"/>
      <c r="G848" s="4"/>
      <c r="H848" s="4"/>
      <c r="I848" s="129"/>
      <c r="J848" s="129"/>
      <c r="K848" s="129"/>
      <c r="L848" s="129"/>
      <c r="M848" s="129"/>
      <c r="N848" s="4"/>
      <c r="O848" s="4"/>
      <c r="P848" s="4"/>
      <c r="Q848" s="4"/>
      <c r="R848" s="4"/>
      <c r="S848" s="4"/>
      <c r="T848" s="4"/>
      <c r="U848" s="4"/>
      <c r="V848" s="4"/>
      <c r="W848" s="4"/>
      <c r="X848" s="4"/>
      <c r="Y848" s="4"/>
      <c r="Z848" s="4"/>
      <c r="AA848" s="4"/>
      <c r="AB848" s="4"/>
      <c r="AC848" s="4"/>
      <c r="AD848" s="4"/>
      <c r="AE848" s="4"/>
      <c r="AF848" s="4"/>
    </row>
    <row r="849" ht="15.75" customHeight="1">
      <c r="A849" s="4"/>
      <c r="B849" s="4"/>
      <c r="C849" s="4"/>
      <c r="D849" s="4"/>
      <c r="E849" s="4"/>
      <c r="F849" s="4"/>
      <c r="G849" s="4"/>
      <c r="H849" s="4"/>
      <c r="I849" s="129"/>
      <c r="J849" s="129"/>
      <c r="K849" s="129"/>
      <c r="L849" s="129"/>
      <c r="M849" s="129"/>
      <c r="N849" s="4"/>
      <c r="O849" s="4"/>
      <c r="P849" s="4"/>
      <c r="Q849" s="4"/>
      <c r="R849" s="4"/>
      <c r="S849" s="4"/>
      <c r="T849" s="4"/>
      <c r="U849" s="4"/>
      <c r="V849" s="4"/>
      <c r="W849" s="4"/>
      <c r="X849" s="4"/>
      <c r="Y849" s="4"/>
      <c r="Z849" s="4"/>
      <c r="AA849" s="4"/>
      <c r="AB849" s="4"/>
      <c r="AC849" s="4"/>
      <c r="AD849" s="4"/>
      <c r="AE849" s="4"/>
      <c r="AF849" s="4"/>
    </row>
    <row r="850" ht="15.75" customHeight="1">
      <c r="A850" s="4"/>
      <c r="B850" s="4"/>
      <c r="C850" s="4"/>
      <c r="D850" s="4"/>
      <c r="E850" s="4"/>
      <c r="F850" s="4"/>
      <c r="G850" s="4"/>
      <c r="H850" s="4"/>
      <c r="I850" s="129"/>
      <c r="J850" s="129"/>
      <c r="K850" s="129"/>
      <c r="L850" s="129"/>
      <c r="M850" s="129"/>
      <c r="N850" s="4"/>
      <c r="O850" s="4"/>
      <c r="P850" s="4"/>
      <c r="Q850" s="4"/>
      <c r="R850" s="4"/>
      <c r="S850" s="4"/>
      <c r="T850" s="4"/>
      <c r="U850" s="4"/>
      <c r="V850" s="4"/>
      <c r="W850" s="4"/>
      <c r="X850" s="4"/>
      <c r="Y850" s="4"/>
      <c r="Z850" s="4"/>
      <c r="AA850" s="4"/>
      <c r="AB850" s="4"/>
      <c r="AC850" s="4"/>
      <c r="AD850" s="4"/>
      <c r="AE850" s="4"/>
      <c r="AF850" s="4"/>
    </row>
    <row r="851" ht="15.75" customHeight="1">
      <c r="A851" s="4"/>
      <c r="B851" s="4"/>
      <c r="C851" s="4"/>
      <c r="D851" s="4"/>
      <c r="E851" s="4"/>
      <c r="F851" s="4"/>
      <c r="G851" s="4"/>
      <c r="H851" s="4"/>
      <c r="I851" s="129"/>
      <c r="J851" s="129"/>
      <c r="K851" s="129"/>
      <c r="L851" s="129"/>
      <c r="M851" s="129"/>
      <c r="N851" s="4"/>
      <c r="O851" s="4"/>
      <c r="P851" s="4"/>
      <c r="Q851" s="4"/>
      <c r="R851" s="4"/>
      <c r="S851" s="4"/>
      <c r="T851" s="4"/>
      <c r="U851" s="4"/>
      <c r="V851" s="4"/>
      <c r="W851" s="4"/>
      <c r="X851" s="4"/>
      <c r="Y851" s="4"/>
      <c r="Z851" s="4"/>
      <c r="AA851" s="4"/>
      <c r="AB851" s="4"/>
      <c r="AC851" s="4"/>
      <c r="AD851" s="4"/>
      <c r="AE851" s="4"/>
      <c r="AF851" s="4"/>
    </row>
    <row r="852" ht="15.75" customHeight="1">
      <c r="A852" s="4"/>
      <c r="B852" s="4"/>
      <c r="C852" s="4"/>
      <c r="D852" s="4"/>
      <c r="E852" s="4"/>
      <c r="F852" s="4"/>
      <c r="G852" s="4"/>
      <c r="H852" s="4"/>
      <c r="I852" s="129"/>
      <c r="J852" s="129"/>
      <c r="K852" s="129"/>
      <c r="L852" s="129"/>
      <c r="M852" s="129"/>
      <c r="N852" s="4"/>
      <c r="O852" s="4"/>
      <c r="P852" s="4"/>
      <c r="Q852" s="4"/>
      <c r="R852" s="4"/>
      <c r="S852" s="4"/>
      <c r="T852" s="4"/>
      <c r="U852" s="4"/>
      <c r="V852" s="4"/>
      <c r="W852" s="4"/>
      <c r="X852" s="4"/>
      <c r="Y852" s="4"/>
      <c r="Z852" s="4"/>
      <c r="AA852" s="4"/>
      <c r="AB852" s="4"/>
      <c r="AC852" s="4"/>
      <c r="AD852" s="4"/>
      <c r="AE852" s="4"/>
      <c r="AF852" s="4"/>
    </row>
    <row r="853" ht="15.75" customHeight="1">
      <c r="A853" s="4"/>
      <c r="B853" s="4"/>
      <c r="C853" s="4"/>
      <c r="D853" s="4"/>
      <c r="E853" s="4"/>
      <c r="F853" s="4"/>
      <c r="G853" s="4"/>
      <c r="H853" s="4"/>
      <c r="I853" s="129"/>
      <c r="J853" s="129"/>
      <c r="K853" s="129"/>
      <c r="L853" s="129"/>
      <c r="M853" s="129"/>
      <c r="N853" s="4"/>
      <c r="O853" s="4"/>
      <c r="P853" s="4"/>
      <c r="Q853" s="4"/>
      <c r="R853" s="4"/>
      <c r="S853" s="4"/>
      <c r="T853" s="4"/>
      <c r="U853" s="4"/>
      <c r="V853" s="4"/>
      <c r="W853" s="4"/>
      <c r="X853" s="4"/>
      <c r="Y853" s="4"/>
      <c r="Z853" s="4"/>
      <c r="AA853" s="4"/>
      <c r="AB853" s="4"/>
      <c r="AC853" s="4"/>
      <c r="AD853" s="4"/>
      <c r="AE853" s="4"/>
      <c r="AF853" s="4"/>
    </row>
    <row r="854" ht="15.75" customHeight="1">
      <c r="A854" s="4"/>
      <c r="B854" s="4"/>
      <c r="C854" s="4"/>
      <c r="D854" s="4"/>
      <c r="E854" s="4"/>
      <c r="F854" s="4"/>
      <c r="G854" s="4"/>
      <c r="H854" s="4"/>
      <c r="I854" s="129"/>
      <c r="J854" s="129"/>
      <c r="K854" s="129"/>
      <c r="L854" s="129"/>
      <c r="M854" s="129"/>
      <c r="N854" s="4"/>
      <c r="O854" s="4"/>
      <c r="P854" s="4"/>
      <c r="Q854" s="4"/>
      <c r="R854" s="4"/>
      <c r="S854" s="4"/>
      <c r="T854" s="4"/>
      <c r="U854" s="4"/>
      <c r="V854" s="4"/>
      <c r="W854" s="4"/>
      <c r="X854" s="4"/>
      <c r="Y854" s="4"/>
      <c r="Z854" s="4"/>
      <c r="AA854" s="4"/>
      <c r="AB854" s="4"/>
      <c r="AC854" s="4"/>
      <c r="AD854" s="4"/>
      <c r="AE854" s="4"/>
      <c r="AF854" s="4"/>
    </row>
    <row r="855" ht="15.75" customHeight="1">
      <c r="A855" s="4"/>
      <c r="B855" s="4"/>
      <c r="C855" s="4"/>
      <c r="D855" s="4"/>
      <c r="E855" s="4"/>
      <c r="F855" s="4"/>
      <c r="G855" s="4"/>
      <c r="H855" s="4"/>
      <c r="I855" s="129"/>
      <c r="J855" s="129"/>
      <c r="K855" s="129"/>
      <c r="L855" s="129"/>
      <c r="M855" s="129"/>
      <c r="N855" s="4"/>
      <c r="O855" s="4"/>
      <c r="P855" s="4"/>
      <c r="Q855" s="4"/>
      <c r="R855" s="4"/>
      <c r="S855" s="4"/>
      <c r="T855" s="4"/>
      <c r="U855" s="4"/>
      <c r="V855" s="4"/>
      <c r="W855" s="4"/>
      <c r="X855" s="4"/>
      <c r="Y855" s="4"/>
      <c r="Z855" s="4"/>
      <c r="AA855" s="4"/>
      <c r="AB855" s="4"/>
      <c r="AC855" s="4"/>
      <c r="AD855" s="4"/>
      <c r="AE855" s="4"/>
      <c r="AF855" s="4"/>
    </row>
    <row r="856" ht="15.75" customHeight="1">
      <c r="A856" s="4"/>
      <c r="B856" s="4"/>
      <c r="C856" s="4"/>
      <c r="D856" s="4"/>
      <c r="E856" s="4"/>
      <c r="F856" s="4"/>
      <c r="G856" s="4"/>
      <c r="H856" s="4"/>
      <c r="I856" s="129"/>
      <c r="J856" s="129"/>
      <c r="K856" s="129"/>
      <c r="L856" s="129"/>
      <c r="M856" s="129"/>
      <c r="N856" s="4"/>
      <c r="O856" s="4"/>
      <c r="P856" s="4"/>
      <c r="Q856" s="4"/>
      <c r="R856" s="4"/>
      <c r="S856" s="4"/>
      <c r="T856" s="4"/>
      <c r="U856" s="4"/>
      <c r="V856" s="4"/>
      <c r="W856" s="4"/>
      <c r="X856" s="4"/>
      <c r="Y856" s="4"/>
      <c r="Z856" s="4"/>
      <c r="AA856" s="4"/>
      <c r="AB856" s="4"/>
      <c r="AC856" s="4"/>
      <c r="AD856" s="4"/>
      <c r="AE856" s="4"/>
      <c r="AF856" s="4"/>
    </row>
    <row r="857" ht="15.75" customHeight="1">
      <c r="A857" s="4"/>
      <c r="B857" s="4"/>
      <c r="C857" s="4"/>
      <c r="D857" s="4"/>
      <c r="E857" s="4"/>
      <c r="F857" s="4"/>
      <c r="G857" s="4"/>
      <c r="H857" s="4"/>
      <c r="I857" s="129"/>
      <c r="J857" s="129"/>
      <c r="K857" s="129"/>
      <c r="L857" s="129"/>
      <c r="M857" s="129"/>
      <c r="N857" s="4"/>
      <c r="O857" s="4"/>
      <c r="P857" s="4"/>
      <c r="Q857" s="4"/>
      <c r="R857" s="4"/>
      <c r="S857" s="4"/>
      <c r="T857" s="4"/>
      <c r="U857" s="4"/>
      <c r="V857" s="4"/>
      <c r="W857" s="4"/>
      <c r="X857" s="4"/>
      <c r="Y857" s="4"/>
      <c r="Z857" s="4"/>
      <c r="AA857" s="4"/>
      <c r="AB857" s="4"/>
      <c r="AC857" s="4"/>
      <c r="AD857" s="4"/>
      <c r="AE857" s="4"/>
      <c r="AF857" s="4"/>
    </row>
    <row r="858" ht="15.75" customHeight="1">
      <c r="A858" s="4"/>
      <c r="B858" s="4"/>
      <c r="C858" s="4"/>
      <c r="D858" s="4"/>
      <c r="E858" s="4"/>
      <c r="F858" s="4"/>
      <c r="G858" s="4"/>
      <c r="H858" s="4"/>
      <c r="I858" s="129"/>
      <c r="J858" s="129"/>
      <c r="K858" s="129"/>
      <c r="L858" s="129"/>
      <c r="M858" s="129"/>
      <c r="N858" s="4"/>
      <c r="O858" s="4"/>
      <c r="P858" s="4"/>
      <c r="Q858" s="4"/>
      <c r="R858" s="4"/>
      <c r="S858" s="4"/>
      <c r="T858" s="4"/>
      <c r="U858" s="4"/>
      <c r="V858" s="4"/>
      <c r="W858" s="4"/>
      <c r="X858" s="4"/>
      <c r="Y858" s="4"/>
      <c r="Z858" s="4"/>
      <c r="AA858" s="4"/>
      <c r="AB858" s="4"/>
      <c r="AC858" s="4"/>
      <c r="AD858" s="4"/>
      <c r="AE858" s="4"/>
      <c r="AF858" s="4"/>
    </row>
    <row r="859" ht="15.75" customHeight="1">
      <c r="A859" s="4"/>
      <c r="B859" s="4"/>
      <c r="C859" s="4"/>
      <c r="D859" s="4"/>
      <c r="E859" s="4"/>
      <c r="F859" s="4"/>
      <c r="G859" s="4"/>
      <c r="H859" s="4"/>
      <c r="I859" s="129"/>
      <c r="J859" s="129"/>
      <c r="K859" s="129"/>
      <c r="L859" s="129"/>
      <c r="M859" s="129"/>
      <c r="N859" s="4"/>
      <c r="O859" s="4"/>
      <c r="P859" s="4"/>
      <c r="Q859" s="4"/>
      <c r="R859" s="4"/>
      <c r="S859" s="4"/>
      <c r="T859" s="4"/>
      <c r="U859" s="4"/>
      <c r="V859" s="4"/>
      <c r="W859" s="4"/>
      <c r="X859" s="4"/>
      <c r="Y859" s="4"/>
      <c r="Z859" s="4"/>
      <c r="AA859" s="4"/>
      <c r="AB859" s="4"/>
      <c r="AC859" s="4"/>
      <c r="AD859" s="4"/>
      <c r="AE859" s="4"/>
      <c r="AF859" s="4"/>
    </row>
    <row r="860" ht="15.75" customHeight="1">
      <c r="A860" s="4"/>
      <c r="B860" s="4"/>
      <c r="C860" s="4"/>
      <c r="D860" s="4"/>
      <c r="E860" s="4"/>
      <c r="F860" s="4"/>
      <c r="G860" s="4"/>
      <c r="H860" s="4"/>
      <c r="I860" s="129"/>
      <c r="J860" s="129"/>
      <c r="K860" s="129"/>
      <c r="L860" s="129"/>
      <c r="M860" s="129"/>
      <c r="N860" s="4"/>
      <c r="O860" s="4"/>
      <c r="P860" s="4"/>
      <c r="Q860" s="4"/>
      <c r="R860" s="4"/>
      <c r="S860" s="4"/>
      <c r="T860" s="4"/>
      <c r="U860" s="4"/>
      <c r="V860" s="4"/>
      <c r="W860" s="4"/>
      <c r="X860" s="4"/>
      <c r="Y860" s="4"/>
      <c r="Z860" s="4"/>
      <c r="AA860" s="4"/>
      <c r="AB860" s="4"/>
      <c r="AC860" s="4"/>
      <c r="AD860" s="4"/>
      <c r="AE860" s="4"/>
      <c r="AF860" s="4"/>
    </row>
    <row r="861" ht="15.75" customHeight="1">
      <c r="A861" s="4"/>
      <c r="B861" s="4"/>
      <c r="C861" s="4"/>
      <c r="D861" s="4"/>
      <c r="E861" s="4"/>
      <c r="F861" s="4"/>
      <c r="G861" s="4"/>
      <c r="H861" s="4"/>
      <c r="I861" s="129"/>
      <c r="J861" s="129"/>
      <c r="K861" s="129"/>
      <c r="L861" s="129"/>
      <c r="M861" s="129"/>
      <c r="N861" s="4"/>
      <c r="O861" s="4"/>
      <c r="P861" s="4"/>
      <c r="Q861" s="4"/>
      <c r="R861" s="4"/>
      <c r="S861" s="4"/>
      <c r="T861" s="4"/>
      <c r="U861" s="4"/>
      <c r="V861" s="4"/>
      <c r="W861" s="4"/>
      <c r="X861" s="4"/>
      <c r="Y861" s="4"/>
      <c r="Z861" s="4"/>
      <c r="AA861" s="4"/>
      <c r="AB861" s="4"/>
      <c r="AC861" s="4"/>
      <c r="AD861" s="4"/>
      <c r="AE861" s="4"/>
      <c r="AF861" s="4"/>
    </row>
    <row r="862" ht="15.75" customHeight="1">
      <c r="A862" s="4"/>
      <c r="B862" s="4"/>
      <c r="C862" s="4"/>
      <c r="D862" s="4"/>
      <c r="E862" s="4"/>
      <c r="F862" s="4"/>
      <c r="G862" s="4"/>
      <c r="H862" s="4"/>
      <c r="I862" s="129"/>
      <c r="J862" s="129"/>
      <c r="K862" s="129"/>
      <c r="L862" s="129"/>
      <c r="M862" s="129"/>
      <c r="N862" s="4"/>
      <c r="O862" s="4"/>
      <c r="P862" s="4"/>
      <c r="Q862" s="4"/>
      <c r="R862" s="4"/>
      <c r="S862" s="4"/>
      <c r="T862" s="4"/>
      <c r="U862" s="4"/>
      <c r="V862" s="4"/>
      <c r="W862" s="4"/>
      <c r="X862" s="4"/>
      <c r="Y862" s="4"/>
      <c r="Z862" s="4"/>
      <c r="AA862" s="4"/>
      <c r="AB862" s="4"/>
      <c r="AC862" s="4"/>
      <c r="AD862" s="4"/>
      <c r="AE862" s="4"/>
      <c r="AF862" s="4"/>
    </row>
    <row r="863" ht="15.75" customHeight="1">
      <c r="A863" s="4"/>
      <c r="B863" s="4"/>
      <c r="C863" s="4"/>
      <c r="D863" s="4"/>
      <c r="E863" s="4"/>
      <c r="F863" s="4"/>
      <c r="G863" s="4"/>
      <c r="H863" s="4"/>
      <c r="I863" s="129"/>
      <c r="J863" s="129"/>
      <c r="K863" s="129"/>
      <c r="L863" s="129"/>
      <c r="M863" s="129"/>
      <c r="N863" s="4"/>
      <c r="O863" s="4"/>
      <c r="P863" s="4"/>
      <c r="Q863" s="4"/>
      <c r="R863" s="4"/>
      <c r="S863" s="4"/>
      <c r="T863" s="4"/>
      <c r="U863" s="4"/>
      <c r="V863" s="4"/>
      <c r="W863" s="4"/>
      <c r="X863" s="4"/>
      <c r="Y863" s="4"/>
      <c r="Z863" s="4"/>
      <c r="AA863" s="4"/>
      <c r="AB863" s="4"/>
      <c r="AC863" s="4"/>
      <c r="AD863" s="4"/>
      <c r="AE863" s="4"/>
      <c r="AF863" s="4"/>
    </row>
    <row r="864" ht="15.75" customHeight="1">
      <c r="A864" s="4"/>
      <c r="B864" s="4"/>
      <c r="C864" s="4"/>
      <c r="D864" s="4"/>
      <c r="E864" s="4"/>
      <c r="F864" s="4"/>
      <c r="G864" s="4"/>
      <c r="H864" s="4"/>
      <c r="I864" s="129"/>
      <c r="J864" s="129"/>
      <c r="K864" s="129"/>
      <c r="L864" s="129"/>
      <c r="M864" s="129"/>
      <c r="N864" s="4"/>
      <c r="O864" s="4"/>
      <c r="P864" s="4"/>
      <c r="Q864" s="4"/>
      <c r="R864" s="4"/>
      <c r="S864" s="4"/>
      <c r="T864" s="4"/>
      <c r="U864" s="4"/>
      <c r="V864" s="4"/>
      <c r="W864" s="4"/>
      <c r="X864" s="4"/>
      <c r="Y864" s="4"/>
      <c r="Z864" s="4"/>
      <c r="AA864" s="4"/>
      <c r="AB864" s="4"/>
      <c r="AC864" s="4"/>
      <c r="AD864" s="4"/>
      <c r="AE864" s="4"/>
      <c r="AF864" s="4"/>
    </row>
    <row r="865" ht="15.75" customHeight="1">
      <c r="A865" s="4"/>
      <c r="B865" s="4"/>
      <c r="C865" s="4"/>
      <c r="D865" s="4"/>
      <c r="E865" s="4"/>
      <c r="F865" s="4"/>
      <c r="G865" s="4"/>
      <c r="H865" s="4"/>
      <c r="I865" s="129"/>
      <c r="J865" s="129"/>
      <c r="K865" s="129"/>
      <c r="L865" s="129"/>
      <c r="M865" s="129"/>
      <c r="N865" s="4"/>
      <c r="O865" s="4"/>
      <c r="P865" s="4"/>
      <c r="Q865" s="4"/>
      <c r="R865" s="4"/>
      <c r="S865" s="4"/>
      <c r="T865" s="4"/>
      <c r="U865" s="4"/>
      <c r="V865" s="4"/>
      <c r="W865" s="4"/>
      <c r="X865" s="4"/>
      <c r="Y865" s="4"/>
      <c r="Z865" s="4"/>
      <c r="AA865" s="4"/>
      <c r="AB865" s="4"/>
      <c r="AC865" s="4"/>
      <c r="AD865" s="4"/>
      <c r="AE865" s="4"/>
      <c r="AF865" s="4"/>
    </row>
    <row r="866" ht="15.75" customHeight="1">
      <c r="A866" s="4"/>
      <c r="B866" s="4"/>
      <c r="C866" s="4"/>
      <c r="D866" s="4"/>
      <c r="E866" s="4"/>
      <c r="F866" s="4"/>
      <c r="G866" s="4"/>
      <c r="H866" s="4"/>
      <c r="I866" s="129"/>
      <c r="J866" s="129"/>
      <c r="K866" s="129"/>
      <c r="L866" s="129"/>
      <c r="M866" s="129"/>
      <c r="N866" s="4"/>
      <c r="O866" s="4"/>
      <c r="P866" s="4"/>
      <c r="Q866" s="4"/>
      <c r="R866" s="4"/>
      <c r="S866" s="4"/>
      <c r="T866" s="4"/>
      <c r="U866" s="4"/>
      <c r="V866" s="4"/>
      <c r="W866" s="4"/>
      <c r="X866" s="4"/>
      <c r="Y866" s="4"/>
      <c r="Z866" s="4"/>
      <c r="AA866" s="4"/>
      <c r="AB866" s="4"/>
      <c r="AC866" s="4"/>
      <c r="AD866" s="4"/>
      <c r="AE866" s="4"/>
      <c r="AF866" s="4"/>
    </row>
    <row r="867" ht="15.75" customHeight="1">
      <c r="A867" s="4"/>
      <c r="B867" s="4"/>
      <c r="C867" s="4"/>
      <c r="D867" s="4"/>
      <c r="E867" s="4"/>
      <c r="F867" s="4"/>
      <c r="G867" s="4"/>
      <c r="H867" s="4"/>
      <c r="I867" s="129"/>
      <c r="J867" s="129"/>
      <c r="K867" s="129"/>
      <c r="L867" s="129"/>
      <c r="M867" s="129"/>
      <c r="N867" s="4"/>
      <c r="O867" s="4"/>
      <c r="P867" s="4"/>
      <c r="Q867" s="4"/>
      <c r="R867" s="4"/>
      <c r="S867" s="4"/>
      <c r="T867" s="4"/>
      <c r="U867" s="4"/>
      <c r="V867" s="4"/>
      <c r="W867" s="4"/>
      <c r="X867" s="4"/>
      <c r="Y867" s="4"/>
      <c r="Z867" s="4"/>
      <c r="AA867" s="4"/>
      <c r="AB867" s="4"/>
      <c r="AC867" s="4"/>
      <c r="AD867" s="4"/>
      <c r="AE867" s="4"/>
      <c r="AF867" s="4"/>
    </row>
    <row r="868" ht="15.75" customHeight="1">
      <c r="A868" s="4"/>
      <c r="B868" s="4"/>
      <c r="C868" s="4"/>
      <c r="D868" s="4"/>
      <c r="E868" s="4"/>
      <c r="F868" s="4"/>
      <c r="G868" s="4"/>
      <c r="H868" s="4"/>
      <c r="I868" s="129"/>
      <c r="J868" s="129"/>
      <c r="K868" s="129"/>
      <c r="L868" s="129"/>
      <c r="M868" s="129"/>
      <c r="N868" s="4"/>
      <c r="O868" s="4"/>
      <c r="P868" s="4"/>
      <c r="Q868" s="4"/>
      <c r="R868" s="4"/>
      <c r="S868" s="4"/>
      <c r="T868" s="4"/>
      <c r="U868" s="4"/>
      <c r="V868" s="4"/>
      <c r="W868" s="4"/>
      <c r="X868" s="4"/>
      <c r="Y868" s="4"/>
      <c r="Z868" s="4"/>
      <c r="AA868" s="4"/>
      <c r="AB868" s="4"/>
      <c r="AC868" s="4"/>
      <c r="AD868" s="4"/>
      <c r="AE868" s="4"/>
      <c r="AF868" s="4"/>
    </row>
    <row r="869" ht="15.75" customHeight="1">
      <c r="A869" s="4"/>
      <c r="B869" s="4"/>
      <c r="C869" s="4"/>
      <c r="D869" s="4"/>
      <c r="E869" s="4"/>
      <c r="F869" s="4"/>
      <c r="G869" s="4"/>
      <c r="H869" s="4"/>
      <c r="I869" s="129"/>
      <c r="J869" s="129"/>
      <c r="K869" s="129"/>
      <c r="L869" s="129"/>
      <c r="M869" s="129"/>
      <c r="N869" s="4"/>
      <c r="O869" s="4"/>
      <c r="P869" s="4"/>
      <c r="Q869" s="4"/>
      <c r="R869" s="4"/>
      <c r="S869" s="4"/>
      <c r="T869" s="4"/>
      <c r="U869" s="4"/>
      <c r="V869" s="4"/>
      <c r="W869" s="4"/>
      <c r="X869" s="4"/>
      <c r="Y869" s="4"/>
      <c r="Z869" s="4"/>
      <c r="AA869" s="4"/>
      <c r="AB869" s="4"/>
      <c r="AC869" s="4"/>
      <c r="AD869" s="4"/>
      <c r="AE869" s="4"/>
      <c r="AF869" s="4"/>
    </row>
    <row r="870" ht="15.75" customHeight="1">
      <c r="A870" s="4"/>
      <c r="B870" s="4"/>
      <c r="C870" s="4"/>
      <c r="D870" s="4"/>
      <c r="E870" s="4"/>
      <c r="F870" s="4"/>
      <c r="G870" s="4"/>
      <c r="H870" s="4"/>
      <c r="I870" s="129"/>
      <c r="J870" s="129"/>
      <c r="K870" s="129"/>
      <c r="L870" s="129"/>
      <c r="M870" s="129"/>
      <c r="N870" s="4"/>
      <c r="O870" s="4"/>
      <c r="P870" s="4"/>
      <c r="Q870" s="4"/>
      <c r="R870" s="4"/>
      <c r="S870" s="4"/>
      <c r="T870" s="4"/>
      <c r="U870" s="4"/>
      <c r="V870" s="4"/>
      <c r="W870" s="4"/>
      <c r="X870" s="4"/>
      <c r="Y870" s="4"/>
      <c r="Z870" s="4"/>
      <c r="AA870" s="4"/>
      <c r="AB870" s="4"/>
      <c r="AC870" s="4"/>
      <c r="AD870" s="4"/>
      <c r="AE870" s="4"/>
      <c r="AF870" s="4"/>
    </row>
    <row r="871" ht="15.75" customHeight="1">
      <c r="A871" s="4"/>
      <c r="B871" s="4"/>
      <c r="C871" s="4"/>
      <c r="D871" s="4"/>
      <c r="E871" s="4"/>
      <c r="F871" s="4"/>
      <c r="G871" s="4"/>
      <c r="H871" s="4"/>
      <c r="I871" s="129"/>
      <c r="J871" s="129"/>
      <c r="K871" s="129"/>
      <c r="L871" s="129"/>
      <c r="M871" s="129"/>
      <c r="N871" s="4"/>
      <c r="O871" s="4"/>
      <c r="P871" s="4"/>
      <c r="Q871" s="4"/>
      <c r="R871" s="4"/>
      <c r="S871" s="4"/>
      <c r="T871" s="4"/>
      <c r="U871" s="4"/>
      <c r="V871" s="4"/>
      <c r="W871" s="4"/>
      <c r="X871" s="4"/>
      <c r="Y871" s="4"/>
      <c r="Z871" s="4"/>
      <c r="AA871" s="4"/>
      <c r="AB871" s="4"/>
      <c r="AC871" s="4"/>
      <c r="AD871" s="4"/>
      <c r="AE871" s="4"/>
      <c r="AF871" s="4"/>
    </row>
    <row r="872" ht="15.75" customHeight="1">
      <c r="A872" s="4"/>
      <c r="B872" s="4"/>
      <c r="C872" s="4"/>
      <c r="D872" s="4"/>
      <c r="E872" s="4"/>
      <c r="F872" s="4"/>
      <c r="G872" s="4"/>
      <c r="H872" s="4"/>
      <c r="I872" s="129"/>
      <c r="J872" s="129"/>
      <c r="K872" s="129"/>
      <c r="L872" s="129"/>
      <c r="M872" s="129"/>
      <c r="N872" s="4"/>
      <c r="O872" s="4"/>
      <c r="P872" s="4"/>
      <c r="Q872" s="4"/>
      <c r="R872" s="4"/>
      <c r="S872" s="4"/>
      <c r="T872" s="4"/>
      <c r="U872" s="4"/>
      <c r="V872" s="4"/>
      <c r="W872" s="4"/>
      <c r="X872" s="4"/>
      <c r="Y872" s="4"/>
      <c r="Z872" s="4"/>
      <c r="AA872" s="4"/>
      <c r="AB872" s="4"/>
      <c r="AC872" s="4"/>
      <c r="AD872" s="4"/>
      <c r="AE872" s="4"/>
      <c r="AF872" s="4"/>
    </row>
    <row r="873" ht="15.75" customHeight="1">
      <c r="A873" s="4"/>
      <c r="B873" s="4"/>
      <c r="C873" s="4"/>
      <c r="D873" s="4"/>
      <c r="E873" s="4"/>
      <c r="F873" s="4"/>
      <c r="G873" s="4"/>
      <c r="H873" s="4"/>
      <c r="I873" s="129"/>
      <c r="J873" s="129"/>
      <c r="K873" s="129"/>
      <c r="L873" s="129"/>
      <c r="M873" s="129"/>
      <c r="N873" s="4"/>
      <c r="O873" s="4"/>
      <c r="P873" s="4"/>
      <c r="Q873" s="4"/>
      <c r="R873" s="4"/>
      <c r="S873" s="4"/>
      <c r="T873" s="4"/>
      <c r="U873" s="4"/>
      <c r="V873" s="4"/>
      <c r="W873" s="4"/>
      <c r="X873" s="4"/>
      <c r="Y873" s="4"/>
      <c r="Z873" s="4"/>
      <c r="AA873" s="4"/>
      <c r="AB873" s="4"/>
      <c r="AC873" s="4"/>
      <c r="AD873" s="4"/>
      <c r="AE873" s="4"/>
      <c r="AF873" s="4"/>
    </row>
    <row r="874" ht="15.75" customHeight="1">
      <c r="A874" s="4"/>
      <c r="B874" s="4"/>
      <c r="C874" s="4"/>
      <c r="D874" s="4"/>
      <c r="E874" s="4"/>
      <c r="F874" s="4"/>
      <c r="G874" s="4"/>
      <c r="H874" s="4"/>
      <c r="I874" s="129"/>
      <c r="J874" s="129"/>
      <c r="K874" s="129"/>
      <c r="L874" s="129"/>
      <c r="M874" s="129"/>
      <c r="N874" s="4"/>
      <c r="O874" s="4"/>
      <c r="P874" s="4"/>
      <c r="Q874" s="4"/>
      <c r="R874" s="4"/>
      <c r="S874" s="4"/>
      <c r="T874" s="4"/>
      <c r="U874" s="4"/>
      <c r="V874" s="4"/>
      <c r="W874" s="4"/>
      <c r="X874" s="4"/>
      <c r="Y874" s="4"/>
      <c r="Z874" s="4"/>
      <c r="AA874" s="4"/>
      <c r="AB874" s="4"/>
      <c r="AC874" s="4"/>
      <c r="AD874" s="4"/>
      <c r="AE874" s="4"/>
      <c r="AF874" s="4"/>
    </row>
    <row r="875" ht="15.75" customHeight="1">
      <c r="A875" s="4"/>
      <c r="B875" s="4"/>
      <c r="C875" s="4"/>
      <c r="D875" s="4"/>
      <c r="E875" s="4"/>
      <c r="F875" s="4"/>
      <c r="G875" s="4"/>
      <c r="H875" s="4"/>
      <c r="I875" s="129"/>
      <c r="J875" s="129"/>
      <c r="K875" s="129"/>
      <c r="L875" s="129"/>
      <c r="M875" s="129"/>
      <c r="N875" s="4"/>
      <c r="O875" s="4"/>
      <c r="P875" s="4"/>
      <c r="Q875" s="4"/>
      <c r="R875" s="4"/>
      <c r="S875" s="4"/>
      <c r="T875" s="4"/>
      <c r="U875" s="4"/>
      <c r="V875" s="4"/>
      <c r="W875" s="4"/>
      <c r="X875" s="4"/>
      <c r="Y875" s="4"/>
      <c r="Z875" s="4"/>
      <c r="AA875" s="4"/>
      <c r="AB875" s="4"/>
      <c r="AC875" s="4"/>
      <c r="AD875" s="4"/>
      <c r="AE875" s="4"/>
      <c r="AF875" s="4"/>
    </row>
    <row r="876" ht="15.75" customHeight="1">
      <c r="A876" s="4"/>
      <c r="B876" s="4"/>
      <c r="C876" s="4"/>
      <c r="D876" s="4"/>
      <c r="E876" s="4"/>
      <c r="F876" s="4"/>
      <c r="G876" s="4"/>
      <c r="H876" s="4"/>
      <c r="I876" s="129"/>
      <c r="J876" s="129"/>
      <c r="K876" s="129"/>
      <c r="L876" s="129"/>
      <c r="M876" s="129"/>
      <c r="N876" s="4"/>
      <c r="O876" s="4"/>
      <c r="P876" s="4"/>
      <c r="Q876" s="4"/>
      <c r="R876" s="4"/>
      <c r="S876" s="4"/>
      <c r="T876" s="4"/>
      <c r="U876" s="4"/>
      <c r="V876" s="4"/>
      <c r="W876" s="4"/>
      <c r="X876" s="4"/>
      <c r="Y876" s="4"/>
      <c r="Z876" s="4"/>
      <c r="AA876" s="4"/>
      <c r="AB876" s="4"/>
      <c r="AC876" s="4"/>
      <c r="AD876" s="4"/>
      <c r="AE876" s="4"/>
      <c r="AF876" s="4"/>
    </row>
    <row r="877" ht="15.75" customHeight="1">
      <c r="A877" s="4"/>
      <c r="B877" s="4"/>
      <c r="C877" s="4"/>
      <c r="D877" s="4"/>
      <c r="E877" s="4"/>
      <c r="F877" s="4"/>
      <c r="G877" s="4"/>
      <c r="H877" s="4"/>
      <c r="I877" s="129"/>
      <c r="J877" s="129"/>
      <c r="K877" s="129"/>
      <c r="L877" s="129"/>
      <c r="M877" s="129"/>
      <c r="N877" s="4"/>
      <c r="O877" s="4"/>
      <c r="P877" s="4"/>
      <c r="Q877" s="4"/>
      <c r="R877" s="4"/>
      <c r="S877" s="4"/>
      <c r="T877" s="4"/>
      <c r="U877" s="4"/>
      <c r="V877" s="4"/>
      <c r="W877" s="4"/>
      <c r="X877" s="4"/>
      <c r="Y877" s="4"/>
      <c r="Z877" s="4"/>
      <c r="AA877" s="4"/>
      <c r="AB877" s="4"/>
      <c r="AC877" s="4"/>
      <c r="AD877" s="4"/>
      <c r="AE877" s="4"/>
      <c r="AF877" s="4"/>
    </row>
    <row r="878" ht="15.75" customHeight="1">
      <c r="A878" s="4"/>
      <c r="B878" s="4"/>
      <c r="C878" s="4"/>
      <c r="D878" s="4"/>
      <c r="E878" s="4"/>
      <c r="F878" s="4"/>
      <c r="G878" s="4"/>
      <c r="H878" s="4"/>
      <c r="I878" s="129"/>
      <c r="J878" s="129"/>
      <c r="K878" s="129"/>
      <c r="L878" s="129"/>
      <c r="M878" s="129"/>
      <c r="N878" s="4"/>
      <c r="O878" s="4"/>
      <c r="P878" s="4"/>
      <c r="Q878" s="4"/>
      <c r="R878" s="4"/>
      <c r="S878" s="4"/>
      <c r="T878" s="4"/>
      <c r="U878" s="4"/>
      <c r="V878" s="4"/>
      <c r="W878" s="4"/>
      <c r="X878" s="4"/>
      <c r="Y878" s="4"/>
      <c r="Z878" s="4"/>
      <c r="AA878" s="4"/>
      <c r="AB878" s="4"/>
      <c r="AC878" s="4"/>
      <c r="AD878" s="4"/>
      <c r="AE878" s="4"/>
      <c r="AF878" s="4"/>
    </row>
    <row r="879" ht="15.75" customHeight="1">
      <c r="A879" s="4"/>
      <c r="B879" s="4"/>
      <c r="C879" s="4"/>
      <c r="D879" s="4"/>
      <c r="E879" s="4"/>
      <c r="F879" s="4"/>
      <c r="G879" s="4"/>
      <c r="H879" s="4"/>
      <c r="I879" s="129"/>
      <c r="J879" s="129"/>
      <c r="K879" s="129"/>
      <c r="L879" s="129"/>
      <c r="M879" s="129"/>
      <c r="N879" s="4"/>
      <c r="O879" s="4"/>
      <c r="P879" s="4"/>
      <c r="Q879" s="4"/>
      <c r="R879" s="4"/>
      <c r="S879" s="4"/>
      <c r="T879" s="4"/>
      <c r="U879" s="4"/>
      <c r="V879" s="4"/>
      <c r="W879" s="4"/>
      <c r="X879" s="4"/>
      <c r="Y879" s="4"/>
      <c r="Z879" s="4"/>
      <c r="AA879" s="4"/>
      <c r="AB879" s="4"/>
      <c r="AC879" s="4"/>
      <c r="AD879" s="4"/>
      <c r="AE879" s="4"/>
      <c r="AF879" s="4"/>
    </row>
    <row r="880" ht="15.75" customHeight="1">
      <c r="A880" s="4"/>
      <c r="B880" s="4"/>
      <c r="C880" s="4"/>
      <c r="D880" s="4"/>
      <c r="E880" s="4"/>
      <c r="F880" s="4"/>
      <c r="G880" s="4"/>
      <c r="H880" s="4"/>
      <c r="I880" s="129"/>
      <c r="J880" s="129"/>
      <c r="K880" s="129"/>
      <c r="L880" s="129"/>
      <c r="M880" s="129"/>
      <c r="N880" s="4"/>
      <c r="O880" s="4"/>
      <c r="P880" s="4"/>
      <c r="Q880" s="4"/>
      <c r="R880" s="4"/>
      <c r="S880" s="4"/>
      <c r="T880" s="4"/>
      <c r="U880" s="4"/>
      <c r="V880" s="4"/>
      <c r="W880" s="4"/>
      <c r="X880" s="4"/>
      <c r="Y880" s="4"/>
      <c r="Z880" s="4"/>
      <c r="AA880" s="4"/>
      <c r="AB880" s="4"/>
      <c r="AC880" s="4"/>
      <c r="AD880" s="4"/>
      <c r="AE880" s="4"/>
      <c r="AF880" s="4"/>
    </row>
    <row r="881" ht="15.75" customHeight="1">
      <c r="A881" s="4"/>
      <c r="B881" s="4"/>
      <c r="C881" s="4"/>
      <c r="D881" s="4"/>
      <c r="E881" s="4"/>
      <c r="F881" s="4"/>
      <c r="G881" s="4"/>
      <c r="H881" s="4"/>
      <c r="I881" s="129"/>
      <c r="J881" s="129"/>
      <c r="K881" s="129"/>
      <c r="L881" s="129"/>
      <c r="M881" s="129"/>
      <c r="N881" s="4"/>
      <c r="O881" s="4"/>
      <c r="P881" s="4"/>
      <c r="Q881" s="4"/>
      <c r="R881" s="4"/>
      <c r="S881" s="4"/>
      <c r="T881" s="4"/>
      <c r="U881" s="4"/>
      <c r="V881" s="4"/>
      <c r="W881" s="4"/>
      <c r="X881" s="4"/>
      <c r="Y881" s="4"/>
      <c r="Z881" s="4"/>
      <c r="AA881" s="4"/>
      <c r="AB881" s="4"/>
      <c r="AC881" s="4"/>
      <c r="AD881" s="4"/>
      <c r="AE881" s="4"/>
      <c r="AF881" s="4"/>
    </row>
    <row r="882" ht="15.75" customHeight="1">
      <c r="A882" s="4"/>
      <c r="B882" s="4"/>
      <c r="C882" s="4"/>
      <c r="D882" s="4"/>
      <c r="E882" s="4"/>
      <c r="F882" s="4"/>
      <c r="G882" s="4"/>
      <c r="H882" s="4"/>
      <c r="I882" s="129"/>
      <c r="J882" s="129"/>
      <c r="K882" s="129"/>
      <c r="L882" s="129"/>
      <c r="M882" s="129"/>
      <c r="N882" s="4"/>
      <c r="O882" s="4"/>
      <c r="P882" s="4"/>
      <c r="Q882" s="4"/>
      <c r="R882" s="4"/>
      <c r="S882" s="4"/>
      <c r="T882" s="4"/>
      <c r="U882" s="4"/>
      <c r="V882" s="4"/>
      <c r="W882" s="4"/>
      <c r="X882" s="4"/>
      <c r="Y882" s="4"/>
      <c r="Z882" s="4"/>
      <c r="AA882" s="4"/>
      <c r="AB882" s="4"/>
      <c r="AC882" s="4"/>
      <c r="AD882" s="4"/>
      <c r="AE882" s="4"/>
      <c r="AF882" s="4"/>
    </row>
    <row r="883" ht="15.75" customHeight="1">
      <c r="A883" s="4"/>
      <c r="B883" s="4"/>
      <c r="C883" s="4"/>
      <c r="D883" s="4"/>
      <c r="E883" s="4"/>
      <c r="F883" s="4"/>
      <c r="G883" s="4"/>
      <c r="H883" s="4"/>
      <c r="I883" s="129"/>
      <c r="J883" s="129"/>
      <c r="K883" s="129"/>
      <c r="L883" s="129"/>
      <c r="M883" s="129"/>
      <c r="N883" s="4"/>
      <c r="O883" s="4"/>
      <c r="P883" s="4"/>
      <c r="Q883" s="4"/>
      <c r="R883" s="4"/>
      <c r="S883" s="4"/>
      <c r="T883" s="4"/>
      <c r="U883" s="4"/>
      <c r="V883" s="4"/>
      <c r="W883" s="4"/>
      <c r="X883" s="4"/>
      <c r="Y883" s="4"/>
      <c r="Z883" s="4"/>
      <c r="AA883" s="4"/>
      <c r="AB883" s="4"/>
      <c r="AC883" s="4"/>
      <c r="AD883" s="4"/>
      <c r="AE883" s="4"/>
      <c r="AF883" s="4"/>
    </row>
    <row r="884" ht="15.75" customHeight="1">
      <c r="A884" s="4"/>
      <c r="B884" s="4"/>
      <c r="C884" s="4"/>
      <c r="D884" s="4"/>
      <c r="E884" s="4"/>
      <c r="F884" s="4"/>
      <c r="G884" s="4"/>
      <c r="H884" s="4"/>
      <c r="I884" s="129"/>
      <c r="J884" s="129"/>
      <c r="K884" s="129"/>
      <c r="L884" s="129"/>
      <c r="M884" s="129"/>
      <c r="N884" s="4"/>
      <c r="O884" s="4"/>
      <c r="P884" s="4"/>
      <c r="Q884" s="4"/>
      <c r="R884" s="4"/>
      <c r="S884" s="4"/>
      <c r="T884" s="4"/>
      <c r="U884" s="4"/>
      <c r="V884" s="4"/>
      <c r="W884" s="4"/>
      <c r="X884" s="4"/>
      <c r="Y884" s="4"/>
      <c r="Z884" s="4"/>
      <c r="AA884" s="4"/>
      <c r="AB884" s="4"/>
      <c r="AC884" s="4"/>
      <c r="AD884" s="4"/>
      <c r="AE884" s="4"/>
      <c r="AF884" s="4"/>
    </row>
    <row r="885" ht="15.75" customHeight="1">
      <c r="A885" s="4"/>
      <c r="B885" s="4"/>
      <c r="C885" s="4"/>
      <c r="D885" s="4"/>
      <c r="E885" s="4"/>
      <c r="F885" s="4"/>
      <c r="G885" s="4"/>
      <c r="H885" s="4"/>
      <c r="I885" s="129"/>
      <c r="J885" s="129"/>
      <c r="K885" s="129"/>
      <c r="L885" s="129"/>
      <c r="M885" s="129"/>
      <c r="N885" s="4"/>
      <c r="O885" s="4"/>
      <c r="P885" s="4"/>
      <c r="Q885" s="4"/>
      <c r="R885" s="4"/>
      <c r="S885" s="4"/>
      <c r="T885" s="4"/>
      <c r="U885" s="4"/>
      <c r="V885" s="4"/>
      <c r="W885" s="4"/>
      <c r="X885" s="4"/>
      <c r="Y885" s="4"/>
      <c r="Z885" s="4"/>
      <c r="AA885" s="4"/>
      <c r="AB885" s="4"/>
      <c r="AC885" s="4"/>
      <c r="AD885" s="4"/>
      <c r="AE885" s="4"/>
      <c r="AF885" s="4"/>
    </row>
    <row r="886" ht="15.75" customHeight="1">
      <c r="A886" s="4"/>
      <c r="B886" s="4"/>
      <c r="C886" s="4"/>
      <c r="D886" s="4"/>
      <c r="E886" s="4"/>
      <c r="F886" s="4"/>
      <c r="G886" s="4"/>
      <c r="H886" s="4"/>
      <c r="I886" s="129"/>
      <c r="J886" s="129"/>
      <c r="K886" s="129"/>
      <c r="L886" s="129"/>
      <c r="M886" s="129"/>
      <c r="N886" s="4"/>
      <c r="O886" s="4"/>
      <c r="P886" s="4"/>
      <c r="Q886" s="4"/>
      <c r="R886" s="4"/>
      <c r="S886" s="4"/>
      <c r="T886" s="4"/>
      <c r="U886" s="4"/>
      <c r="V886" s="4"/>
      <c r="W886" s="4"/>
      <c r="X886" s="4"/>
      <c r="Y886" s="4"/>
      <c r="Z886" s="4"/>
      <c r="AA886" s="4"/>
      <c r="AB886" s="4"/>
      <c r="AC886" s="4"/>
      <c r="AD886" s="4"/>
      <c r="AE886" s="4"/>
      <c r="AF886" s="4"/>
    </row>
    <row r="887" ht="15.75" customHeight="1">
      <c r="A887" s="4"/>
      <c r="B887" s="4"/>
      <c r="C887" s="4"/>
      <c r="D887" s="4"/>
      <c r="E887" s="4"/>
      <c r="F887" s="4"/>
      <c r="G887" s="4"/>
      <c r="H887" s="4"/>
      <c r="I887" s="129"/>
      <c r="J887" s="129"/>
      <c r="K887" s="129"/>
      <c r="L887" s="129"/>
      <c r="M887" s="129"/>
      <c r="N887" s="4"/>
      <c r="O887" s="4"/>
      <c r="P887" s="4"/>
      <c r="Q887" s="4"/>
      <c r="R887" s="4"/>
      <c r="S887" s="4"/>
      <c r="T887" s="4"/>
      <c r="U887" s="4"/>
      <c r="V887" s="4"/>
      <c r="W887" s="4"/>
      <c r="X887" s="4"/>
      <c r="Y887" s="4"/>
      <c r="Z887" s="4"/>
      <c r="AA887" s="4"/>
      <c r="AB887" s="4"/>
      <c r="AC887" s="4"/>
      <c r="AD887" s="4"/>
      <c r="AE887" s="4"/>
      <c r="AF887" s="4"/>
    </row>
    <row r="888" ht="15.75" customHeight="1">
      <c r="A888" s="4"/>
      <c r="B888" s="4"/>
      <c r="C888" s="4"/>
      <c r="D888" s="4"/>
      <c r="E888" s="4"/>
      <c r="F888" s="4"/>
      <c r="G888" s="4"/>
      <c r="H888" s="4"/>
      <c r="I888" s="129"/>
      <c r="J888" s="129"/>
      <c r="K888" s="129"/>
      <c r="L888" s="129"/>
      <c r="M888" s="129"/>
      <c r="N888" s="4"/>
      <c r="O888" s="4"/>
      <c r="P888" s="4"/>
      <c r="Q888" s="4"/>
      <c r="R888" s="4"/>
      <c r="S888" s="4"/>
      <c r="T888" s="4"/>
      <c r="U888" s="4"/>
      <c r="V888" s="4"/>
      <c r="W888" s="4"/>
      <c r="X888" s="4"/>
      <c r="Y888" s="4"/>
      <c r="Z888" s="4"/>
      <c r="AA888" s="4"/>
      <c r="AB888" s="4"/>
      <c r="AC888" s="4"/>
      <c r="AD888" s="4"/>
      <c r="AE888" s="4"/>
      <c r="AF888" s="4"/>
    </row>
    <row r="889" ht="15.75" customHeight="1">
      <c r="A889" s="4"/>
      <c r="B889" s="4"/>
      <c r="C889" s="4"/>
      <c r="D889" s="4"/>
      <c r="E889" s="4"/>
      <c r="F889" s="4"/>
      <c r="G889" s="4"/>
      <c r="H889" s="4"/>
      <c r="I889" s="129"/>
      <c r="J889" s="129"/>
      <c r="K889" s="129"/>
      <c r="L889" s="129"/>
      <c r="M889" s="129"/>
      <c r="N889" s="4"/>
      <c r="O889" s="4"/>
      <c r="P889" s="4"/>
      <c r="Q889" s="4"/>
      <c r="R889" s="4"/>
      <c r="S889" s="4"/>
      <c r="T889" s="4"/>
      <c r="U889" s="4"/>
      <c r="V889" s="4"/>
      <c r="W889" s="4"/>
      <c r="X889" s="4"/>
      <c r="Y889" s="4"/>
      <c r="Z889" s="4"/>
      <c r="AA889" s="4"/>
      <c r="AB889" s="4"/>
      <c r="AC889" s="4"/>
      <c r="AD889" s="4"/>
      <c r="AE889" s="4"/>
      <c r="AF889" s="4"/>
    </row>
    <row r="890" ht="15.75" customHeight="1">
      <c r="A890" s="4"/>
      <c r="B890" s="4"/>
      <c r="C890" s="4"/>
      <c r="D890" s="4"/>
      <c r="E890" s="4"/>
      <c r="F890" s="4"/>
      <c r="G890" s="4"/>
      <c r="H890" s="4"/>
      <c r="I890" s="129"/>
      <c r="J890" s="129"/>
      <c r="K890" s="129"/>
      <c r="L890" s="129"/>
      <c r="M890" s="129"/>
      <c r="N890" s="4"/>
      <c r="O890" s="4"/>
      <c r="P890" s="4"/>
      <c r="Q890" s="4"/>
      <c r="R890" s="4"/>
      <c r="S890" s="4"/>
      <c r="T890" s="4"/>
      <c r="U890" s="4"/>
      <c r="V890" s="4"/>
      <c r="W890" s="4"/>
      <c r="X890" s="4"/>
      <c r="Y890" s="4"/>
      <c r="Z890" s="4"/>
      <c r="AA890" s="4"/>
      <c r="AB890" s="4"/>
      <c r="AC890" s="4"/>
      <c r="AD890" s="4"/>
      <c r="AE890" s="4"/>
      <c r="AF890" s="4"/>
    </row>
    <row r="891" ht="15.75" customHeight="1">
      <c r="A891" s="4"/>
      <c r="B891" s="4"/>
      <c r="C891" s="4"/>
      <c r="D891" s="4"/>
      <c r="E891" s="4"/>
      <c r="F891" s="4"/>
      <c r="G891" s="4"/>
      <c r="H891" s="4"/>
      <c r="I891" s="129"/>
      <c r="J891" s="129"/>
      <c r="K891" s="129"/>
      <c r="L891" s="129"/>
      <c r="M891" s="129"/>
      <c r="N891" s="4"/>
      <c r="O891" s="4"/>
      <c r="P891" s="4"/>
      <c r="Q891" s="4"/>
      <c r="R891" s="4"/>
      <c r="S891" s="4"/>
      <c r="T891" s="4"/>
      <c r="U891" s="4"/>
      <c r="V891" s="4"/>
      <c r="W891" s="4"/>
      <c r="X891" s="4"/>
      <c r="Y891" s="4"/>
      <c r="Z891" s="4"/>
      <c r="AA891" s="4"/>
      <c r="AB891" s="4"/>
      <c r="AC891" s="4"/>
      <c r="AD891" s="4"/>
      <c r="AE891" s="4"/>
      <c r="AF891" s="4"/>
    </row>
    <row r="892" ht="15.75" customHeight="1">
      <c r="A892" s="4"/>
      <c r="B892" s="4"/>
      <c r="C892" s="4"/>
      <c r="D892" s="4"/>
      <c r="E892" s="4"/>
      <c r="F892" s="4"/>
      <c r="G892" s="4"/>
      <c r="H892" s="4"/>
      <c r="I892" s="129"/>
      <c r="J892" s="129"/>
      <c r="K892" s="129"/>
      <c r="L892" s="129"/>
      <c r="M892" s="129"/>
      <c r="N892" s="4"/>
      <c r="O892" s="4"/>
      <c r="P892" s="4"/>
      <c r="Q892" s="4"/>
      <c r="R892" s="4"/>
      <c r="S892" s="4"/>
      <c r="T892" s="4"/>
      <c r="U892" s="4"/>
      <c r="V892" s="4"/>
      <c r="W892" s="4"/>
      <c r="X892" s="4"/>
      <c r="Y892" s="4"/>
      <c r="Z892" s="4"/>
      <c r="AA892" s="4"/>
      <c r="AB892" s="4"/>
      <c r="AC892" s="4"/>
      <c r="AD892" s="4"/>
      <c r="AE892" s="4"/>
      <c r="AF892" s="4"/>
    </row>
    <row r="893" ht="15.75" customHeight="1">
      <c r="A893" s="4"/>
      <c r="B893" s="4"/>
      <c r="C893" s="4"/>
      <c r="D893" s="4"/>
      <c r="E893" s="4"/>
      <c r="F893" s="4"/>
      <c r="G893" s="4"/>
      <c r="H893" s="4"/>
      <c r="I893" s="129"/>
      <c r="J893" s="129"/>
      <c r="K893" s="129"/>
      <c r="L893" s="129"/>
      <c r="M893" s="129"/>
      <c r="N893" s="4"/>
      <c r="O893" s="4"/>
      <c r="P893" s="4"/>
      <c r="Q893" s="4"/>
      <c r="R893" s="4"/>
      <c r="S893" s="4"/>
      <c r="T893" s="4"/>
      <c r="U893" s="4"/>
      <c r="V893" s="4"/>
      <c r="W893" s="4"/>
      <c r="X893" s="4"/>
      <c r="Y893" s="4"/>
      <c r="Z893" s="4"/>
      <c r="AA893" s="4"/>
      <c r="AB893" s="4"/>
      <c r="AC893" s="4"/>
      <c r="AD893" s="4"/>
      <c r="AE893" s="4"/>
      <c r="AF893" s="4"/>
    </row>
    <row r="894" ht="15.75" customHeight="1">
      <c r="A894" s="4"/>
      <c r="B894" s="4"/>
      <c r="C894" s="4"/>
      <c r="D894" s="4"/>
      <c r="E894" s="4"/>
      <c r="F894" s="4"/>
      <c r="G894" s="4"/>
      <c r="H894" s="4"/>
      <c r="I894" s="129"/>
      <c r="J894" s="129"/>
      <c r="K894" s="129"/>
      <c r="L894" s="129"/>
      <c r="M894" s="129"/>
      <c r="N894" s="4"/>
      <c r="O894" s="4"/>
      <c r="P894" s="4"/>
      <c r="Q894" s="4"/>
      <c r="R894" s="4"/>
      <c r="S894" s="4"/>
      <c r="T894" s="4"/>
      <c r="U894" s="4"/>
      <c r="V894" s="4"/>
      <c r="W894" s="4"/>
      <c r="X894" s="4"/>
      <c r="Y894" s="4"/>
      <c r="Z894" s="4"/>
      <c r="AA894" s="4"/>
      <c r="AB894" s="4"/>
      <c r="AC894" s="4"/>
      <c r="AD894" s="4"/>
      <c r="AE894" s="4"/>
      <c r="AF894" s="4"/>
    </row>
    <row r="895" ht="15.75" customHeight="1">
      <c r="A895" s="4"/>
      <c r="B895" s="4"/>
      <c r="C895" s="4"/>
      <c r="D895" s="4"/>
      <c r="E895" s="4"/>
      <c r="F895" s="4"/>
      <c r="G895" s="4"/>
      <c r="H895" s="4"/>
      <c r="I895" s="129"/>
      <c r="J895" s="129"/>
      <c r="K895" s="129"/>
      <c r="L895" s="129"/>
      <c r="M895" s="129"/>
      <c r="N895" s="4"/>
      <c r="O895" s="4"/>
      <c r="P895" s="4"/>
      <c r="Q895" s="4"/>
      <c r="R895" s="4"/>
      <c r="S895" s="4"/>
      <c r="T895" s="4"/>
      <c r="U895" s="4"/>
      <c r="V895" s="4"/>
      <c r="W895" s="4"/>
      <c r="X895" s="4"/>
      <c r="Y895" s="4"/>
      <c r="Z895" s="4"/>
      <c r="AA895" s="4"/>
      <c r="AB895" s="4"/>
      <c r="AC895" s="4"/>
      <c r="AD895" s="4"/>
      <c r="AE895" s="4"/>
      <c r="AF895" s="4"/>
    </row>
    <row r="896" ht="15.75" customHeight="1">
      <c r="A896" s="4"/>
      <c r="B896" s="4"/>
      <c r="C896" s="4"/>
      <c r="D896" s="4"/>
      <c r="E896" s="4"/>
      <c r="F896" s="4"/>
      <c r="G896" s="4"/>
      <c r="H896" s="4"/>
      <c r="I896" s="129"/>
      <c r="J896" s="129"/>
      <c r="K896" s="129"/>
      <c r="L896" s="129"/>
      <c r="M896" s="129"/>
      <c r="N896" s="4"/>
      <c r="O896" s="4"/>
      <c r="P896" s="4"/>
      <c r="Q896" s="4"/>
      <c r="R896" s="4"/>
      <c r="S896" s="4"/>
      <c r="T896" s="4"/>
      <c r="U896" s="4"/>
      <c r="V896" s="4"/>
      <c r="W896" s="4"/>
      <c r="X896" s="4"/>
      <c r="Y896" s="4"/>
      <c r="Z896" s="4"/>
      <c r="AA896" s="4"/>
      <c r="AB896" s="4"/>
      <c r="AC896" s="4"/>
      <c r="AD896" s="4"/>
      <c r="AE896" s="4"/>
      <c r="AF896" s="4"/>
    </row>
    <row r="897" ht="15.75" customHeight="1">
      <c r="A897" s="4"/>
      <c r="B897" s="4"/>
      <c r="C897" s="4"/>
      <c r="D897" s="4"/>
      <c r="E897" s="4"/>
      <c r="F897" s="4"/>
      <c r="G897" s="4"/>
      <c r="H897" s="4"/>
      <c r="I897" s="129"/>
      <c r="J897" s="129"/>
      <c r="K897" s="129"/>
      <c r="L897" s="129"/>
      <c r="M897" s="129"/>
      <c r="N897" s="4"/>
      <c r="O897" s="4"/>
      <c r="P897" s="4"/>
      <c r="Q897" s="4"/>
      <c r="R897" s="4"/>
      <c r="S897" s="4"/>
      <c r="T897" s="4"/>
      <c r="U897" s="4"/>
      <c r="V897" s="4"/>
      <c r="W897" s="4"/>
      <c r="X897" s="4"/>
      <c r="Y897" s="4"/>
      <c r="Z897" s="4"/>
      <c r="AA897" s="4"/>
      <c r="AB897" s="4"/>
      <c r="AC897" s="4"/>
      <c r="AD897" s="4"/>
      <c r="AE897" s="4"/>
      <c r="AF897" s="4"/>
    </row>
    <row r="898" ht="15.75" customHeight="1">
      <c r="A898" s="4"/>
      <c r="B898" s="4"/>
      <c r="C898" s="4"/>
      <c r="D898" s="4"/>
      <c r="E898" s="4"/>
      <c r="F898" s="4"/>
      <c r="G898" s="4"/>
      <c r="H898" s="4"/>
      <c r="I898" s="129"/>
      <c r="J898" s="129"/>
      <c r="K898" s="129"/>
      <c r="L898" s="129"/>
      <c r="M898" s="129"/>
      <c r="N898" s="4"/>
      <c r="O898" s="4"/>
      <c r="P898" s="4"/>
      <c r="Q898" s="4"/>
      <c r="R898" s="4"/>
      <c r="S898" s="4"/>
      <c r="T898" s="4"/>
      <c r="U898" s="4"/>
      <c r="V898" s="4"/>
      <c r="W898" s="4"/>
      <c r="X898" s="4"/>
      <c r="Y898" s="4"/>
      <c r="Z898" s="4"/>
      <c r="AA898" s="4"/>
      <c r="AB898" s="4"/>
      <c r="AC898" s="4"/>
      <c r="AD898" s="4"/>
      <c r="AE898" s="4"/>
      <c r="AF898" s="4"/>
    </row>
    <row r="899" ht="15.75" customHeight="1">
      <c r="A899" s="4"/>
      <c r="B899" s="4"/>
      <c r="C899" s="4"/>
      <c r="D899" s="4"/>
      <c r="E899" s="4"/>
      <c r="F899" s="4"/>
      <c r="G899" s="4"/>
      <c r="H899" s="4"/>
      <c r="I899" s="129"/>
      <c r="J899" s="129"/>
      <c r="K899" s="129"/>
      <c r="L899" s="129"/>
      <c r="M899" s="129"/>
      <c r="N899" s="4"/>
      <c r="O899" s="4"/>
      <c r="P899" s="4"/>
      <c r="Q899" s="4"/>
      <c r="R899" s="4"/>
      <c r="S899" s="4"/>
      <c r="T899" s="4"/>
      <c r="U899" s="4"/>
      <c r="V899" s="4"/>
      <c r="W899" s="4"/>
      <c r="X899" s="4"/>
      <c r="Y899" s="4"/>
      <c r="Z899" s="4"/>
      <c r="AA899" s="4"/>
      <c r="AB899" s="4"/>
      <c r="AC899" s="4"/>
      <c r="AD899" s="4"/>
      <c r="AE899" s="4"/>
      <c r="AF899" s="4"/>
    </row>
    <row r="900" ht="15.75" customHeight="1">
      <c r="A900" s="4"/>
      <c r="B900" s="4"/>
      <c r="C900" s="4"/>
      <c r="D900" s="4"/>
      <c r="E900" s="4"/>
      <c r="F900" s="4"/>
      <c r="G900" s="4"/>
      <c r="H900" s="4"/>
      <c r="I900" s="129"/>
      <c r="J900" s="129"/>
      <c r="K900" s="129"/>
      <c r="L900" s="129"/>
      <c r="M900" s="129"/>
      <c r="N900" s="4"/>
      <c r="O900" s="4"/>
      <c r="P900" s="4"/>
      <c r="Q900" s="4"/>
      <c r="R900" s="4"/>
      <c r="S900" s="4"/>
      <c r="T900" s="4"/>
      <c r="U900" s="4"/>
      <c r="V900" s="4"/>
      <c r="W900" s="4"/>
      <c r="X900" s="4"/>
      <c r="Y900" s="4"/>
      <c r="Z900" s="4"/>
      <c r="AA900" s="4"/>
      <c r="AB900" s="4"/>
      <c r="AC900" s="4"/>
      <c r="AD900" s="4"/>
      <c r="AE900" s="4"/>
      <c r="AF900" s="4"/>
    </row>
    <row r="901" ht="15.75" customHeight="1">
      <c r="A901" s="4"/>
      <c r="B901" s="4"/>
      <c r="C901" s="4"/>
      <c r="D901" s="4"/>
      <c r="E901" s="4"/>
      <c r="F901" s="4"/>
      <c r="G901" s="4"/>
      <c r="H901" s="4"/>
      <c r="I901" s="129"/>
      <c r="J901" s="129"/>
      <c r="K901" s="129"/>
      <c r="L901" s="129"/>
      <c r="M901" s="129"/>
      <c r="N901" s="4"/>
      <c r="O901" s="4"/>
      <c r="P901" s="4"/>
      <c r="Q901" s="4"/>
      <c r="R901" s="4"/>
      <c r="S901" s="4"/>
      <c r="T901" s="4"/>
      <c r="U901" s="4"/>
      <c r="V901" s="4"/>
      <c r="W901" s="4"/>
      <c r="X901" s="4"/>
      <c r="Y901" s="4"/>
      <c r="Z901" s="4"/>
      <c r="AA901" s="4"/>
      <c r="AB901" s="4"/>
      <c r="AC901" s="4"/>
      <c r="AD901" s="4"/>
      <c r="AE901" s="4"/>
      <c r="AF901" s="4"/>
    </row>
    <row r="902" ht="15.75" customHeight="1">
      <c r="A902" s="4"/>
      <c r="B902" s="4"/>
      <c r="C902" s="4"/>
      <c r="D902" s="4"/>
      <c r="E902" s="4"/>
      <c r="F902" s="4"/>
      <c r="G902" s="4"/>
      <c r="H902" s="4"/>
      <c r="I902" s="129"/>
      <c r="J902" s="129"/>
      <c r="K902" s="129"/>
      <c r="L902" s="129"/>
      <c r="M902" s="129"/>
      <c r="N902" s="4"/>
      <c r="O902" s="4"/>
      <c r="P902" s="4"/>
      <c r="Q902" s="4"/>
      <c r="R902" s="4"/>
      <c r="S902" s="4"/>
      <c r="T902" s="4"/>
      <c r="U902" s="4"/>
      <c r="V902" s="4"/>
      <c r="W902" s="4"/>
      <c r="X902" s="4"/>
      <c r="Y902" s="4"/>
      <c r="Z902" s="4"/>
      <c r="AA902" s="4"/>
      <c r="AB902" s="4"/>
      <c r="AC902" s="4"/>
      <c r="AD902" s="4"/>
      <c r="AE902" s="4"/>
      <c r="AF902" s="4"/>
    </row>
    <row r="903" ht="15.75" customHeight="1">
      <c r="A903" s="4"/>
      <c r="B903" s="4"/>
      <c r="C903" s="4"/>
      <c r="D903" s="4"/>
      <c r="E903" s="4"/>
      <c r="F903" s="4"/>
      <c r="G903" s="4"/>
      <c r="H903" s="4"/>
      <c r="I903" s="129"/>
      <c r="J903" s="129"/>
      <c r="K903" s="129"/>
      <c r="L903" s="129"/>
      <c r="M903" s="129"/>
      <c r="N903" s="4"/>
      <c r="O903" s="4"/>
      <c r="P903" s="4"/>
      <c r="Q903" s="4"/>
      <c r="R903" s="4"/>
      <c r="S903" s="4"/>
      <c r="T903" s="4"/>
      <c r="U903" s="4"/>
      <c r="V903" s="4"/>
      <c r="W903" s="4"/>
      <c r="X903" s="4"/>
      <c r="Y903" s="4"/>
      <c r="Z903" s="4"/>
      <c r="AA903" s="4"/>
      <c r="AB903" s="4"/>
      <c r="AC903" s="4"/>
      <c r="AD903" s="4"/>
      <c r="AE903" s="4"/>
      <c r="AF903" s="4"/>
    </row>
    <row r="904" ht="15.75" customHeight="1">
      <c r="A904" s="4"/>
      <c r="B904" s="4"/>
      <c r="C904" s="4"/>
      <c r="D904" s="4"/>
      <c r="E904" s="4"/>
      <c r="F904" s="4"/>
      <c r="G904" s="4"/>
      <c r="H904" s="4"/>
      <c r="I904" s="129"/>
      <c r="J904" s="129"/>
      <c r="K904" s="129"/>
      <c r="L904" s="129"/>
      <c r="M904" s="129"/>
      <c r="N904" s="4"/>
      <c r="O904" s="4"/>
      <c r="P904" s="4"/>
      <c r="Q904" s="4"/>
      <c r="R904" s="4"/>
      <c r="S904" s="4"/>
      <c r="T904" s="4"/>
      <c r="U904" s="4"/>
      <c r="V904" s="4"/>
      <c r="W904" s="4"/>
      <c r="X904" s="4"/>
      <c r="Y904" s="4"/>
      <c r="Z904" s="4"/>
      <c r="AA904" s="4"/>
      <c r="AB904" s="4"/>
      <c r="AC904" s="4"/>
      <c r="AD904" s="4"/>
      <c r="AE904" s="4"/>
      <c r="AF904" s="4"/>
    </row>
    <row r="905" ht="15.75" customHeight="1">
      <c r="A905" s="4"/>
      <c r="B905" s="4"/>
      <c r="C905" s="4"/>
      <c r="D905" s="4"/>
      <c r="E905" s="4"/>
      <c r="F905" s="4"/>
      <c r="G905" s="4"/>
      <c r="H905" s="4"/>
      <c r="I905" s="129"/>
      <c r="J905" s="129"/>
      <c r="K905" s="129"/>
      <c r="L905" s="129"/>
      <c r="M905" s="129"/>
      <c r="N905" s="4"/>
      <c r="O905" s="4"/>
      <c r="P905" s="4"/>
      <c r="Q905" s="4"/>
      <c r="R905" s="4"/>
      <c r="S905" s="4"/>
      <c r="T905" s="4"/>
      <c r="U905" s="4"/>
      <c r="V905" s="4"/>
      <c r="W905" s="4"/>
      <c r="X905" s="4"/>
      <c r="Y905" s="4"/>
      <c r="Z905" s="4"/>
      <c r="AA905" s="4"/>
      <c r="AB905" s="4"/>
      <c r="AC905" s="4"/>
      <c r="AD905" s="4"/>
      <c r="AE905" s="4"/>
      <c r="AF905" s="4"/>
    </row>
    <row r="906" ht="15.75" customHeight="1">
      <c r="A906" s="4"/>
      <c r="B906" s="4"/>
      <c r="C906" s="4"/>
      <c r="D906" s="4"/>
      <c r="E906" s="4"/>
      <c r="F906" s="4"/>
      <c r="G906" s="4"/>
      <c r="H906" s="4"/>
      <c r="I906" s="129"/>
      <c r="J906" s="129"/>
      <c r="K906" s="129"/>
      <c r="L906" s="129"/>
      <c r="M906" s="129"/>
      <c r="N906" s="4"/>
      <c r="O906" s="4"/>
      <c r="P906" s="4"/>
      <c r="Q906" s="4"/>
      <c r="R906" s="4"/>
      <c r="S906" s="4"/>
      <c r="T906" s="4"/>
      <c r="U906" s="4"/>
      <c r="V906" s="4"/>
      <c r="W906" s="4"/>
      <c r="X906" s="4"/>
      <c r="Y906" s="4"/>
      <c r="Z906" s="4"/>
      <c r="AA906" s="4"/>
      <c r="AB906" s="4"/>
      <c r="AC906" s="4"/>
      <c r="AD906" s="4"/>
      <c r="AE906" s="4"/>
      <c r="AF906" s="4"/>
    </row>
    <row r="907" ht="15.75" customHeight="1">
      <c r="A907" s="4"/>
      <c r="B907" s="4"/>
      <c r="C907" s="4"/>
      <c r="D907" s="4"/>
      <c r="E907" s="4"/>
      <c r="F907" s="4"/>
      <c r="G907" s="4"/>
      <c r="H907" s="4"/>
      <c r="I907" s="129"/>
      <c r="J907" s="129"/>
      <c r="K907" s="129"/>
      <c r="L907" s="129"/>
      <c r="M907" s="129"/>
      <c r="N907" s="4"/>
      <c r="O907" s="4"/>
      <c r="P907" s="4"/>
      <c r="Q907" s="4"/>
      <c r="R907" s="4"/>
      <c r="S907" s="4"/>
      <c r="T907" s="4"/>
      <c r="U907" s="4"/>
      <c r="V907" s="4"/>
      <c r="W907" s="4"/>
      <c r="X907" s="4"/>
      <c r="Y907" s="4"/>
      <c r="Z907" s="4"/>
      <c r="AA907" s="4"/>
      <c r="AB907" s="4"/>
      <c r="AC907" s="4"/>
      <c r="AD907" s="4"/>
      <c r="AE907" s="4"/>
      <c r="AF907" s="4"/>
    </row>
    <row r="908" ht="15.75" customHeight="1">
      <c r="A908" s="4"/>
      <c r="B908" s="4"/>
      <c r="C908" s="4"/>
      <c r="D908" s="4"/>
      <c r="E908" s="4"/>
      <c r="F908" s="4"/>
      <c r="G908" s="4"/>
      <c r="H908" s="4"/>
      <c r="I908" s="129"/>
      <c r="J908" s="129"/>
      <c r="K908" s="129"/>
      <c r="L908" s="129"/>
      <c r="M908" s="129"/>
      <c r="N908" s="4"/>
      <c r="O908" s="4"/>
      <c r="P908" s="4"/>
      <c r="Q908" s="4"/>
      <c r="R908" s="4"/>
      <c r="S908" s="4"/>
      <c r="T908" s="4"/>
      <c r="U908" s="4"/>
      <c r="V908" s="4"/>
      <c r="W908" s="4"/>
      <c r="X908" s="4"/>
      <c r="Y908" s="4"/>
      <c r="Z908" s="4"/>
      <c r="AA908" s="4"/>
      <c r="AB908" s="4"/>
      <c r="AC908" s="4"/>
      <c r="AD908" s="4"/>
      <c r="AE908" s="4"/>
      <c r="AF908" s="4"/>
    </row>
    <row r="909" ht="15.75" customHeight="1">
      <c r="A909" s="4"/>
      <c r="B909" s="4"/>
      <c r="C909" s="4"/>
      <c r="D909" s="4"/>
      <c r="E909" s="4"/>
      <c r="F909" s="4"/>
      <c r="G909" s="4"/>
      <c r="H909" s="4"/>
      <c r="I909" s="129"/>
      <c r="J909" s="129"/>
      <c r="K909" s="129"/>
      <c r="L909" s="129"/>
      <c r="M909" s="129"/>
      <c r="N909" s="4"/>
      <c r="O909" s="4"/>
      <c r="P909" s="4"/>
      <c r="Q909" s="4"/>
      <c r="R909" s="4"/>
      <c r="S909" s="4"/>
      <c r="T909" s="4"/>
      <c r="U909" s="4"/>
      <c r="V909" s="4"/>
      <c r="W909" s="4"/>
      <c r="X909" s="4"/>
      <c r="Y909" s="4"/>
      <c r="Z909" s="4"/>
      <c r="AA909" s="4"/>
      <c r="AB909" s="4"/>
      <c r="AC909" s="4"/>
      <c r="AD909" s="4"/>
      <c r="AE909" s="4"/>
      <c r="AF909" s="4"/>
    </row>
    <row r="910" ht="15.75" customHeight="1">
      <c r="A910" s="4"/>
      <c r="B910" s="4"/>
      <c r="C910" s="4"/>
      <c r="D910" s="4"/>
      <c r="E910" s="4"/>
      <c r="F910" s="4"/>
      <c r="G910" s="4"/>
      <c r="H910" s="4"/>
      <c r="I910" s="129"/>
      <c r="J910" s="129"/>
      <c r="K910" s="129"/>
      <c r="L910" s="129"/>
      <c r="M910" s="129"/>
      <c r="N910" s="4"/>
      <c r="O910" s="4"/>
      <c r="P910" s="4"/>
      <c r="Q910" s="4"/>
      <c r="R910" s="4"/>
      <c r="S910" s="4"/>
      <c r="T910" s="4"/>
      <c r="U910" s="4"/>
      <c r="V910" s="4"/>
      <c r="W910" s="4"/>
      <c r="X910" s="4"/>
      <c r="Y910" s="4"/>
      <c r="Z910" s="4"/>
      <c r="AA910" s="4"/>
      <c r="AB910" s="4"/>
      <c r="AC910" s="4"/>
      <c r="AD910" s="4"/>
      <c r="AE910" s="4"/>
      <c r="AF910" s="4"/>
    </row>
    <row r="911" ht="15.75" customHeight="1">
      <c r="A911" s="4"/>
      <c r="B911" s="4"/>
      <c r="C911" s="4"/>
      <c r="D911" s="4"/>
      <c r="E911" s="4"/>
      <c r="F911" s="4"/>
      <c r="G911" s="4"/>
      <c r="H911" s="4"/>
      <c r="I911" s="129"/>
      <c r="J911" s="129"/>
      <c r="K911" s="129"/>
      <c r="L911" s="129"/>
      <c r="M911" s="129"/>
      <c r="N911" s="4"/>
      <c r="O911" s="4"/>
      <c r="P911" s="4"/>
      <c r="Q911" s="4"/>
      <c r="R911" s="4"/>
      <c r="S911" s="4"/>
      <c r="T911" s="4"/>
      <c r="U911" s="4"/>
      <c r="V911" s="4"/>
      <c r="W911" s="4"/>
      <c r="X911" s="4"/>
      <c r="Y911" s="4"/>
      <c r="Z911" s="4"/>
      <c r="AA911" s="4"/>
      <c r="AB911" s="4"/>
      <c r="AC911" s="4"/>
      <c r="AD911" s="4"/>
      <c r="AE911" s="4"/>
      <c r="AF911" s="4"/>
    </row>
    <row r="912" ht="15.75" customHeight="1">
      <c r="A912" s="4"/>
      <c r="B912" s="4"/>
      <c r="C912" s="4"/>
      <c r="D912" s="4"/>
      <c r="E912" s="4"/>
      <c r="F912" s="4"/>
      <c r="G912" s="4"/>
      <c r="H912" s="4"/>
      <c r="I912" s="129"/>
      <c r="J912" s="129"/>
      <c r="K912" s="129"/>
      <c r="L912" s="129"/>
      <c r="M912" s="129"/>
      <c r="N912" s="4"/>
      <c r="O912" s="4"/>
      <c r="P912" s="4"/>
      <c r="Q912" s="4"/>
      <c r="R912" s="4"/>
      <c r="S912" s="4"/>
      <c r="T912" s="4"/>
      <c r="U912" s="4"/>
      <c r="V912" s="4"/>
      <c r="W912" s="4"/>
      <c r="X912" s="4"/>
      <c r="Y912" s="4"/>
      <c r="Z912" s="4"/>
      <c r="AA912" s="4"/>
      <c r="AB912" s="4"/>
      <c r="AC912" s="4"/>
      <c r="AD912" s="4"/>
      <c r="AE912" s="4"/>
      <c r="AF912" s="4"/>
    </row>
    <row r="913" ht="15.75" customHeight="1">
      <c r="A913" s="4"/>
      <c r="B913" s="4"/>
      <c r="C913" s="4"/>
      <c r="D913" s="4"/>
      <c r="E913" s="4"/>
      <c r="F913" s="4"/>
      <c r="G913" s="4"/>
      <c r="H913" s="4"/>
      <c r="I913" s="129"/>
      <c r="J913" s="129"/>
      <c r="K913" s="129"/>
      <c r="L913" s="129"/>
      <c r="M913" s="129"/>
      <c r="N913" s="4"/>
      <c r="O913" s="4"/>
      <c r="P913" s="4"/>
      <c r="Q913" s="4"/>
      <c r="R913" s="4"/>
      <c r="S913" s="4"/>
      <c r="T913" s="4"/>
      <c r="U913" s="4"/>
      <c r="V913" s="4"/>
      <c r="W913" s="4"/>
      <c r="X913" s="4"/>
      <c r="Y913" s="4"/>
      <c r="Z913" s="4"/>
      <c r="AA913" s="4"/>
      <c r="AB913" s="4"/>
      <c r="AC913" s="4"/>
      <c r="AD913" s="4"/>
      <c r="AE913" s="4"/>
      <c r="AF913" s="4"/>
    </row>
    <row r="914" ht="15.75" customHeight="1">
      <c r="A914" s="4"/>
      <c r="B914" s="4"/>
      <c r="C914" s="4"/>
      <c r="D914" s="4"/>
      <c r="E914" s="4"/>
      <c r="F914" s="4"/>
      <c r="G914" s="4"/>
      <c r="H914" s="4"/>
      <c r="I914" s="129"/>
      <c r="J914" s="129"/>
      <c r="K914" s="129"/>
      <c r="L914" s="129"/>
      <c r="M914" s="129"/>
      <c r="N914" s="4"/>
      <c r="O914" s="4"/>
      <c r="P914" s="4"/>
      <c r="Q914" s="4"/>
      <c r="R914" s="4"/>
      <c r="S914" s="4"/>
      <c r="T914" s="4"/>
      <c r="U914" s="4"/>
      <c r="V914" s="4"/>
      <c r="W914" s="4"/>
      <c r="X914" s="4"/>
      <c r="Y914" s="4"/>
      <c r="Z914" s="4"/>
      <c r="AA914" s="4"/>
      <c r="AB914" s="4"/>
      <c r="AC914" s="4"/>
      <c r="AD914" s="4"/>
      <c r="AE914" s="4"/>
      <c r="AF914" s="4"/>
    </row>
    <row r="915" ht="15.75" customHeight="1">
      <c r="A915" s="4"/>
      <c r="B915" s="4"/>
      <c r="C915" s="4"/>
      <c r="D915" s="4"/>
      <c r="E915" s="4"/>
      <c r="F915" s="4"/>
      <c r="G915" s="4"/>
      <c r="H915" s="4"/>
      <c r="I915" s="129"/>
      <c r="J915" s="129"/>
      <c r="K915" s="129"/>
      <c r="L915" s="129"/>
      <c r="M915" s="129"/>
      <c r="N915" s="4"/>
      <c r="O915" s="4"/>
      <c r="P915" s="4"/>
      <c r="Q915" s="4"/>
      <c r="R915" s="4"/>
      <c r="S915" s="4"/>
      <c r="T915" s="4"/>
      <c r="U915" s="4"/>
      <c r="V915" s="4"/>
      <c r="W915" s="4"/>
      <c r="X915" s="4"/>
      <c r="Y915" s="4"/>
      <c r="Z915" s="4"/>
      <c r="AA915" s="4"/>
      <c r="AB915" s="4"/>
      <c r="AC915" s="4"/>
      <c r="AD915" s="4"/>
      <c r="AE915" s="4"/>
      <c r="AF915" s="4"/>
    </row>
    <row r="916" ht="15.75" customHeight="1">
      <c r="A916" s="4"/>
      <c r="B916" s="4"/>
      <c r="C916" s="4"/>
      <c r="D916" s="4"/>
      <c r="E916" s="4"/>
      <c r="F916" s="4"/>
      <c r="G916" s="4"/>
      <c r="H916" s="4"/>
      <c r="I916" s="129"/>
      <c r="J916" s="129"/>
      <c r="K916" s="129"/>
      <c r="L916" s="129"/>
      <c r="M916" s="129"/>
      <c r="N916" s="4"/>
      <c r="O916" s="4"/>
      <c r="P916" s="4"/>
      <c r="Q916" s="4"/>
      <c r="R916" s="4"/>
      <c r="S916" s="4"/>
      <c r="T916" s="4"/>
      <c r="U916" s="4"/>
      <c r="V916" s="4"/>
      <c r="W916" s="4"/>
      <c r="X916" s="4"/>
      <c r="Y916" s="4"/>
      <c r="Z916" s="4"/>
      <c r="AA916" s="4"/>
      <c r="AB916" s="4"/>
      <c r="AC916" s="4"/>
      <c r="AD916" s="4"/>
      <c r="AE916" s="4"/>
      <c r="AF916" s="4"/>
    </row>
    <row r="917" ht="15.75" customHeight="1">
      <c r="A917" s="4"/>
      <c r="B917" s="4"/>
      <c r="C917" s="4"/>
      <c r="D917" s="4"/>
      <c r="E917" s="4"/>
      <c r="F917" s="4"/>
      <c r="G917" s="4"/>
      <c r="H917" s="4"/>
      <c r="I917" s="129"/>
      <c r="J917" s="129"/>
      <c r="K917" s="129"/>
      <c r="L917" s="129"/>
      <c r="M917" s="129"/>
      <c r="N917" s="4"/>
      <c r="O917" s="4"/>
      <c r="P917" s="4"/>
      <c r="Q917" s="4"/>
      <c r="R917" s="4"/>
      <c r="S917" s="4"/>
      <c r="T917" s="4"/>
      <c r="U917" s="4"/>
      <c r="V917" s="4"/>
      <c r="W917" s="4"/>
      <c r="X917" s="4"/>
      <c r="Y917" s="4"/>
      <c r="Z917" s="4"/>
      <c r="AA917" s="4"/>
      <c r="AB917" s="4"/>
      <c r="AC917" s="4"/>
      <c r="AD917" s="4"/>
      <c r="AE917" s="4"/>
      <c r="AF917" s="4"/>
    </row>
    <row r="918" ht="15.75" customHeight="1">
      <c r="A918" s="4"/>
      <c r="B918" s="4"/>
      <c r="C918" s="4"/>
      <c r="D918" s="4"/>
      <c r="E918" s="4"/>
      <c r="F918" s="4"/>
      <c r="G918" s="4"/>
      <c r="H918" s="4"/>
      <c r="I918" s="129"/>
      <c r="J918" s="129"/>
      <c r="K918" s="129"/>
      <c r="L918" s="129"/>
      <c r="M918" s="129"/>
      <c r="N918" s="4"/>
      <c r="O918" s="4"/>
      <c r="P918" s="4"/>
      <c r="Q918" s="4"/>
      <c r="R918" s="4"/>
      <c r="S918" s="4"/>
      <c r="T918" s="4"/>
      <c r="U918" s="4"/>
      <c r="V918" s="4"/>
      <c r="W918" s="4"/>
      <c r="X918" s="4"/>
      <c r="Y918" s="4"/>
      <c r="Z918" s="4"/>
      <c r="AA918" s="4"/>
      <c r="AB918" s="4"/>
      <c r="AC918" s="4"/>
      <c r="AD918" s="4"/>
      <c r="AE918" s="4"/>
      <c r="AF918" s="4"/>
    </row>
    <row r="919" ht="15.75" customHeight="1">
      <c r="A919" s="4"/>
      <c r="B919" s="4"/>
      <c r="C919" s="4"/>
      <c r="D919" s="4"/>
      <c r="E919" s="4"/>
      <c r="F919" s="4"/>
      <c r="G919" s="4"/>
      <c r="H919" s="4"/>
      <c r="I919" s="129"/>
      <c r="J919" s="129"/>
      <c r="K919" s="129"/>
      <c r="L919" s="129"/>
      <c r="M919" s="129"/>
      <c r="N919" s="4"/>
      <c r="O919" s="4"/>
      <c r="P919" s="4"/>
      <c r="Q919" s="4"/>
      <c r="R919" s="4"/>
      <c r="S919" s="4"/>
      <c r="T919" s="4"/>
      <c r="U919" s="4"/>
      <c r="V919" s="4"/>
      <c r="W919" s="4"/>
      <c r="X919" s="4"/>
      <c r="Y919" s="4"/>
      <c r="Z919" s="4"/>
      <c r="AA919" s="4"/>
      <c r="AB919" s="4"/>
      <c r="AC919" s="4"/>
      <c r="AD919" s="4"/>
      <c r="AE919" s="4"/>
      <c r="AF919" s="4"/>
    </row>
    <row r="920" ht="15.75" customHeight="1">
      <c r="A920" s="4"/>
      <c r="B920" s="4"/>
      <c r="C920" s="4"/>
      <c r="D920" s="4"/>
      <c r="E920" s="4"/>
      <c r="F920" s="4"/>
      <c r="G920" s="4"/>
      <c r="H920" s="4"/>
      <c r="I920" s="129"/>
      <c r="J920" s="129"/>
      <c r="K920" s="129"/>
      <c r="L920" s="129"/>
      <c r="M920" s="129"/>
      <c r="N920" s="4"/>
      <c r="O920" s="4"/>
      <c r="P920" s="4"/>
      <c r="Q920" s="4"/>
      <c r="R920" s="4"/>
      <c r="S920" s="4"/>
      <c r="T920" s="4"/>
      <c r="U920" s="4"/>
      <c r="V920" s="4"/>
      <c r="W920" s="4"/>
      <c r="X920" s="4"/>
      <c r="Y920" s="4"/>
      <c r="Z920" s="4"/>
      <c r="AA920" s="4"/>
      <c r="AB920" s="4"/>
      <c r="AC920" s="4"/>
      <c r="AD920" s="4"/>
      <c r="AE920" s="4"/>
      <c r="AF920" s="4"/>
    </row>
    <row r="921" ht="15.75" customHeight="1">
      <c r="A921" s="4"/>
      <c r="B921" s="4"/>
      <c r="C921" s="4"/>
      <c r="D921" s="4"/>
      <c r="E921" s="4"/>
      <c r="F921" s="4"/>
      <c r="G921" s="4"/>
      <c r="H921" s="4"/>
      <c r="I921" s="129"/>
      <c r="J921" s="129"/>
      <c r="K921" s="129"/>
      <c r="L921" s="129"/>
      <c r="M921" s="129"/>
      <c r="N921" s="4"/>
      <c r="O921" s="4"/>
      <c r="P921" s="4"/>
      <c r="Q921" s="4"/>
      <c r="R921" s="4"/>
      <c r="S921" s="4"/>
      <c r="T921" s="4"/>
      <c r="U921" s="4"/>
      <c r="V921" s="4"/>
      <c r="W921" s="4"/>
      <c r="X921" s="4"/>
      <c r="Y921" s="4"/>
      <c r="Z921" s="4"/>
      <c r="AA921" s="4"/>
      <c r="AB921" s="4"/>
      <c r="AC921" s="4"/>
      <c r="AD921" s="4"/>
      <c r="AE921" s="4"/>
      <c r="AF921" s="4"/>
    </row>
    <row r="922" ht="15.75" customHeight="1">
      <c r="A922" s="4"/>
      <c r="B922" s="4"/>
      <c r="C922" s="4"/>
      <c r="D922" s="4"/>
      <c r="E922" s="4"/>
      <c r="F922" s="4"/>
      <c r="G922" s="4"/>
      <c r="H922" s="4"/>
      <c r="I922" s="129"/>
      <c r="J922" s="129"/>
      <c r="K922" s="129"/>
      <c r="L922" s="129"/>
      <c r="M922" s="129"/>
      <c r="N922" s="4"/>
      <c r="O922" s="4"/>
      <c r="P922" s="4"/>
      <c r="Q922" s="4"/>
      <c r="R922" s="4"/>
      <c r="S922" s="4"/>
      <c r="T922" s="4"/>
      <c r="U922" s="4"/>
      <c r="V922" s="4"/>
      <c r="W922" s="4"/>
      <c r="X922" s="4"/>
      <c r="Y922" s="4"/>
      <c r="Z922" s="4"/>
      <c r="AA922" s="4"/>
      <c r="AB922" s="4"/>
      <c r="AC922" s="4"/>
      <c r="AD922" s="4"/>
      <c r="AE922" s="4"/>
      <c r="AF922" s="4"/>
    </row>
    <row r="923" ht="15.75" customHeight="1">
      <c r="A923" s="4"/>
      <c r="B923" s="4"/>
      <c r="C923" s="4"/>
      <c r="D923" s="4"/>
      <c r="E923" s="4"/>
      <c r="F923" s="4"/>
      <c r="G923" s="4"/>
      <c r="H923" s="4"/>
      <c r="I923" s="129"/>
      <c r="J923" s="129"/>
      <c r="K923" s="129"/>
      <c r="L923" s="129"/>
      <c r="M923" s="129"/>
      <c r="N923" s="4"/>
      <c r="O923" s="4"/>
      <c r="P923" s="4"/>
      <c r="Q923" s="4"/>
      <c r="R923" s="4"/>
      <c r="S923" s="4"/>
      <c r="T923" s="4"/>
      <c r="U923" s="4"/>
      <c r="V923" s="4"/>
      <c r="W923" s="4"/>
      <c r="X923" s="4"/>
      <c r="Y923" s="4"/>
      <c r="Z923" s="4"/>
      <c r="AA923" s="4"/>
      <c r="AB923" s="4"/>
      <c r="AC923" s="4"/>
      <c r="AD923" s="4"/>
      <c r="AE923" s="4"/>
      <c r="AF923" s="4"/>
    </row>
    <row r="924" ht="15.75" customHeight="1">
      <c r="A924" s="4"/>
      <c r="B924" s="4"/>
      <c r="C924" s="4"/>
      <c r="D924" s="4"/>
      <c r="E924" s="4"/>
      <c r="F924" s="4"/>
      <c r="G924" s="4"/>
      <c r="H924" s="4"/>
      <c r="I924" s="129"/>
      <c r="J924" s="129"/>
      <c r="K924" s="129"/>
      <c r="L924" s="129"/>
      <c r="M924" s="129"/>
      <c r="N924" s="4"/>
      <c r="O924" s="4"/>
      <c r="P924" s="4"/>
      <c r="Q924" s="4"/>
      <c r="R924" s="4"/>
      <c r="S924" s="4"/>
      <c r="T924" s="4"/>
      <c r="U924" s="4"/>
      <c r="V924" s="4"/>
      <c r="W924" s="4"/>
      <c r="X924" s="4"/>
      <c r="Y924" s="4"/>
      <c r="Z924" s="4"/>
      <c r="AA924" s="4"/>
      <c r="AB924" s="4"/>
      <c r="AC924" s="4"/>
      <c r="AD924" s="4"/>
      <c r="AE924" s="4"/>
      <c r="AF924" s="4"/>
    </row>
    <row r="925" ht="15.75" customHeight="1">
      <c r="A925" s="4"/>
      <c r="B925" s="4"/>
      <c r="C925" s="4"/>
      <c r="D925" s="4"/>
      <c r="E925" s="4"/>
      <c r="F925" s="4"/>
      <c r="G925" s="4"/>
      <c r="H925" s="4"/>
      <c r="I925" s="129"/>
      <c r="J925" s="129"/>
      <c r="K925" s="129"/>
      <c r="L925" s="129"/>
      <c r="M925" s="129"/>
      <c r="N925" s="4"/>
      <c r="O925" s="4"/>
      <c r="P925" s="4"/>
      <c r="Q925" s="4"/>
      <c r="R925" s="4"/>
      <c r="S925" s="4"/>
      <c r="T925" s="4"/>
      <c r="U925" s="4"/>
      <c r="V925" s="4"/>
      <c r="W925" s="4"/>
      <c r="X925" s="4"/>
      <c r="Y925" s="4"/>
      <c r="Z925" s="4"/>
      <c r="AA925" s="4"/>
      <c r="AB925" s="4"/>
      <c r="AC925" s="4"/>
      <c r="AD925" s="4"/>
      <c r="AE925" s="4"/>
      <c r="AF925" s="4"/>
    </row>
    <row r="926" ht="15.75" customHeight="1">
      <c r="A926" s="4"/>
      <c r="B926" s="4"/>
      <c r="C926" s="4"/>
      <c r="D926" s="4"/>
      <c r="E926" s="4"/>
      <c r="F926" s="4"/>
      <c r="G926" s="4"/>
      <c r="H926" s="4"/>
      <c r="I926" s="129"/>
      <c r="J926" s="129"/>
      <c r="K926" s="129"/>
      <c r="L926" s="129"/>
      <c r="M926" s="129"/>
      <c r="N926" s="4"/>
      <c r="O926" s="4"/>
      <c r="P926" s="4"/>
      <c r="Q926" s="4"/>
      <c r="R926" s="4"/>
      <c r="S926" s="4"/>
      <c r="T926" s="4"/>
      <c r="U926" s="4"/>
      <c r="V926" s="4"/>
      <c r="W926" s="4"/>
      <c r="X926" s="4"/>
      <c r="Y926" s="4"/>
      <c r="Z926" s="4"/>
      <c r="AA926" s="4"/>
      <c r="AB926" s="4"/>
      <c r="AC926" s="4"/>
      <c r="AD926" s="4"/>
      <c r="AE926" s="4"/>
      <c r="AF926" s="4"/>
    </row>
    <row r="927" ht="15.75" customHeight="1">
      <c r="A927" s="4"/>
      <c r="B927" s="4"/>
      <c r="C927" s="4"/>
      <c r="D927" s="4"/>
      <c r="E927" s="4"/>
      <c r="F927" s="4"/>
      <c r="G927" s="4"/>
      <c r="H927" s="4"/>
      <c r="I927" s="129"/>
      <c r="J927" s="129"/>
      <c r="K927" s="129"/>
      <c r="L927" s="129"/>
      <c r="M927" s="129"/>
      <c r="N927" s="4"/>
      <c r="O927" s="4"/>
      <c r="P927" s="4"/>
      <c r="Q927" s="4"/>
      <c r="R927" s="4"/>
      <c r="S927" s="4"/>
      <c r="T927" s="4"/>
      <c r="U927" s="4"/>
      <c r="V927" s="4"/>
      <c r="W927" s="4"/>
      <c r="X927" s="4"/>
      <c r="Y927" s="4"/>
      <c r="Z927" s="4"/>
      <c r="AA927" s="4"/>
      <c r="AB927" s="4"/>
      <c r="AC927" s="4"/>
      <c r="AD927" s="4"/>
      <c r="AE927" s="4"/>
      <c r="AF927" s="4"/>
    </row>
    <row r="928" ht="15.75" customHeight="1">
      <c r="A928" s="4"/>
      <c r="B928" s="4"/>
      <c r="C928" s="4"/>
      <c r="D928" s="4"/>
      <c r="E928" s="4"/>
      <c r="F928" s="4"/>
      <c r="G928" s="4"/>
      <c r="H928" s="4"/>
      <c r="I928" s="129"/>
      <c r="J928" s="129"/>
      <c r="K928" s="129"/>
      <c r="L928" s="129"/>
      <c r="M928" s="129"/>
      <c r="N928" s="4"/>
      <c r="O928" s="4"/>
      <c r="P928" s="4"/>
      <c r="Q928" s="4"/>
      <c r="R928" s="4"/>
      <c r="S928" s="4"/>
      <c r="T928" s="4"/>
      <c r="U928" s="4"/>
      <c r="V928" s="4"/>
      <c r="W928" s="4"/>
      <c r="X928" s="4"/>
      <c r="Y928" s="4"/>
      <c r="Z928" s="4"/>
      <c r="AA928" s="4"/>
      <c r="AB928" s="4"/>
      <c r="AC928" s="4"/>
      <c r="AD928" s="4"/>
      <c r="AE928" s="4"/>
      <c r="AF928" s="4"/>
    </row>
    <row r="929" ht="15.75" customHeight="1">
      <c r="A929" s="4"/>
      <c r="B929" s="4"/>
      <c r="C929" s="4"/>
      <c r="D929" s="4"/>
      <c r="E929" s="4"/>
      <c r="F929" s="4"/>
      <c r="G929" s="4"/>
      <c r="H929" s="4"/>
      <c r="I929" s="129"/>
      <c r="J929" s="129"/>
      <c r="K929" s="129"/>
      <c r="L929" s="129"/>
      <c r="M929" s="129"/>
      <c r="N929" s="4"/>
      <c r="O929" s="4"/>
      <c r="P929" s="4"/>
      <c r="Q929" s="4"/>
      <c r="R929" s="4"/>
      <c r="S929" s="4"/>
      <c r="T929" s="4"/>
      <c r="U929" s="4"/>
      <c r="V929" s="4"/>
      <c r="W929" s="4"/>
      <c r="X929" s="4"/>
      <c r="Y929" s="4"/>
      <c r="Z929" s="4"/>
      <c r="AA929" s="4"/>
      <c r="AB929" s="4"/>
      <c r="AC929" s="4"/>
      <c r="AD929" s="4"/>
      <c r="AE929" s="4"/>
      <c r="AF929" s="4"/>
    </row>
    <row r="930" ht="15.75" customHeight="1">
      <c r="A930" s="4"/>
      <c r="B930" s="4"/>
      <c r="C930" s="4"/>
      <c r="D930" s="4"/>
      <c r="E930" s="4"/>
      <c r="F930" s="4"/>
      <c r="G930" s="4"/>
      <c r="H930" s="4"/>
      <c r="I930" s="129"/>
      <c r="J930" s="129"/>
      <c r="K930" s="129"/>
      <c r="L930" s="129"/>
      <c r="M930" s="129"/>
      <c r="N930" s="4"/>
      <c r="O930" s="4"/>
      <c r="P930" s="4"/>
      <c r="Q930" s="4"/>
      <c r="R930" s="4"/>
      <c r="S930" s="4"/>
      <c r="T930" s="4"/>
      <c r="U930" s="4"/>
      <c r="V930" s="4"/>
      <c r="W930" s="4"/>
      <c r="X930" s="4"/>
      <c r="Y930" s="4"/>
      <c r="Z930" s="4"/>
      <c r="AA930" s="4"/>
      <c r="AB930" s="4"/>
      <c r="AC930" s="4"/>
      <c r="AD930" s="4"/>
      <c r="AE930" s="4"/>
      <c r="AF930" s="4"/>
    </row>
    <row r="931" ht="15.75" customHeight="1">
      <c r="A931" s="4"/>
      <c r="B931" s="4"/>
      <c r="C931" s="4"/>
      <c r="D931" s="4"/>
      <c r="E931" s="4"/>
      <c r="F931" s="4"/>
      <c r="G931" s="4"/>
      <c r="H931" s="4"/>
      <c r="I931" s="129"/>
      <c r="J931" s="129"/>
      <c r="K931" s="129"/>
      <c r="L931" s="129"/>
      <c r="M931" s="129"/>
      <c r="N931" s="4"/>
      <c r="O931" s="4"/>
      <c r="P931" s="4"/>
      <c r="Q931" s="4"/>
      <c r="R931" s="4"/>
      <c r="S931" s="4"/>
      <c r="T931" s="4"/>
      <c r="U931" s="4"/>
      <c r="V931" s="4"/>
      <c r="W931" s="4"/>
      <c r="X931" s="4"/>
      <c r="Y931" s="4"/>
      <c r="Z931" s="4"/>
      <c r="AA931" s="4"/>
      <c r="AB931" s="4"/>
      <c r="AC931" s="4"/>
      <c r="AD931" s="4"/>
      <c r="AE931" s="4"/>
      <c r="AF931" s="4"/>
    </row>
    <row r="932" ht="15.75" customHeight="1">
      <c r="A932" s="4"/>
      <c r="B932" s="4"/>
      <c r="C932" s="4"/>
      <c r="D932" s="4"/>
      <c r="E932" s="4"/>
      <c r="F932" s="4"/>
      <c r="G932" s="4"/>
      <c r="H932" s="4"/>
      <c r="I932" s="129"/>
      <c r="J932" s="129"/>
      <c r="K932" s="129"/>
      <c r="L932" s="129"/>
      <c r="M932" s="129"/>
      <c r="N932" s="4"/>
      <c r="O932" s="4"/>
      <c r="P932" s="4"/>
      <c r="Q932" s="4"/>
      <c r="R932" s="4"/>
      <c r="S932" s="4"/>
      <c r="T932" s="4"/>
      <c r="U932" s="4"/>
      <c r="V932" s="4"/>
      <c r="W932" s="4"/>
      <c r="X932" s="4"/>
      <c r="Y932" s="4"/>
      <c r="Z932" s="4"/>
      <c r="AA932" s="4"/>
      <c r="AB932" s="4"/>
      <c r="AC932" s="4"/>
      <c r="AD932" s="4"/>
      <c r="AE932" s="4"/>
      <c r="AF932" s="4"/>
    </row>
    <row r="933" ht="15.75" customHeight="1">
      <c r="A933" s="4"/>
      <c r="B933" s="4"/>
      <c r="C933" s="4"/>
      <c r="D933" s="4"/>
      <c r="E933" s="4"/>
      <c r="F933" s="4"/>
      <c r="G933" s="4"/>
      <c r="H933" s="4"/>
      <c r="I933" s="129"/>
      <c r="J933" s="129"/>
      <c r="K933" s="129"/>
      <c r="L933" s="129"/>
      <c r="M933" s="129"/>
      <c r="N933" s="4"/>
      <c r="O933" s="4"/>
      <c r="P933" s="4"/>
      <c r="Q933" s="4"/>
      <c r="R933" s="4"/>
      <c r="S933" s="4"/>
      <c r="T933" s="4"/>
      <c r="U933" s="4"/>
      <c r="V933" s="4"/>
      <c r="W933" s="4"/>
      <c r="X933" s="4"/>
      <c r="Y933" s="4"/>
      <c r="Z933" s="4"/>
      <c r="AA933" s="4"/>
      <c r="AB933" s="4"/>
      <c r="AC933" s="4"/>
      <c r="AD933" s="4"/>
      <c r="AE933" s="4"/>
      <c r="AF933" s="4"/>
    </row>
    <row r="934" ht="15.75" customHeight="1">
      <c r="A934" s="4"/>
      <c r="B934" s="4"/>
      <c r="C934" s="4"/>
      <c r="D934" s="4"/>
      <c r="E934" s="4"/>
      <c r="F934" s="4"/>
      <c r="G934" s="4"/>
      <c r="H934" s="4"/>
      <c r="I934" s="129"/>
      <c r="J934" s="129"/>
      <c r="K934" s="129"/>
      <c r="L934" s="129"/>
      <c r="M934" s="129"/>
      <c r="N934" s="4"/>
      <c r="O934" s="4"/>
      <c r="P934" s="4"/>
      <c r="Q934" s="4"/>
      <c r="R934" s="4"/>
      <c r="S934" s="4"/>
      <c r="T934" s="4"/>
      <c r="U934" s="4"/>
      <c r="V934" s="4"/>
      <c r="W934" s="4"/>
      <c r="X934" s="4"/>
      <c r="Y934" s="4"/>
      <c r="Z934" s="4"/>
      <c r="AA934" s="4"/>
      <c r="AB934" s="4"/>
      <c r="AC934" s="4"/>
      <c r="AD934" s="4"/>
      <c r="AE934" s="4"/>
      <c r="AF934" s="4"/>
    </row>
    <row r="935" ht="15.75" customHeight="1">
      <c r="A935" s="4"/>
      <c r="B935" s="4"/>
      <c r="C935" s="4"/>
      <c r="D935" s="4"/>
      <c r="E935" s="4"/>
      <c r="F935" s="4"/>
      <c r="G935" s="4"/>
      <c r="H935" s="4"/>
      <c r="I935" s="129"/>
      <c r="J935" s="129"/>
      <c r="K935" s="129"/>
      <c r="L935" s="129"/>
      <c r="M935" s="129"/>
      <c r="N935" s="4"/>
      <c r="O935" s="4"/>
      <c r="P935" s="4"/>
      <c r="Q935" s="4"/>
      <c r="R935" s="4"/>
      <c r="S935" s="4"/>
      <c r="T935" s="4"/>
      <c r="U935" s="4"/>
      <c r="V935" s="4"/>
      <c r="W935" s="4"/>
      <c r="X935" s="4"/>
      <c r="Y935" s="4"/>
      <c r="Z935" s="4"/>
      <c r="AA935" s="4"/>
      <c r="AB935" s="4"/>
      <c r="AC935" s="4"/>
      <c r="AD935" s="4"/>
      <c r="AE935" s="4"/>
      <c r="AF935" s="4"/>
    </row>
    <row r="936" ht="15.75" customHeight="1">
      <c r="A936" s="4"/>
      <c r="B936" s="4"/>
      <c r="C936" s="4"/>
      <c r="D936" s="4"/>
      <c r="E936" s="4"/>
      <c r="F936" s="4"/>
      <c r="G936" s="4"/>
      <c r="H936" s="4"/>
      <c r="I936" s="129"/>
      <c r="J936" s="129"/>
      <c r="K936" s="129"/>
      <c r="L936" s="129"/>
      <c r="M936" s="129"/>
      <c r="N936" s="4"/>
      <c r="O936" s="4"/>
      <c r="P936" s="4"/>
      <c r="Q936" s="4"/>
      <c r="R936" s="4"/>
      <c r="S936" s="4"/>
      <c r="T936" s="4"/>
      <c r="U936" s="4"/>
      <c r="V936" s="4"/>
      <c r="W936" s="4"/>
      <c r="X936" s="4"/>
      <c r="Y936" s="4"/>
      <c r="Z936" s="4"/>
      <c r="AA936" s="4"/>
      <c r="AB936" s="4"/>
      <c r="AC936" s="4"/>
      <c r="AD936" s="4"/>
      <c r="AE936" s="4"/>
      <c r="AF936" s="4"/>
    </row>
    <row r="937" ht="15.75" customHeight="1">
      <c r="A937" s="4"/>
      <c r="B937" s="4"/>
      <c r="C937" s="4"/>
      <c r="D937" s="4"/>
      <c r="E937" s="4"/>
      <c r="F937" s="4"/>
      <c r="G937" s="4"/>
      <c r="H937" s="4"/>
      <c r="I937" s="129"/>
      <c r="J937" s="129"/>
      <c r="K937" s="129"/>
      <c r="L937" s="129"/>
      <c r="M937" s="129"/>
      <c r="N937" s="4"/>
      <c r="O937" s="4"/>
      <c r="P937" s="4"/>
      <c r="Q937" s="4"/>
      <c r="R937" s="4"/>
      <c r="S937" s="4"/>
      <c r="T937" s="4"/>
      <c r="U937" s="4"/>
      <c r="V937" s="4"/>
      <c r="W937" s="4"/>
      <c r="X937" s="4"/>
      <c r="Y937" s="4"/>
      <c r="Z937" s="4"/>
      <c r="AA937" s="4"/>
      <c r="AB937" s="4"/>
      <c r="AC937" s="4"/>
      <c r="AD937" s="4"/>
      <c r="AE937" s="4"/>
      <c r="AF937" s="4"/>
    </row>
    <row r="938" ht="15.75" customHeight="1">
      <c r="A938" s="4"/>
      <c r="B938" s="4"/>
      <c r="C938" s="4"/>
      <c r="D938" s="4"/>
      <c r="E938" s="4"/>
      <c r="F938" s="4"/>
      <c r="G938" s="4"/>
      <c r="H938" s="4"/>
      <c r="I938" s="129"/>
      <c r="J938" s="129"/>
      <c r="K938" s="129"/>
      <c r="L938" s="129"/>
      <c r="M938" s="129"/>
      <c r="N938" s="4"/>
      <c r="O938" s="4"/>
      <c r="P938" s="4"/>
      <c r="Q938" s="4"/>
      <c r="R938" s="4"/>
      <c r="S938" s="4"/>
      <c r="T938" s="4"/>
      <c r="U938" s="4"/>
      <c r="V938" s="4"/>
      <c r="W938" s="4"/>
      <c r="X938" s="4"/>
      <c r="Y938" s="4"/>
      <c r="Z938" s="4"/>
      <c r="AA938" s="4"/>
      <c r="AB938" s="4"/>
      <c r="AC938" s="4"/>
      <c r="AD938" s="4"/>
      <c r="AE938" s="4"/>
      <c r="AF938" s="4"/>
    </row>
    <row r="939" ht="15.75" customHeight="1">
      <c r="A939" s="4"/>
      <c r="B939" s="4"/>
      <c r="C939" s="4"/>
      <c r="D939" s="4"/>
      <c r="E939" s="4"/>
      <c r="F939" s="4"/>
      <c r="G939" s="4"/>
      <c r="H939" s="4"/>
      <c r="I939" s="129"/>
      <c r="J939" s="129"/>
      <c r="K939" s="129"/>
      <c r="L939" s="129"/>
      <c r="M939" s="129"/>
      <c r="N939" s="4"/>
      <c r="O939" s="4"/>
      <c r="P939" s="4"/>
      <c r="Q939" s="4"/>
      <c r="R939" s="4"/>
      <c r="S939" s="4"/>
      <c r="T939" s="4"/>
      <c r="U939" s="4"/>
      <c r="V939" s="4"/>
      <c r="W939" s="4"/>
      <c r="X939" s="4"/>
      <c r="Y939" s="4"/>
      <c r="Z939" s="4"/>
      <c r="AA939" s="4"/>
      <c r="AB939" s="4"/>
      <c r="AC939" s="4"/>
      <c r="AD939" s="4"/>
      <c r="AE939" s="4"/>
      <c r="AF939" s="4"/>
    </row>
    <row r="940" ht="15.75" customHeight="1">
      <c r="A940" s="4"/>
      <c r="B940" s="4"/>
      <c r="C940" s="4"/>
      <c r="D940" s="4"/>
      <c r="E940" s="4"/>
      <c r="F940" s="4"/>
      <c r="G940" s="4"/>
      <c r="H940" s="4"/>
      <c r="I940" s="129"/>
      <c r="J940" s="129"/>
      <c r="K940" s="129"/>
      <c r="L940" s="129"/>
      <c r="M940" s="129"/>
      <c r="N940" s="4"/>
      <c r="O940" s="4"/>
      <c r="P940" s="4"/>
      <c r="Q940" s="4"/>
      <c r="R940" s="4"/>
      <c r="S940" s="4"/>
      <c r="T940" s="4"/>
      <c r="U940" s="4"/>
      <c r="V940" s="4"/>
      <c r="W940" s="4"/>
      <c r="X940" s="4"/>
      <c r="Y940" s="4"/>
      <c r="Z940" s="4"/>
      <c r="AA940" s="4"/>
      <c r="AB940" s="4"/>
      <c r="AC940" s="4"/>
      <c r="AD940" s="4"/>
      <c r="AE940" s="4"/>
      <c r="AF940" s="4"/>
    </row>
    <row r="941" ht="15.75" customHeight="1">
      <c r="A941" s="4"/>
      <c r="B941" s="4"/>
      <c r="C941" s="4"/>
      <c r="D941" s="4"/>
      <c r="E941" s="4"/>
      <c r="F941" s="4"/>
      <c r="G941" s="4"/>
      <c r="H941" s="4"/>
      <c r="I941" s="129"/>
      <c r="J941" s="129"/>
      <c r="K941" s="129"/>
      <c r="L941" s="129"/>
      <c r="M941" s="129"/>
      <c r="N941" s="4"/>
      <c r="O941" s="4"/>
      <c r="P941" s="4"/>
      <c r="Q941" s="4"/>
      <c r="R941" s="4"/>
      <c r="S941" s="4"/>
      <c r="T941" s="4"/>
      <c r="U941" s="4"/>
      <c r="V941" s="4"/>
      <c r="W941" s="4"/>
      <c r="X941" s="4"/>
      <c r="Y941" s="4"/>
      <c r="Z941" s="4"/>
      <c r="AA941" s="4"/>
      <c r="AB941" s="4"/>
      <c r="AC941" s="4"/>
      <c r="AD941" s="4"/>
      <c r="AE941" s="4"/>
      <c r="AF941" s="4"/>
    </row>
    <row r="942" ht="15.75" customHeight="1">
      <c r="A942" s="4"/>
      <c r="B942" s="4"/>
      <c r="C942" s="4"/>
      <c r="D942" s="4"/>
      <c r="E942" s="4"/>
      <c r="F942" s="4"/>
      <c r="G942" s="4"/>
      <c r="H942" s="4"/>
      <c r="I942" s="129"/>
      <c r="J942" s="129"/>
      <c r="K942" s="129"/>
      <c r="L942" s="129"/>
      <c r="M942" s="129"/>
      <c r="N942" s="4"/>
      <c r="O942" s="4"/>
      <c r="P942" s="4"/>
      <c r="Q942" s="4"/>
      <c r="R942" s="4"/>
      <c r="S942" s="4"/>
      <c r="T942" s="4"/>
      <c r="U942" s="4"/>
      <c r="V942" s="4"/>
      <c r="W942" s="4"/>
      <c r="X942" s="4"/>
      <c r="Y942" s="4"/>
      <c r="Z942" s="4"/>
      <c r="AA942" s="4"/>
      <c r="AB942" s="4"/>
      <c r="AC942" s="4"/>
      <c r="AD942" s="4"/>
      <c r="AE942" s="4"/>
      <c r="AF942" s="4"/>
    </row>
    <row r="943" ht="15.75" customHeight="1">
      <c r="A943" s="4"/>
      <c r="B943" s="4"/>
      <c r="C943" s="4"/>
      <c r="D943" s="4"/>
      <c r="E943" s="4"/>
      <c r="F943" s="4"/>
      <c r="G943" s="4"/>
      <c r="H943" s="4"/>
      <c r="I943" s="129"/>
      <c r="J943" s="129"/>
      <c r="K943" s="129"/>
      <c r="L943" s="129"/>
      <c r="M943" s="129"/>
      <c r="N943" s="4"/>
      <c r="O943" s="4"/>
      <c r="P943" s="4"/>
      <c r="Q943" s="4"/>
      <c r="R943" s="4"/>
      <c r="S943" s="4"/>
      <c r="T943" s="4"/>
      <c r="U943" s="4"/>
      <c r="V943" s="4"/>
      <c r="W943" s="4"/>
      <c r="X943" s="4"/>
      <c r="Y943" s="4"/>
      <c r="Z943" s="4"/>
      <c r="AA943" s="4"/>
      <c r="AB943" s="4"/>
      <c r="AC943" s="4"/>
      <c r="AD943" s="4"/>
      <c r="AE943" s="4"/>
      <c r="AF943" s="4"/>
    </row>
    <row r="944" ht="15.75" customHeight="1">
      <c r="A944" s="4"/>
      <c r="B944" s="4"/>
      <c r="C944" s="4"/>
      <c r="D944" s="4"/>
      <c r="E944" s="4"/>
      <c r="F944" s="4"/>
      <c r="G944" s="4"/>
      <c r="H944" s="4"/>
      <c r="I944" s="129"/>
      <c r="J944" s="129"/>
      <c r="K944" s="129"/>
      <c r="L944" s="129"/>
      <c r="M944" s="129"/>
      <c r="N944" s="4"/>
      <c r="O944" s="4"/>
      <c r="P944" s="4"/>
      <c r="Q944" s="4"/>
      <c r="R944" s="4"/>
      <c r="S944" s="4"/>
      <c r="T944" s="4"/>
      <c r="U944" s="4"/>
      <c r="V944" s="4"/>
      <c r="W944" s="4"/>
      <c r="X944" s="4"/>
      <c r="Y944" s="4"/>
      <c r="Z944" s="4"/>
      <c r="AA944" s="4"/>
      <c r="AB944" s="4"/>
      <c r="AC944" s="4"/>
      <c r="AD944" s="4"/>
      <c r="AE944" s="4"/>
      <c r="AF944" s="4"/>
    </row>
    <row r="945" ht="15.75" customHeight="1">
      <c r="A945" s="4"/>
      <c r="B945" s="4"/>
      <c r="C945" s="4"/>
      <c r="D945" s="4"/>
      <c r="E945" s="4"/>
      <c r="F945" s="4"/>
      <c r="G945" s="4"/>
      <c r="H945" s="4"/>
      <c r="I945" s="129"/>
      <c r="J945" s="129"/>
      <c r="K945" s="129"/>
      <c r="L945" s="129"/>
      <c r="M945" s="129"/>
      <c r="N945" s="4"/>
      <c r="O945" s="4"/>
      <c r="P945" s="4"/>
      <c r="Q945" s="4"/>
      <c r="R945" s="4"/>
      <c r="S945" s="4"/>
      <c r="T945" s="4"/>
      <c r="U945" s="4"/>
      <c r="V945" s="4"/>
      <c r="W945" s="4"/>
      <c r="X945" s="4"/>
      <c r="Y945" s="4"/>
      <c r="Z945" s="4"/>
      <c r="AA945" s="4"/>
      <c r="AB945" s="4"/>
      <c r="AC945" s="4"/>
      <c r="AD945" s="4"/>
      <c r="AE945" s="4"/>
      <c r="AF945" s="4"/>
    </row>
    <row r="946" ht="15.75" customHeight="1">
      <c r="A946" s="4"/>
      <c r="B946" s="4"/>
      <c r="C946" s="4"/>
      <c r="D946" s="4"/>
      <c r="E946" s="4"/>
      <c r="F946" s="4"/>
      <c r="G946" s="4"/>
      <c r="H946" s="4"/>
      <c r="I946" s="129"/>
      <c r="J946" s="129"/>
      <c r="K946" s="129"/>
      <c r="L946" s="129"/>
      <c r="M946" s="129"/>
      <c r="N946" s="4"/>
      <c r="O946" s="4"/>
      <c r="P946" s="4"/>
      <c r="Q946" s="4"/>
      <c r="R946" s="4"/>
      <c r="S946" s="4"/>
      <c r="T946" s="4"/>
      <c r="U946" s="4"/>
      <c r="V946" s="4"/>
      <c r="W946" s="4"/>
      <c r="X946" s="4"/>
      <c r="Y946" s="4"/>
      <c r="Z946" s="4"/>
      <c r="AA946" s="4"/>
      <c r="AB946" s="4"/>
      <c r="AC946" s="4"/>
      <c r="AD946" s="4"/>
      <c r="AE946" s="4"/>
      <c r="AF946" s="4"/>
    </row>
    <row r="947" ht="15.75" customHeight="1">
      <c r="A947" s="4"/>
      <c r="B947" s="4"/>
      <c r="C947" s="4"/>
      <c r="D947" s="4"/>
      <c r="E947" s="4"/>
      <c r="F947" s="4"/>
      <c r="G947" s="4"/>
      <c r="H947" s="4"/>
      <c r="I947" s="129"/>
      <c r="J947" s="129"/>
      <c r="K947" s="129"/>
      <c r="L947" s="129"/>
      <c r="M947" s="129"/>
      <c r="N947" s="4"/>
      <c r="O947" s="4"/>
      <c r="P947" s="4"/>
      <c r="Q947" s="4"/>
      <c r="R947" s="4"/>
      <c r="S947" s="4"/>
      <c r="T947" s="4"/>
      <c r="U947" s="4"/>
      <c r="V947" s="4"/>
      <c r="W947" s="4"/>
      <c r="X947" s="4"/>
      <c r="Y947" s="4"/>
      <c r="Z947" s="4"/>
      <c r="AA947" s="4"/>
      <c r="AB947" s="4"/>
      <c r="AC947" s="4"/>
      <c r="AD947" s="4"/>
      <c r="AE947" s="4"/>
      <c r="AF947" s="4"/>
    </row>
    <row r="948" ht="15.75" customHeight="1">
      <c r="A948" s="4"/>
      <c r="B948" s="4"/>
      <c r="C948" s="4"/>
      <c r="D948" s="4"/>
      <c r="E948" s="4"/>
      <c r="F948" s="4"/>
      <c r="G948" s="4"/>
      <c r="H948" s="4"/>
      <c r="I948" s="129"/>
      <c r="J948" s="129"/>
      <c r="K948" s="129"/>
      <c r="L948" s="129"/>
      <c r="M948" s="129"/>
      <c r="N948" s="4"/>
      <c r="O948" s="4"/>
      <c r="P948" s="4"/>
      <c r="Q948" s="4"/>
      <c r="R948" s="4"/>
      <c r="S948" s="4"/>
      <c r="T948" s="4"/>
      <c r="U948" s="4"/>
      <c r="V948" s="4"/>
      <c r="W948" s="4"/>
      <c r="X948" s="4"/>
      <c r="Y948" s="4"/>
      <c r="Z948" s="4"/>
      <c r="AA948" s="4"/>
      <c r="AB948" s="4"/>
      <c r="AC948" s="4"/>
      <c r="AD948" s="4"/>
      <c r="AE948" s="4"/>
      <c r="AF948" s="4"/>
    </row>
    <row r="949" ht="15.75" customHeight="1">
      <c r="A949" s="4"/>
      <c r="B949" s="4"/>
      <c r="C949" s="4"/>
      <c r="D949" s="4"/>
      <c r="E949" s="4"/>
      <c r="F949" s="4"/>
      <c r="G949" s="4"/>
      <c r="H949" s="4"/>
      <c r="I949" s="129"/>
      <c r="J949" s="129"/>
      <c r="K949" s="129"/>
      <c r="L949" s="129"/>
      <c r="M949" s="129"/>
      <c r="N949" s="4"/>
      <c r="O949" s="4"/>
      <c r="P949" s="4"/>
      <c r="Q949" s="4"/>
      <c r="R949" s="4"/>
      <c r="S949" s="4"/>
      <c r="T949" s="4"/>
      <c r="U949" s="4"/>
      <c r="V949" s="4"/>
      <c r="W949" s="4"/>
      <c r="X949" s="4"/>
      <c r="Y949" s="4"/>
      <c r="Z949" s="4"/>
      <c r="AA949" s="4"/>
      <c r="AB949" s="4"/>
      <c r="AC949" s="4"/>
      <c r="AD949" s="4"/>
      <c r="AE949" s="4"/>
      <c r="AF949" s="4"/>
    </row>
    <row r="950" ht="15.75" customHeight="1">
      <c r="A950" s="4"/>
      <c r="B950" s="4"/>
      <c r="C950" s="4"/>
      <c r="D950" s="4"/>
      <c r="E950" s="4"/>
      <c r="F950" s="4"/>
      <c r="G950" s="4"/>
      <c r="H950" s="4"/>
      <c r="I950" s="129"/>
      <c r="J950" s="129"/>
      <c r="K950" s="129"/>
      <c r="L950" s="129"/>
      <c r="M950" s="129"/>
      <c r="N950" s="4"/>
      <c r="O950" s="4"/>
      <c r="P950" s="4"/>
      <c r="Q950" s="4"/>
      <c r="R950" s="4"/>
      <c r="S950" s="4"/>
      <c r="T950" s="4"/>
      <c r="U950" s="4"/>
      <c r="V950" s="4"/>
      <c r="W950" s="4"/>
      <c r="X950" s="4"/>
      <c r="Y950" s="4"/>
      <c r="Z950" s="4"/>
      <c r="AA950" s="4"/>
      <c r="AB950" s="4"/>
      <c r="AC950" s="4"/>
      <c r="AD950" s="4"/>
      <c r="AE950" s="4"/>
      <c r="AF950" s="4"/>
    </row>
    <row r="951" ht="15.75" customHeight="1">
      <c r="A951" s="4"/>
      <c r="B951" s="4"/>
      <c r="C951" s="4"/>
      <c r="D951" s="4"/>
      <c r="E951" s="4"/>
      <c r="F951" s="4"/>
      <c r="G951" s="4"/>
      <c r="H951" s="4"/>
      <c r="I951" s="129"/>
      <c r="J951" s="129"/>
      <c r="K951" s="129"/>
      <c r="L951" s="129"/>
      <c r="M951" s="129"/>
      <c r="N951" s="4"/>
      <c r="O951" s="4"/>
      <c r="P951" s="4"/>
      <c r="Q951" s="4"/>
      <c r="R951" s="4"/>
      <c r="S951" s="4"/>
      <c r="T951" s="4"/>
      <c r="U951" s="4"/>
      <c r="V951" s="4"/>
      <c r="W951" s="4"/>
      <c r="X951" s="4"/>
      <c r="Y951" s="4"/>
      <c r="Z951" s="4"/>
      <c r="AA951" s="4"/>
      <c r="AB951" s="4"/>
      <c r="AC951" s="4"/>
      <c r="AD951" s="4"/>
      <c r="AE951" s="4"/>
      <c r="AF951" s="4"/>
    </row>
    <row r="952" ht="15.75" customHeight="1">
      <c r="A952" s="4"/>
      <c r="B952" s="4"/>
      <c r="C952" s="4"/>
      <c r="D952" s="4"/>
      <c r="E952" s="4"/>
      <c r="F952" s="4"/>
      <c r="G952" s="4"/>
      <c r="H952" s="4"/>
      <c r="I952" s="129"/>
      <c r="J952" s="129"/>
      <c r="K952" s="129"/>
      <c r="L952" s="129"/>
      <c r="M952" s="129"/>
      <c r="N952" s="4"/>
      <c r="O952" s="4"/>
      <c r="P952" s="4"/>
      <c r="Q952" s="4"/>
      <c r="R952" s="4"/>
      <c r="S952" s="4"/>
      <c r="T952" s="4"/>
      <c r="U952" s="4"/>
      <c r="V952" s="4"/>
      <c r="W952" s="4"/>
      <c r="X952" s="4"/>
      <c r="Y952" s="4"/>
      <c r="Z952" s="4"/>
      <c r="AA952" s="4"/>
      <c r="AB952" s="4"/>
      <c r="AC952" s="4"/>
      <c r="AD952" s="4"/>
      <c r="AE952" s="4"/>
      <c r="AF952" s="4"/>
    </row>
    <row r="953" ht="15.75" customHeight="1">
      <c r="A953" s="4"/>
      <c r="B953" s="4"/>
      <c r="C953" s="4"/>
      <c r="D953" s="4"/>
      <c r="E953" s="4"/>
      <c r="F953" s="4"/>
      <c r="G953" s="4"/>
      <c r="H953" s="4"/>
      <c r="I953" s="129"/>
      <c r="J953" s="129"/>
      <c r="K953" s="129"/>
      <c r="L953" s="129"/>
      <c r="M953" s="129"/>
      <c r="N953" s="4"/>
      <c r="O953" s="4"/>
      <c r="P953" s="4"/>
      <c r="Q953" s="4"/>
      <c r="R953" s="4"/>
      <c r="S953" s="4"/>
      <c r="T953" s="4"/>
      <c r="U953" s="4"/>
      <c r="V953" s="4"/>
      <c r="W953" s="4"/>
      <c r="X953" s="4"/>
      <c r="Y953" s="4"/>
      <c r="Z953" s="4"/>
      <c r="AA953" s="4"/>
      <c r="AB953" s="4"/>
      <c r="AC953" s="4"/>
      <c r="AD953" s="4"/>
      <c r="AE953" s="4"/>
      <c r="AF953" s="4"/>
    </row>
    <row r="954" ht="15.75" customHeight="1">
      <c r="A954" s="4"/>
      <c r="B954" s="4"/>
      <c r="C954" s="4"/>
      <c r="D954" s="4"/>
      <c r="E954" s="4"/>
      <c r="F954" s="4"/>
      <c r="G954" s="4"/>
      <c r="H954" s="4"/>
      <c r="I954" s="129"/>
      <c r="J954" s="129"/>
      <c r="K954" s="129"/>
      <c r="L954" s="129"/>
      <c r="M954" s="129"/>
      <c r="N954" s="4"/>
      <c r="O954" s="4"/>
      <c r="P954" s="4"/>
      <c r="Q954" s="4"/>
      <c r="R954" s="4"/>
      <c r="S954" s="4"/>
      <c r="T954" s="4"/>
      <c r="U954" s="4"/>
      <c r="V954" s="4"/>
      <c r="W954" s="4"/>
      <c r="X954" s="4"/>
      <c r="Y954" s="4"/>
      <c r="Z954" s="4"/>
      <c r="AA954" s="4"/>
      <c r="AB954" s="4"/>
      <c r="AC954" s="4"/>
      <c r="AD954" s="4"/>
      <c r="AE954" s="4"/>
      <c r="AF954" s="4"/>
    </row>
    <row r="955" ht="15.75" customHeight="1">
      <c r="A955" s="4"/>
      <c r="B955" s="4"/>
      <c r="C955" s="4"/>
      <c r="D955" s="4"/>
      <c r="E955" s="4"/>
      <c r="F955" s="4"/>
      <c r="G955" s="4"/>
      <c r="H955" s="4"/>
      <c r="I955" s="129"/>
      <c r="J955" s="129"/>
      <c r="K955" s="129"/>
      <c r="L955" s="129"/>
      <c r="M955" s="129"/>
      <c r="N955" s="4"/>
      <c r="O955" s="4"/>
      <c r="P955" s="4"/>
      <c r="Q955" s="4"/>
      <c r="R955" s="4"/>
      <c r="S955" s="4"/>
      <c r="T955" s="4"/>
      <c r="U955" s="4"/>
      <c r="V955" s="4"/>
      <c r="W955" s="4"/>
      <c r="X955" s="4"/>
      <c r="Y955" s="4"/>
      <c r="Z955" s="4"/>
      <c r="AA955" s="4"/>
      <c r="AB955" s="4"/>
      <c r="AC955" s="4"/>
      <c r="AD955" s="4"/>
      <c r="AE955" s="4"/>
      <c r="AF955" s="4"/>
    </row>
    <row r="956" ht="15.75" customHeight="1">
      <c r="A956" s="4"/>
      <c r="B956" s="4"/>
      <c r="C956" s="4"/>
      <c r="D956" s="4"/>
      <c r="E956" s="4"/>
      <c r="F956" s="4"/>
      <c r="G956" s="4"/>
      <c r="H956" s="4"/>
      <c r="I956" s="129"/>
      <c r="J956" s="129"/>
      <c r="K956" s="129"/>
      <c r="L956" s="129"/>
      <c r="M956" s="129"/>
      <c r="N956" s="4"/>
      <c r="O956" s="4"/>
      <c r="P956" s="4"/>
      <c r="Q956" s="4"/>
      <c r="R956" s="4"/>
      <c r="S956" s="4"/>
      <c r="T956" s="4"/>
      <c r="U956" s="4"/>
      <c r="V956" s="4"/>
      <c r="W956" s="4"/>
      <c r="X956" s="4"/>
      <c r="Y956" s="4"/>
      <c r="Z956" s="4"/>
      <c r="AA956" s="4"/>
      <c r="AB956" s="4"/>
      <c r="AC956" s="4"/>
      <c r="AD956" s="4"/>
      <c r="AE956" s="4"/>
      <c r="AF956" s="4"/>
    </row>
    <row r="957" ht="15.75" customHeight="1">
      <c r="A957" s="4"/>
      <c r="B957" s="4"/>
      <c r="C957" s="4"/>
      <c r="D957" s="4"/>
      <c r="E957" s="4"/>
      <c r="F957" s="4"/>
      <c r="G957" s="4"/>
      <c r="H957" s="4"/>
      <c r="I957" s="129"/>
      <c r="J957" s="129"/>
      <c r="K957" s="129"/>
      <c r="L957" s="129"/>
      <c r="M957" s="129"/>
      <c r="N957" s="4"/>
      <c r="O957" s="4"/>
      <c r="P957" s="4"/>
      <c r="Q957" s="4"/>
      <c r="R957" s="4"/>
      <c r="S957" s="4"/>
      <c r="T957" s="4"/>
      <c r="U957" s="4"/>
      <c r="V957" s="4"/>
      <c r="W957" s="4"/>
      <c r="X957" s="4"/>
      <c r="Y957" s="4"/>
      <c r="Z957" s="4"/>
      <c r="AA957" s="4"/>
      <c r="AB957" s="4"/>
      <c r="AC957" s="4"/>
      <c r="AD957" s="4"/>
      <c r="AE957" s="4"/>
      <c r="AF957" s="4"/>
    </row>
    <row r="958" ht="15.75" customHeight="1">
      <c r="A958" s="4"/>
      <c r="B958" s="4"/>
      <c r="C958" s="4"/>
      <c r="D958" s="4"/>
      <c r="E958" s="4"/>
      <c r="F958" s="4"/>
      <c r="G958" s="4"/>
      <c r="H958" s="4"/>
      <c r="I958" s="129"/>
      <c r="J958" s="129"/>
      <c r="K958" s="129"/>
      <c r="L958" s="129"/>
      <c r="M958" s="129"/>
      <c r="N958" s="4"/>
      <c r="O958" s="4"/>
      <c r="P958" s="4"/>
      <c r="Q958" s="4"/>
      <c r="R958" s="4"/>
      <c r="S958" s="4"/>
      <c r="T958" s="4"/>
      <c r="U958" s="4"/>
      <c r="V958" s="4"/>
      <c r="W958" s="4"/>
      <c r="X958" s="4"/>
      <c r="Y958" s="4"/>
      <c r="Z958" s="4"/>
      <c r="AA958" s="4"/>
      <c r="AB958" s="4"/>
      <c r="AC958" s="4"/>
      <c r="AD958" s="4"/>
      <c r="AE958" s="4"/>
      <c r="AF958" s="4"/>
    </row>
    <row r="959" ht="15.75" customHeight="1">
      <c r="A959" s="4"/>
      <c r="B959" s="4"/>
      <c r="C959" s="4"/>
      <c r="D959" s="4"/>
      <c r="E959" s="4"/>
      <c r="F959" s="4"/>
      <c r="G959" s="4"/>
      <c r="H959" s="4"/>
      <c r="I959" s="129"/>
      <c r="J959" s="129"/>
      <c r="K959" s="129"/>
      <c r="L959" s="129"/>
      <c r="M959" s="129"/>
      <c r="N959" s="4"/>
      <c r="O959" s="4"/>
      <c r="P959" s="4"/>
      <c r="Q959" s="4"/>
      <c r="R959" s="4"/>
      <c r="S959" s="4"/>
      <c r="T959" s="4"/>
      <c r="U959" s="4"/>
      <c r="V959" s="4"/>
      <c r="W959" s="4"/>
      <c r="X959" s="4"/>
      <c r="Y959" s="4"/>
      <c r="Z959" s="4"/>
      <c r="AA959" s="4"/>
      <c r="AB959" s="4"/>
      <c r="AC959" s="4"/>
      <c r="AD959" s="4"/>
      <c r="AE959" s="4"/>
      <c r="AF959" s="4"/>
    </row>
    <row r="960" ht="15.75" customHeight="1">
      <c r="A960" s="4"/>
      <c r="B960" s="4"/>
      <c r="C960" s="4"/>
      <c r="D960" s="4"/>
      <c r="E960" s="4"/>
      <c r="F960" s="4"/>
      <c r="G960" s="4"/>
      <c r="H960" s="4"/>
      <c r="I960" s="129"/>
      <c r="J960" s="129"/>
      <c r="K960" s="129"/>
      <c r="L960" s="129"/>
      <c r="M960" s="129"/>
      <c r="N960" s="4"/>
      <c r="O960" s="4"/>
      <c r="P960" s="4"/>
      <c r="Q960" s="4"/>
      <c r="R960" s="4"/>
      <c r="S960" s="4"/>
      <c r="T960" s="4"/>
      <c r="U960" s="4"/>
      <c r="V960" s="4"/>
      <c r="W960" s="4"/>
      <c r="X960" s="4"/>
      <c r="Y960" s="4"/>
      <c r="Z960" s="4"/>
      <c r="AA960" s="4"/>
      <c r="AB960" s="4"/>
      <c r="AC960" s="4"/>
      <c r="AD960" s="4"/>
      <c r="AE960" s="4"/>
      <c r="AF960" s="4"/>
    </row>
    <row r="961" ht="15.75" customHeight="1">
      <c r="A961" s="4"/>
      <c r="B961" s="4"/>
      <c r="C961" s="4"/>
      <c r="D961" s="4"/>
      <c r="E961" s="4"/>
      <c r="F961" s="4"/>
      <c r="G961" s="4"/>
      <c r="H961" s="4"/>
      <c r="I961" s="129"/>
      <c r="J961" s="129"/>
      <c r="K961" s="129"/>
      <c r="L961" s="129"/>
      <c r="M961" s="129"/>
      <c r="N961" s="4"/>
      <c r="O961" s="4"/>
      <c r="P961" s="4"/>
      <c r="Q961" s="4"/>
      <c r="R961" s="4"/>
      <c r="S961" s="4"/>
      <c r="T961" s="4"/>
      <c r="U961" s="4"/>
      <c r="V961" s="4"/>
      <c r="W961" s="4"/>
      <c r="X961" s="4"/>
      <c r="Y961" s="4"/>
      <c r="Z961" s="4"/>
      <c r="AA961" s="4"/>
      <c r="AB961" s="4"/>
      <c r="AC961" s="4"/>
      <c r="AD961" s="4"/>
      <c r="AE961" s="4"/>
      <c r="AF961" s="4"/>
    </row>
    <row r="962" ht="15.75" customHeight="1">
      <c r="A962" s="4"/>
      <c r="B962" s="4"/>
      <c r="C962" s="4"/>
      <c r="D962" s="4"/>
      <c r="E962" s="4"/>
      <c r="F962" s="4"/>
      <c r="G962" s="4"/>
      <c r="H962" s="4"/>
      <c r="I962" s="129"/>
      <c r="J962" s="129"/>
      <c r="K962" s="129"/>
      <c r="L962" s="129"/>
      <c r="M962" s="129"/>
      <c r="N962" s="4"/>
      <c r="O962" s="4"/>
      <c r="P962" s="4"/>
      <c r="Q962" s="4"/>
      <c r="R962" s="4"/>
      <c r="S962" s="4"/>
      <c r="T962" s="4"/>
      <c r="U962" s="4"/>
      <c r="V962" s="4"/>
      <c r="W962" s="4"/>
      <c r="X962" s="4"/>
      <c r="Y962" s="4"/>
      <c r="Z962" s="4"/>
      <c r="AA962" s="4"/>
      <c r="AB962" s="4"/>
      <c r="AC962" s="4"/>
      <c r="AD962" s="4"/>
      <c r="AE962" s="4"/>
      <c r="AF962" s="4"/>
    </row>
    <row r="963" ht="15.75" customHeight="1">
      <c r="A963" s="4"/>
      <c r="B963" s="4"/>
      <c r="C963" s="4"/>
      <c r="D963" s="4"/>
      <c r="E963" s="4"/>
      <c r="F963" s="4"/>
      <c r="G963" s="4"/>
      <c r="H963" s="4"/>
      <c r="I963" s="129"/>
      <c r="J963" s="129"/>
      <c r="K963" s="129"/>
      <c r="L963" s="129"/>
      <c r="M963" s="129"/>
      <c r="N963" s="4"/>
      <c r="O963" s="4"/>
      <c r="P963" s="4"/>
      <c r="Q963" s="4"/>
      <c r="R963" s="4"/>
      <c r="S963" s="4"/>
      <c r="T963" s="4"/>
      <c r="U963" s="4"/>
      <c r="V963" s="4"/>
      <c r="W963" s="4"/>
      <c r="X963" s="4"/>
      <c r="Y963" s="4"/>
      <c r="Z963" s="4"/>
      <c r="AA963" s="4"/>
      <c r="AB963" s="4"/>
      <c r="AC963" s="4"/>
      <c r="AD963" s="4"/>
      <c r="AE963" s="4"/>
      <c r="AF963" s="4"/>
    </row>
    <row r="964" ht="15.75" customHeight="1">
      <c r="A964" s="4"/>
      <c r="B964" s="4"/>
      <c r="C964" s="4"/>
      <c r="D964" s="4"/>
      <c r="E964" s="4"/>
      <c r="F964" s="4"/>
      <c r="G964" s="4"/>
      <c r="H964" s="4"/>
      <c r="I964" s="129"/>
      <c r="J964" s="129"/>
      <c r="K964" s="129"/>
      <c r="L964" s="129"/>
      <c r="M964" s="129"/>
      <c r="N964" s="4"/>
      <c r="O964" s="4"/>
      <c r="P964" s="4"/>
      <c r="Q964" s="4"/>
      <c r="R964" s="4"/>
      <c r="S964" s="4"/>
      <c r="T964" s="4"/>
      <c r="U964" s="4"/>
      <c r="V964" s="4"/>
      <c r="W964" s="4"/>
      <c r="X964" s="4"/>
      <c r="Y964" s="4"/>
      <c r="Z964" s="4"/>
      <c r="AA964" s="4"/>
      <c r="AB964" s="4"/>
      <c r="AC964" s="4"/>
      <c r="AD964" s="4"/>
      <c r="AE964" s="4"/>
      <c r="AF964" s="4"/>
    </row>
    <row r="965" ht="15.75" customHeight="1">
      <c r="A965" s="4"/>
      <c r="B965" s="4"/>
      <c r="C965" s="4"/>
      <c r="D965" s="4"/>
      <c r="E965" s="4"/>
      <c r="F965" s="4"/>
      <c r="G965" s="4"/>
      <c r="H965" s="4"/>
      <c r="I965" s="129"/>
      <c r="J965" s="129"/>
      <c r="K965" s="129"/>
      <c r="L965" s="129"/>
      <c r="M965" s="129"/>
      <c r="N965" s="4"/>
      <c r="O965" s="4"/>
      <c r="P965" s="4"/>
      <c r="Q965" s="4"/>
      <c r="R965" s="4"/>
      <c r="S965" s="4"/>
      <c r="T965" s="4"/>
      <c r="U965" s="4"/>
      <c r="V965" s="4"/>
      <c r="W965" s="4"/>
      <c r="X965" s="4"/>
      <c r="Y965" s="4"/>
      <c r="Z965" s="4"/>
      <c r="AA965" s="4"/>
      <c r="AB965" s="4"/>
      <c r="AC965" s="4"/>
      <c r="AD965" s="4"/>
      <c r="AE965" s="4"/>
      <c r="AF965" s="4"/>
    </row>
    <row r="966" ht="15.75" customHeight="1">
      <c r="A966" s="4"/>
      <c r="B966" s="4"/>
      <c r="C966" s="4"/>
      <c r="D966" s="4"/>
      <c r="E966" s="4"/>
      <c r="F966" s="4"/>
      <c r="G966" s="4"/>
      <c r="H966" s="4"/>
      <c r="I966" s="129"/>
      <c r="J966" s="129"/>
      <c r="K966" s="129"/>
      <c r="L966" s="129"/>
      <c r="M966" s="129"/>
      <c r="N966" s="4"/>
      <c r="O966" s="4"/>
      <c r="P966" s="4"/>
      <c r="Q966" s="4"/>
      <c r="R966" s="4"/>
      <c r="S966" s="4"/>
      <c r="T966" s="4"/>
      <c r="U966" s="4"/>
      <c r="V966" s="4"/>
      <c r="W966" s="4"/>
      <c r="X966" s="4"/>
      <c r="Y966" s="4"/>
      <c r="Z966" s="4"/>
      <c r="AA966" s="4"/>
      <c r="AB966" s="4"/>
      <c r="AC966" s="4"/>
      <c r="AD966" s="4"/>
      <c r="AE966" s="4"/>
      <c r="AF966" s="4"/>
    </row>
    <row r="967" ht="15.75" customHeight="1">
      <c r="A967" s="4"/>
      <c r="B967" s="4"/>
      <c r="C967" s="4"/>
      <c r="D967" s="4"/>
      <c r="E967" s="4"/>
      <c r="F967" s="4"/>
      <c r="G967" s="4"/>
      <c r="H967" s="4"/>
      <c r="I967" s="129"/>
      <c r="J967" s="129"/>
      <c r="K967" s="129"/>
      <c r="L967" s="129"/>
      <c r="M967" s="129"/>
      <c r="N967" s="4"/>
      <c r="O967" s="4"/>
      <c r="P967" s="4"/>
      <c r="Q967" s="4"/>
      <c r="R967" s="4"/>
      <c r="S967" s="4"/>
      <c r="T967" s="4"/>
      <c r="U967" s="4"/>
      <c r="V967" s="4"/>
      <c r="W967" s="4"/>
      <c r="X967" s="4"/>
      <c r="Y967" s="4"/>
      <c r="Z967" s="4"/>
      <c r="AA967" s="4"/>
      <c r="AB967" s="4"/>
      <c r="AC967" s="4"/>
      <c r="AD967" s="4"/>
      <c r="AE967" s="4"/>
      <c r="AF967" s="4"/>
    </row>
    <row r="968" ht="15.75" customHeight="1">
      <c r="A968" s="4"/>
      <c r="B968" s="4"/>
      <c r="C968" s="4"/>
      <c r="D968" s="4"/>
      <c r="E968" s="4"/>
      <c r="F968" s="4"/>
      <c r="G968" s="4"/>
      <c r="H968" s="4"/>
      <c r="I968" s="129"/>
      <c r="J968" s="129"/>
      <c r="K968" s="129"/>
      <c r="L968" s="129"/>
      <c r="M968" s="129"/>
      <c r="N968" s="4"/>
      <c r="O968" s="4"/>
      <c r="P968" s="4"/>
      <c r="Q968" s="4"/>
      <c r="R968" s="4"/>
      <c r="S968" s="4"/>
      <c r="T968" s="4"/>
      <c r="U968" s="4"/>
      <c r="V968" s="4"/>
      <c r="W968" s="4"/>
      <c r="X968" s="4"/>
      <c r="Y968" s="4"/>
      <c r="Z968" s="4"/>
      <c r="AA968" s="4"/>
      <c r="AB968" s="4"/>
      <c r="AC968" s="4"/>
      <c r="AD968" s="4"/>
      <c r="AE968" s="4"/>
      <c r="AF968" s="4"/>
    </row>
    <row r="969" ht="15.75" customHeight="1">
      <c r="A969" s="4"/>
      <c r="B969" s="4"/>
      <c r="C969" s="4"/>
      <c r="D969" s="4"/>
      <c r="E969" s="4"/>
      <c r="F969" s="4"/>
      <c r="G969" s="4"/>
      <c r="H969" s="4"/>
      <c r="I969" s="129"/>
      <c r="J969" s="129"/>
      <c r="K969" s="129"/>
      <c r="L969" s="129"/>
      <c r="M969" s="129"/>
      <c r="N969" s="4"/>
      <c r="O969" s="4"/>
      <c r="P969" s="4"/>
      <c r="Q969" s="4"/>
      <c r="R969" s="4"/>
      <c r="S969" s="4"/>
      <c r="T969" s="4"/>
      <c r="U969" s="4"/>
      <c r="V969" s="4"/>
      <c r="W969" s="4"/>
      <c r="X969" s="4"/>
      <c r="Y969" s="4"/>
      <c r="Z969" s="4"/>
      <c r="AA969" s="4"/>
      <c r="AB969" s="4"/>
      <c r="AC969" s="4"/>
      <c r="AD969" s="4"/>
      <c r="AE969" s="4"/>
      <c r="AF969" s="4"/>
    </row>
    <row r="970" ht="15.75" customHeight="1">
      <c r="A970" s="4"/>
      <c r="B970" s="4"/>
      <c r="C970" s="4"/>
      <c r="D970" s="4"/>
      <c r="E970" s="4"/>
      <c r="F970" s="4"/>
      <c r="G970" s="4"/>
      <c r="H970" s="4"/>
      <c r="I970" s="129"/>
      <c r="J970" s="129"/>
      <c r="K970" s="129"/>
      <c r="L970" s="129"/>
      <c r="M970" s="129"/>
      <c r="N970" s="4"/>
      <c r="O970" s="4"/>
      <c r="P970" s="4"/>
      <c r="Q970" s="4"/>
      <c r="R970" s="4"/>
      <c r="S970" s="4"/>
      <c r="T970" s="4"/>
      <c r="U970" s="4"/>
      <c r="V970" s="4"/>
      <c r="W970" s="4"/>
      <c r="X970" s="4"/>
      <c r="Y970" s="4"/>
      <c r="Z970" s="4"/>
      <c r="AA970" s="4"/>
      <c r="AB970" s="4"/>
      <c r="AC970" s="4"/>
      <c r="AD970" s="4"/>
      <c r="AE970" s="4"/>
      <c r="AF970" s="4"/>
    </row>
    <row r="971" ht="15.75" customHeight="1">
      <c r="A971" s="4"/>
      <c r="B971" s="4"/>
      <c r="C971" s="4"/>
      <c r="D971" s="4"/>
      <c r="E971" s="4"/>
      <c r="F971" s="4"/>
      <c r="G971" s="4"/>
      <c r="H971" s="4"/>
      <c r="I971" s="129"/>
      <c r="J971" s="129"/>
      <c r="K971" s="129"/>
      <c r="L971" s="129"/>
      <c r="M971" s="129"/>
      <c r="N971" s="4"/>
      <c r="O971" s="4"/>
      <c r="P971" s="4"/>
      <c r="Q971" s="4"/>
      <c r="R971" s="4"/>
      <c r="S971" s="4"/>
      <c r="T971" s="4"/>
      <c r="U971" s="4"/>
      <c r="V971" s="4"/>
      <c r="W971" s="4"/>
      <c r="X971" s="4"/>
      <c r="Y971" s="4"/>
      <c r="Z971" s="4"/>
      <c r="AA971" s="4"/>
      <c r="AB971" s="4"/>
      <c r="AC971" s="4"/>
      <c r="AD971" s="4"/>
      <c r="AE971" s="4"/>
      <c r="AF971" s="4"/>
    </row>
    <row r="972" ht="15.75" customHeight="1">
      <c r="A972" s="4"/>
      <c r="B972" s="4"/>
      <c r="C972" s="4"/>
      <c r="D972" s="4"/>
      <c r="E972" s="4"/>
      <c r="F972" s="4"/>
      <c r="G972" s="4"/>
      <c r="H972" s="4"/>
      <c r="I972" s="129"/>
      <c r="J972" s="129"/>
      <c r="K972" s="129"/>
      <c r="L972" s="129"/>
      <c r="M972" s="129"/>
      <c r="N972" s="4"/>
      <c r="O972" s="4"/>
      <c r="P972" s="4"/>
      <c r="Q972" s="4"/>
      <c r="R972" s="4"/>
      <c r="S972" s="4"/>
      <c r="T972" s="4"/>
      <c r="U972" s="4"/>
      <c r="V972" s="4"/>
      <c r="W972" s="4"/>
      <c r="X972" s="4"/>
      <c r="Y972" s="4"/>
      <c r="Z972" s="4"/>
      <c r="AA972" s="4"/>
      <c r="AB972" s="4"/>
      <c r="AC972" s="4"/>
      <c r="AD972" s="4"/>
      <c r="AE972" s="4"/>
      <c r="AF972" s="4"/>
    </row>
    <row r="973" ht="15.75" customHeight="1">
      <c r="A973" s="4"/>
      <c r="B973" s="4"/>
      <c r="C973" s="4"/>
      <c r="D973" s="4"/>
      <c r="E973" s="4"/>
      <c r="F973" s="4"/>
      <c r="G973" s="4"/>
      <c r="H973" s="4"/>
      <c r="I973" s="129"/>
      <c r="J973" s="129"/>
      <c r="K973" s="129"/>
      <c r="L973" s="129"/>
      <c r="M973" s="129"/>
      <c r="N973" s="4"/>
      <c r="O973" s="4"/>
      <c r="P973" s="4"/>
      <c r="Q973" s="4"/>
      <c r="R973" s="4"/>
      <c r="S973" s="4"/>
      <c r="T973" s="4"/>
      <c r="U973" s="4"/>
      <c r="V973" s="4"/>
      <c r="W973" s="4"/>
      <c r="X973" s="4"/>
      <c r="Y973" s="4"/>
      <c r="Z973" s="4"/>
      <c r="AA973" s="4"/>
      <c r="AB973" s="4"/>
      <c r="AC973" s="4"/>
      <c r="AD973" s="4"/>
      <c r="AE973" s="4"/>
      <c r="AF973" s="4"/>
    </row>
    <row r="974" ht="15.75" customHeight="1">
      <c r="A974" s="4"/>
      <c r="B974" s="4"/>
      <c r="C974" s="4"/>
      <c r="D974" s="4"/>
      <c r="E974" s="4"/>
      <c r="F974" s="4"/>
      <c r="G974" s="4"/>
      <c r="H974" s="4"/>
      <c r="I974" s="129"/>
      <c r="J974" s="129"/>
      <c r="K974" s="129"/>
      <c r="L974" s="129"/>
      <c r="M974" s="129"/>
      <c r="N974" s="4"/>
      <c r="O974" s="4"/>
      <c r="P974" s="4"/>
      <c r="Q974" s="4"/>
      <c r="R974" s="4"/>
      <c r="S974" s="4"/>
      <c r="T974" s="4"/>
      <c r="U974" s="4"/>
      <c r="V974" s="4"/>
      <c r="W974" s="4"/>
      <c r="X974" s="4"/>
      <c r="Y974" s="4"/>
      <c r="Z974" s="4"/>
      <c r="AA974" s="4"/>
      <c r="AB974" s="4"/>
      <c r="AC974" s="4"/>
      <c r="AD974" s="4"/>
      <c r="AE974" s="4"/>
      <c r="AF974" s="4"/>
    </row>
    <row r="975" ht="15.75" customHeight="1">
      <c r="A975" s="4"/>
      <c r="B975" s="4"/>
      <c r="C975" s="4"/>
      <c r="D975" s="4"/>
      <c r="E975" s="4"/>
      <c r="F975" s="4"/>
      <c r="G975" s="4"/>
      <c r="H975" s="4"/>
      <c r="I975" s="129"/>
      <c r="J975" s="129"/>
      <c r="K975" s="129"/>
      <c r="L975" s="129"/>
      <c r="M975" s="129"/>
      <c r="N975" s="4"/>
      <c r="O975" s="4"/>
      <c r="P975" s="4"/>
      <c r="Q975" s="4"/>
      <c r="R975" s="4"/>
      <c r="S975" s="4"/>
      <c r="T975" s="4"/>
      <c r="U975" s="4"/>
      <c r="V975" s="4"/>
      <c r="W975" s="4"/>
      <c r="X975" s="4"/>
      <c r="Y975" s="4"/>
      <c r="Z975" s="4"/>
      <c r="AA975" s="4"/>
      <c r="AB975" s="4"/>
      <c r="AC975" s="4"/>
      <c r="AD975" s="4"/>
      <c r="AE975" s="4"/>
      <c r="AF975" s="4"/>
    </row>
    <row r="976" ht="15.75" customHeight="1">
      <c r="A976" s="4"/>
      <c r="B976" s="4"/>
      <c r="C976" s="4"/>
      <c r="D976" s="4"/>
      <c r="E976" s="4"/>
      <c r="F976" s="4"/>
      <c r="G976" s="4"/>
      <c r="H976" s="4"/>
      <c r="I976" s="129"/>
      <c r="J976" s="129"/>
      <c r="K976" s="129"/>
      <c r="L976" s="129"/>
      <c r="M976" s="129"/>
      <c r="N976" s="4"/>
      <c r="O976" s="4"/>
      <c r="P976" s="4"/>
      <c r="Q976" s="4"/>
      <c r="R976" s="4"/>
      <c r="S976" s="4"/>
      <c r="T976" s="4"/>
      <c r="U976" s="4"/>
      <c r="V976" s="4"/>
      <c r="W976" s="4"/>
      <c r="X976" s="4"/>
      <c r="Y976" s="4"/>
      <c r="Z976" s="4"/>
      <c r="AA976" s="4"/>
      <c r="AB976" s="4"/>
      <c r="AC976" s="4"/>
      <c r="AD976" s="4"/>
      <c r="AE976" s="4"/>
      <c r="AF976" s="4"/>
    </row>
    <row r="977" ht="15.75" customHeight="1">
      <c r="A977" s="4"/>
      <c r="B977" s="4"/>
      <c r="C977" s="4"/>
      <c r="D977" s="4"/>
      <c r="E977" s="4"/>
      <c r="F977" s="4"/>
      <c r="G977" s="4"/>
      <c r="H977" s="4"/>
      <c r="I977" s="129"/>
      <c r="J977" s="129"/>
      <c r="K977" s="129"/>
      <c r="L977" s="129"/>
      <c r="M977" s="129"/>
      <c r="N977" s="4"/>
      <c r="O977" s="4"/>
      <c r="P977" s="4"/>
      <c r="Q977" s="4"/>
      <c r="R977" s="4"/>
      <c r="S977" s="4"/>
      <c r="T977" s="4"/>
      <c r="U977" s="4"/>
      <c r="V977" s="4"/>
      <c r="W977" s="4"/>
      <c r="X977" s="4"/>
      <c r="Y977" s="4"/>
      <c r="Z977" s="4"/>
      <c r="AA977" s="4"/>
      <c r="AB977" s="4"/>
      <c r="AC977" s="4"/>
      <c r="AD977" s="4"/>
      <c r="AE977" s="4"/>
      <c r="AF977" s="4"/>
    </row>
    <row r="978" ht="15.75" customHeight="1">
      <c r="A978" s="4"/>
      <c r="B978" s="4"/>
      <c r="C978" s="4"/>
      <c r="D978" s="4"/>
      <c r="E978" s="4"/>
      <c r="F978" s="4"/>
      <c r="G978" s="4"/>
      <c r="H978" s="4"/>
      <c r="I978" s="129"/>
      <c r="J978" s="129"/>
      <c r="K978" s="129"/>
      <c r="L978" s="129"/>
      <c r="M978" s="129"/>
      <c r="N978" s="4"/>
      <c r="O978" s="4"/>
      <c r="P978" s="4"/>
      <c r="Q978" s="4"/>
      <c r="R978" s="4"/>
      <c r="S978" s="4"/>
      <c r="T978" s="4"/>
      <c r="U978" s="4"/>
      <c r="V978" s="4"/>
      <c r="W978" s="4"/>
      <c r="X978" s="4"/>
      <c r="Y978" s="4"/>
      <c r="Z978" s="4"/>
      <c r="AA978" s="4"/>
      <c r="AB978" s="4"/>
      <c r="AC978" s="4"/>
      <c r="AD978" s="4"/>
      <c r="AE978" s="4"/>
      <c r="AF978" s="4"/>
    </row>
    <row r="979" ht="15.75" customHeight="1">
      <c r="A979" s="4"/>
      <c r="B979" s="4"/>
      <c r="C979" s="4"/>
      <c r="D979" s="4"/>
      <c r="E979" s="4"/>
      <c r="F979" s="4"/>
      <c r="G979" s="4"/>
      <c r="H979" s="4"/>
      <c r="I979" s="129"/>
      <c r="J979" s="129"/>
      <c r="K979" s="129"/>
      <c r="L979" s="129"/>
      <c r="M979" s="129"/>
      <c r="N979" s="4"/>
      <c r="O979" s="4"/>
      <c r="P979" s="4"/>
      <c r="Q979" s="4"/>
      <c r="R979" s="4"/>
      <c r="S979" s="4"/>
      <c r="T979" s="4"/>
      <c r="U979" s="4"/>
      <c r="V979" s="4"/>
      <c r="W979" s="4"/>
      <c r="X979" s="4"/>
      <c r="Y979" s="4"/>
      <c r="Z979" s="4"/>
      <c r="AA979" s="4"/>
      <c r="AB979" s="4"/>
      <c r="AC979" s="4"/>
      <c r="AD979" s="4"/>
      <c r="AE979" s="4"/>
      <c r="AF979" s="4"/>
    </row>
    <row r="980" ht="15.75" customHeight="1">
      <c r="A980" s="4"/>
      <c r="B980" s="4"/>
      <c r="C980" s="4"/>
      <c r="D980" s="4"/>
      <c r="E980" s="4"/>
      <c r="F980" s="4"/>
      <c r="G980" s="4"/>
      <c r="H980" s="4"/>
      <c r="I980" s="129"/>
      <c r="J980" s="129"/>
      <c r="K980" s="129"/>
      <c r="L980" s="129"/>
      <c r="M980" s="129"/>
      <c r="N980" s="4"/>
      <c r="O980" s="4"/>
      <c r="P980" s="4"/>
      <c r="Q980" s="4"/>
      <c r="R980" s="4"/>
      <c r="S980" s="4"/>
      <c r="T980" s="4"/>
      <c r="U980" s="4"/>
      <c r="V980" s="4"/>
      <c r="W980" s="4"/>
      <c r="X980" s="4"/>
      <c r="Y980" s="4"/>
      <c r="Z980" s="4"/>
      <c r="AA980" s="4"/>
      <c r="AB980" s="4"/>
      <c r="AC980" s="4"/>
      <c r="AD980" s="4"/>
      <c r="AE980" s="4"/>
      <c r="AF980" s="4"/>
    </row>
    <row r="981" ht="15.75" customHeight="1">
      <c r="A981" s="4"/>
      <c r="B981" s="4"/>
      <c r="C981" s="4"/>
      <c r="D981" s="4"/>
      <c r="E981" s="4"/>
      <c r="F981" s="4"/>
      <c r="G981" s="4"/>
      <c r="H981" s="4"/>
      <c r="I981" s="129"/>
      <c r="J981" s="129"/>
      <c r="K981" s="129"/>
      <c r="L981" s="129"/>
      <c r="M981" s="129"/>
      <c r="N981" s="4"/>
      <c r="O981" s="4"/>
      <c r="P981" s="4"/>
      <c r="Q981" s="4"/>
      <c r="R981" s="4"/>
      <c r="S981" s="4"/>
      <c r="T981" s="4"/>
      <c r="U981" s="4"/>
      <c r="V981" s="4"/>
      <c r="W981" s="4"/>
      <c r="X981" s="4"/>
      <c r="Y981" s="4"/>
      <c r="Z981" s="4"/>
      <c r="AA981" s="4"/>
      <c r="AB981" s="4"/>
      <c r="AC981" s="4"/>
      <c r="AD981" s="4"/>
      <c r="AE981" s="4"/>
      <c r="AF981" s="4"/>
    </row>
    <row r="982" ht="15.75" customHeight="1">
      <c r="A982" s="4"/>
      <c r="B982" s="4"/>
      <c r="C982" s="4"/>
      <c r="D982" s="4"/>
      <c r="E982" s="4"/>
      <c r="F982" s="4"/>
      <c r="G982" s="4"/>
      <c r="H982" s="4"/>
      <c r="I982" s="129"/>
      <c r="J982" s="129"/>
      <c r="K982" s="129"/>
      <c r="L982" s="129"/>
      <c r="M982" s="129"/>
      <c r="N982" s="4"/>
      <c r="O982" s="4"/>
      <c r="P982" s="4"/>
      <c r="Q982" s="4"/>
      <c r="R982" s="4"/>
      <c r="S982" s="4"/>
      <c r="T982" s="4"/>
      <c r="U982" s="4"/>
      <c r="V982" s="4"/>
      <c r="W982" s="4"/>
      <c r="X982" s="4"/>
      <c r="Y982" s="4"/>
      <c r="Z982" s="4"/>
      <c r="AA982" s="4"/>
      <c r="AB982" s="4"/>
      <c r="AC982" s="4"/>
      <c r="AD982" s="4"/>
      <c r="AE982" s="4"/>
      <c r="AF982" s="4"/>
    </row>
    <row r="983" ht="15.75" customHeight="1">
      <c r="A983" s="4"/>
      <c r="B983" s="4"/>
      <c r="C983" s="4"/>
      <c r="D983" s="4"/>
      <c r="E983" s="4"/>
      <c r="F983" s="4"/>
      <c r="G983" s="4"/>
      <c r="H983" s="4"/>
      <c r="I983" s="129"/>
      <c r="J983" s="129"/>
      <c r="K983" s="129"/>
      <c r="L983" s="129"/>
      <c r="M983" s="129"/>
      <c r="N983" s="4"/>
      <c r="O983" s="4"/>
      <c r="P983" s="4"/>
      <c r="Q983" s="4"/>
      <c r="R983" s="4"/>
      <c r="S983" s="4"/>
      <c r="T983" s="4"/>
      <c r="U983" s="4"/>
      <c r="V983" s="4"/>
      <c r="W983" s="4"/>
      <c r="X983" s="4"/>
      <c r="Y983" s="4"/>
      <c r="Z983" s="4"/>
      <c r="AA983" s="4"/>
      <c r="AB983" s="4"/>
      <c r="AC983" s="4"/>
      <c r="AD983" s="4"/>
      <c r="AE983" s="4"/>
      <c r="AF983" s="4"/>
    </row>
    <row r="984" ht="15.75" customHeight="1">
      <c r="A984" s="4"/>
      <c r="B984" s="4"/>
      <c r="C984" s="4"/>
      <c r="D984" s="4"/>
      <c r="E984" s="4"/>
      <c r="F984" s="4"/>
      <c r="G984" s="4"/>
      <c r="H984" s="4"/>
      <c r="I984" s="129"/>
      <c r="J984" s="129"/>
      <c r="K984" s="129"/>
      <c r="L984" s="129"/>
      <c r="M984" s="129"/>
      <c r="N984" s="4"/>
      <c r="O984" s="4"/>
      <c r="P984" s="4"/>
      <c r="Q984" s="4"/>
      <c r="R984" s="4"/>
      <c r="S984" s="4"/>
      <c r="T984" s="4"/>
      <c r="U984" s="4"/>
      <c r="V984" s="4"/>
      <c r="W984" s="4"/>
      <c r="X984" s="4"/>
      <c r="Y984" s="4"/>
      <c r="Z984" s="4"/>
      <c r="AA984" s="4"/>
      <c r="AB984" s="4"/>
      <c r="AC984" s="4"/>
      <c r="AD984" s="4"/>
      <c r="AE984" s="4"/>
      <c r="AF984" s="4"/>
    </row>
    <row r="985" ht="15.75" customHeight="1">
      <c r="A985" s="4"/>
      <c r="B985" s="4"/>
      <c r="C985" s="4"/>
      <c r="D985" s="4"/>
      <c r="E985" s="4"/>
      <c r="F985" s="4"/>
      <c r="G985" s="4"/>
      <c r="H985" s="4"/>
      <c r="I985" s="129"/>
      <c r="J985" s="129"/>
      <c r="K985" s="129"/>
      <c r="L985" s="129"/>
      <c r="M985" s="129"/>
      <c r="N985" s="4"/>
      <c r="O985" s="4"/>
      <c r="P985" s="4"/>
      <c r="Q985" s="4"/>
      <c r="R985" s="4"/>
      <c r="S985" s="4"/>
      <c r="T985" s="4"/>
      <c r="U985" s="4"/>
      <c r="V985" s="4"/>
      <c r="W985" s="4"/>
      <c r="X985" s="4"/>
      <c r="Y985" s="4"/>
      <c r="Z985" s="4"/>
      <c r="AA985" s="4"/>
      <c r="AB985" s="4"/>
      <c r="AC985" s="4"/>
      <c r="AD985" s="4"/>
      <c r="AE985" s="4"/>
      <c r="AF985" s="4"/>
    </row>
    <row r="986" ht="15.75" customHeight="1">
      <c r="A986" s="4"/>
      <c r="B986" s="4"/>
      <c r="C986" s="4"/>
      <c r="D986" s="4"/>
      <c r="E986" s="4"/>
      <c r="F986" s="4"/>
      <c r="G986" s="4"/>
      <c r="H986" s="4"/>
      <c r="I986" s="129"/>
      <c r="J986" s="129"/>
      <c r="K986" s="129"/>
      <c r="L986" s="129"/>
      <c r="M986" s="129"/>
      <c r="N986" s="4"/>
      <c r="O986" s="4"/>
      <c r="P986" s="4"/>
      <c r="Q986" s="4"/>
      <c r="R986" s="4"/>
      <c r="S986" s="4"/>
      <c r="T986" s="4"/>
      <c r="U986" s="4"/>
      <c r="V986" s="4"/>
      <c r="W986" s="4"/>
      <c r="X986" s="4"/>
      <c r="Y986" s="4"/>
      <c r="Z986" s="4"/>
      <c r="AA986" s="4"/>
      <c r="AB986" s="4"/>
      <c r="AC986" s="4"/>
      <c r="AD986" s="4"/>
      <c r="AE986" s="4"/>
      <c r="AF986" s="4"/>
    </row>
    <row r="987" ht="15.75" customHeight="1">
      <c r="A987" s="4"/>
      <c r="B987" s="4"/>
      <c r="C987" s="4"/>
      <c r="D987" s="4"/>
      <c r="E987" s="4"/>
      <c r="F987" s="4"/>
      <c r="G987" s="4"/>
      <c r="H987" s="4"/>
      <c r="I987" s="129"/>
      <c r="J987" s="129"/>
      <c r="K987" s="129"/>
      <c r="L987" s="129"/>
      <c r="M987" s="129"/>
      <c r="N987" s="4"/>
      <c r="O987" s="4"/>
      <c r="P987" s="4"/>
      <c r="Q987" s="4"/>
      <c r="R987" s="4"/>
      <c r="S987" s="4"/>
      <c r="T987" s="4"/>
      <c r="U987" s="4"/>
      <c r="V987" s="4"/>
      <c r="W987" s="4"/>
      <c r="X987" s="4"/>
      <c r="Y987" s="4"/>
      <c r="Z987" s="4"/>
      <c r="AA987" s="4"/>
      <c r="AB987" s="4"/>
      <c r="AC987" s="4"/>
      <c r="AD987" s="4"/>
      <c r="AE987" s="4"/>
      <c r="AF987" s="4"/>
    </row>
    <row r="988" ht="15.75" customHeight="1">
      <c r="A988" s="4"/>
      <c r="B988" s="4"/>
      <c r="C988" s="4"/>
      <c r="D988" s="4"/>
      <c r="E988" s="4"/>
      <c r="F988" s="4"/>
      <c r="G988" s="4"/>
      <c r="H988" s="4"/>
      <c r="I988" s="129"/>
      <c r="J988" s="129"/>
      <c r="K988" s="129"/>
      <c r="L988" s="129"/>
      <c r="M988" s="129"/>
      <c r="N988" s="4"/>
      <c r="O988" s="4"/>
      <c r="P988" s="4"/>
      <c r="Q988" s="4"/>
      <c r="R988" s="4"/>
      <c r="S988" s="4"/>
      <c r="T988" s="4"/>
      <c r="U988" s="4"/>
      <c r="V988" s="4"/>
      <c r="W988" s="4"/>
      <c r="X988" s="4"/>
      <c r="Y988" s="4"/>
      <c r="Z988" s="4"/>
      <c r="AA988" s="4"/>
      <c r="AB988" s="4"/>
      <c r="AC988" s="4"/>
      <c r="AD988" s="4"/>
      <c r="AE988" s="4"/>
      <c r="AF988" s="4"/>
    </row>
    <row r="989" ht="15.75" customHeight="1">
      <c r="A989" s="4"/>
      <c r="B989" s="4"/>
      <c r="C989" s="4"/>
      <c r="D989" s="4"/>
      <c r="E989" s="4"/>
      <c r="F989" s="4"/>
      <c r="G989" s="4"/>
      <c r="H989" s="4"/>
      <c r="I989" s="129"/>
      <c r="J989" s="129"/>
      <c r="K989" s="129"/>
      <c r="L989" s="129"/>
      <c r="M989" s="129"/>
      <c r="N989" s="4"/>
      <c r="O989" s="4"/>
      <c r="P989" s="4"/>
      <c r="Q989" s="4"/>
      <c r="R989" s="4"/>
      <c r="S989" s="4"/>
      <c r="T989" s="4"/>
      <c r="U989" s="4"/>
      <c r="V989" s="4"/>
      <c r="W989" s="4"/>
      <c r="X989" s="4"/>
      <c r="Y989" s="4"/>
      <c r="Z989" s="4"/>
      <c r="AA989" s="4"/>
      <c r="AB989" s="4"/>
      <c r="AC989" s="4"/>
      <c r="AD989" s="4"/>
      <c r="AE989" s="4"/>
      <c r="AF989" s="4"/>
    </row>
    <row r="990" ht="15.75" customHeight="1">
      <c r="A990" s="4"/>
      <c r="B990" s="4"/>
      <c r="C990" s="4"/>
      <c r="D990" s="4"/>
      <c r="E990" s="4"/>
      <c r="F990" s="4"/>
      <c r="G990" s="4"/>
      <c r="H990" s="4"/>
      <c r="I990" s="129"/>
      <c r="J990" s="129"/>
      <c r="K990" s="129"/>
      <c r="L990" s="129"/>
      <c r="M990" s="129"/>
      <c r="N990" s="4"/>
      <c r="O990" s="4"/>
      <c r="P990" s="4"/>
      <c r="Q990" s="4"/>
      <c r="R990" s="4"/>
      <c r="S990" s="4"/>
      <c r="T990" s="4"/>
      <c r="U990" s="4"/>
      <c r="V990" s="4"/>
      <c r="W990" s="4"/>
      <c r="X990" s="4"/>
      <c r="Y990" s="4"/>
      <c r="Z990" s="4"/>
      <c r="AA990" s="4"/>
      <c r="AB990" s="4"/>
      <c r="AC990" s="4"/>
      <c r="AD990" s="4"/>
      <c r="AE990" s="4"/>
      <c r="AF990" s="4"/>
    </row>
    <row r="991" ht="15.75" customHeight="1">
      <c r="A991" s="4"/>
      <c r="B991" s="4"/>
      <c r="C991" s="4"/>
      <c r="D991" s="4"/>
      <c r="E991" s="4"/>
      <c r="F991" s="4"/>
      <c r="G991" s="4"/>
      <c r="H991" s="4"/>
      <c r="I991" s="129"/>
      <c r="J991" s="129"/>
      <c r="K991" s="129"/>
      <c r="L991" s="129"/>
      <c r="M991" s="129"/>
      <c r="N991" s="4"/>
      <c r="O991" s="4"/>
      <c r="P991" s="4"/>
      <c r="Q991" s="4"/>
      <c r="R991" s="4"/>
      <c r="S991" s="4"/>
      <c r="T991" s="4"/>
      <c r="U991" s="4"/>
      <c r="V991" s="4"/>
      <c r="W991" s="4"/>
      <c r="X991" s="4"/>
      <c r="Y991" s="4"/>
      <c r="Z991" s="4"/>
      <c r="AA991" s="4"/>
      <c r="AB991" s="4"/>
      <c r="AC991" s="4"/>
      <c r="AD991" s="4"/>
      <c r="AE991" s="4"/>
      <c r="AF991" s="4"/>
    </row>
    <row r="992" ht="15.75" customHeight="1">
      <c r="A992" s="4"/>
      <c r="B992" s="4"/>
      <c r="C992" s="4"/>
      <c r="D992" s="4"/>
      <c r="E992" s="4"/>
      <c r="F992" s="4"/>
      <c r="G992" s="4"/>
      <c r="H992" s="4"/>
      <c r="I992" s="129"/>
      <c r="J992" s="129"/>
      <c r="K992" s="129"/>
      <c r="L992" s="129"/>
      <c r="M992" s="129"/>
      <c r="N992" s="4"/>
      <c r="O992" s="4"/>
      <c r="P992" s="4"/>
      <c r="Q992" s="4"/>
      <c r="R992" s="4"/>
      <c r="S992" s="4"/>
      <c r="T992" s="4"/>
      <c r="U992" s="4"/>
      <c r="V992" s="4"/>
      <c r="W992" s="4"/>
      <c r="X992" s="4"/>
      <c r="Y992" s="4"/>
      <c r="Z992" s="4"/>
      <c r="AA992" s="4"/>
      <c r="AB992" s="4"/>
      <c r="AC992" s="4"/>
      <c r="AD992" s="4"/>
      <c r="AE992" s="4"/>
      <c r="AF992" s="4"/>
    </row>
    <row r="993" ht="15.75" customHeight="1">
      <c r="A993" s="4"/>
      <c r="B993" s="4"/>
      <c r="C993" s="4"/>
      <c r="D993" s="4"/>
      <c r="E993" s="4"/>
      <c r="F993" s="4"/>
      <c r="G993" s="4"/>
      <c r="H993" s="4"/>
      <c r="I993" s="129"/>
      <c r="J993" s="129"/>
      <c r="K993" s="129"/>
      <c r="L993" s="129"/>
      <c r="M993" s="129"/>
      <c r="N993" s="4"/>
      <c r="O993" s="4"/>
      <c r="P993" s="4"/>
      <c r="Q993" s="4"/>
      <c r="R993" s="4"/>
      <c r="S993" s="4"/>
      <c r="T993" s="4"/>
      <c r="U993" s="4"/>
      <c r="V993" s="4"/>
      <c r="W993" s="4"/>
      <c r="X993" s="4"/>
      <c r="Y993" s="4"/>
      <c r="Z993" s="4"/>
      <c r="AA993" s="4"/>
      <c r="AB993" s="4"/>
      <c r="AC993" s="4"/>
      <c r="AD993" s="4"/>
      <c r="AE993" s="4"/>
      <c r="AF993" s="4"/>
    </row>
    <row r="994" ht="15.75" customHeight="1">
      <c r="A994" s="4"/>
      <c r="B994" s="4"/>
      <c r="C994" s="4"/>
      <c r="D994" s="4"/>
      <c r="E994" s="4"/>
      <c r="F994" s="4"/>
      <c r="G994" s="4"/>
      <c r="H994" s="4"/>
      <c r="I994" s="129"/>
      <c r="J994" s="129"/>
      <c r="K994" s="129"/>
      <c r="L994" s="129"/>
      <c r="M994" s="129"/>
      <c r="N994" s="4"/>
      <c r="O994" s="4"/>
      <c r="P994" s="4"/>
      <c r="Q994" s="4"/>
      <c r="R994" s="4"/>
      <c r="S994" s="4"/>
      <c r="T994" s="4"/>
      <c r="U994" s="4"/>
      <c r="V994" s="4"/>
      <c r="W994" s="4"/>
      <c r="X994" s="4"/>
      <c r="Y994" s="4"/>
      <c r="Z994" s="4"/>
      <c r="AA994" s="4"/>
      <c r="AB994" s="4"/>
      <c r="AC994" s="4"/>
      <c r="AD994" s="4"/>
      <c r="AE994" s="4"/>
      <c r="AF994" s="4"/>
    </row>
    <row r="995" ht="15.75" customHeight="1">
      <c r="A995" s="4"/>
      <c r="B995" s="4"/>
      <c r="C995" s="4"/>
      <c r="D995" s="4"/>
      <c r="E995" s="4"/>
      <c r="F995" s="4"/>
      <c r="G995" s="4"/>
      <c r="H995" s="4"/>
      <c r="I995" s="129"/>
      <c r="J995" s="129"/>
      <c r="K995" s="129"/>
      <c r="L995" s="129"/>
      <c r="M995" s="129"/>
      <c r="N995" s="4"/>
      <c r="O995" s="4"/>
      <c r="P995" s="4"/>
      <c r="Q995" s="4"/>
      <c r="R995" s="4"/>
      <c r="S995" s="4"/>
      <c r="T995" s="4"/>
      <c r="U995" s="4"/>
      <c r="V995" s="4"/>
      <c r="W995" s="4"/>
      <c r="X995" s="4"/>
      <c r="Y995" s="4"/>
      <c r="Z995" s="4"/>
      <c r="AA995" s="4"/>
      <c r="AB995" s="4"/>
      <c r="AC995" s="4"/>
      <c r="AD995" s="4"/>
      <c r="AE995" s="4"/>
      <c r="AF995" s="4"/>
    </row>
    <row r="996" ht="15.75" customHeight="1">
      <c r="A996" s="4"/>
      <c r="B996" s="4"/>
      <c r="C996" s="4"/>
      <c r="D996" s="4"/>
      <c r="E996" s="4"/>
      <c r="F996" s="4"/>
      <c r="G996" s="4"/>
      <c r="H996" s="4"/>
      <c r="I996" s="129"/>
      <c r="J996" s="129"/>
      <c r="K996" s="129"/>
      <c r="L996" s="129"/>
      <c r="M996" s="129"/>
      <c r="N996" s="4"/>
      <c r="O996" s="4"/>
      <c r="P996" s="4"/>
      <c r="Q996" s="4"/>
      <c r="R996" s="4"/>
      <c r="S996" s="4"/>
      <c r="T996" s="4"/>
      <c r="U996" s="4"/>
      <c r="V996" s="4"/>
      <c r="W996" s="4"/>
      <c r="X996" s="4"/>
      <c r="Y996" s="4"/>
      <c r="Z996" s="4"/>
      <c r="AA996" s="4"/>
      <c r="AB996" s="4"/>
      <c r="AC996" s="4"/>
      <c r="AD996" s="4"/>
      <c r="AE996" s="4"/>
      <c r="AF996" s="4"/>
    </row>
    <row r="997" ht="15.75" customHeight="1">
      <c r="A997" s="4"/>
      <c r="B997" s="4"/>
      <c r="C997" s="4"/>
      <c r="D997" s="4"/>
      <c r="E997" s="4"/>
      <c r="F997" s="4"/>
      <c r="G997" s="4"/>
      <c r="H997" s="4"/>
      <c r="I997" s="129"/>
      <c r="J997" s="129"/>
      <c r="K997" s="129"/>
      <c r="L997" s="129"/>
      <c r="M997" s="129"/>
      <c r="N997" s="4"/>
      <c r="O997" s="4"/>
      <c r="P997" s="4"/>
      <c r="Q997" s="4"/>
      <c r="R997" s="4"/>
      <c r="S997" s="4"/>
      <c r="T997" s="4"/>
      <c r="U997" s="4"/>
      <c r="V997" s="4"/>
      <c r="W997" s="4"/>
      <c r="X997" s="4"/>
      <c r="Y997" s="4"/>
      <c r="Z997" s="4"/>
      <c r="AA997" s="4"/>
      <c r="AB997" s="4"/>
      <c r="AC997" s="4"/>
      <c r="AD997" s="4"/>
      <c r="AE997" s="4"/>
      <c r="AF997" s="4"/>
    </row>
    <row r="998" ht="15.75" customHeight="1">
      <c r="A998" s="4"/>
      <c r="B998" s="4"/>
      <c r="C998" s="4"/>
      <c r="D998" s="4"/>
      <c r="E998" s="4"/>
      <c r="F998" s="4"/>
      <c r="G998" s="4"/>
      <c r="H998" s="4"/>
      <c r="I998" s="129"/>
      <c r="J998" s="129"/>
      <c r="K998" s="129"/>
      <c r="L998" s="129"/>
      <c r="M998" s="129"/>
      <c r="N998" s="4"/>
      <c r="O998" s="4"/>
      <c r="P998" s="4"/>
      <c r="Q998" s="4"/>
      <c r="R998" s="4"/>
      <c r="S998" s="4"/>
      <c r="T998" s="4"/>
      <c r="U998" s="4"/>
      <c r="V998" s="4"/>
      <c r="W998" s="4"/>
      <c r="X998" s="4"/>
      <c r="Y998" s="4"/>
      <c r="Z998" s="4"/>
      <c r="AA998" s="4"/>
      <c r="AB998" s="4"/>
      <c r="AC998" s="4"/>
      <c r="AD998" s="4"/>
      <c r="AE998" s="4"/>
      <c r="AF998" s="4"/>
    </row>
    <row r="999" ht="15.75" customHeight="1">
      <c r="A999" s="4"/>
      <c r="B999" s="4"/>
      <c r="C999" s="4"/>
      <c r="D999" s="4"/>
      <c r="E999" s="4"/>
      <c r="F999" s="4"/>
      <c r="G999" s="4"/>
      <c r="H999" s="4"/>
      <c r="I999" s="129"/>
      <c r="J999" s="129"/>
      <c r="K999" s="129"/>
      <c r="L999" s="129"/>
      <c r="M999" s="129"/>
      <c r="N999" s="4"/>
      <c r="O999" s="4"/>
      <c r="P999" s="4"/>
      <c r="Q999" s="4"/>
      <c r="R999" s="4"/>
      <c r="S999" s="4"/>
      <c r="T999" s="4"/>
      <c r="U999" s="4"/>
      <c r="V999" s="4"/>
      <c r="W999" s="4"/>
      <c r="X999" s="4"/>
      <c r="Y999" s="4"/>
      <c r="Z999" s="4"/>
      <c r="AA999" s="4"/>
      <c r="AB999" s="4"/>
      <c r="AC999" s="4"/>
      <c r="AD999" s="4"/>
      <c r="AE999" s="4"/>
      <c r="AF999" s="4"/>
    </row>
    <row r="1000" ht="15.75" customHeight="1">
      <c r="A1000" s="4"/>
      <c r="B1000" s="4"/>
      <c r="C1000" s="4"/>
      <c r="D1000" s="4"/>
      <c r="E1000" s="4"/>
      <c r="F1000" s="4"/>
      <c r="G1000" s="4"/>
      <c r="H1000" s="4"/>
      <c r="I1000" s="129"/>
      <c r="J1000" s="129"/>
      <c r="K1000" s="129"/>
      <c r="L1000" s="129"/>
      <c r="M1000" s="129"/>
      <c r="N1000" s="4"/>
      <c r="O1000" s="4"/>
      <c r="P1000" s="4"/>
      <c r="Q1000" s="4"/>
      <c r="R1000" s="4"/>
      <c r="S1000" s="4"/>
      <c r="T1000" s="4"/>
      <c r="U1000" s="4"/>
      <c r="V1000" s="4"/>
      <c r="W1000" s="4"/>
      <c r="X1000" s="4"/>
      <c r="Y1000" s="4"/>
      <c r="Z1000" s="4"/>
      <c r="AA1000" s="4"/>
      <c r="AB1000" s="4"/>
      <c r="AC1000" s="4"/>
      <c r="AD1000" s="4"/>
      <c r="AE1000" s="4"/>
      <c r="AF1000" s="4"/>
    </row>
  </sheetData>
  <mergeCells count="2">
    <mergeCell ref="A2:L2"/>
    <mergeCell ref="F17:L18"/>
  </mergeCells>
  <printOptions/>
  <pageMargins bottom="0.75" footer="0.0" header="0.0" left="0.7" right="0.7" top="0.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86"/>
    <col customWidth="1" min="2" max="4" width="11.43"/>
    <col customWidth="1" min="5" max="5" width="9.57"/>
    <col customWidth="1" min="6" max="7" width="11.43"/>
    <col customWidth="1" min="8" max="8" width="10.71"/>
    <col customWidth="1" min="9" max="9" width="9.43"/>
    <col customWidth="1" min="10" max="11" width="10.57"/>
    <col customWidth="1" min="12" max="13" width="14.0"/>
    <col customWidth="1" min="14" max="23" width="11.43"/>
    <col customWidth="1" min="24" max="24" width="11.71"/>
    <col customWidth="1" min="25" max="25" width="14.57"/>
    <col customWidth="1" min="26" max="26" width="12.43"/>
    <col customWidth="1" min="27" max="27" width="9.71"/>
    <col customWidth="1" min="28" max="28" width="11.0"/>
    <col customWidth="1" min="29" max="31" width="9.43"/>
    <col customWidth="1" min="32" max="32" width="11.43"/>
    <col customWidth="1" min="33" max="34" width="14.0"/>
    <col customWidth="1" min="35" max="35" width="10.57"/>
    <col customWidth="1" min="36" max="36" width="9.43"/>
    <col customWidth="1" min="37" max="41" width="10.57"/>
    <col customWidth="1" min="42" max="42" width="9.0"/>
    <col customWidth="1" min="43" max="43" width="10.57"/>
    <col customWidth="1" min="44" max="44" width="9.29"/>
    <col customWidth="1" min="45" max="45" width="11.71"/>
    <col customWidth="1" min="46" max="46" width="8.43"/>
    <col customWidth="1" min="47" max="47" width="9.43"/>
    <col customWidth="1" min="48" max="48" width="9.71"/>
    <col customWidth="1" min="49" max="49" width="11.0"/>
    <col customWidth="1" min="50" max="52" width="9.43"/>
    <col customWidth="1" min="53" max="53" width="10.57"/>
    <col customWidth="1" min="54" max="54" width="14.29"/>
    <col customWidth="1" min="55" max="55" width="14.0"/>
    <col customWidth="1" min="56" max="56" width="10.57"/>
    <col customWidth="1" min="57" max="57" width="9.43"/>
    <col customWidth="1" min="58" max="62" width="10.57"/>
    <col customWidth="1" min="63" max="63" width="9.0"/>
    <col customWidth="1" min="64" max="64" width="10.57"/>
    <col customWidth="1" min="65" max="65" width="9.29"/>
    <col customWidth="1" min="66" max="66" width="11.71"/>
    <col customWidth="1" min="67" max="67" width="8.43"/>
    <col customWidth="1" min="68" max="68" width="9.43"/>
    <col customWidth="1" min="69" max="69" width="9.71"/>
    <col customWidth="1" min="70" max="70" width="11.0"/>
    <col customWidth="1" min="71" max="73" width="9.43"/>
    <col customWidth="1" min="74" max="74" width="10.57"/>
    <col customWidth="1" min="75" max="75" width="14.0"/>
    <col customWidth="1" min="76" max="76" width="13.86"/>
    <col customWidth="1" min="77" max="77" width="10.57"/>
    <col customWidth="1" min="78" max="78" width="9.43"/>
    <col customWidth="1" min="79" max="83" width="10.57"/>
    <col customWidth="1" min="84" max="84" width="11.43"/>
    <col customWidth="1" min="85" max="85" width="10.57"/>
    <col customWidth="1" min="86" max="86" width="9.29"/>
    <col customWidth="1" min="87" max="87" width="11.71"/>
    <col customWidth="1" min="88" max="88" width="8.43"/>
    <col customWidth="1" min="89" max="89" width="9.43"/>
    <col customWidth="1" min="90" max="90" width="9.71"/>
    <col customWidth="1" min="91" max="91" width="11.0"/>
    <col customWidth="1" min="92" max="94" width="9.43"/>
    <col customWidth="1" min="95" max="95" width="11.43"/>
    <col customWidth="1" min="96" max="97" width="14.0"/>
    <col customWidth="1" min="98" max="98" width="10.57"/>
    <col customWidth="1" min="99" max="99" width="9.43"/>
    <col customWidth="1" min="100" max="104" width="10.57"/>
    <col customWidth="1" min="105" max="105" width="9.0"/>
    <col customWidth="1" min="106" max="106" width="10.57"/>
    <col customWidth="1" min="107" max="107" width="9.29"/>
    <col customWidth="1" min="108" max="108" width="11.71"/>
    <col customWidth="1" min="109" max="109" width="8.43"/>
    <col customWidth="1" min="110" max="110" width="9.43"/>
    <col customWidth="1" min="111" max="111" width="9.71"/>
    <col customWidth="1" min="112" max="112" width="11.0"/>
    <col customWidth="1" min="113" max="115" width="9.43"/>
    <col customWidth="1" min="116" max="116" width="10.57"/>
    <col customWidth="1" min="117" max="117" width="14.29"/>
    <col customWidth="1" min="118" max="118" width="14.0"/>
    <col customWidth="1" min="119" max="119" width="10.57"/>
    <col customWidth="1" min="120" max="120" width="9.43"/>
    <col customWidth="1" min="121" max="125" width="10.57"/>
    <col customWidth="1" min="126" max="126" width="9.0"/>
    <col customWidth="1" min="127" max="127" width="10.57"/>
    <col customWidth="1" min="128" max="128" width="9.29"/>
    <col customWidth="1" min="129" max="129" width="11.71"/>
    <col customWidth="1" min="130" max="130" width="8.43"/>
    <col customWidth="1" min="131" max="131" width="9.43"/>
    <col customWidth="1" min="132" max="132" width="9.71"/>
    <col customWidth="1" min="133" max="133" width="11.0"/>
    <col customWidth="1" min="134" max="136" width="9.43"/>
    <col customWidth="1" min="137" max="137" width="10.57"/>
    <col customWidth="1" min="138" max="139" width="14.0"/>
    <col customWidth="1" min="140" max="140" width="10.57"/>
    <col customWidth="1" min="141" max="141" width="9.43"/>
    <col customWidth="1" min="142" max="146" width="10.57"/>
    <col customWidth="1" min="147" max="147" width="9.0"/>
    <col customWidth="1" min="148" max="148" width="10.57"/>
    <col customWidth="1" min="149" max="149" width="9.29"/>
    <col customWidth="1" min="150" max="150" width="11.71"/>
    <col customWidth="1" min="151" max="151" width="8.43"/>
    <col customWidth="1" min="152" max="152" width="9.43"/>
    <col customWidth="1" min="153" max="153" width="9.71"/>
    <col customWidth="1" min="154" max="154" width="11.0"/>
    <col customWidth="1" min="155" max="157" width="9.43"/>
    <col customWidth="1" min="158" max="158" width="11.43"/>
    <col customWidth="1" min="159" max="160" width="14.0"/>
    <col customWidth="1" min="161" max="161" width="10.57"/>
    <col customWidth="1" min="162" max="162" width="9.43"/>
    <col customWidth="1" min="163" max="167" width="10.57"/>
    <col customWidth="1" min="168" max="168" width="9.0"/>
    <col customWidth="1" min="169" max="169" width="10.57"/>
    <col customWidth="1" min="170" max="170" width="9.29"/>
    <col customWidth="1" min="171" max="171" width="11.71"/>
    <col customWidth="1" min="172" max="172" width="8.14"/>
    <col customWidth="1" min="173" max="173" width="9.43"/>
    <col customWidth="1" min="174" max="174" width="9.71"/>
    <col customWidth="1" min="175" max="175" width="11.0"/>
    <col customWidth="1" min="176" max="178" width="9.43"/>
    <col customWidth="1" min="179" max="179" width="10.57"/>
    <col customWidth="1" min="180" max="181" width="14.0"/>
    <col customWidth="1" min="182" max="182" width="10.57"/>
    <col customWidth="1" min="183" max="183" width="9.43"/>
    <col customWidth="1" min="184" max="188" width="10.57"/>
    <col customWidth="1" min="189" max="189" width="9.0"/>
    <col customWidth="1" min="190" max="190" width="10.57"/>
    <col customWidth="1" min="191" max="191" width="9.29"/>
    <col customWidth="1" min="192" max="192" width="11.43"/>
    <col customWidth="1" min="193" max="193" width="8.43"/>
    <col customWidth="1" min="194" max="194" width="9.43"/>
    <col customWidth="1" min="195" max="195" width="9.71"/>
    <col customWidth="1" min="196" max="196" width="11.0"/>
    <col customWidth="1" min="197" max="199" width="9.43"/>
    <col customWidth="1" min="200" max="200" width="10.57"/>
    <col customWidth="1" min="201" max="201" width="14.0"/>
    <col customWidth="1" min="202" max="202" width="14.29"/>
    <col customWidth="1" min="203" max="203" width="10.57"/>
    <col customWidth="1" min="204" max="204" width="9.43"/>
    <col customWidth="1" min="205" max="209" width="10.57"/>
    <col customWidth="1" min="210" max="210" width="9.0"/>
    <col customWidth="1" min="211" max="211" width="10.57"/>
    <col customWidth="1" min="212" max="212" width="9.29"/>
    <col customWidth="1" min="213" max="213" width="11.71"/>
    <col customWidth="1" min="214" max="214" width="8.43"/>
    <col customWidth="1" min="215" max="215" width="9.43"/>
    <col customWidth="1" min="216" max="216" width="9.71"/>
    <col customWidth="1" min="217" max="217" width="11.0"/>
    <col customWidth="1" min="218" max="218" width="9.43"/>
  </cols>
  <sheetData>
    <row r="1">
      <c r="A1" s="4"/>
      <c r="B1" s="130" t="s">
        <v>111</v>
      </c>
      <c r="C1" s="131"/>
      <c r="D1" s="131"/>
      <c r="E1" s="131"/>
      <c r="F1" s="131"/>
      <c r="G1" s="131"/>
      <c r="H1" s="132"/>
      <c r="I1" s="133" t="str">
        <f>IF('Données projet'!$B$9="","",'Données projet'!$B$9)</f>
        <v>Chêne sessile</v>
      </c>
      <c r="J1" s="131"/>
      <c r="K1" s="131"/>
      <c r="L1" s="131"/>
      <c r="M1" s="131"/>
      <c r="N1" s="131"/>
      <c r="O1" s="131"/>
      <c r="P1" s="131"/>
      <c r="Q1" s="131"/>
      <c r="R1" s="131"/>
      <c r="S1" s="131"/>
      <c r="T1" s="131"/>
      <c r="U1" s="131"/>
      <c r="V1" s="131"/>
      <c r="W1" s="131"/>
      <c r="X1" s="131"/>
      <c r="Y1" s="131"/>
      <c r="Z1" s="131"/>
      <c r="AA1" s="131"/>
      <c r="AB1" s="131"/>
      <c r="AC1" s="132"/>
      <c r="AD1" s="134" t="str">
        <f>IF('Données projet'!$B$10="","",'Données projet'!$B$10)</f>
        <v>Erable sycomore</v>
      </c>
      <c r="AE1" s="131"/>
      <c r="AF1" s="131"/>
      <c r="AG1" s="131"/>
      <c r="AH1" s="131"/>
      <c r="AI1" s="131"/>
      <c r="AJ1" s="131"/>
      <c r="AK1" s="131"/>
      <c r="AL1" s="131"/>
      <c r="AM1" s="131"/>
      <c r="AN1" s="131"/>
      <c r="AO1" s="131"/>
      <c r="AP1" s="131"/>
      <c r="AQ1" s="131"/>
      <c r="AR1" s="131"/>
      <c r="AS1" s="131"/>
      <c r="AT1" s="131"/>
      <c r="AU1" s="131"/>
      <c r="AV1" s="131"/>
      <c r="AW1" s="131"/>
      <c r="AX1" s="132"/>
      <c r="AY1" s="133" t="str">
        <f>IF('Données projet'!$B$11="","",'Données projet'!$B$11)</f>
        <v>Alisier torminal</v>
      </c>
      <c r="AZ1" s="131"/>
      <c r="BA1" s="131"/>
      <c r="BB1" s="131"/>
      <c r="BC1" s="131"/>
      <c r="BD1" s="131"/>
      <c r="BE1" s="131"/>
      <c r="BF1" s="131"/>
      <c r="BG1" s="131"/>
      <c r="BH1" s="131"/>
      <c r="BI1" s="131"/>
      <c r="BJ1" s="131"/>
      <c r="BK1" s="131"/>
      <c r="BL1" s="131"/>
      <c r="BM1" s="131"/>
      <c r="BN1" s="131"/>
      <c r="BO1" s="131"/>
      <c r="BP1" s="131"/>
      <c r="BQ1" s="131"/>
      <c r="BR1" s="131"/>
      <c r="BS1" s="132"/>
      <c r="BT1" s="133" t="str">
        <f>IF('Données projet'!$B$12="","",'Données projet'!$B$12)</f>
        <v/>
      </c>
      <c r="BU1" s="131"/>
      <c r="BV1" s="131"/>
      <c r="BW1" s="131"/>
      <c r="BX1" s="131"/>
      <c r="BY1" s="131"/>
      <c r="BZ1" s="131"/>
      <c r="CA1" s="131"/>
      <c r="CB1" s="131"/>
      <c r="CC1" s="131"/>
      <c r="CD1" s="131"/>
      <c r="CE1" s="131"/>
      <c r="CF1" s="131"/>
      <c r="CG1" s="131"/>
      <c r="CH1" s="131"/>
      <c r="CI1" s="131"/>
      <c r="CJ1" s="131"/>
      <c r="CK1" s="131"/>
      <c r="CL1" s="131"/>
      <c r="CM1" s="131"/>
      <c r="CN1" s="132"/>
      <c r="CO1" s="133" t="str">
        <f>IF('Données projet'!$B$13="","",'Données projet'!$B$13)</f>
        <v/>
      </c>
      <c r="CP1" s="131"/>
      <c r="CQ1" s="131"/>
      <c r="CR1" s="131"/>
      <c r="CS1" s="131"/>
      <c r="CT1" s="131"/>
      <c r="CU1" s="131"/>
      <c r="CV1" s="131"/>
      <c r="CW1" s="131"/>
      <c r="CX1" s="131"/>
      <c r="CY1" s="131"/>
      <c r="CZ1" s="131"/>
      <c r="DA1" s="131"/>
      <c r="DB1" s="131"/>
      <c r="DC1" s="131"/>
      <c r="DD1" s="131"/>
      <c r="DE1" s="131"/>
      <c r="DF1" s="131"/>
      <c r="DG1" s="131"/>
      <c r="DH1" s="131"/>
      <c r="DI1" s="132"/>
      <c r="DJ1" s="133" t="str">
        <f>IF('Données projet'!$B$14="","",'Données projet'!$B$14)</f>
        <v/>
      </c>
      <c r="DK1" s="131"/>
      <c r="DL1" s="131"/>
      <c r="DM1" s="131"/>
      <c r="DN1" s="131"/>
      <c r="DO1" s="131"/>
      <c r="DP1" s="131"/>
      <c r="DQ1" s="131"/>
      <c r="DR1" s="131"/>
      <c r="DS1" s="131"/>
      <c r="DT1" s="131"/>
      <c r="DU1" s="131"/>
      <c r="DV1" s="131"/>
      <c r="DW1" s="131"/>
      <c r="DX1" s="131"/>
      <c r="DY1" s="131"/>
      <c r="DZ1" s="131"/>
      <c r="EA1" s="131"/>
      <c r="EB1" s="131"/>
      <c r="EC1" s="131"/>
      <c r="ED1" s="132"/>
      <c r="EE1" s="133" t="str">
        <f>IF('Données projet'!$B$15="","",'Données projet'!$B$15)</f>
        <v/>
      </c>
      <c r="EF1" s="131"/>
      <c r="EG1" s="131"/>
      <c r="EH1" s="131"/>
      <c r="EI1" s="131"/>
      <c r="EJ1" s="131"/>
      <c r="EK1" s="131"/>
      <c r="EL1" s="131"/>
      <c r="EM1" s="131"/>
      <c r="EN1" s="131"/>
      <c r="EO1" s="131"/>
      <c r="EP1" s="131"/>
      <c r="EQ1" s="131"/>
      <c r="ER1" s="131"/>
      <c r="ES1" s="131"/>
      <c r="ET1" s="131"/>
      <c r="EU1" s="131"/>
      <c r="EV1" s="131"/>
      <c r="EW1" s="131"/>
      <c r="EX1" s="131"/>
      <c r="EY1" s="132"/>
      <c r="EZ1" s="133" t="str">
        <f>IF('Données projet'!$B$16="","",'Données projet'!$B$16)</f>
        <v/>
      </c>
      <c r="FA1" s="131"/>
      <c r="FB1" s="131"/>
      <c r="FC1" s="131"/>
      <c r="FD1" s="131"/>
      <c r="FE1" s="131"/>
      <c r="FF1" s="131"/>
      <c r="FG1" s="131"/>
      <c r="FH1" s="131"/>
      <c r="FI1" s="131"/>
      <c r="FJ1" s="131"/>
      <c r="FK1" s="131"/>
      <c r="FL1" s="131"/>
      <c r="FM1" s="131"/>
      <c r="FN1" s="131"/>
      <c r="FO1" s="131"/>
      <c r="FP1" s="131"/>
      <c r="FQ1" s="131"/>
      <c r="FR1" s="131"/>
      <c r="FS1" s="131"/>
      <c r="FT1" s="132"/>
      <c r="FU1" s="133" t="str">
        <f>IF('Données projet'!$B$17="","",'Données projet'!$B$17)</f>
        <v/>
      </c>
      <c r="FV1" s="131"/>
      <c r="FW1" s="131"/>
      <c r="FX1" s="131"/>
      <c r="FY1" s="131"/>
      <c r="FZ1" s="131"/>
      <c r="GA1" s="131"/>
      <c r="GB1" s="131"/>
      <c r="GC1" s="131"/>
      <c r="GD1" s="131"/>
      <c r="GE1" s="131"/>
      <c r="GF1" s="131"/>
      <c r="GG1" s="131"/>
      <c r="GH1" s="131"/>
      <c r="GI1" s="131"/>
      <c r="GJ1" s="131"/>
      <c r="GK1" s="131"/>
      <c r="GL1" s="131"/>
      <c r="GM1" s="131"/>
      <c r="GN1" s="131"/>
      <c r="GO1" s="132"/>
      <c r="GP1" s="133" t="str">
        <f>IF('Données projet'!$B$18="","",'Données projet'!$B$18)</f>
        <v/>
      </c>
      <c r="GQ1" s="131"/>
      <c r="GR1" s="131"/>
      <c r="GS1" s="131"/>
      <c r="GT1" s="131"/>
      <c r="GU1" s="131"/>
      <c r="GV1" s="131"/>
      <c r="GW1" s="131"/>
      <c r="GX1" s="131"/>
      <c r="GY1" s="131"/>
      <c r="GZ1" s="131"/>
      <c r="HA1" s="131"/>
      <c r="HB1" s="131"/>
      <c r="HC1" s="131"/>
      <c r="HD1" s="131"/>
      <c r="HE1" s="131"/>
      <c r="HF1" s="131"/>
      <c r="HG1" s="131"/>
      <c r="HH1" s="131"/>
      <c r="HI1" s="131"/>
      <c r="HJ1" s="132"/>
    </row>
    <row r="2">
      <c r="A2" s="135" t="s">
        <v>112</v>
      </c>
      <c r="B2" s="136" t="s">
        <v>113</v>
      </c>
      <c r="C2" s="137" t="s">
        <v>114</v>
      </c>
      <c r="D2" s="137" t="s">
        <v>115</v>
      </c>
      <c r="E2" s="137" t="s">
        <v>116</v>
      </c>
      <c r="F2" s="137" t="s">
        <v>117</v>
      </c>
      <c r="G2" s="137" t="s">
        <v>118</v>
      </c>
      <c r="H2" s="138" t="s">
        <v>119</v>
      </c>
      <c r="I2" s="139" t="s">
        <v>116</v>
      </c>
      <c r="J2" s="140" t="s">
        <v>117</v>
      </c>
      <c r="K2" s="141" t="s">
        <v>120</v>
      </c>
      <c r="L2" s="141" t="s">
        <v>121</v>
      </c>
      <c r="M2" s="141" t="s">
        <v>121</v>
      </c>
      <c r="N2" s="141" t="s">
        <v>122</v>
      </c>
      <c r="O2" s="141" t="s">
        <v>123</v>
      </c>
      <c r="P2" s="141" t="s">
        <v>124</v>
      </c>
      <c r="Q2" s="141" t="s">
        <v>118</v>
      </c>
      <c r="R2" s="141" t="s">
        <v>125</v>
      </c>
      <c r="S2" s="141" t="s">
        <v>126</v>
      </c>
      <c r="T2" s="141" t="s">
        <v>127</v>
      </c>
      <c r="U2" s="142" t="s">
        <v>128</v>
      </c>
      <c r="V2" s="143" t="s">
        <v>129</v>
      </c>
      <c r="W2" s="142" t="s">
        <v>56</v>
      </c>
      <c r="X2" s="142" t="s">
        <v>57</v>
      </c>
      <c r="Y2" s="142" t="s">
        <v>130</v>
      </c>
      <c r="Z2" s="143" t="s">
        <v>131</v>
      </c>
      <c r="AA2" s="143" t="s">
        <v>132</v>
      </c>
      <c r="AB2" s="143" t="s">
        <v>133</v>
      </c>
      <c r="AC2" s="144" t="s">
        <v>134</v>
      </c>
      <c r="AD2" s="140" t="s">
        <v>116</v>
      </c>
      <c r="AE2" s="140" t="s">
        <v>117</v>
      </c>
      <c r="AF2" s="141" t="s">
        <v>120</v>
      </c>
      <c r="AG2" s="141" t="s">
        <v>121</v>
      </c>
      <c r="AH2" s="141" t="s">
        <v>121</v>
      </c>
      <c r="AI2" s="141" t="s">
        <v>122</v>
      </c>
      <c r="AJ2" s="141" t="s">
        <v>123</v>
      </c>
      <c r="AK2" s="141" t="s">
        <v>124</v>
      </c>
      <c r="AL2" s="141" t="s">
        <v>118</v>
      </c>
      <c r="AM2" s="141" t="s">
        <v>125</v>
      </c>
      <c r="AN2" s="141" t="s">
        <v>126</v>
      </c>
      <c r="AO2" s="141" t="s">
        <v>127</v>
      </c>
      <c r="AP2" s="142" t="s">
        <v>128</v>
      </c>
      <c r="AQ2" s="143" t="s">
        <v>129</v>
      </c>
      <c r="AR2" s="142" t="s">
        <v>56</v>
      </c>
      <c r="AS2" s="142" t="s">
        <v>57</v>
      </c>
      <c r="AT2" s="143" t="s">
        <v>135</v>
      </c>
      <c r="AU2" s="143" t="s">
        <v>131</v>
      </c>
      <c r="AV2" s="143" t="s">
        <v>132</v>
      </c>
      <c r="AW2" s="143" t="s">
        <v>133</v>
      </c>
      <c r="AX2" s="143" t="s">
        <v>134</v>
      </c>
      <c r="AY2" s="139" t="s">
        <v>116</v>
      </c>
      <c r="AZ2" s="140" t="s">
        <v>117</v>
      </c>
      <c r="BA2" s="141" t="s">
        <v>120</v>
      </c>
      <c r="BB2" s="141" t="s">
        <v>121</v>
      </c>
      <c r="BC2" s="141" t="s">
        <v>121</v>
      </c>
      <c r="BD2" s="141" t="s">
        <v>122</v>
      </c>
      <c r="BE2" s="141" t="s">
        <v>123</v>
      </c>
      <c r="BF2" s="141" t="s">
        <v>124</v>
      </c>
      <c r="BG2" s="141" t="s">
        <v>118</v>
      </c>
      <c r="BH2" s="141" t="s">
        <v>125</v>
      </c>
      <c r="BI2" s="141" t="s">
        <v>126</v>
      </c>
      <c r="BJ2" s="141" t="s">
        <v>127</v>
      </c>
      <c r="BK2" s="142" t="s">
        <v>128</v>
      </c>
      <c r="BL2" s="143" t="s">
        <v>129</v>
      </c>
      <c r="BM2" s="142" t="s">
        <v>56</v>
      </c>
      <c r="BN2" s="142" t="s">
        <v>57</v>
      </c>
      <c r="BO2" s="143" t="s">
        <v>135</v>
      </c>
      <c r="BP2" s="143" t="s">
        <v>131</v>
      </c>
      <c r="BQ2" s="143" t="s">
        <v>132</v>
      </c>
      <c r="BR2" s="143" t="s">
        <v>133</v>
      </c>
      <c r="BS2" s="144" t="s">
        <v>134</v>
      </c>
      <c r="BT2" s="139" t="s">
        <v>116</v>
      </c>
      <c r="BU2" s="140" t="s">
        <v>117</v>
      </c>
      <c r="BV2" s="141" t="s">
        <v>120</v>
      </c>
      <c r="BW2" s="141" t="s">
        <v>121</v>
      </c>
      <c r="BX2" s="141" t="s">
        <v>121</v>
      </c>
      <c r="BY2" s="141" t="s">
        <v>122</v>
      </c>
      <c r="BZ2" s="141" t="s">
        <v>123</v>
      </c>
      <c r="CA2" s="141" t="s">
        <v>124</v>
      </c>
      <c r="CB2" s="141" t="s">
        <v>118</v>
      </c>
      <c r="CC2" s="141" t="s">
        <v>125</v>
      </c>
      <c r="CD2" s="141" t="s">
        <v>126</v>
      </c>
      <c r="CE2" s="141" t="s">
        <v>127</v>
      </c>
      <c r="CF2" s="142" t="s">
        <v>128</v>
      </c>
      <c r="CG2" s="143" t="s">
        <v>129</v>
      </c>
      <c r="CH2" s="142" t="s">
        <v>56</v>
      </c>
      <c r="CI2" s="142" t="s">
        <v>57</v>
      </c>
      <c r="CJ2" s="143" t="s">
        <v>135</v>
      </c>
      <c r="CK2" s="143" t="s">
        <v>131</v>
      </c>
      <c r="CL2" s="143" t="s">
        <v>132</v>
      </c>
      <c r="CM2" s="143" t="s">
        <v>133</v>
      </c>
      <c r="CN2" s="144" t="s">
        <v>134</v>
      </c>
      <c r="CO2" s="139" t="s">
        <v>116</v>
      </c>
      <c r="CP2" s="140" t="s">
        <v>117</v>
      </c>
      <c r="CQ2" s="141" t="s">
        <v>120</v>
      </c>
      <c r="CR2" s="141" t="s">
        <v>121</v>
      </c>
      <c r="CS2" s="141" t="s">
        <v>121</v>
      </c>
      <c r="CT2" s="141" t="s">
        <v>122</v>
      </c>
      <c r="CU2" s="141" t="s">
        <v>123</v>
      </c>
      <c r="CV2" s="141" t="s">
        <v>124</v>
      </c>
      <c r="CW2" s="141" t="s">
        <v>118</v>
      </c>
      <c r="CX2" s="141" t="s">
        <v>125</v>
      </c>
      <c r="CY2" s="141" t="s">
        <v>126</v>
      </c>
      <c r="CZ2" s="141" t="s">
        <v>127</v>
      </c>
      <c r="DA2" s="142" t="s">
        <v>128</v>
      </c>
      <c r="DB2" s="143" t="s">
        <v>129</v>
      </c>
      <c r="DC2" s="142" t="s">
        <v>56</v>
      </c>
      <c r="DD2" s="142" t="s">
        <v>57</v>
      </c>
      <c r="DE2" s="143" t="s">
        <v>135</v>
      </c>
      <c r="DF2" s="143" t="s">
        <v>131</v>
      </c>
      <c r="DG2" s="143" t="s">
        <v>132</v>
      </c>
      <c r="DH2" s="143" t="s">
        <v>133</v>
      </c>
      <c r="DI2" s="144" t="s">
        <v>134</v>
      </c>
      <c r="DJ2" s="139" t="s">
        <v>116</v>
      </c>
      <c r="DK2" s="140" t="s">
        <v>117</v>
      </c>
      <c r="DL2" s="141" t="s">
        <v>120</v>
      </c>
      <c r="DM2" s="141" t="s">
        <v>121</v>
      </c>
      <c r="DN2" s="141" t="s">
        <v>121</v>
      </c>
      <c r="DO2" s="141" t="s">
        <v>122</v>
      </c>
      <c r="DP2" s="141" t="s">
        <v>123</v>
      </c>
      <c r="DQ2" s="141" t="s">
        <v>124</v>
      </c>
      <c r="DR2" s="141" t="s">
        <v>118</v>
      </c>
      <c r="DS2" s="141" t="s">
        <v>125</v>
      </c>
      <c r="DT2" s="141" t="s">
        <v>126</v>
      </c>
      <c r="DU2" s="141" t="s">
        <v>127</v>
      </c>
      <c r="DV2" s="142" t="s">
        <v>128</v>
      </c>
      <c r="DW2" s="143" t="s">
        <v>129</v>
      </c>
      <c r="DX2" s="142" t="s">
        <v>56</v>
      </c>
      <c r="DY2" s="142" t="s">
        <v>57</v>
      </c>
      <c r="DZ2" s="143" t="s">
        <v>135</v>
      </c>
      <c r="EA2" s="143" t="s">
        <v>131</v>
      </c>
      <c r="EB2" s="143" t="s">
        <v>132</v>
      </c>
      <c r="EC2" s="143" t="s">
        <v>133</v>
      </c>
      <c r="ED2" s="144" t="s">
        <v>134</v>
      </c>
      <c r="EE2" s="139" t="s">
        <v>116</v>
      </c>
      <c r="EF2" s="140" t="s">
        <v>117</v>
      </c>
      <c r="EG2" s="141" t="s">
        <v>120</v>
      </c>
      <c r="EH2" s="141" t="s">
        <v>121</v>
      </c>
      <c r="EI2" s="141" t="s">
        <v>121</v>
      </c>
      <c r="EJ2" s="141" t="s">
        <v>122</v>
      </c>
      <c r="EK2" s="141" t="s">
        <v>123</v>
      </c>
      <c r="EL2" s="141" t="s">
        <v>124</v>
      </c>
      <c r="EM2" s="141" t="s">
        <v>118</v>
      </c>
      <c r="EN2" s="141" t="s">
        <v>125</v>
      </c>
      <c r="EO2" s="141" t="s">
        <v>126</v>
      </c>
      <c r="EP2" s="141" t="s">
        <v>127</v>
      </c>
      <c r="EQ2" s="142" t="s">
        <v>128</v>
      </c>
      <c r="ER2" s="143" t="s">
        <v>129</v>
      </c>
      <c r="ES2" s="142" t="s">
        <v>56</v>
      </c>
      <c r="ET2" s="142" t="s">
        <v>57</v>
      </c>
      <c r="EU2" s="143" t="s">
        <v>135</v>
      </c>
      <c r="EV2" s="143" t="s">
        <v>131</v>
      </c>
      <c r="EW2" s="143" t="s">
        <v>132</v>
      </c>
      <c r="EX2" s="143" t="s">
        <v>133</v>
      </c>
      <c r="EY2" s="144" t="s">
        <v>134</v>
      </c>
      <c r="EZ2" s="139" t="s">
        <v>116</v>
      </c>
      <c r="FA2" s="140" t="s">
        <v>117</v>
      </c>
      <c r="FB2" s="141" t="s">
        <v>120</v>
      </c>
      <c r="FC2" s="141" t="s">
        <v>121</v>
      </c>
      <c r="FD2" s="141" t="s">
        <v>121</v>
      </c>
      <c r="FE2" s="141" t="s">
        <v>122</v>
      </c>
      <c r="FF2" s="141" t="s">
        <v>123</v>
      </c>
      <c r="FG2" s="141" t="s">
        <v>124</v>
      </c>
      <c r="FH2" s="141" t="s">
        <v>118</v>
      </c>
      <c r="FI2" s="141" t="s">
        <v>125</v>
      </c>
      <c r="FJ2" s="141" t="s">
        <v>126</v>
      </c>
      <c r="FK2" s="141" t="s">
        <v>127</v>
      </c>
      <c r="FL2" s="142" t="s">
        <v>128</v>
      </c>
      <c r="FM2" s="143" t="s">
        <v>129</v>
      </c>
      <c r="FN2" s="142" t="s">
        <v>56</v>
      </c>
      <c r="FO2" s="142" t="s">
        <v>57</v>
      </c>
      <c r="FP2" s="143" t="s">
        <v>136</v>
      </c>
      <c r="FQ2" s="143" t="s">
        <v>131</v>
      </c>
      <c r="FR2" s="143" t="s">
        <v>132</v>
      </c>
      <c r="FS2" s="143" t="s">
        <v>133</v>
      </c>
      <c r="FT2" s="144" t="s">
        <v>134</v>
      </c>
      <c r="FU2" s="139" t="s">
        <v>116</v>
      </c>
      <c r="FV2" s="140" t="s">
        <v>117</v>
      </c>
      <c r="FW2" s="141" t="s">
        <v>120</v>
      </c>
      <c r="FX2" s="141" t="s">
        <v>121</v>
      </c>
      <c r="FY2" s="141" t="s">
        <v>121</v>
      </c>
      <c r="FZ2" s="141" t="s">
        <v>122</v>
      </c>
      <c r="GA2" s="141" t="s">
        <v>123</v>
      </c>
      <c r="GB2" s="141" t="s">
        <v>124</v>
      </c>
      <c r="GC2" s="141" t="s">
        <v>118</v>
      </c>
      <c r="GD2" s="141" t="s">
        <v>125</v>
      </c>
      <c r="GE2" s="141" t="s">
        <v>126</v>
      </c>
      <c r="GF2" s="141" t="s">
        <v>127</v>
      </c>
      <c r="GG2" s="142" t="s">
        <v>128</v>
      </c>
      <c r="GH2" s="143" t="s">
        <v>129</v>
      </c>
      <c r="GI2" s="142" t="s">
        <v>56</v>
      </c>
      <c r="GJ2" s="142" t="s">
        <v>57</v>
      </c>
      <c r="GK2" s="143" t="s">
        <v>135</v>
      </c>
      <c r="GL2" s="143" t="s">
        <v>131</v>
      </c>
      <c r="GM2" s="143" t="s">
        <v>132</v>
      </c>
      <c r="GN2" s="143" t="s">
        <v>133</v>
      </c>
      <c r="GO2" s="143" t="s">
        <v>134</v>
      </c>
      <c r="GP2" s="139" t="s">
        <v>116</v>
      </c>
      <c r="GQ2" s="140" t="s">
        <v>117</v>
      </c>
      <c r="GR2" s="141" t="s">
        <v>120</v>
      </c>
      <c r="GS2" s="141" t="s">
        <v>121</v>
      </c>
      <c r="GT2" s="141" t="s">
        <v>121</v>
      </c>
      <c r="GU2" s="141" t="s">
        <v>122</v>
      </c>
      <c r="GV2" s="141" t="s">
        <v>123</v>
      </c>
      <c r="GW2" s="141" t="s">
        <v>124</v>
      </c>
      <c r="GX2" s="141" t="s">
        <v>118</v>
      </c>
      <c r="GY2" s="141" t="s">
        <v>125</v>
      </c>
      <c r="GZ2" s="141" t="s">
        <v>126</v>
      </c>
      <c r="HA2" s="141" t="s">
        <v>127</v>
      </c>
      <c r="HB2" s="142" t="s">
        <v>128</v>
      </c>
      <c r="HC2" s="143" t="s">
        <v>129</v>
      </c>
      <c r="HD2" s="142" t="s">
        <v>56</v>
      </c>
      <c r="HE2" s="142" t="s">
        <v>57</v>
      </c>
      <c r="HF2" s="143" t="s">
        <v>135</v>
      </c>
      <c r="HG2" s="143" t="s">
        <v>131</v>
      </c>
      <c r="HH2" s="143" t="s">
        <v>132</v>
      </c>
      <c r="HI2" s="143" t="s">
        <v>133</v>
      </c>
      <c r="HJ2" s="144" t="s">
        <v>134</v>
      </c>
    </row>
    <row r="3">
      <c r="A3" s="145">
        <v>0.0</v>
      </c>
      <c r="B3" s="146">
        <f>'Scénario référence'!$B$16*5+'Scénario référence'!$B$17*0+'Scénario référence'!$B$18*5</f>
        <v>0</v>
      </c>
      <c r="C3" s="147">
        <v>0.0</v>
      </c>
      <c r="D3" s="147">
        <v>0.0</v>
      </c>
      <c r="E3" s="147">
        <f>'Scénario référence'!$B$16*45+('Scénario référence'!$B$17+'Scénario référence'!$F$8+'Scénario référence'!$F$9+'Scénario référence'!$B$10+'Scénario référence'!$B$9)*70+'Scénario référence'!$B$18*32</f>
        <v>70</v>
      </c>
      <c r="F3" s="147">
        <f>IF(OR('Scénario référence'!$F$8&gt;0,'Scénario référence'!$F$9&gt;0),('Scénario référence'!$F$8+'Scénario référence'!$F$9)*10,0)</f>
        <v>0</v>
      </c>
      <c r="G3" s="147">
        <f>'Scénario référence'!$B$8*B3*44/12+'Scénario référence'!$B$9*(C3+D3)/0.475*44/12+'Scénario référence'!$B$10*(C3+D3)/0.475*44/12+'Scénario référence'!$F$8*(C3+D3)/0.475*44/12+'Scénario référence'!$F$9*(C3+D3)/0.475*44/12</f>
        <v>0</v>
      </c>
      <c r="H3" s="148">
        <f t="shared" ref="H3:H203" si="1">(B3+E3+F3)*44/12+(C3+D3)*0.475*44/12</f>
        <v>256.6666667</v>
      </c>
      <c r="I3" s="149">
        <f>('Scénario référence'!$F$8+'Scénario référence'!$F$9+'Scénario référence'!$B$17+'Scénario référence'!$B$9+'Scénario référence'!$B$10)*70+IF((45+25*(1-EXP(-0.0175*A3)))&lt;70,'Scénario référence'!$B$16*(45+25*(1-EXP(-0.0175*A3))),70*'Scénario référence'!$B$16)+IF((32+38*(1-EXP(-0.0175*A3)))&lt;70,'Scénario référence'!$B$18*(32+38*(1-EXP(-0.0175*A3))),70*'Scénario référence'!$B$18)</f>
        <v>70</v>
      </c>
      <c r="J3" s="150">
        <f>IF(A3&gt;30,10,('Scénario référence'!$B$16+'Scénario référence'!$B$17+'Scénario référence'!$B$18+'Scénario référence'!$B$9+'Scénario référence'!$B$10)*A3*10/30+('Scénario référence'!$F$8+'Scénario référence'!$F$9)*10)</f>
        <v>0</v>
      </c>
      <c r="K3" s="151">
        <v>0.0</v>
      </c>
      <c r="L3" s="151" t="str">
        <f>VLOOKUP(A3,'Données projet'!$A$35:$I$55,9,0)</f>
        <v>#N/A</v>
      </c>
      <c r="M3" s="151">
        <v>0.0</v>
      </c>
      <c r="N3" s="150">
        <v>0.0</v>
      </c>
      <c r="O3" s="151">
        <f>N3*VLOOKUP('Données projet'!$B$9,'Paramètres'!$A$1:$I$88,3,0)*VLOOKUP('Données projet'!$B$9,'Paramètres'!$A$1:$I$88,5,0)</f>
        <v>0</v>
      </c>
      <c r="P3" s="151">
        <v>0.0</v>
      </c>
      <c r="Q3" s="152">
        <f t="shared" ref="Q3:Q203" si="2">(O3+P3)*0.475*44/12</f>
        <v>0</v>
      </c>
      <c r="R3" s="153">
        <f t="shared" ref="R3:R203" si="3">Q3+(I3+J3)*44/12</f>
        <v>256.6666667</v>
      </c>
      <c r="S3" s="153">
        <f>AVERAGE(OFFSET($R$3,0,0,'Données projet'!$E$9+1,1))-AVERAGE(OFFSET($H$3,0,0,'Données projet'!$E$9+1,1))</f>
        <v>439.1985427</v>
      </c>
      <c r="T3" s="153">
        <f>IF('Données projet'!E9&gt;30,$R$33-$H$33,LOOKUP('Données projet'!$E$9,$A$3:$A$203,R3:R203)-LOOKUP('Données projet'!$E$9,$A$3:$A$203,$H$3:$H$203))</f>
        <v>278.2174123</v>
      </c>
      <c r="U3" s="154">
        <f>IF(ISNA(VLOOKUP(A3,'Données projet'!$A$35:$I$55,3,0)),0,VLOOKUP(A3,'Données projet'!$A$35:$I$55,3,0))</f>
        <v>0</v>
      </c>
      <c r="V3" s="154">
        <f>IF(ISNA(VLOOKUP(A3,'Données projet'!$A$35:$I$55,4,0)),0,VLOOKUP(A3,'Données projet'!$A$35:$I$55,4,0))</f>
        <v>0</v>
      </c>
      <c r="W3" s="155">
        <f>IF(ISNA(VLOOKUP(A3,'Données projet'!$A$35:$I$55,5,0)),0%,VLOOKUP(A3,'Données projet'!$A$35:$I$55,5,0)*VLOOKUP('Données projet'!$B$9,'Paramètres'!$A$1:$I$88,7,0))</f>
        <v>0</v>
      </c>
      <c r="X3" s="155">
        <f>IF(ISNA(VLOOKUP(A3,'Données projet'!$A$35:$I$55,6,0)),0%,VLOOKUP(A3,'Données projet'!$A$35:$I$55,6,0)*VLOOKUP('Données projet'!$B$9,'Paramètres'!$A$1:$I$88,7,0))</f>
        <v>0</v>
      </c>
      <c r="Y3" s="155">
        <f>IF(ISNA(VLOOKUP(A3,'Données projet'!$A$35:$I$55,7,0)),0%,VLOOKUP(A3,'Données projet'!$A$35:$I$55,7,0))</f>
        <v>0</v>
      </c>
      <c r="Z3" s="154">
        <v>0.0</v>
      </c>
      <c r="AA3" s="154">
        <v>0.0</v>
      </c>
      <c r="AB3" s="154">
        <v>0.0</v>
      </c>
      <c r="AC3" s="156">
        <f t="shared" ref="AC3:AC203" si="4">SUM(Z3:AB3)</f>
        <v>0</v>
      </c>
      <c r="AD3" s="150">
        <f>('Scénario référence'!$F$8+'Scénario référence'!$F$9+'Scénario référence'!$B$17+'Scénario référence'!$B$9+'Scénario référence'!$B$10)*70+IF((45+25*(1-EXP(-0.0175*A3)))&lt;70,'Scénario référence'!$B$16*(45+25*(1-EXP(-0.0175*A3))),70*'Scénario référence'!$B$16)+IF((32+38*(1-EXP(-0.0175*A3)))&lt;70,'Scénario référence'!$B$18*(32+38*(1-EXP(-0.0175*A3))),70*'Scénario référence'!$B$18)</f>
        <v>70</v>
      </c>
      <c r="AE3" s="150">
        <f>IF(A3&gt;30,10,('Scénario référence'!$B$16+'Scénario référence'!$B$17+'Scénario référence'!$B$18+'Scénario référence'!$B$9+'Scénario référence'!$B$10)*A3*10/30+('Scénario référence'!$F$8+'Scénario référence'!$F$9)*10)</f>
        <v>0</v>
      </c>
      <c r="AF3" s="151">
        <v>0.0</v>
      </c>
      <c r="AG3" s="151" t="str">
        <f>VLOOKUP(A3,'Données projet'!$A$61:$I$81,9,0)</f>
        <v>#N/A</v>
      </c>
      <c r="AH3" s="151">
        <v>0.0</v>
      </c>
      <c r="AI3" s="150">
        <v>0.0</v>
      </c>
      <c r="AJ3" s="150">
        <f>AI3*VLOOKUP('Données projet'!$B$10,'Paramètres'!$A$1:$I$88,3,0)*VLOOKUP('Données projet'!$B$10,'Paramètres'!$A$1:$I$88,5,0)</f>
        <v>0</v>
      </c>
      <c r="AK3" s="151">
        <v>0.0</v>
      </c>
      <c r="AL3" s="152">
        <f t="shared" ref="AL3:AL203" si="5">(AJ3+AK3)*0.475*44/12</f>
        <v>0</v>
      </c>
      <c r="AM3" s="153">
        <f t="shared" ref="AM3:AM203" si="6">AL3+(AD3+AE3)*44/12</f>
        <v>256.6666667</v>
      </c>
      <c r="AN3" s="153">
        <f>AVERAGE(OFFSET($AM$3,0,0,'Données projet'!$E$10+1,1))-AVERAGE(OFFSET($H$3,0,0,'Données projet'!$E$10+1,1))</f>
        <v>405.6113614</v>
      </c>
      <c r="AO3" s="153">
        <f>IF('Données projet'!E10&gt;30,$AM$33-$H$33,LOOKUP('Données projet'!$E$10,$A$3:$A$203,AM3:AM203)-LOOKUP('Données projet'!$E$10,$A$3:$A$203,$H$3:$H$203))</f>
        <v>393.0787141</v>
      </c>
      <c r="AP3" s="154">
        <f>IF(ISNA(VLOOKUP(A3,'Données projet'!$A$61:$I$81,3,0)),0,VLOOKUP(A3,'Données projet'!$A$61:$I$81,3,0))</f>
        <v>0</v>
      </c>
      <c r="AQ3" s="154">
        <f>IF(ISNA(VLOOKUP(A3,'Données projet'!$A$61:$I$81,4,0)),0,VLOOKUP(A3,'Données projet'!$A$61:$I$81,4,0))</f>
        <v>0</v>
      </c>
      <c r="AR3" s="155">
        <f>IF(ISNA(VLOOKUP(A3,'Données projet'!$A$61:$I$81,5,0)),0%,VLOOKUP(A3,'Données projet'!$A$61:$I$81,5,0)*VLOOKUP('Données projet'!$B$10,'Paramètres'!$A$1:$I$88,7,0))</f>
        <v>0</v>
      </c>
      <c r="AS3" s="155">
        <f>IF(ISNA(VLOOKUP(A3,'Données projet'!$A$61:$I$81,6,0)),0%,VLOOKUP(A3,'Données projet'!$A$61:$I$81,6,0)*VLOOKUP('Données projet'!$B$10,'Paramètres'!$A$1:$I$88,7,0))</f>
        <v>0</v>
      </c>
      <c r="AT3" s="155">
        <f>IF(ISNA(VLOOKUP(A3,'Données projet'!$A$61:$I$81,7,0)),0%,VLOOKUP(A3,'Données projet'!$A$61:$I$81,7,0))</f>
        <v>0</v>
      </c>
      <c r="AU3" s="154">
        <v>0.0</v>
      </c>
      <c r="AV3" s="154">
        <v>0.0</v>
      </c>
      <c r="AW3" s="154">
        <v>0.0</v>
      </c>
      <c r="AX3" s="154">
        <f t="shared" ref="AX3:AX203" si="7">SUM(AU3:AW3)</f>
        <v>0</v>
      </c>
      <c r="AY3" s="157">
        <f>('Scénario référence'!$F$8+'Scénario référence'!$F$9+'Scénario référence'!$B$17+'Scénario référence'!$B$9+'Scénario référence'!$B$10)*70+IF((45+25*(1-EXP(-0.0175*A3)))&lt;70,'Scénario référence'!$B$16*(45+25*(1-EXP(-0.0175*A3))),70*'Scénario référence'!$B$16)+IF((32+38*(1-EXP(-0.0175*A3)))&lt;70,'Scénario référence'!$B$18*(32+38*(1-EXP(-0.0175*A3))),70*'Scénario référence'!$B$18)</f>
        <v>70</v>
      </c>
      <c r="AZ3" s="151">
        <f>IF(A3&gt;30,10,('Scénario référence'!$B$16+'Scénario référence'!$B$17+'Scénario référence'!$B$18+'Scénario référence'!$B$9+'Scénario référence'!$B$10)*A3*10/30+('Scénario référence'!$F$8+'Scénario référence'!$F$9)*10)</f>
        <v>0</v>
      </c>
      <c r="BA3" s="151">
        <v>0.0</v>
      </c>
      <c r="BB3" s="151" t="str">
        <f>VLOOKUP(A3,'Données projet'!$A$87:$I$107,9,0)</f>
        <v>#N/A</v>
      </c>
      <c r="BC3" s="151">
        <v>0.0</v>
      </c>
      <c r="BD3" s="151">
        <v>0.0</v>
      </c>
      <c r="BE3" s="158">
        <f>BD3*VLOOKUP('Données projet'!$B$11,'Paramètres'!$A$1:$I$88,3,0)*VLOOKUP('Données projet'!$B$11,'Paramètres'!$A$1:$I$88,5,0)</f>
        <v>0</v>
      </c>
      <c r="BF3" s="151">
        <v>0.0</v>
      </c>
      <c r="BG3" s="152">
        <f t="shared" ref="BG3:BG203" si="8">(BE3+BF3)*0.475*44/12</f>
        <v>0</v>
      </c>
      <c r="BH3" s="153">
        <f t="shared" ref="BH3:BH203" si="9">BG3+(AY3+AZ3)*44/12</f>
        <v>256.6666667</v>
      </c>
      <c r="BI3" s="153">
        <f>AVERAGE(OFFSET($BH$3,0,0,'Données projet'!$E$11+1,1))-AVERAGE(OFFSET($H$3,0,0,'Données projet'!$E$11+1,1))</f>
        <v>0</v>
      </c>
      <c r="BJ3" s="153">
        <f>IF('Données projet'!E11&gt;30,$BH$33-$H$33,LOOKUP('Données projet'!$E$11,$A$3:$A$203,BH3:BH203)-LOOKUP('Données projet'!$E$11,$A$3:$A$203,$H$3:$H$203))</f>
        <v>0</v>
      </c>
      <c r="BK3" s="154">
        <f>IF(ISNA(VLOOKUP(A3,'Données projet'!$A$87:$I$107,3,0)),0,VLOOKUP(A3,'Données projet'!$A$87:$I$107,3,0))</f>
        <v>0</v>
      </c>
      <c r="BL3" s="154">
        <f>IF(ISNA(VLOOKUP(A3,'Données projet'!$A$87:$I$107,4,0)),0,VLOOKUP(A3,'Données projet'!$A$87:$I$107,4,0))</f>
        <v>0</v>
      </c>
      <c r="BM3" s="155">
        <f>IF(ISNA(VLOOKUP(A3,'Données projet'!$A$87:$I$107,5,0)),0%,VLOOKUP(A3,'Données projet'!$A$87:$I$107,5,0)*VLOOKUP('Données projet'!$B$11,'Paramètres'!$A$1:$I$88,7,0))</f>
        <v>0</v>
      </c>
      <c r="BN3" s="155">
        <f>IF(ISNA(VLOOKUP(A3,'Données projet'!$A$87:$I$107,6,0)),0%,VLOOKUP(A3,'Données projet'!$A$87:$I$107,6,0)*VLOOKUP('Données projet'!$B$11,'Paramètres'!$A$1:$I$88,7,0))</f>
        <v>0</v>
      </c>
      <c r="BO3" s="155">
        <f>IF(ISNA(VLOOKUP(A3,'Données projet'!$A$87:$I$107,7,0)),0%,VLOOKUP(A3,'Données projet'!$A$87:$I$107,7,0))</f>
        <v>0</v>
      </c>
      <c r="BP3" s="154">
        <v>0.0</v>
      </c>
      <c r="BQ3" s="154">
        <v>0.0</v>
      </c>
      <c r="BR3" s="154">
        <v>0.0</v>
      </c>
      <c r="BS3" s="156">
        <f t="shared" ref="BS3:BS203" si="10">SUM(BP3:BR3)</f>
        <v>0</v>
      </c>
      <c r="BT3" s="159">
        <f>('Scénario référence'!$F$8+'Scénario référence'!$F$9+'Scénario référence'!$B$17+'Scénario référence'!$B$9+'Scénario référence'!$B$10)*70+IF((45+25*(1-EXP(-0.0175*A3)))&lt;70,'Scénario référence'!$B$16*(45+25*(1-EXP(-0.0175*A3))),70*'Scénario référence'!$B$16)+IF((32+38*(1-EXP(-0.0175*A3)))&lt;70,'Scénario référence'!$B$18*(32+38*(1-EXP(-0.0175*A3))),70*'Scénario référence'!$B$18)</f>
        <v>70</v>
      </c>
      <c r="BU3" s="151">
        <f>IF(A3&gt;30,10,('Scénario référence'!$B$16+'Scénario référence'!$B$17+'Scénario référence'!$B$18+'Scénario référence'!$B$9+'Scénario référence'!$B$10)*A3*10/30+('Scénario référence'!$F$8+'Scénario référence'!$F$9)*10)</f>
        <v>0</v>
      </c>
      <c r="BV3" s="151">
        <v>0.0</v>
      </c>
      <c r="BW3" s="151" t="str">
        <f>VLOOKUP(A3,'Données projet'!$A$113:$I$133,9,0)</f>
        <v>#N/A</v>
      </c>
      <c r="BX3" s="151">
        <v>0.0</v>
      </c>
      <c r="BY3" s="151">
        <v>0.0</v>
      </c>
      <c r="BZ3" s="158" t="str">
        <f>BY3*VLOOKUP('Données projet'!$B$12,'Paramètres'!$A$1:$I$88,3,0)*VLOOKUP('Données projet'!$B$12,'Paramètres'!$A$1:$I$88,5,0)</f>
        <v>#N/A</v>
      </c>
      <c r="CA3" s="151">
        <v>0.0</v>
      </c>
      <c r="CB3" s="152" t="str">
        <f t="shared" ref="CB3:CB203" si="11">(BZ3+CA3)*0.475*44/12</f>
        <v>#N/A</v>
      </c>
      <c r="CC3" s="153" t="str">
        <f t="shared" ref="CC3:CC203" si="12">CB3+(BT3+BU3)*44/12</f>
        <v>#N/A</v>
      </c>
      <c r="CD3" s="153" t="str">
        <f>AVERAGE(OFFSET($CC$3,0,0,'Données projet'!$E$12+1,1))-AVERAGE(OFFSET($H$3,0,0,'Données projet'!$E$12+1,1))</f>
        <v>#N/A</v>
      </c>
      <c r="CE3" s="153" t="str">
        <f>IF('Données projet'!E12&gt;30,$CC$33-$H$33,LOOKUP('Données projet'!$E$12,$A$3:$A$203,CC3:CC203)-LOOKUP('Données projet'!$E$12,$A$3:$A$203,$H$3:$H$203))</f>
        <v>#N/A</v>
      </c>
      <c r="CF3" s="154">
        <f>IF(ISNA(VLOOKUP(A3,'Données projet'!$A$113:$I$133,3,0)),0,VLOOKUP(A3,'Données projet'!$A$113:$I$133,3,0))</f>
        <v>0</v>
      </c>
      <c r="CG3" s="154">
        <f>IF(ISNA(VLOOKUP(A3,'Données projet'!$A$113:$I$133,4,0)),0,VLOOKUP(A3,'Données projet'!$A$113:$I$133,4,0))</f>
        <v>0</v>
      </c>
      <c r="CH3" s="155">
        <f>IF(ISNA(VLOOKUP(A3,'Données projet'!$A$113:$I$133,5,0)),0%,VLOOKUP(A3,'Données projet'!$A$113:$I$133,5,0)*VLOOKUP('Données projet'!$B$12,'Paramètres'!$A$1:$I$88,7,0))</f>
        <v>0</v>
      </c>
      <c r="CI3" s="155">
        <f>IF(ISNA(VLOOKUP(A3,'Données projet'!$A$113:$I$133,6,0)),0%,VLOOKUP(A3,'Données projet'!$A$113:$I$133,6,0)*VLOOKUP('Données projet'!$B$12,'Paramètres'!$A$1:$I$88,7,0))</f>
        <v>0</v>
      </c>
      <c r="CJ3" s="155">
        <f>IF(ISNA(VLOOKUP(A3,'Données projet'!$A$113:$I$133,7,0)),0%,VLOOKUP(A3,'Données projet'!$A$113:$I$133,7,0))</f>
        <v>0</v>
      </c>
      <c r="CK3" s="154">
        <v>0.0</v>
      </c>
      <c r="CL3" s="154">
        <v>0.0</v>
      </c>
      <c r="CM3" s="154">
        <v>0.0</v>
      </c>
      <c r="CN3" s="156">
        <f t="shared" ref="CN3:CN203" si="13">SUM(CK3:CM3)</f>
        <v>0</v>
      </c>
      <c r="CO3" s="159">
        <f>('Scénario référence'!$F$8+'Scénario référence'!$F$9+'Scénario référence'!$B$17+'Scénario référence'!$B$9+'Scénario référence'!$B$10)*70+IF((45+25*(1-EXP(-0.0175*A3)))&lt;70,'Scénario référence'!$B$16*(45+25*(1-EXP(-0.0175*A3))),70*'Scénario référence'!$B$16)+IF((32+38*(1-EXP(-0.0175*A3)))&lt;70,'Scénario référence'!$B$18*(32+38*(1-EXP(-0.0175*A3))),70*'Scénario référence'!$B$18)</f>
        <v>70</v>
      </c>
      <c r="CP3" s="151">
        <f>IF(A3&gt;30,10,('Scénario référence'!$B$16+'Scénario référence'!$B$17+'Scénario référence'!$B$18+'Scénario référence'!$B$9+'Scénario référence'!$B$10)*A3*10/30+('Scénario référence'!$F$8+'Scénario référence'!$F$9)*10)</f>
        <v>0</v>
      </c>
      <c r="CQ3" s="151">
        <v>0.0</v>
      </c>
      <c r="CR3" s="151" t="str">
        <f>VLOOKUP(A3,'Données projet'!$A$139:$I$159,9,0)</f>
        <v>#N/A</v>
      </c>
      <c r="CS3" s="151">
        <v>0.0</v>
      </c>
      <c r="CT3" s="151">
        <v>0.0</v>
      </c>
      <c r="CU3" s="158" t="str">
        <f>CT3*VLOOKUP('Données projet'!$B$13,'Paramètres'!$A$1:$I$88,3,0)*VLOOKUP('Données projet'!$B$13,'Paramètres'!$A$1:$I$88,5,0)</f>
        <v>#N/A</v>
      </c>
      <c r="CV3" s="151">
        <v>0.0</v>
      </c>
      <c r="CW3" s="152" t="str">
        <f t="shared" ref="CW3:CW203" si="14">(CU3+CV3)*0.475*44/12</f>
        <v>#N/A</v>
      </c>
      <c r="CX3" s="153" t="str">
        <f t="shared" ref="CX3:CX203" si="15">CW3+(CO3+CP3)*44/12</f>
        <v>#N/A</v>
      </c>
      <c r="CY3" s="153" t="str">
        <f>AVERAGE(OFFSET($CX$3,0,0,'Données projet'!$E$13+1,1))-AVERAGE(OFFSET($H$3,0,0,'Données projet'!$E$13+1,1))</f>
        <v>#N/A</v>
      </c>
      <c r="CZ3" s="153" t="str">
        <f>IF('Données projet'!E13&gt;30,$CX$33-$H$33,LOOKUP('Données projet'!$E$13,$A$3:$A$203,CX3:CX203)-LOOKUP('Données projet'!$E$13,$A$3:$A$203,$H$3:$H$203))</f>
        <v>#N/A</v>
      </c>
      <c r="DA3" s="154">
        <f>IF(ISNA(VLOOKUP(A3,'Données projet'!$A$139:$I$159,3,0)),0,VLOOKUP(A3,'Données projet'!$A$139:$I$159,3,0))</f>
        <v>0</v>
      </c>
      <c r="DB3" s="154">
        <f>IF(ISNA(VLOOKUP(A3,'Données projet'!$A$139:$I$159,4,0)),0,VLOOKUP(A3,'Données projet'!$A$139:$I$159,4,0))</f>
        <v>0</v>
      </c>
      <c r="DC3" s="155">
        <f>IF(ISNA(VLOOKUP(A3,'Données projet'!$A$139:$I$159,5,0)),0%,VLOOKUP(A3,'Données projet'!$A$139:$I$159,5,0)*VLOOKUP('Données projet'!$B$13,'Paramètres'!$A$1:$I$88,7,0))</f>
        <v>0</v>
      </c>
      <c r="DD3" s="155">
        <f>IF(ISNA(VLOOKUP(A3,'Données projet'!$A$139:$I$159,6,0)),0%,VLOOKUP(A3,'Données projet'!$A$139:$I$159,6,0)*VLOOKUP('Données projet'!$B$13,'Paramètres'!$A$1:$I$88,7,0))</f>
        <v>0</v>
      </c>
      <c r="DE3" s="155">
        <f>IF(ISNA(VLOOKUP(A3,'Données projet'!$A$139:$I$159,7,0)),0%,VLOOKUP(A3,'Données projet'!$A$139:$I$159,7,0))</f>
        <v>0</v>
      </c>
      <c r="DF3" s="154">
        <v>0.0</v>
      </c>
      <c r="DG3" s="154">
        <v>0.0</v>
      </c>
      <c r="DH3" s="154">
        <v>0.0</v>
      </c>
      <c r="DI3" s="156">
        <f t="shared" ref="DI3:DI203" si="16">SUM(DF3:DH3)</f>
        <v>0</v>
      </c>
      <c r="DJ3" s="159">
        <f>('Scénario référence'!$F$8+'Scénario référence'!$F$9+'Scénario référence'!$B$17+'Scénario référence'!$B$9+'Scénario référence'!$B$10)*70+IF((45+25*(1-EXP(-0.0175*A3)))&lt;70,'Scénario référence'!$B$16*(45+25*(1-EXP(-0.0175*A3))),70*'Scénario référence'!$B$16)+IF((32+38*(1-EXP(-0.0175*A3)))&lt;70,'Scénario référence'!$B$18*(32+38*(1-EXP(-0.0175*A3))),70*'Scénario référence'!$B$18)</f>
        <v>70</v>
      </c>
      <c r="DK3" s="151">
        <f>IF(A3&gt;30,10,('Scénario référence'!$B$16+'Scénario référence'!$B$17+'Scénario référence'!$B$18+'Scénario référence'!$B$9+'Scénario référence'!$B$10)*A3*10/30+('Scénario référence'!$F$8+'Scénario référence'!$F$9)*10)</f>
        <v>0</v>
      </c>
      <c r="DL3" s="151">
        <v>0.0</v>
      </c>
      <c r="DM3" s="151" t="str">
        <f>VLOOKUP(A3,'Données projet'!$A$165:$I$185,9,0)</f>
        <v>#N/A</v>
      </c>
      <c r="DN3" s="151">
        <v>0.0</v>
      </c>
      <c r="DO3" s="151">
        <v>0.0</v>
      </c>
      <c r="DP3" s="158" t="str">
        <f>DO3*VLOOKUP('Données projet'!$B$14,'Paramètres'!$A$1:$I$88,3,0)*VLOOKUP('Données projet'!$B$14,'Paramètres'!$A$1:$I$88,5,0)</f>
        <v>#N/A</v>
      </c>
      <c r="DQ3" s="151">
        <v>0.0</v>
      </c>
      <c r="DR3" s="152" t="str">
        <f t="shared" ref="DR3:DR203" si="17">(DP3+DQ3)*0.475*44/12</f>
        <v>#N/A</v>
      </c>
      <c r="DS3" s="153" t="str">
        <f t="shared" ref="DS3:DS203" si="18">DR3+(DJ3+DK3)*44/12</f>
        <v>#N/A</v>
      </c>
      <c r="DT3" s="153" t="str">
        <f>AVERAGE(OFFSET($DS$3,0,0,'Données projet'!$E$14+1,1))-AVERAGE(OFFSET($H$3,0,0,'Données projet'!$E$14+1,1))</f>
        <v>#N/A</v>
      </c>
      <c r="DU3" s="153" t="str">
        <f>IF('Données projet'!E14&gt;30,$DS$33-$H$33,LOOKUP('Données projet'!$E$14,$A$3:$A$203,DS3:DS203)-LOOKUP('Données projet'!$E$14,$A$3:$A$203,$H$3:$H$203))</f>
        <v>#N/A</v>
      </c>
      <c r="DV3" s="154">
        <f>IF(ISNA(VLOOKUP(A3,'Données projet'!$A$165:$I$185,3,0)),0,VLOOKUP(A3,'Données projet'!$A$165:$I$185,3,0))</f>
        <v>0</v>
      </c>
      <c r="DW3" s="154">
        <f>IF(ISNA(VLOOKUP(A3,'Données projet'!$A$165:$I$185,4,0)),0,VLOOKUP(A3,'Données projet'!$A$165:$I$185,4,0))</f>
        <v>0</v>
      </c>
      <c r="DX3" s="155">
        <f>IF(ISNA(VLOOKUP(A3,'Données projet'!$A$165:$I$185,5,0)),0%,VLOOKUP(A3,'Données projet'!$A$165:$I$185,5,0)*VLOOKUP('Données projet'!$B$14,'Paramètres'!$A$1:$I$88,7,0))</f>
        <v>0</v>
      </c>
      <c r="DY3" s="155">
        <f>IF(ISNA(VLOOKUP(A3,'Données projet'!$A$165:$I$185,6,0)),0%,VLOOKUP(A3,'Données projet'!$A$165:$I$185,6,0)*VLOOKUP('Données projet'!$B$14,'Paramètres'!$A$1:$I$88,7,0))</f>
        <v>0</v>
      </c>
      <c r="DZ3" s="155">
        <f>IF(ISNA(VLOOKUP(A3,'Données projet'!$A$165:$I$185,7,0)),0%,VLOOKUP(A3,'Données projet'!$A$165:$I$185,7,0))</f>
        <v>0</v>
      </c>
      <c r="EA3" s="154">
        <v>0.0</v>
      </c>
      <c r="EB3" s="154">
        <v>0.0</v>
      </c>
      <c r="EC3" s="154">
        <v>0.0</v>
      </c>
      <c r="ED3" s="156">
        <f t="shared" ref="ED3:ED203" si="19">SUM(EA3:EC3)</f>
        <v>0</v>
      </c>
      <c r="EE3" s="159">
        <f>('Scénario référence'!$F$8+'Scénario référence'!$F$9+'Scénario référence'!$B$17+'Scénario référence'!$B$9+'Scénario référence'!$B$10)*70+IF((45+25*(1-EXP(-0.0175*A3)))&lt;70,'Scénario référence'!$B$16*(45+25*(1-EXP(-0.0175*A3))),70*'Scénario référence'!$B$16)+IF((32+38*(1-EXP(-0.0175*A3)))&lt;70,'Scénario référence'!$B$18*(32+38*(1-EXP(-0.0175*A3))),70*'Scénario référence'!$B$18)</f>
        <v>70</v>
      </c>
      <c r="EF3" s="151">
        <f>IF(A3&gt;30,10,('Scénario référence'!$B$16+'Scénario référence'!$B$17+'Scénario référence'!$B$18+'Scénario référence'!$B$9+'Scénario référence'!$B$10)*A3*10/30+('Scénario référence'!$F$8+'Scénario référence'!$F$9)*10)</f>
        <v>0</v>
      </c>
      <c r="EG3" s="151">
        <v>0.0</v>
      </c>
      <c r="EH3" s="151" t="str">
        <f>VLOOKUP(A3,'Données projet'!$A$191:$I$211,9,0)</f>
        <v>#N/A</v>
      </c>
      <c r="EI3" s="151">
        <v>0.0</v>
      </c>
      <c r="EJ3" s="151">
        <v>0.0</v>
      </c>
      <c r="EK3" s="158" t="str">
        <f>EJ3*VLOOKUP('Données projet'!$B$15,'Paramètres'!$A$1:$I$88,3,0)*VLOOKUP('Données projet'!$B$15,'Paramètres'!$A$1:$I$88,5,0)</f>
        <v>#N/A</v>
      </c>
      <c r="EL3" s="151">
        <v>0.0</v>
      </c>
      <c r="EM3" s="152" t="str">
        <f t="shared" ref="EM3:EM203" si="20">(EK3+EL3)*0.475*44/12</f>
        <v>#N/A</v>
      </c>
      <c r="EN3" s="153" t="str">
        <f t="shared" ref="EN3:EN203" si="21">EM3+(EE3+EF3)*44/12</f>
        <v>#N/A</v>
      </c>
      <c r="EO3" s="153" t="str">
        <f>AVERAGE(OFFSET($EN$3,0,0,'Données projet'!$E$15+1,1))-AVERAGE(OFFSET($H$3,0,0,'Données projet'!$E$15+1,1))</f>
        <v>#N/A</v>
      </c>
      <c r="EP3" s="153" t="str">
        <f>IF('Données projet'!E15&gt;30,$EN$33-$H$33,LOOKUP('Données projet'!$E$15,$A$3:$A$203,EN3:EN203)-LOOKUP('Données projet'!$E$15,$A$3:$A$203,$H$3:$H$203))</f>
        <v>#N/A</v>
      </c>
      <c r="EQ3" s="154">
        <f>IF(ISNA(VLOOKUP(A3,'Données projet'!$A$191:$I$211,3,0)),0,VLOOKUP(A3,'Données projet'!$A$191:$I$211,3,0))</f>
        <v>0</v>
      </c>
      <c r="ER3" s="154">
        <f>IF(ISNA(VLOOKUP(A3,'Données projet'!$A$191:$I$211,4,0)),0,VLOOKUP(A3,'Données projet'!$A$191:$I$211,4,0))</f>
        <v>0</v>
      </c>
      <c r="ES3" s="155">
        <f>IF(ISNA(VLOOKUP(A3,'Données projet'!$A$191:$I$211,5,0)),0%,VLOOKUP(A3,'Données projet'!$A$191:$I$211,5,0)*VLOOKUP('Données projet'!$B$15,'Paramètres'!$A$1:$I$88,7,0))</f>
        <v>0</v>
      </c>
      <c r="ET3" s="155">
        <f>IF(ISNA(VLOOKUP(A3,'Données projet'!$A$191:$I$211,6,0)),0%,VLOOKUP(A3,'Données projet'!$A$191:$I$211,6,0)*VLOOKUP('Données projet'!$B$15,'Paramètres'!$A$1:$I$88,7,0))</f>
        <v>0</v>
      </c>
      <c r="EU3" s="155">
        <f>IF(ISNA(VLOOKUP(A3,'Données projet'!$A$191:$I$211,7,0)),0%,VLOOKUP(A3,'Données projet'!$A$191:$I$211,7,0))</f>
        <v>0</v>
      </c>
      <c r="EV3" s="154">
        <v>0.0</v>
      </c>
      <c r="EW3" s="154">
        <v>0.0</v>
      </c>
      <c r="EX3" s="154">
        <v>0.0</v>
      </c>
      <c r="EY3" s="156">
        <f t="shared" ref="EY3:EY203" si="22">SUM(EV3:EX3)</f>
        <v>0</v>
      </c>
      <c r="EZ3" s="159">
        <f>('Scénario référence'!$F$8+'Scénario référence'!$F$9+'Scénario référence'!$B$17+'Scénario référence'!$B$9+'Scénario référence'!$B$10)*70+IF((45+25*(1-EXP(-0.0175*A3)))&lt;70,'Scénario référence'!$B$16*(45+25*(1-EXP(-0.0175*A3))),70*'Scénario référence'!$B$16)+IF((32+38*(1-EXP(-0.0175*A3)))&lt;70,'Scénario référence'!$B$18*(32+38*(1-EXP(-0.0175*A3))),70*'Scénario référence'!$B$18)</f>
        <v>70</v>
      </c>
      <c r="FA3" s="151">
        <f>IF(A3&gt;30,10,('Scénario référence'!$B$16+'Scénario référence'!$B$17+'Scénario référence'!$B$18+'Scénario référence'!$B$9+'Scénario référence'!$B$10)*A3*10/30+('Scénario référence'!$F$8+'Scénario référence'!$F$9)*10)</f>
        <v>0</v>
      </c>
      <c r="FB3" s="151">
        <v>0.0</v>
      </c>
      <c r="FC3" s="151" t="str">
        <f>VLOOKUP(A3,'Données projet'!$A$217:$I$237,9,0)</f>
        <v>#N/A</v>
      </c>
      <c r="FD3" s="151">
        <v>0.0</v>
      </c>
      <c r="FE3" s="151">
        <v>0.0</v>
      </c>
      <c r="FF3" s="158" t="str">
        <f>FE3*VLOOKUP('Données projet'!$B$16,'Paramètres'!$A$1:$I$88,3,0)*VLOOKUP('Données projet'!$B$16,'Paramètres'!$A$1:$I$88,5,0)</f>
        <v>#N/A</v>
      </c>
      <c r="FG3" s="151">
        <v>0.0</v>
      </c>
      <c r="FH3" s="152" t="str">
        <f t="shared" ref="FH3:FH203" si="23">(FF3+FG3)*0.475*44/12</f>
        <v>#N/A</v>
      </c>
      <c r="FI3" s="153" t="str">
        <f t="shared" ref="FI3:FI203" si="24">FH3+(EZ3+FA3)*44/12</f>
        <v>#N/A</v>
      </c>
      <c r="FJ3" s="153" t="str">
        <f>AVERAGE(OFFSET($FI$3,0,0,'Données projet'!$E$16+1,1))-AVERAGE(OFFSET($H$3,0,0,'Données projet'!$E$16+1,1))</f>
        <v>#N/A</v>
      </c>
      <c r="FK3" s="153" t="str">
        <f>IF('Données projet'!E16&gt;30,$FI$33-$H$33,LOOKUP('Données projet'!$E$16,$A$3:$A$203,FI3:FI203)-LOOKUP('Données projet'!$E$16,$A$3:$A$203,$H$3:$H$203))</f>
        <v>#N/A</v>
      </c>
      <c r="FL3" s="154">
        <f>IF(ISNA(VLOOKUP(A3,'Données projet'!$A$217:$I$237,3,0)),0,VLOOKUP(A3,'Données projet'!$A$217:$I$237,3,0))</f>
        <v>0</v>
      </c>
      <c r="FM3" s="154">
        <f>IF(ISNA(VLOOKUP(A3,'Données projet'!$A$217:$I$237,4,0)),0,VLOOKUP(A3,'Données projet'!$A$217:$I$237,4,0))</f>
        <v>0</v>
      </c>
      <c r="FN3" s="155">
        <f>IF(ISNA(VLOOKUP(A3,'Données projet'!$A$217:$I$237,5,0)),0%,VLOOKUP(A3,'Données projet'!$A$217:$I$237,5,0)*VLOOKUP('Données projet'!$B$16,'Paramètres'!$A$1:$I$88,7,0))</f>
        <v>0</v>
      </c>
      <c r="FO3" s="155">
        <f>IF(ISNA(VLOOKUP(A3,'Données projet'!$A$217:$I$237,6,0)),0%,VLOOKUP(A3,'Données projet'!$A$217:$I$237,6,0)*VLOOKUP('Données projet'!$B$16,'Paramètres'!$A$1:$I$88,7,0))</f>
        <v>0</v>
      </c>
      <c r="FP3" s="155">
        <f>IF(ISNA(VLOOKUP(A3,'Données projet'!$A$217:$I$237,7,0)),0%,VLOOKUP(A3,'Données projet'!$A$217:$I$237,7,0))</f>
        <v>0</v>
      </c>
      <c r="FQ3" s="154">
        <v>0.0</v>
      </c>
      <c r="FR3" s="154">
        <v>0.0</v>
      </c>
      <c r="FS3" s="154">
        <v>0.0</v>
      </c>
      <c r="FT3" s="156">
        <f t="shared" ref="FT3:FT203" si="25">SUM(FQ3:FS3)</f>
        <v>0</v>
      </c>
      <c r="FU3" s="159">
        <f>('Scénario référence'!$F$8+'Scénario référence'!$F$9+'Scénario référence'!$B$17+'Scénario référence'!$B$9+'Scénario référence'!$B$10)*70+IF((45+25*(1-EXP(-0.0175*A3)))&lt;70,'Scénario référence'!$B$16*(45+25*(1-EXP(-0.0175*A3))),70*'Scénario référence'!$B$16)+IF((32+38*(1-EXP(-0.0175*A3)))&lt;70,'Scénario référence'!$B$18*(32+38*(1-EXP(-0.0175*A3))),70*'Scénario référence'!$B$18)</f>
        <v>70</v>
      </c>
      <c r="FV3" s="151">
        <f>IF(A3&gt;30,10,('Scénario référence'!$B$16+'Scénario référence'!$B$17+'Scénario référence'!$B$18+'Scénario référence'!$B$9+'Scénario référence'!$B$10)*A3*10/30+('Scénario référence'!$F$8+'Scénario référence'!$F$9)*10)</f>
        <v>0</v>
      </c>
      <c r="FW3" s="151">
        <v>0.0</v>
      </c>
      <c r="FX3" s="151" t="str">
        <f>VLOOKUP(A3,'Données projet'!$A$243:$I$263,9,0)</f>
        <v>#N/A</v>
      </c>
      <c r="FY3" s="151">
        <v>0.0</v>
      </c>
      <c r="FZ3" s="151">
        <v>0.0</v>
      </c>
      <c r="GA3" s="158" t="str">
        <f>FZ3*VLOOKUP('Données projet'!$B$17,'Paramètres'!$A$1:$I$88,3,0)*VLOOKUP('Données projet'!$B$17,'Paramètres'!$A$1:$I$88,5,0)</f>
        <v>#N/A</v>
      </c>
      <c r="GB3" s="151">
        <v>0.0</v>
      </c>
      <c r="GC3" s="152" t="str">
        <f t="shared" ref="GC3:GC203" si="26">(GA3+GB3)*0.475*44/12</f>
        <v>#N/A</v>
      </c>
      <c r="GD3" s="153" t="str">
        <f t="shared" ref="GD3:GD203" si="27">GC3+(FU3+FV3)*44/12</f>
        <v>#N/A</v>
      </c>
      <c r="GE3" s="153" t="str">
        <f>AVERAGE(OFFSET($GD$3,0,0,'Données projet'!$E$17+1,1))-AVERAGE(OFFSET($H$3,0,0,'Données projet'!$E$17+1,1))</f>
        <v>#N/A</v>
      </c>
      <c r="GF3" s="153" t="str">
        <f>IF('Données projet'!E17&gt;30,$GD$33-$H$33,LOOKUP('Données projet'!$E$17,$A$3:$A$203,GD3:GD203)-LOOKUP('Données projet'!$E$17,$A$3:$A$203,$H$3:$H$203))</f>
        <v>#N/A</v>
      </c>
      <c r="GG3" s="154">
        <f>IF(ISNA(VLOOKUP(A3,'Données projet'!$A$243:$I$263,3,0)),0,VLOOKUP(A3,'Données projet'!$A$243:$I$263,3,0))</f>
        <v>0</v>
      </c>
      <c r="GH3" s="154">
        <f>IF(ISNA(VLOOKUP(A3,'Données projet'!$A$243:$I$263,4,0)),0,VLOOKUP(A3,'Données projet'!$A$243:$I$263,4,0))</f>
        <v>0</v>
      </c>
      <c r="GI3" s="155">
        <f>IF(ISNA(VLOOKUP(A3,'Données projet'!$A$243:$I$263,5,0)),0%,VLOOKUP(A3,'Données projet'!$A$243:$I$263,5,0)*VLOOKUP('Données projet'!$B$17,'Paramètres'!$A$1:$I$88,7,0))</f>
        <v>0</v>
      </c>
      <c r="GJ3" s="155">
        <f>IF(ISNA(VLOOKUP(A3,'Données projet'!$A$243:$I$263,6,0)),0%,VLOOKUP(A3,'Données projet'!$A$243:$I$263,6,0)*VLOOKUP('Données projet'!$B$17,'Paramètres'!$A$1:$I$88,7,0))</f>
        <v>0</v>
      </c>
      <c r="GK3" s="155">
        <f>IF(ISNA(VLOOKUP(A3,'Données projet'!$A$243:$I$263,7,0)),0%,VLOOKUP(A3,'Données projet'!$A$243:$I$263,7,0))</f>
        <v>0</v>
      </c>
      <c r="GL3" s="154">
        <v>0.0</v>
      </c>
      <c r="GM3" s="154">
        <v>0.0</v>
      </c>
      <c r="GN3" s="154">
        <v>0.0</v>
      </c>
      <c r="GO3" s="154">
        <f t="shared" ref="GO3:GO203" si="28">SUM(GL3:GN3)</f>
        <v>0</v>
      </c>
      <c r="GP3" s="159">
        <f>('Scénario référence'!$F$8+'Scénario référence'!$F$9+'Scénario référence'!$B$17+'Scénario référence'!$B$9+'Scénario référence'!$B$10)*70+IF((45+25*(1-EXP(-0.0175*A3)))&lt;70,'Scénario référence'!$B$16*(45+25*(1-EXP(-0.0175*A3))),70*'Scénario référence'!$B$16)+IF((32+38*(1-EXP(-0.0175*A3)))&lt;70,'Scénario référence'!$B$18*(32+38*(1-EXP(-0.0175*A3))),70*'Scénario référence'!$B$18)</f>
        <v>70</v>
      </c>
      <c r="GQ3" s="151">
        <f>IF(A3&gt;30,10,('Scénario référence'!$B$16+'Scénario référence'!$B$17+'Scénario référence'!$B$18+'Scénario référence'!$B$9+'Scénario référence'!$B$10)*A3*10/30+('Scénario référence'!$F$8+'Scénario référence'!$F$9)*10)</f>
        <v>0</v>
      </c>
      <c r="GR3" s="151">
        <v>0.0</v>
      </c>
      <c r="GS3" s="151" t="str">
        <f>VLOOKUP(A3,'Données projet'!$A$269:$I$289,9,0)</f>
        <v>#N/A</v>
      </c>
      <c r="GT3" s="151">
        <v>0.0</v>
      </c>
      <c r="GU3" s="151">
        <v>0.0</v>
      </c>
      <c r="GV3" s="158" t="str">
        <f>GU3*VLOOKUP('Données projet'!$B$18,'Paramètres'!$A$1:$I$88,3,0)*VLOOKUP('Données projet'!$B$18,'Paramètres'!$A$1:$I$88,5,0)</f>
        <v>#N/A</v>
      </c>
      <c r="GW3" s="151">
        <v>0.0</v>
      </c>
      <c r="GX3" s="152" t="str">
        <f t="shared" ref="GX3:GX203" si="29">(GV3+GW3)*0.475*44/12</f>
        <v>#N/A</v>
      </c>
      <c r="GY3" s="153" t="str">
        <f t="shared" ref="GY3:GY203" si="30">GX3+(GP3+GQ3)*44/12</f>
        <v>#N/A</v>
      </c>
      <c r="GZ3" s="153" t="str">
        <f>AVERAGE(OFFSET($GY$3,0,0,'Données projet'!$E$18+1,1))-AVERAGE(OFFSET($H$3,0,0,'Données projet'!$E$18+1,1))</f>
        <v>#N/A</v>
      </c>
      <c r="HA3" s="153" t="str">
        <f>IF('Données projet'!E18&gt;30,$GY$33-$H$33,LOOKUP('Données projet'!$E$18,$A$3:$A$203,GY3:GY203)-LOOKUP('Données projet'!$E$18,$A$3:$A$203,$H$3:$H$203))</f>
        <v>#N/A</v>
      </c>
      <c r="HB3" s="154">
        <f>IF(ISNA(VLOOKUP(A3,'Données projet'!$A$269:$I$289,3,0)),0,VLOOKUP(A3,'Données projet'!$A$269:$I$289,3,0))</f>
        <v>0</v>
      </c>
      <c r="HC3" s="154">
        <f>IF(ISNA(VLOOKUP(A3,'Données projet'!$A$269:$I$289,4,0)),0,VLOOKUP(A3,'Données projet'!$A$269:$I$289,4,0))</f>
        <v>0</v>
      </c>
      <c r="HD3" s="155">
        <f>IF(ISNA(VLOOKUP(A3,'Données projet'!$A$269:$I$289,5,0)),0%,VLOOKUP(A3,'Données projet'!$A$269:$I$289,5,0)*VLOOKUP('Données projet'!$B$18,'Paramètres'!$A$1:$I$88,7,0))</f>
        <v>0</v>
      </c>
      <c r="HE3" s="155">
        <f>IF(ISNA(VLOOKUP(A3,'Données projet'!$A$269:$I$289,6,0)),0%,VLOOKUP(A3,'Données projet'!$A$269:$I$289,6,0)*VLOOKUP('Données projet'!$B$18,'Paramètres'!$A$1:$I$88,7,0))</f>
        <v>0</v>
      </c>
      <c r="HF3" s="155">
        <f>IF(ISNA(VLOOKUP(A3,'Données projet'!$A$269:$I$289,7,0)),0%,VLOOKUP(A3,'Données projet'!$A$269:$I$289,7,0))</f>
        <v>0</v>
      </c>
      <c r="HG3" s="154">
        <v>0.0</v>
      </c>
      <c r="HH3" s="154">
        <v>0.0</v>
      </c>
      <c r="HI3" s="154">
        <v>0.0</v>
      </c>
      <c r="HJ3" s="156">
        <f t="shared" ref="HJ3:HJ203" si="31">SUM(HG3:HI3)</f>
        <v>0</v>
      </c>
    </row>
    <row r="4">
      <c r="A4" s="145">
        <f t="shared" ref="A4:A203" si="32">A3+1</f>
        <v>1</v>
      </c>
      <c r="B4" s="146">
        <f>'Scénario référence'!$B$16*5+'Scénario référence'!$B$17*0+'Scénario référence'!$B$18*5</f>
        <v>0</v>
      </c>
      <c r="C4" s="160">
        <f>Calculateur!C3+'Scénario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4" s="147">
        <f t="shared" ref="D4:D203" si="33">IFERROR(EXP(-1.0587+0.8836*LN(C4)+0.284),0)</f>
        <v>0</v>
      </c>
      <c r="E4" s="147">
        <f>'Scénario référence'!$B$16*45+('Scénario référence'!$B$17+'Scénario référence'!$F$8+'Scénario référence'!$F$9+'Scénario référence'!$B$10+'Scénario référence'!$B$9)*70+'Scénario référence'!$B$18*32</f>
        <v>70</v>
      </c>
      <c r="F4" s="147">
        <f>IF(OR('Scénario référence'!$F$8&gt;0,'Scénario référence'!$F$9&gt;0),('Scénario référence'!$F$8+'Scénario référence'!$F$9)*10,0)</f>
        <v>0</v>
      </c>
      <c r="G4" s="147">
        <f>'Scénario référence'!$B$8*B4*44/12+'Scénario référence'!$B$9*(C4+D4)/0.475*44/12+'Scénario référence'!$B$10*(C4+D4)/0.475*44/12+'Scénario référence'!$F$8*(C4+D4)/0.475*44/12+'Scénario référence'!$F$9*(C4+D4)/0.475*44/12</f>
        <v>0</v>
      </c>
      <c r="H4" s="148">
        <f t="shared" si="1"/>
        <v>256.6666667</v>
      </c>
      <c r="I4" s="149">
        <f>('Scénario référence'!$F$8+'Scénario référence'!$F$9+'Scénario référence'!$B$17+'Scénario référence'!$B$9+'Scénario référence'!$B$10)*70+IF((45+25*(1-EXP(-0.0175*A4)))&lt;70,'Scénario référence'!$B$16*(45+25*(1-EXP(-0.0175*A4))),70*'Scénario référence'!$B$16)+IF((32+38*(1-EXP(-0.0175*A4)))&lt;70,'Scénario référence'!$B$18*(32+38*(1-EXP(-0.0175*A4))),70*'Scénario référence'!$B$18)</f>
        <v>70</v>
      </c>
      <c r="J4" s="150">
        <f>IF(A4&gt;30,10,('Scénario référence'!$B$16+'Scénario référence'!$B$17+'Scénario référence'!$B$18+'Scénario référence'!$B$9+'Scénario référence'!$B$10)*A4*10/30+('Scénario référence'!$F$8+'Scénario référence'!$F$9)*10)</f>
        <v>0.3333333333</v>
      </c>
      <c r="K4" s="151" t="str">
        <f>VLOOKUP(A4,'Données projet'!$A$35:$I$55,2,0)</f>
        <v>#N/A</v>
      </c>
      <c r="L4" s="151" t="str">
        <f>VLOOKUP(A4,'Données projet'!$A$35:$I$55,9,0)</f>
        <v>#N/A</v>
      </c>
      <c r="M4" s="150">
        <f t="array" ref="M4">INDEX(L:L,MIN(IF(ISNUMBER(L4:L200),ROW(L4:L200),"")))</f>
        <v>3.65</v>
      </c>
      <c r="N4" s="150">
        <f>IF('Données projet'!$A$36&gt;35,N3+M4-V3,IF(A4&lt;'Données projet'!$A$36,$K$205^A4,IF(A4='Données projet'!$A$36,'Données projet'!$B$36,N3+M4-V3)))</f>
        <v>1.239270589</v>
      </c>
      <c r="O4" s="150">
        <f>N4*VLOOKUP('Données projet'!$B$9,'Paramètres'!$A$1:$I$88,3,0)*VLOOKUP('Données projet'!$B$9,'Paramètres'!$A$1:$I$88,5,0)</f>
        <v>1.121292029</v>
      </c>
      <c r="P4" s="150">
        <f t="shared" ref="P4:P203" si="34">EXP(-1.0587+0.8836*LN(O4)+0.284)</f>
        <v>0.5098982707</v>
      </c>
      <c r="Q4" s="161">
        <f t="shared" si="2"/>
        <v>2.840989772</v>
      </c>
      <c r="R4" s="153">
        <f t="shared" si="3"/>
        <v>260.7298787</v>
      </c>
      <c r="S4" s="153">
        <f>AVERAGE(OFFSET($R$3,0,0,'Données projet'!$E$9+1,1))-AVERAGE(OFFSET($H$3,0,0,'Données projet'!$E$9+1,1))</f>
        <v>439.1985427</v>
      </c>
      <c r="T4" s="153">
        <f t="shared" ref="T4:T203" si="35">$T$3</f>
        <v>278.2174123</v>
      </c>
      <c r="U4" s="154">
        <f>IF(ISNA(VLOOKUP(A4,'Données projet'!$A$35:$I$55,3,0)),0,VLOOKUP(A4,'Données projet'!$A$35:$I$55,3,0))</f>
        <v>0</v>
      </c>
      <c r="V4" s="154">
        <f>IF(ISNA(VLOOKUP(A4,'Données projet'!$A$35:$I$55,4,0)),0,VLOOKUP(A4,'Données projet'!$A$35:$I$55,4,0))</f>
        <v>0</v>
      </c>
      <c r="W4" s="155">
        <f>IF(ISNA(VLOOKUP(A4,'Données projet'!$A$35:$I$55,5,0)),0%,VLOOKUP(A4,'Données projet'!$A$35:$I$55,5,0)*VLOOKUP('Données projet'!$B$9,'Paramètres'!$A$1:$I$88,7,0))</f>
        <v>0</v>
      </c>
      <c r="X4" s="155">
        <f>IF(ISNA(VLOOKUP(A4,'Données projet'!$A$35:$I$55,6,0)),0%,VLOOKUP(A4,'Données projet'!$A$35:$I$55,6,0)*VLOOKUP('Données projet'!$B$9,'Paramètres'!$A$1:$I$88,7,0))</f>
        <v>0</v>
      </c>
      <c r="Y4" s="155">
        <f>IF(ISNA(VLOOKUP(A4,'Données projet'!$A$35:$I$55,7,0)),0%,VLOOKUP(A4,'Données projet'!$A$35:$I$55,7,0))</f>
        <v>0</v>
      </c>
      <c r="Z4" s="162">
        <f>EXP(-LN(2)/35)*Z3+(1-EXP(-LN(2)/35))/(LN(2)/35)*V4*W4*VLOOKUP('Données projet'!$B$9,'Paramètres'!$A$1:$I$88,3,0)*0.475*44/12</f>
        <v>0</v>
      </c>
      <c r="AA4" s="162">
        <f>EXP(-LN(2)/25)*AA3+(1-EXP(-LN(2)/25))/(LN(2)/25)*Calculateur!V4*Calculateur!X4*VLOOKUP('Données projet'!$B$9,'Paramètres'!$A$1:$I$88,3,0)*0.475*44/12</f>
        <v>0</v>
      </c>
      <c r="AB4" s="162">
        <f>EXP(-LN(2)/2)*AB3+(1-EXP(-LN(2)/2))/(LN(2)/2)*V4*Y4*VLOOKUP('Données projet'!$B$9,'Paramètres'!$A$1:$I$88,3,0)*0.475*44/12</f>
        <v>0</v>
      </c>
      <c r="AC4" s="163">
        <f t="shared" si="4"/>
        <v>0</v>
      </c>
      <c r="AD4" s="150">
        <f>('Scénario référence'!$F$8+'Scénario référence'!$F$9+'Scénario référence'!$B$17+'Scénario référence'!$B$9+'Scénario référence'!$B$10)*70+IF((45+25*(1-EXP(-0.0175*A4)))&lt;70,'Scénario référence'!$B$16*(45+25*(1-EXP(-0.0175*A4))),70*'Scénario référence'!$B$16)+IF((32+38*(1-EXP(-0.0175*A4)))&lt;70,'Scénario référence'!$B$18*(32+38*(1-EXP(-0.0175*A4))),70*'Scénario référence'!$B$18)</f>
        <v>70</v>
      </c>
      <c r="AE4" s="150">
        <f>IF(A4&gt;30,10,('Scénario référence'!$B$16+'Scénario référence'!$B$17+'Scénario référence'!$B$18+'Scénario référence'!$B$9+'Scénario référence'!$B$10)*A4*10/30+('Scénario référence'!$F$8+'Scénario référence'!$F$9)*10)</f>
        <v>0.3333333333</v>
      </c>
      <c r="AF4" s="151" t="str">
        <f>VLOOKUP(A4,'Données projet'!$A$61:$I$81,2,0)</f>
        <v>#N/A</v>
      </c>
      <c r="AG4" s="151" t="str">
        <f>VLOOKUP(A4,'Données projet'!$A$61:$I$81,9,0)</f>
        <v>#N/A</v>
      </c>
      <c r="AH4" s="150">
        <f t="array" ref="AH4">INDEX(AG:AG,MIN(IF(ISNUMBER(AG4:AG200),ROW(AG4:AG200),"")))</f>
        <v>1.9</v>
      </c>
      <c r="AI4" s="150">
        <f>IF('Données projet'!$A$62&gt;35,AI3+AH4-AQ3,IF(A4&lt;'Données projet'!$A$62,$AF$205^A4,IF(A4='Données projet'!$A$62,'Données projet'!$B$62,AI3+AH4-AQ3)))</f>
        <v>1.342379651</v>
      </c>
      <c r="AJ4" s="150">
        <f>AI4*VLOOKUP('Données projet'!$B$10,'Paramètres'!$A$1:$I$88,3,0)*VLOOKUP('Données projet'!$B$10,'Paramètres'!$A$1:$I$88,5,0)</f>
        <v>1.06799725</v>
      </c>
      <c r="AK4" s="150">
        <f t="shared" ref="AK4:AK203" si="36">EXP(-1.0587+0.8836*LN(AJ4)+0.284)</f>
        <v>0.4884235949</v>
      </c>
      <c r="AL4" s="161">
        <f t="shared" si="5"/>
        <v>2.710766305</v>
      </c>
      <c r="AM4" s="153">
        <f t="shared" si="6"/>
        <v>260.5996552</v>
      </c>
      <c r="AN4" s="153">
        <f>AVERAGE(OFFSET($AM$3,0,0,'Données projet'!$E$10+1,1))-AVERAGE(OFFSET($H$3,0,0,'Données projet'!$E$10+1,1))</f>
        <v>405.6113614</v>
      </c>
      <c r="AO4" s="153">
        <f t="shared" ref="AO4:AO203" si="37">$AO$3</f>
        <v>393.0787141</v>
      </c>
      <c r="AP4" s="154">
        <f>IF(ISNA(VLOOKUP(A4,'Données projet'!$A$61:$I$81,3,0)),0,VLOOKUP(A4,'Données projet'!$A$61:$I$81,3,0))</f>
        <v>0</v>
      </c>
      <c r="AQ4" s="154">
        <f>IF(ISNA(VLOOKUP(A4,'Données projet'!$A$61:$I$81,4,0)),0,VLOOKUP(A4,'Données projet'!$A$61:$I$81,4,0))</f>
        <v>0</v>
      </c>
      <c r="AR4" s="155">
        <f>IF(ISNA(VLOOKUP(A4,'Données projet'!$A$61:$I$81,5,0)),0%,VLOOKUP(A4,'Données projet'!$A$61:$I$81,5,0)*VLOOKUP('Données projet'!$B$10,'Paramètres'!$A$1:$I$88,7,0))</f>
        <v>0</v>
      </c>
      <c r="AS4" s="155">
        <f>IF(ISNA(VLOOKUP(A4,'Données projet'!$A$61:$I$81,6,0)),0%,VLOOKUP(A4,'Données projet'!$A$61:$I$81,6,0)*VLOOKUP('Données projet'!$B$10,'Paramètres'!$A$1:$I$88,7,0))</f>
        <v>0</v>
      </c>
      <c r="AT4" s="155">
        <f>IF(ISNA(VLOOKUP(A4,'Données projet'!$A$61:$I$81,7,0)),0%,VLOOKUP(A4,'Données projet'!$A$61:$I$81,7,0))</f>
        <v>0</v>
      </c>
      <c r="AU4" s="162">
        <f>EXP(-LN(2)/35)*AU3+(1-EXP(-LN(2)/35))/(LN(2)/35)*AQ4*AR4*VLOOKUP('Données projet'!$B$10,'Paramètres'!$A$1:$I$88,3,0)*0.475*44/12</f>
        <v>0</v>
      </c>
      <c r="AV4" s="162">
        <f>EXP(-LN(2)/25)*AV3+(1-EXP(-LN(2)/25))/(LN(2)/25)*Calculateur!AQ4*Calculateur!AS4*VLOOKUP('Données projet'!$B$10,'Paramètres'!$A$1:$I$88,3,0)*0.475*44/12</f>
        <v>0</v>
      </c>
      <c r="AW4" s="162">
        <f>EXP(-LN(2)/2)*AW3+(1-EXP(-LN(2)/2))/(LN(2)/2)*AQ4*AT4*VLOOKUP('Données projet'!$B$10,'Paramètres'!$A$1:$I$88,3,0)*0.475*44/12</f>
        <v>0</v>
      </c>
      <c r="AX4" s="162">
        <f t="shared" si="7"/>
        <v>0</v>
      </c>
      <c r="AY4" s="157">
        <f>('Scénario référence'!$F$8+'Scénario référence'!$F$9+'Scénario référence'!$B$17+'Scénario référence'!$B$9+'Scénario référence'!$B$10)*70+IF((45+25*(1-EXP(-0.0175*A4)))&lt;70,'Scénario référence'!$B$16*(45+25*(1-EXP(-0.0175*A4))),70*'Scénario référence'!$B$16)+IF((32+38*(1-EXP(-0.0175*A4)))&lt;70,'Scénario référence'!$B$18*(32+38*(1-EXP(-0.0175*A4))),70*'Scénario référence'!$B$18)</f>
        <v>70</v>
      </c>
      <c r="AZ4" s="151">
        <f>IF(A4&gt;30,10,('Scénario référence'!$B$16+'Scénario référence'!$B$17+'Scénario référence'!$B$18+'Scénario référence'!$B$9+'Scénario référence'!$B$10)*A4*10/30+('Scénario référence'!$F$8+'Scénario référence'!$F$9)*10)</f>
        <v>0.3333333333</v>
      </c>
      <c r="BA4" s="151" t="str">
        <f>VLOOKUP(A4,'Données projet'!$A$87:$I$107,2,0)</f>
        <v>#N/A</v>
      </c>
      <c r="BB4" s="151" t="str">
        <f>VLOOKUP(A4,'Données projet'!$A$87:$I$107,9,0)</f>
        <v>#N/A</v>
      </c>
      <c r="BC4" s="150" t="str">
        <f t="array" ref="BC4">INDEX(BB:BB,MIN(IF(ISNUMBER(BB4:BB200),ROW(BB4:BB200),"")))</f>
        <v/>
      </c>
      <c r="BD4" s="150">
        <f>IF('Données projet'!$A$88&gt;35,BD3+BC4-BL3,IF(A4&lt;'Données projet'!$A$88,$BA$205^A4,IF(A4='Données projet'!$A$88,'Données projet'!$B$88,BD3+BC4-BL3)))</f>
        <v>0</v>
      </c>
      <c r="BE4" s="150">
        <f>BD4*VLOOKUP('Données projet'!$B$11,'Paramètres'!$A$1:$I$88,3,0)*VLOOKUP('Données projet'!$B$11,'Paramètres'!$A$1:$I$88,5,0)</f>
        <v>0</v>
      </c>
      <c r="BF4" s="150" t="str">
        <f t="shared" ref="BF4:BF203" si="38">EXP(-1.0587+0.8836*LN(BE4)+0.284)</f>
        <v>#NUM!</v>
      </c>
      <c r="BG4" s="161" t="str">
        <f t="shared" si="8"/>
        <v>#NUM!</v>
      </c>
      <c r="BH4" s="153" t="str">
        <f t="shared" si="9"/>
        <v>#NUM!</v>
      </c>
      <c r="BI4" s="153">
        <f>AVERAGE(OFFSET($BH$3,0,0,'Données projet'!$E$11+1,1))-AVERAGE(OFFSET($H$3,0,0,'Données projet'!$E$11+1,1))</f>
        <v>0</v>
      </c>
      <c r="BJ4" s="153">
        <f t="shared" ref="BJ4:BJ203" si="39">$BJ$3</f>
        <v>0</v>
      </c>
      <c r="BK4" s="154">
        <f>IF(ISNA(VLOOKUP(A4,'Données projet'!$A$87:$I$107,3,0)),0,VLOOKUP(A4,'Données projet'!$A$87:$I$107,3,0))</f>
        <v>0</v>
      </c>
      <c r="BL4" s="154">
        <f>IF(ISNA(VLOOKUP(A4,'Données projet'!$A$87:$I$107,4,0)),0,VLOOKUP(A4,'Données projet'!$A$87:$I$107,4,0))</f>
        <v>0</v>
      </c>
      <c r="BM4" s="155">
        <f>IF(ISNA(VLOOKUP(A4,'Données projet'!$A$87:$I$107,5,0)),0%,VLOOKUP(A4,'Données projet'!$A$87:$I$107,5,0)*VLOOKUP('Données projet'!$B$11,'Paramètres'!$A$1:$I$88,7,0))</f>
        <v>0</v>
      </c>
      <c r="BN4" s="155">
        <f>IF(ISNA(VLOOKUP(A4,'Données projet'!$A$87:$I$107,6,0)),0%,VLOOKUP(A4,'Données projet'!$A$87:$I$107,6,0)*VLOOKUP('Données projet'!$B$11,'Paramètres'!$A$1:$I$88,7,0))</f>
        <v>0</v>
      </c>
      <c r="BO4" s="155">
        <f>IF(ISNA(VLOOKUP(A4,'Données projet'!$A$87:$I$107,7,0)),0%,VLOOKUP(A4,'Données projet'!$A$87:$I$107,7,0))</f>
        <v>0</v>
      </c>
      <c r="BP4" s="162">
        <f>EXP(-LN(2)/35)*BP3+(1-EXP(-LN(2)/35))/(LN(2)/35)*BL4*BM4*VLOOKUP('Données projet'!$B$11,'Paramètres'!$A$1:$I$88,3,0)*0.475*44/12</f>
        <v>0</v>
      </c>
      <c r="BQ4" s="162">
        <f>EXP(-LN(2)/25)*BQ3+(1-EXP(-LN(2)/25))/(LN(2)/25)*Calculateur!BL4*Calculateur!BN4*VLOOKUP('Données projet'!$B$11,'Paramètres'!$A$1:$I$88,3,0)*0.475*44/12</f>
        <v>0</v>
      </c>
      <c r="BR4" s="162">
        <f>EXP(-LN(2)/2)*BR3+(1-EXP(-LN(2)/2))/(LN(2)/2)*BL4*BO4*VLOOKUP('Données projet'!$B$11,'Paramètres'!$A$1:$I$88,3,0)*0.475*44/12</f>
        <v>0</v>
      </c>
      <c r="BS4" s="163">
        <f t="shared" si="10"/>
        <v>0</v>
      </c>
      <c r="BT4" s="159">
        <f>('Scénario référence'!$F$8+'Scénario référence'!$F$9+'Scénario référence'!$B$17+'Scénario référence'!$B$9+'Scénario référence'!$B$10)*70+IF((45+25*(1-EXP(-0.0175*A4)))&lt;70,'Scénario référence'!$B$16*(45+25*(1-EXP(-0.0175*A4))),70*'Scénario référence'!$B$16)+IF((32+38*(1-EXP(-0.0175*A4)))&lt;70,'Scénario référence'!$B$18*(32+38*(1-EXP(-0.0175*A4))),70*'Scénario référence'!$B$18)</f>
        <v>70</v>
      </c>
      <c r="BU4" s="151">
        <f>IF(A4&gt;30,10,('Scénario référence'!$B$16+'Scénario référence'!$B$17+'Scénario référence'!$B$18+'Scénario référence'!$B$9+'Scénario référence'!$B$10)*A4*10/30+('Scénario référence'!$F$8+'Scénario référence'!$F$9)*10)</f>
        <v>0.3333333333</v>
      </c>
      <c r="BV4" s="151" t="str">
        <f>VLOOKUP(A4,'Données projet'!$A$113:$I$133,2,0)</f>
        <v>#N/A</v>
      </c>
      <c r="BW4" s="151" t="str">
        <f>VLOOKUP(A4,'Données projet'!$A$113:$I$133,9,0)</f>
        <v>#N/A</v>
      </c>
      <c r="BX4" s="150" t="str">
        <f t="array" ref="BX4">INDEX(BW:BW,MIN(IF(ISNUMBER(BW4:BW200),ROW(BW4:BW200),"")))</f>
        <v/>
      </c>
      <c r="BY4" s="150">
        <f>IF('Données projet'!$A$114&gt;35,BY3+BX4-CG3,IF(A4&lt;'Données projet'!$A$114,$BV$205^A4,IF(A4='Données projet'!$A$114,'Données projet'!$B$114,BY3+BX4-CG3)))</f>
        <v>0</v>
      </c>
      <c r="BZ4" s="150" t="str">
        <f>BY4*VLOOKUP('Données projet'!$B$12,'Paramètres'!$A$1:$I$88,3,0)*VLOOKUP('Données projet'!$B$12,'Paramètres'!$A$1:$I$88,5,0)</f>
        <v>#N/A</v>
      </c>
      <c r="CA4" s="150" t="str">
        <f t="shared" ref="CA4:CA203" si="40">EXP(-1.0587+0.8836*LN(BZ4)+0.284)</f>
        <v>#N/A</v>
      </c>
      <c r="CB4" s="161" t="str">
        <f t="shared" si="11"/>
        <v>#N/A</v>
      </c>
      <c r="CC4" s="153" t="str">
        <f t="shared" si="12"/>
        <v>#N/A</v>
      </c>
      <c r="CD4" s="153" t="str">
        <f>AVERAGE(OFFSET($CC$3,0,0,'Données projet'!$E$12+1,1))-AVERAGE(OFFSET($H$3,0,0,'Données projet'!$E$12+1,1))</f>
        <v>#N/A</v>
      </c>
      <c r="CE4" s="153" t="str">
        <f t="shared" ref="CE4:CE203" si="41">$CE$3</f>
        <v>#N/A</v>
      </c>
      <c r="CF4" s="154">
        <f>IF(ISNA(VLOOKUP(A4,'Données projet'!$A$113:$I$133,3,0)),0,VLOOKUP(A4,'Données projet'!$A$113:$I$133,3,0))</f>
        <v>0</v>
      </c>
      <c r="CG4" s="154">
        <f>IF(ISNA(VLOOKUP(A4,'Données projet'!$A$113:$I$133,4,0)),0,VLOOKUP(A4,'Données projet'!$A$113:$I$133,4,0))</f>
        <v>0</v>
      </c>
      <c r="CH4" s="155">
        <f>IF(ISNA(VLOOKUP(A4,'Données projet'!$A$113:$I$133,5,0)),0%,VLOOKUP(A4,'Données projet'!$A$113:$I$133,5,0)*VLOOKUP('Données projet'!$B$12,'Paramètres'!$A$1:$I$88,7,0))</f>
        <v>0</v>
      </c>
      <c r="CI4" s="155">
        <f>IF(ISNA(VLOOKUP(A4,'Données projet'!$A$113:$I$133,6,0)),0%,VLOOKUP(A4,'Données projet'!$A$113:$I$133,6,0)*VLOOKUP('Données projet'!$B$12,'Paramètres'!$A$1:$I$88,7,0))</f>
        <v>0</v>
      </c>
      <c r="CJ4" s="155">
        <f>IF(ISNA(VLOOKUP(A4,'Données projet'!$A$113:$I$133,7,0)),0%,VLOOKUP(A4,'Données projet'!$A$113:$I$133,7,0))</f>
        <v>0</v>
      </c>
      <c r="CK4" s="162" t="str">
        <f>EXP(-LN(2)/35)*CK3+(1-EXP(-LN(2)/35))/(LN(2)/35)*CG4*CH4*VLOOKUP('Données projet'!$B$12,'Paramètres'!$A$1:$I$88,3,0)*0.475*44/12</f>
        <v>#N/A</v>
      </c>
      <c r="CL4" s="162" t="str">
        <f>EXP(-LN(2)/25)*CL3+(1-EXP(-LN(2)/25))/(LN(2)/25)*Calculateur!CG4*Calculateur!CI4*VLOOKUP('Données projet'!$B$12,'Paramètres'!$A$1:$I$88,3,0)*0.475*44/12</f>
        <v>#N/A</v>
      </c>
      <c r="CM4" s="162" t="str">
        <f>EXP(-LN(2)/2)*CM3+(1-EXP(-LN(2)/2))/(LN(2)/2)*CG4*CJ4*VLOOKUP('Données projet'!$B$12,'Paramètres'!$A$1:$I$88,3,0)*0.475*44/12</f>
        <v>#N/A</v>
      </c>
      <c r="CN4" s="163" t="str">
        <f t="shared" si="13"/>
        <v>#N/A</v>
      </c>
      <c r="CO4" s="159">
        <f>('Scénario référence'!$F$8+'Scénario référence'!$F$9+'Scénario référence'!$B$17+'Scénario référence'!$B$9+'Scénario référence'!$B$10)*70+IF((45+25*(1-EXP(-0.0175*A4)))&lt;70,'Scénario référence'!$B$16*(45+25*(1-EXP(-0.0175*A4))),70*'Scénario référence'!$B$16)+IF((32+38*(1-EXP(-0.0175*A4)))&lt;70,'Scénario référence'!$B$18*(32+38*(1-EXP(-0.0175*A4))),70*'Scénario référence'!$B$18)</f>
        <v>70</v>
      </c>
      <c r="CP4" s="151">
        <f>IF(A4&gt;30,10,('Scénario référence'!$B$16+'Scénario référence'!$B$17+'Scénario référence'!$B$18+'Scénario référence'!$B$9+'Scénario référence'!$B$10)*A4*10/30+('Scénario référence'!$F$8+'Scénario référence'!$F$9)*10)</f>
        <v>0.3333333333</v>
      </c>
      <c r="CQ4" s="151" t="str">
        <f>VLOOKUP(A4,'Données projet'!$A$139:$I$159,2,0)</f>
        <v>#N/A</v>
      </c>
      <c r="CR4" s="151" t="str">
        <f>VLOOKUP(A4,'Données projet'!$A$139:$I$159,9,0)</f>
        <v>#N/A</v>
      </c>
      <c r="CS4" s="151" t="str">
        <f t="array" ref="CS4">INDEX(CR:CR,MIN(IF(ISNUMBER(CR4:CR200),ROW(CR4:CR200),"")))</f>
        <v/>
      </c>
      <c r="CT4" s="151">
        <f>IF('Données projet'!$A$140&gt;35,CT3+CS4-DB3,IF(A4&lt;'Données projet'!$A$140,$CQ$205^A4,IF(A4='Données projet'!$A$140,'Données projet'!$B$140,CT3+CS4-DB3)))</f>
        <v>0</v>
      </c>
      <c r="CU4" s="158" t="str">
        <f>CT4*VLOOKUP('Données projet'!$B$13,'Paramètres'!$A$1:$I$88,3,0)*VLOOKUP('Données projet'!$B$13,'Paramètres'!$A$1:$I$88,5,0)</f>
        <v>#N/A</v>
      </c>
      <c r="CV4" s="150" t="str">
        <f t="shared" ref="CV4:CV203" si="42">EXP(-1.0587+0.8836*LN(CU4)+0.284)</f>
        <v>#N/A</v>
      </c>
      <c r="CW4" s="161" t="str">
        <f t="shared" si="14"/>
        <v>#N/A</v>
      </c>
      <c r="CX4" s="153" t="str">
        <f t="shared" si="15"/>
        <v>#N/A</v>
      </c>
      <c r="CY4" s="153" t="str">
        <f>AVERAGE(OFFSET($CX$3,0,0,'Données projet'!$E$13+1,1))-AVERAGE(OFFSET($H$3,0,0,'Données projet'!$E$13+1,1))</f>
        <v>#N/A</v>
      </c>
      <c r="CZ4" s="153" t="str">
        <f t="shared" ref="CZ4:CZ203" si="43">$CZ$3</f>
        <v>#N/A</v>
      </c>
      <c r="DA4" s="154">
        <f>IF(ISNA(VLOOKUP(A4,'Données projet'!$A$139:$I$159,3,0)),0,VLOOKUP(A4,'Données projet'!$A$139:$I$159,3,0))</f>
        <v>0</v>
      </c>
      <c r="DB4" s="154">
        <f>IF(ISNA(VLOOKUP(A4,'Données projet'!$A$139:$I$159,4,0)),0,VLOOKUP(A4,'Données projet'!$A$139:$I$159,4,0))</f>
        <v>0</v>
      </c>
      <c r="DC4" s="155">
        <f>IF(ISNA(VLOOKUP(A4,'Données projet'!$A$139:$I$159,5,0)),0%,VLOOKUP(A4,'Données projet'!$A$139:$I$159,5,0)*VLOOKUP('Données projet'!$B$13,'Paramètres'!$A$1:$I$88,7,0))</f>
        <v>0</v>
      </c>
      <c r="DD4" s="155">
        <f>IF(ISNA(VLOOKUP(A4,'Données projet'!$A$139:$I$159,6,0)),0%,VLOOKUP(A4,'Données projet'!$A$139:$I$159,6,0)*VLOOKUP('Données projet'!$B$13,'Paramètres'!$A$1:$I$88,7,0))</f>
        <v>0</v>
      </c>
      <c r="DE4" s="155">
        <f>IF(ISNA(VLOOKUP(A4,'Données projet'!$A$139:$I$159,7,0)),0%,VLOOKUP(A4,'Données projet'!$A$139:$I$159,7,0))</f>
        <v>0</v>
      </c>
      <c r="DF4" s="162" t="str">
        <f>EXP(-LN(2)/35)*DF3+(1-EXP(-LN(2)/35))/(LN(2)/35)*DB4*DC4*VLOOKUP('Données projet'!$B$13,'Paramètres'!$A$1:$I$88,3,0)*0.475*44/12</f>
        <v>#N/A</v>
      </c>
      <c r="DG4" s="162" t="str">
        <f>EXP(-LN(2)/25)*DG3+(1-EXP(-LN(2)/25))/(LN(2)/25)*Calculateur!DB4*Calculateur!DD4*VLOOKUP('Données projet'!$B$13,'Paramètres'!$A$1:$I$88,3,0)*0.475*44/12</f>
        <v>#N/A</v>
      </c>
      <c r="DH4" s="162" t="str">
        <f>EXP(-LN(2)/2)*DH3+(1-EXP(-LN(2)/2))/(LN(2)/2)*DB4*DE4*VLOOKUP('Données projet'!$B$13,'Paramètres'!$A$1:$I$88,3,0)*0.475*44/12</f>
        <v>#N/A</v>
      </c>
      <c r="DI4" s="163" t="str">
        <f t="shared" si="16"/>
        <v>#N/A</v>
      </c>
      <c r="DJ4" s="159">
        <f>('Scénario référence'!$F$8+'Scénario référence'!$F$9+'Scénario référence'!$B$17+'Scénario référence'!$B$9+'Scénario référence'!$B$10)*70+IF((45+25*(1-EXP(-0.0175*A4)))&lt;70,'Scénario référence'!$B$16*(45+25*(1-EXP(-0.0175*A4))),70*'Scénario référence'!$B$16)+IF((32+38*(1-EXP(-0.0175*A4)))&lt;70,'Scénario référence'!$B$18*(32+38*(1-EXP(-0.0175*A4))),70*'Scénario référence'!$B$18)</f>
        <v>70</v>
      </c>
      <c r="DK4" s="151">
        <f>IF(A4&gt;30,10,('Scénario référence'!$B$16+'Scénario référence'!$B$17+'Scénario référence'!$B$18+'Scénario référence'!$B$9+'Scénario référence'!$B$10)*A4*10/30+('Scénario référence'!$F$8+'Scénario référence'!$F$9)*10)</f>
        <v>0.3333333333</v>
      </c>
      <c r="DL4" s="151" t="str">
        <f>VLOOKUP(A4,'Données projet'!$A$165:$I$185,2,0)</f>
        <v>#N/A</v>
      </c>
      <c r="DM4" s="151" t="str">
        <f>VLOOKUP(A4,'Données projet'!$A$165:$I$185,9,0)</f>
        <v>#N/A</v>
      </c>
      <c r="DN4" s="151" t="str">
        <f t="array" ref="DN4">INDEX(DM:DM,MIN(IF(ISNUMBER(DM4:DM200),ROW(DM4:DM200),"")))</f>
        <v/>
      </c>
      <c r="DO4" s="151">
        <f>IF('Données projet'!$A$166&gt;35,DO3+DN4-DW3,IF(A4&lt;'Données projet'!$A$166,$DL$205^A4,IF(A4='Données projet'!$A$166,'Données projet'!$B$166,DO3+DN4-DW3)))</f>
        <v>0</v>
      </c>
      <c r="DP4" s="158" t="str">
        <f>DO4*VLOOKUP('Données projet'!$B$14,'Paramètres'!$A$1:$I$88,3,0)*VLOOKUP('Données projet'!$B$14,'Paramètres'!$A$1:$I$88,5,0)</f>
        <v>#N/A</v>
      </c>
      <c r="DQ4" s="150" t="str">
        <f t="shared" ref="DQ4:DQ203" si="44">EXP(-1.0587+0.8836*LN(DP4)+0.284)</f>
        <v>#N/A</v>
      </c>
      <c r="DR4" s="161" t="str">
        <f t="shared" si="17"/>
        <v>#N/A</v>
      </c>
      <c r="DS4" s="153" t="str">
        <f t="shared" si="18"/>
        <v>#N/A</v>
      </c>
      <c r="DT4" s="153" t="str">
        <f>AVERAGE(OFFSET($DS$3,0,0,'Données projet'!$E$14+1,1))-AVERAGE(OFFSET($H$3,0,0,'Données projet'!$E$14+1,1))</f>
        <v>#N/A</v>
      </c>
      <c r="DU4" s="153" t="str">
        <f t="shared" ref="DU4:DU203" si="45">$DU$3</f>
        <v>#N/A</v>
      </c>
      <c r="DV4" s="154">
        <f>IF(ISNA(VLOOKUP(A4,'Données projet'!$A$165:$I$185,3,0)),0,VLOOKUP(A4,'Données projet'!$A$165:$I$185,3,0))</f>
        <v>0</v>
      </c>
      <c r="DW4" s="154">
        <f>IF(ISNA(VLOOKUP(A4,'Données projet'!$A$165:$I$185,4,0)),0,VLOOKUP(A4,'Données projet'!$A$165:$I$185,4,0))</f>
        <v>0</v>
      </c>
      <c r="DX4" s="155">
        <f>IF(ISNA(VLOOKUP(A4,'Données projet'!$A$165:$I$185,5,0)),0%,VLOOKUP(A4,'Données projet'!$A$165:$I$185,5,0)*VLOOKUP('Données projet'!$B$14,'Paramètres'!$A$1:$I$88,7,0))</f>
        <v>0</v>
      </c>
      <c r="DY4" s="155">
        <f>IF(ISNA(VLOOKUP(A4,'Données projet'!$A$165:$I$185,6,0)),0%,VLOOKUP(A4,'Données projet'!$A$165:$I$185,6,0)*VLOOKUP('Données projet'!$B$14,'Paramètres'!$A$1:$I$88,7,0))</f>
        <v>0</v>
      </c>
      <c r="DZ4" s="155">
        <f>IF(ISNA(VLOOKUP(A4,'Données projet'!$A$165:$I$185,7,0)),0%,VLOOKUP(A4,'Données projet'!$A$165:$I$185,7,0))</f>
        <v>0</v>
      </c>
      <c r="EA4" s="162" t="str">
        <f>EXP(-LN(2)/35)*EA3+(1-EXP(-LN(2)/35))/(LN(2)/35)*DW4*DX4*VLOOKUP('Données projet'!$B$14,'Paramètres'!$A$1:$I$88,3,0)*0.475*44/12</f>
        <v>#N/A</v>
      </c>
      <c r="EB4" s="162" t="str">
        <f>EXP(-LN(2)/25)*EB3+(1-EXP(-LN(2)/25))/(LN(2)/25)*Calculateur!DW4*Calculateur!DY4*VLOOKUP('Données projet'!$B$14,'Paramètres'!$A$1:$I$88,3,0)*0.475*44/12</f>
        <v>#N/A</v>
      </c>
      <c r="EC4" s="162" t="str">
        <f>EXP(-LN(2)/2)*EC3+(1-EXP(-LN(2)/2))/(LN(2)/2)*DW4*DZ4*VLOOKUP('Données projet'!$B$14,'Paramètres'!$A$1:$I$88,3,0)*0.475*44/12</f>
        <v>#N/A</v>
      </c>
      <c r="ED4" s="163" t="str">
        <f t="shared" si="19"/>
        <v>#N/A</v>
      </c>
      <c r="EE4" s="159">
        <f>('Scénario référence'!$F$8+'Scénario référence'!$F$9+'Scénario référence'!$B$17+'Scénario référence'!$B$9+'Scénario référence'!$B$10)*70+IF((45+25*(1-EXP(-0.0175*A4)))&lt;70,'Scénario référence'!$B$16*(45+25*(1-EXP(-0.0175*A4))),70*'Scénario référence'!$B$16)+IF((32+38*(1-EXP(-0.0175*A4)))&lt;70,'Scénario référence'!$B$18*(32+38*(1-EXP(-0.0175*A4))),70*'Scénario référence'!$B$18)</f>
        <v>70</v>
      </c>
      <c r="EF4" s="151">
        <f>IF(A4&gt;30,10,('Scénario référence'!$B$16+'Scénario référence'!$B$17+'Scénario référence'!$B$18+'Scénario référence'!$B$9+'Scénario référence'!$B$10)*A4*10/30+('Scénario référence'!$F$8+'Scénario référence'!$F$9)*10)</f>
        <v>0.3333333333</v>
      </c>
      <c r="EG4" s="151" t="str">
        <f>VLOOKUP(A4,'Données projet'!$A$191:$I$211,2,0)</f>
        <v>#N/A</v>
      </c>
      <c r="EH4" s="151" t="str">
        <f>VLOOKUP(A4,'Données projet'!$A$191:$I$211,9,0)</f>
        <v>#N/A</v>
      </c>
      <c r="EI4" s="151" t="str">
        <f t="array" ref="EI4">INDEX(EH:EH,MIN(IF(ISNUMBER(EH4:EH200),ROW(EH4:EH200),"")))</f>
        <v/>
      </c>
      <c r="EJ4" s="151">
        <f>IF('Données projet'!$A$192&gt;35,EJ3+EI4-ER3,IF(A4&lt;'Données projet'!$A$192,$EG$205^A4,IF(A4='Données projet'!$A$192,'Données projet'!$B$192,EJ3+EI4-ER3)))</f>
        <v>0</v>
      </c>
      <c r="EK4" s="158" t="str">
        <f>EJ4*VLOOKUP('Données projet'!$B$15,'Paramètres'!$A$1:$I$88,3,0)*VLOOKUP('Données projet'!$B$15,'Paramètres'!$A$1:$I$88,5,0)</f>
        <v>#N/A</v>
      </c>
      <c r="EL4" s="150" t="str">
        <f t="shared" ref="EL4:EL203" si="46">EXP(-1.0587+0.8836*LN(EK4)+0.284)</f>
        <v>#N/A</v>
      </c>
      <c r="EM4" s="161" t="str">
        <f t="shared" si="20"/>
        <v>#N/A</v>
      </c>
      <c r="EN4" s="153" t="str">
        <f t="shared" si="21"/>
        <v>#N/A</v>
      </c>
      <c r="EO4" s="153" t="str">
        <f>AVERAGE(OFFSET($EN$3,0,0,'Données projet'!$E$15+1,1))-AVERAGE(OFFSET($H$3,0,0,'Données projet'!$E$15+1,1))</f>
        <v>#N/A</v>
      </c>
      <c r="EP4" s="153" t="str">
        <f t="shared" ref="EP4:EP203" si="47">$EP$3</f>
        <v>#N/A</v>
      </c>
      <c r="EQ4" s="154">
        <f>IF(ISNA(VLOOKUP(A4,'Données projet'!$A$191:$I$211,3,0)),0,VLOOKUP(A4,'Données projet'!$A$191:$I$211,3,0))</f>
        <v>0</v>
      </c>
      <c r="ER4" s="154">
        <f>IF(ISNA(VLOOKUP(A4,'Données projet'!$A$191:$I$211,4,0)),0,VLOOKUP(A4,'Données projet'!$A$191:$I$211,4,0))</f>
        <v>0</v>
      </c>
      <c r="ES4" s="155">
        <f>IF(ISNA(VLOOKUP(A4,'Données projet'!$A$191:$I$211,5,0)),0%,VLOOKUP(A4,'Données projet'!$A$191:$I$211,5,0)*VLOOKUP('Données projet'!$B$15,'Paramètres'!$A$1:$I$88,7,0))</f>
        <v>0</v>
      </c>
      <c r="ET4" s="155">
        <f>IF(ISNA(VLOOKUP(A4,'Données projet'!$A$191:$I$211,6,0)),0%,VLOOKUP(A4,'Données projet'!$A$191:$I$211,6,0)*VLOOKUP('Données projet'!$B$15,'Paramètres'!$A$1:$I$88,7,0))</f>
        <v>0</v>
      </c>
      <c r="EU4" s="155">
        <f>IF(ISNA(VLOOKUP(A4,'Données projet'!$A$191:$I$211,7,0)),0%,VLOOKUP(A4,'Données projet'!$A$191:$I$211,7,0))</f>
        <v>0</v>
      </c>
      <c r="EV4" s="162" t="str">
        <f>EXP(-LN(2)/35)*EV3+(1-EXP(-LN(2)/35))/(LN(2)/35)*ER4*ES4*VLOOKUP('Données projet'!$B$15,'Paramètres'!$A$1:$I$88,3,0)*0.475*44/12</f>
        <v>#N/A</v>
      </c>
      <c r="EW4" s="162" t="str">
        <f>EXP(-LN(2)/25)*EW3+(1-EXP(-LN(2)/25))/(LN(2)/25)*Calculateur!ER4*Calculateur!ET4*VLOOKUP('Données projet'!$B$15,'Paramètres'!$A$1:$I$88,3,0)*0.475*44/12</f>
        <v>#N/A</v>
      </c>
      <c r="EX4" s="162" t="str">
        <f>EXP(-LN(2)/2)*EX3+(1-EXP(-LN(2)/2))/(LN(2)/2)*ER4*EU4*VLOOKUP('Données projet'!$B$15,'Paramètres'!$A$1:$I$88,3,0)*0.475*44/12</f>
        <v>#N/A</v>
      </c>
      <c r="EY4" s="163" t="str">
        <f t="shared" si="22"/>
        <v>#N/A</v>
      </c>
      <c r="EZ4" s="159">
        <f>('Scénario référence'!$F$8+'Scénario référence'!$F$9+'Scénario référence'!$B$17+'Scénario référence'!$B$9+'Scénario référence'!$B$10)*70+IF((45+25*(1-EXP(-0.0175*A4)))&lt;70,'Scénario référence'!$B$16*(45+25*(1-EXP(-0.0175*A4))),70*'Scénario référence'!$B$16)+IF((32+38*(1-EXP(-0.0175*A4)))&lt;70,'Scénario référence'!$B$18*(32+38*(1-EXP(-0.0175*A4))),70*'Scénario référence'!$B$18)</f>
        <v>70</v>
      </c>
      <c r="FA4" s="151">
        <f>IF(A4&gt;30,10,('Scénario référence'!$B$16+'Scénario référence'!$B$17+'Scénario référence'!$B$18+'Scénario référence'!$B$9+'Scénario référence'!$B$10)*A4*10/30+('Scénario référence'!$F$8+'Scénario référence'!$F$9)*10)</f>
        <v>0.3333333333</v>
      </c>
      <c r="FB4" s="151" t="str">
        <f>VLOOKUP(A4,'Données projet'!$A$217:$I$237,2,0)</f>
        <v>#N/A</v>
      </c>
      <c r="FC4" s="151" t="str">
        <f>VLOOKUP(A4,'Données projet'!$A$217:$I$237,9,0)</f>
        <v>#N/A</v>
      </c>
      <c r="FD4" s="151" t="str">
        <f t="array" ref="FD4">INDEX(FC:FC,MIN(IF(ISNUMBER(FC4:FC200),ROW(FC4:FC200),"")))</f>
        <v/>
      </c>
      <c r="FE4" s="151">
        <f>IF('Données projet'!$A$218&gt;35,FE3+FD4-FM3,IF(A4&lt;'Données projet'!$A$218,$FB$205^A4,IF(A4='Données projet'!$A$218,'Données projet'!$B$218,FE3+FD4-FM3)))</f>
        <v>0</v>
      </c>
      <c r="FF4" s="158" t="str">
        <f>FE4*VLOOKUP('Données projet'!$B$16,'Paramètres'!$A$1:$I$88,3,0)*VLOOKUP('Données projet'!$B$16,'Paramètres'!$A$1:$I$88,5,0)</f>
        <v>#N/A</v>
      </c>
      <c r="FG4" s="150" t="str">
        <f t="shared" ref="FG4:FG203" si="48">EXP(-1.0587+0.8836*LN(FF4)+0.284)</f>
        <v>#N/A</v>
      </c>
      <c r="FH4" s="161" t="str">
        <f t="shared" si="23"/>
        <v>#N/A</v>
      </c>
      <c r="FI4" s="153" t="str">
        <f t="shared" si="24"/>
        <v>#N/A</v>
      </c>
      <c r="FJ4" s="153" t="str">
        <f>AVERAGE(OFFSET($FI$3,0,0,'Données projet'!$E$16+1,1))-AVERAGE(OFFSET($H$3,0,0,'Données projet'!$E$16+1,1))</f>
        <v>#N/A</v>
      </c>
      <c r="FK4" s="153" t="str">
        <f t="shared" ref="FK4:FK203" si="49">$FK$3</f>
        <v>#N/A</v>
      </c>
      <c r="FL4" s="154">
        <f>IF(ISNA(VLOOKUP(A4,'Données projet'!$A$217:$I$237,3,0)),0,VLOOKUP(A4,'Données projet'!$A$217:$I$237,3,0))</f>
        <v>0</v>
      </c>
      <c r="FM4" s="154">
        <f>IF(ISNA(VLOOKUP(A4,'Données projet'!$A$217:$I$237,4,0)),0,VLOOKUP(A4,'Données projet'!$A$217:$I$237,4,0))</f>
        <v>0</v>
      </c>
      <c r="FN4" s="155">
        <f>IF(ISNA(VLOOKUP(A4,'Données projet'!$A$217:$I$237,5,0)),0%,VLOOKUP(A4,'Données projet'!$A$217:$I$237,5,0)*VLOOKUP('Données projet'!$B$16,'Paramètres'!$A$1:$I$88,7,0))</f>
        <v>0</v>
      </c>
      <c r="FO4" s="155">
        <f>IF(ISNA(VLOOKUP(A4,'Données projet'!$A$217:$I$237,6,0)),0%,VLOOKUP(A4,'Données projet'!$A$217:$I$237,6,0)*VLOOKUP('Données projet'!$B$16,'Paramètres'!$A$1:$I$88,7,0))</f>
        <v>0</v>
      </c>
      <c r="FP4" s="155">
        <f>IF(ISNA(VLOOKUP(A4,'Données projet'!$A$217:$I$237,7,0)),0%,VLOOKUP(A4,'Données projet'!$A$217:$I$237,7,0))</f>
        <v>0</v>
      </c>
      <c r="FQ4" s="162" t="str">
        <f>EXP(-LN(2)/35)*FQ3+(1-EXP(-LN(2)/35))/(LN(2)/35)*FM4*FN4*VLOOKUP('Données projet'!$B$16,'Paramètres'!$A$1:$I$88,3,0)*0.475*44/12</f>
        <v>#N/A</v>
      </c>
      <c r="FR4" s="162" t="str">
        <f>EXP(-LN(2)/25)*FR3+(1-EXP(-LN(2)/25))/(LN(2)/25)*Calculateur!FM4*Calculateur!FO4*VLOOKUP('Données projet'!$B$16,'Paramètres'!$A$1:$I$88,3,0)*0.475*44/12</f>
        <v>#N/A</v>
      </c>
      <c r="FS4" s="162" t="str">
        <f>EXP(-LN(2)/2)*FS3+(1-EXP(-LN(2)/2))/(LN(2)/2)*FM4*FP4*VLOOKUP('Données projet'!$B$16,'Paramètres'!$A$1:$I$88,3,0)*0.475*44/12</f>
        <v>#N/A</v>
      </c>
      <c r="FT4" s="163" t="str">
        <f t="shared" si="25"/>
        <v>#N/A</v>
      </c>
      <c r="FU4" s="159">
        <f>('Scénario référence'!$F$8+'Scénario référence'!$F$9+'Scénario référence'!$B$17+'Scénario référence'!$B$9+'Scénario référence'!$B$10)*70+IF((45+25*(1-EXP(-0.0175*A4)))&lt;70,'Scénario référence'!$B$16*(45+25*(1-EXP(-0.0175*A4))),70*'Scénario référence'!$B$16)+IF((32+38*(1-EXP(-0.0175*A4)))&lt;70,'Scénario référence'!$B$18*(32+38*(1-EXP(-0.0175*A4))),70*'Scénario référence'!$B$18)</f>
        <v>70</v>
      </c>
      <c r="FV4" s="151">
        <f>IF(A4&gt;30,10,('Scénario référence'!$B$16+'Scénario référence'!$B$17+'Scénario référence'!$B$18+'Scénario référence'!$B$9+'Scénario référence'!$B$10)*A4*10/30+('Scénario référence'!$F$8+'Scénario référence'!$F$9)*10)</f>
        <v>0.3333333333</v>
      </c>
      <c r="FW4" s="151" t="str">
        <f>VLOOKUP(A4,'Données projet'!$A$243:$I$263,2,0)</f>
        <v>#N/A</v>
      </c>
      <c r="FX4" s="151" t="str">
        <f>VLOOKUP(A4,'Données projet'!$A$243:$I$263,9,0)</f>
        <v>#N/A</v>
      </c>
      <c r="FY4" s="151" t="str">
        <f t="array" ref="FY4">INDEX(FX:FX,MIN(IF(ISNUMBER(FX4:FX200),ROW(FX4:FX200),"")))</f>
        <v/>
      </c>
      <c r="FZ4" s="151">
        <f>IF('Données projet'!$A$244&gt;35,FZ3+FY4-GH3,IF(A4&lt;'Données projet'!$A$244,$FW$205^A4,IF(A4='Données projet'!$A$244,'Données projet'!$B$244,FZ3+FY4-GH3)))</f>
        <v>0</v>
      </c>
      <c r="GA4" s="158" t="str">
        <f>FZ4*VLOOKUP('Données projet'!$B$17,'Paramètres'!$A$1:$I$88,3,0)*VLOOKUP('Données projet'!$B$17,'Paramètres'!$A$1:$I$88,5,0)</f>
        <v>#N/A</v>
      </c>
      <c r="GB4" s="150" t="str">
        <f t="shared" ref="GB4:GB203" si="50">EXP(-1.0587+0.8836*LN(GA4)+0.284)</f>
        <v>#N/A</v>
      </c>
      <c r="GC4" s="161" t="str">
        <f t="shared" si="26"/>
        <v>#N/A</v>
      </c>
      <c r="GD4" s="153" t="str">
        <f t="shared" si="27"/>
        <v>#N/A</v>
      </c>
      <c r="GE4" s="153" t="str">
        <f>AVERAGE(OFFSET($GD$3,0,0,'Données projet'!$E$17+1,1))-AVERAGE(OFFSET($H$3,0,0,'Données projet'!$E$17+1,1))</f>
        <v>#N/A</v>
      </c>
      <c r="GF4" s="153" t="str">
        <f t="shared" ref="GF4:GF203" si="51">$GF$3</f>
        <v>#N/A</v>
      </c>
      <c r="GG4" s="154">
        <f>IF(ISNA(VLOOKUP(A4,'Données projet'!$A$243:$I$263,3,0)),0,VLOOKUP(A4,'Données projet'!$A$243:$I$263,3,0))</f>
        <v>0</v>
      </c>
      <c r="GH4" s="154">
        <f>IF(ISNA(VLOOKUP(A4,'Données projet'!$A$243:$I$263,4,0)),0,VLOOKUP(A4,'Données projet'!$A$243:$I$263,4,0))</f>
        <v>0</v>
      </c>
      <c r="GI4" s="155">
        <f>IF(ISNA(VLOOKUP(A4,'Données projet'!$A$243:$I$263,5,0)),0%,VLOOKUP(A4,'Données projet'!$A$243:$I$263,5,0)*VLOOKUP('Données projet'!$B$17,'Paramètres'!$A$1:$I$88,7,0))</f>
        <v>0</v>
      </c>
      <c r="GJ4" s="155">
        <f>IF(ISNA(VLOOKUP(A4,'Données projet'!$A$243:$I$263,6,0)),0%,VLOOKUP(A4,'Données projet'!$A$243:$I$263,6,0)*VLOOKUP('Données projet'!$B$17,'Paramètres'!$A$1:$I$88,7,0))</f>
        <v>0</v>
      </c>
      <c r="GK4" s="155">
        <f>IF(ISNA(VLOOKUP(A4,'Données projet'!$A$243:$I$263,7,0)),0%,VLOOKUP(A4,'Données projet'!$A$243:$I$263,7,0))</f>
        <v>0</v>
      </c>
      <c r="GL4" s="162" t="str">
        <f>EXP(-LN(2)/35)*GL3+(1-EXP(-LN(2)/35))/(LN(2)/35)*GH4*GI4*VLOOKUP('Données projet'!$B$17,'Paramètres'!$A$1:$I$88,3,0)*0.475*44/12</f>
        <v>#N/A</v>
      </c>
      <c r="GM4" s="162" t="str">
        <f>EXP(-LN(2)/25)*GM3+(1-EXP(-LN(2)/25))/(LN(2)/25)*Calculateur!GH4*Calculateur!GJ4*VLOOKUP('Données projet'!$B$17,'Paramètres'!$A$1:$I$88,3,0)*0.475*44/12</f>
        <v>#N/A</v>
      </c>
      <c r="GN4" s="162" t="str">
        <f>EXP(-LN(2)/2)*GN3+(1-EXP(-LN(2)/2))/(LN(2)/2)*GH4*GK4*VLOOKUP('Données projet'!$B$17,'Paramètres'!$A$1:$I$88,3,0)*0.475*44/12</f>
        <v>#N/A</v>
      </c>
      <c r="GO4" s="162" t="str">
        <f t="shared" si="28"/>
        <v>#N/A</v>
      </c>
      <c r="GP4" s="159">
        <f>('Scénario référence'!$F$8+'Scénario référence'!$F$9+'Scénario référence'!$B$17+'Scénario référence'!$B$9+'Scénario référence'!$B$10)*70+IF((45+25*(1-EXP(-0.0175*A4)))&lt;70,'Scénario référence'!$B$16*(45+25*(1-EXP(-0.0175*A4))),70*'Scénario référence'!$B$16)+IF((32+38*(1-EXP(-0.0175*A4)))&lt;70,'Scénario référence'!$B$18*(32+38*(1-EXP(-0.0175*A4))),70*'Scénario référence'!$B$18)</f>
        <v>70</v>
      </c>
      <c r="GQ4" s="151">
        <f>IF(A4&gt;30,10,('Scénario référence'!$B$16+'Scénario référence'!$B$17+'Scénario référence'!$B$18+'Scénario référence'!$B$9+'Scénario référence'!$B$10)*A4*10/30+('Scénario référence'!$F$8+'Scénario référence'!$F$9)*10)</f>
        <v>0.3333333333</v>
      </c>
      <c r="GR4" s="151" t="str">
        <f>VLOOKUP(A4,'Données projet'!$A$269:$I$289,2,0)</f>
        <v>#N/A</v>
      </c>
      <c r="GS4" s="151" t="str">
        <f>VLOOKUP(A4,'Données projet'!$A$269:$I$289,9,0)</f>
        <v>#N/A</v>
      </c>
      <c r="GT4" s="151" t="str">
        <f t="array" ref="GT4">INDEX(GS:GS,MIN(IF(ISNUMBER(GS4:GS200),ROW(GS4:GS200),"")))</f>
        <v/>
      </c>
      <c r="GU4" s="151">
        <f>IF('Données projet'!$A$270&gt;35,GU3+GT4-HC3,IF(A4&lt;'Données projet'!$A$270,$GR$205^A4,IF(A4='Données projet'!$A$270,'Données projet'!$B$270,GU3+GT4-HC3)))</f>
        <v>0</v>
      </c>
      <c r="GV4" s="158" t="str">
        <f>GU4*VLOOKUP('Données projet'!$B$18,'Paramètres'!$A$1:$I$88,3,0)*VLOOKUP('Données projet'!$B$18,'Paramètres'!$A$1:$I$88,5,0)</f>
        <v>#N/A</v>
      </c>
      <c r="GW4" s="150" t="str">
        <f t="shared" ref="GW4:GW203" si="52">EXP(-1.0587+0.8836*LN(GV4)+0.284)</f>
        <v>#N/A</v>
      </c>
      <c r="GX4" s="161" t="str">
        <f t="shared" si="29"/>
        <v>#N/A</v>
      </c>
      <c r="GY4" s="153" t="str">
        <f t="shared" si="30"/>
        <v>#N/A</v>
      </c>
      <c r="GZ4" s="153" t="str">
        <f>AVERAGE(OFFSET($GY$3,0,0,'Données projet'!$E$18+1,1))-AVERAGE(OFFSET($H$3,0,0,'Données projet'!$E$18+1,1))</f>
        <v>#N/A</v>
      </c>
      <c r="HA4" s="153" t="str">
        <f t="shared" ref="HA4:HA203" si="53">$HA$3</f>
        <v>#N/A</v>
      </c>
      <c r="HB4" s="154">
        <f>IF(ISNA(VLOOKUP(A4,'Données projet'!$A$269:$I$289,3,0)),0,VLOOKUP(A4,'Données projet'!$A$269:$I$289,3,0))</f>
        <v>0</v>
      </c>
      <c r="HC4" s="154">
        <f>IF(ISNA(VLOOKUP(A4,'Données projet'!$A$269:$I$289,4,0)),0,VLOOKUP(A4,'Données projet'!$A$269:$I$289,4,0))</f>
        <v>0</v>
      </c>
      <c r="HD4" s="155">
        <f>IF(ISNA(VLOOKUP(A4,'Données projet'!$A$269:$I$289,5,0)),0%,VLOOKUP(A4,'Données projet'!$A$269:$I$289,5,0)*VLOOKUP('Données projet'!$B$18,'Paramètres'!$A$1:$I$88,7,0))</f>
        <v>0</v>
      </c>
      <c r="HE4" s="155">
        <f>IF(ISNA(VLOOKUP(A4,'Données projet'!$A$269:$I$289,6,0)),0%,VLOOKUP(A4,'Données projet'!$A$269:$I$289,6,0)*VLOOKUP('Données projet'!$B$18,'Paramètres'!$A$1:$I$88,7,0))</f>
        <v>0</v>
      </c>
      <c r="HF4" s="155">
        <f>IF(ISNA(VLOOKUP(A4,'Données projet'!$A$269:$I$289,7,0)),0%,VLOOKUP(A4,'Données projet'!$A$269:$I$289,7,0))</f>
        <v>0</v>
      </c>
      <c r="HG4" s="162" t="str">
        <f>EXP(-LN(2)/35)*HG3+(1-EXP(-LN(2)/35))/(LN(2)/35)*HC4*HD4*VLOOKUP('Données projet'!$B$18,'Paramètres'!$A$1:$I$88,3,0)*0.475*44/12</f>
        <v>#N/A</v>
      </c>
      <c r="HH4" s="162" t="str">
        <f>EXP(-LN(2)/25)*HH3+(1-EXP(-LN(2)/25))/(LN(2)/25)*Calculateur!HC4*Calculateur!HE4*VLOOKUP('Données projet'!$B$18,'Paramètres'!$A$1:$I$88,3,0)*0.475*44/12</f>
        <v>#N/A</v>
      </c>
      <c r="HI4" s="162" t="str">
        <f>EXP(-LN(2)/2)*HI3+(1-EXP(-LN(2)/2))/(LN(2)/2)*HC4*HF4*VLOOKUP('Données projet'!$B$18,'Paramètres'!$A$1:$I$88,3,0)*0.475*44/12</f>
        <v>#N/A</v>
      </c>
      <c r="HJ4" s="163" t="str">
        <f t="shared" si="31"/>
        <v>#N/A</v>
      </c>
    </row>
    <row r="5">
      <c r="A5" s="145">
        <f t="shared" si="32"/>
        <v>2</v>
      </c>
      <c r="B5" s="146">
        <f>'Scénario référence'!$B$16*5+'Scénario référence'!$B$17*0+'Scénario référence'!$B$18*5</f>
        <v>0</v>
      </c>
      <c r="C5" s="160">
        <f>Calculateur!C4+'Scénario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5" s="147">
        <f t="shared" si="33"/>
        <v>0</v>
      </c>
      <c r="E5" s="147">
        <f>'Scénario référence'!$B$16*45+('Scénario référence'!$B$17+'Scénario référence'!$F$8+'Scénario référence'!$F$9+'Scénario référence'!$B$10+'Scénario référence'!$B$9)*70+'Scénario référence'!$B$18*32</f>
        <v>70</v>
      </c>
      <c r="F5" s="147">
        <f>IF(OR('Scénario référence'!$F$8&gt;0,'Scénario référence'!$F$9&gt;0),('Scénario référence'!$F$8+'Scénario référence'!$F$9)*10,0)</f>
        <v>0</v>
      </c>
      <c r="G5" s="147">
        <f>'Scénario référence'!$B$8*B5*44/12+'Scénario référence'!$B$9*(C5+D5)/0.475*44/12+'Scénario référence'!$B$10*(C5+D5)/0.475*44/12+'Scénario référence'!$F$8*(C5+D5)/0.475*44/12+'Scénario référence'!$F$9*(C5+D5)/0.475*44/12</f>
        <v>0</v>
      </c>
      <c r="H5" s="148">
        <f t="shared" si="1"/>
        <v>256.6666667</v>
      </c>
      <c r="I5" s="149">
        <f>('Scénario référence'!$F$8+'Scénario référence'!$F$9+'Scénario référence'!$B$17+'Scénario référence'!$B$9+'Scénario référence'!$B$10)*70+IF((45+25*(1-EXP(-0.0175*A5)))&lt;70,'Scénario référence'!$B$16*(45+25*(1-EXP(-0.0175*A5))),70*'Scénario référence'!$B$16)+IF((32+38*(1-EXP(-0.0175*A5)))&lt;70,'Scénario référence'!$B$18*(32+38*(1-EXP(-0.0175*A5))),70*'Scénario référence'!$B$18)</f>
        <v>70</v>
      </c>
      <c r="J5" s="150">
        <f>IF(A5&gt;30,10,('Scénario référence'!$B$16+'Scénario référence'!$B$17+'Scénario référence'!$B$18+'Scénario référence'!$B$9+'Scénario référence'!$B$10)*A5*10/30+('Scénario référence'!$F$8+'Scénario référence'!$F$9)*10)</f>
        <v>0.6666666667</v>
      </c>
      <c r="K5" s="151" t="str">
        <f>VLOOKUP(A5,'Données projet'!$A$35:$I$55,2,0)</f>
        <v>#N/A</v>
      </c>
      <c r="L5" s="151" t="str">
        <f>VLOOKUP(A5,'Données projet'!$A$35:$I$55,9,0)</f>
        <v>#N/A</v>
      </c>
      <c r="M5" s="150">
        <f t="array" ref="M5">INDEX(L:L,MIN(IF(ISNUMBER(L5:L201),ROW(L5:L201),"")))</f>
        <v>3.65</v>
      </c>
      <c r="N5" s="150">
        <f>IF('Données projet'!$A$36&gt;35,N4+M5-V4,IF(A5&lt;'Données projet'!$A$36,$K$205^A5,IF(A5='Données projet'!$A$36,'Données projet'!$B$36,N4+M5-V4)))</f>
        <v>1.535791593</v>
      </c>
      <c r="O5" s="150">
        <f>N5*VLOOKUP('Données projet'!$B$9,'Paramètres'!$A$1:$I$88,3,0)*VLOOKUP('Données projet'!$B$9,'Paramètres'!$A$1:$I$88,5,0)</f>
        <v>1.389584234</v>
      </c>
      <c r="P5" s="150">
        <f t="shared" si="34"/>
        <v>0.6163184133</v>
      </c>
      <c r="Q5" s="161">
        <f t="shared" si="2"/>
        <v>3.493613777</v>
      </c>
      <c r="R5" s="153">
        <f t="shared" si="3"/>
        <v>262.6047249</v>
      </c>
      <c r="S5" s="153">
        <f>AVERAGE(OFFSET($R$3,0,0,'Données projet'!$E$9+1,1))-AVERAGE(OFFSET($H$3,0,0,'Données projet'!$E$9+1,1))</f>
        <v>439.1985427</v>
      </c>
      <c r="T5" s="153">
        <f t="shared" si="35"/>
        <v>278.2174123</v>
      </c>
      <c r="U5" s="154">
        <f>IF(ISNA(VLOOKUP(A5,'Données projet'!$A$35:$I$55,3,0)),0,VLOOKUP(A5,'Données projet'!$A$35:$I$55,3,0))</f>
        <v>0</v>
      </c>
      <c r="V5" s="154">
        <f>IF(ISNA(VLOOKUP(A5,'Données projet'!$A$35:$I$55,4,0)),0,VLOOKUP(A5,'Données projet'!$A$35:$I$55,4,0))</f>
        <v>0</v>
      </c>
      <c r="W5" s="155">
        <f>IF(ISNA(VLOOKUP(A5,'Données projet'!$A$35:$I$55,5,0)),0%,VLOOKUP(A5,'Données projet'!$A$35:$I$55,5,0)*VLOOKUP('Données projet'!$B$9,'Paramètres'!$A$1:$I$88,7,0))</f>
        <v>0</v>
      </c>
      <c r="X5" s="155">
        <f>IF(ISNA(VLOOKUP(A5,'Données projet'!$A$35:$I$55,6,0)),0%,VLOOKUP(A5,'Données projet'!$A$35:$I$55,6,0)*VLOOKUP('Données projet'!$B$9,'Paramètres'!$A$1:$I$88,7,0))</f>
        <v>0</v>
      </c>
      <c r="Y5" s="155">
        <f>IF(ISNA(VLOOKUP(A5,'Données projet'!$A$35:$I$55,7,0)),0%,VLOOKUP(A5,'Données projet'!$A$35:$I$55,7,0))</f>
        <v>0</v>
      </c>
      <c r="Z5" s="162">
        <f>EXP(-LN(2)/35)*Z4+(1-EXP(-LN(2)/35))/(LN(2)/35)*V5*W5*VLOOKUP('Données projet'!$B$9,'Paramètres'!$A$1:$I$88,3,0)*0.475*44/12</f>
        <v>0</v>
      </c>
      <c r="AA5" s="162">
        <f>EXP(-LN(2)/25)*AA4+(1-EXP(-LN(2)/25))/(LN(2)/25)*Calculateur!V5*Calculateur!X5*VLOOKUP('Données projet'!$B$9,'Paramètres'!$A$1:$I$88,3,0)*0.475*44/12</f>
        <v>0</v>
      </c>
      <c r="AB5" s="162">
        <f>EXP(-LN(2)/2)*AB4+(1-EXP(-LN(2)/2))/(LN(2)/2)*V5*Y5*VLOOKUP('Données projet'!$B$9,'Paramètres'!$A$1:$I$88,3,0)*0.475*44/12</f>
        <v>0</v>
      </c>
      <c r="AC5" s="163">
        <f t="shared" si="4"/>
        <v>0</v>
      </c>
      <c r="AD5" s="150">
        <f>('Scénario référence'!$F$8+'Scénario référence'!$F$9+'Scénario référence'!$B$17+'Scénario référence'!$B$9+'Scénario référence'!$B$10)*70+IF((45+25*(1-EXP(-0.0175*A5)))&lt;70,'Scénario référence'!$B$16*(45+25*(1-EXP(-0.0175*A5))),70*'Scénario référence'!$B$16)+IF((32+38*(1-EXP(-0.0175*A5)))&lt;70,'Scénario référence'!$B$18*(32+38*(1-EXP(-0.0175*A5))),70*'Scénario référence'!$B$18)</f>
        <v>70</v>
      </c>
      <c r="AE5" s="150">
        <f>IF(A5&gt;30,10,('Scénario référence'!$B$16+'Scénario référence'!$B$17+'Scénario référence'!$B$18+'Scénario référence'!$B$9+'Scénario référence'!$B$10)*A5*10/30+('Scénario référence'!$F$8+'Scénario référence'!$F$9)*10)</f>
        <v>0.6666666667</v>
      </c>
      <c r="AF5" s="151" t="str">
        <f>VLOOKUP(A5,'Données projet'!$A$61:$I$81,2,0)</f>
        <v>#N/A</v>
      </c>
      <c r="AG5" s="151" t="str">
        <f>VLOOKUP(A5,'Données projet'!$A$61:$I$81,9,0)</f>
        <v>#N/A</v>
      </c>
      <c r="AH5" s="150">
        <f t="array" ref="AH5">INDEX(AG:AG,MIN(IF(ISNUMBER(AG5:AG201),ROW(AG5:AG201),"")))</f>
        <v>1.9</v>
      </c>
      <c r="AI5" s="150">
        <f>IF('Données projet'!$A$62&gt;35,AI4+AH5-AQ4,IF(A5&lt;'Données projet'!$A$62,$AF$205^A5,IF(A5='Données projet'!$A$62,'Données projet'!$B$62,AI4+AH5-AQ4)))</f>
        <v>1.801983127</v>
      </c>
      <c r="AJ5" s="150">
        <f>AI5*VLOOKUP('Données projet'!$B$10,'Paramètres'!$A$1:$I$88,3,0)*VLOOKUP('Données projet'!$B$10,'Paramètres'!$A$1:$I$88,5,0)</f>
        <v>1.433657776</v>
      </c>
      <c r="AK5" s="150">
        <f t="shared" si="36"/>
        <v>0.6335593491</v>
      </c>
      <c r="AL5" s="161">
        <f t="shared" si="5"/>
        <v>3.60040316</v>
      </c>
      <c r="AM5" s="153">
        <f t="shared" si="6"/>
        <v>262.7115143</v>
      </c>
      <c r="AN5" s="153">
        <f>AVERAGE(OFFSET($AM$3,0,0,'Données projet'!$E$10+1,1))-AVERAGE(OFFSET($H$3,0,0,'Données projet'!$E$10+1,1))</f>
        <v>405.6113614</v>
      </c>
      <c r="AO5" s="153">
        <f t="shared" si="37"/>
        <v>393.0787141</v>
      </c>
      <c r="AP5" s="154">
        <f>IF(ISNA(VLOOKUP(A5,'Données projet'!$A$61:$I$81,3,0)),0,VLOOKUP(A5,'Données projet'!$A$61:$I$81,3,0))</f>
        <v>0</v>
      </c>
      <c r="AQ5" s="154">
        <f>IF(ISNA(VLOOKUP(A5,'Données projet'!$A$61:$I$81,4,0)),0,VLOOKUP(A5,'Données projet'!$A$61:$I$81,4,0))</f>
        <v>0</v>
      </c>
      <c r="AR5" s="155">
        <f>IF(ISNA(VLOOKUP(A5,'Données projet'!$A$61:$I$81,5,0)),0%,VLOOKUP(A5,'Données projet'!$A$61:$I$81,5,0)*VLOOKUP('Données projet'!$B$10,'Paramètres'!$A$1:$I$88,7,0))</f>
        <v>0</v>
      </c>
      <c r="AS5" s="155">
        <f>IF(ISNA(VLOOKUP(A5,'Données projet'!$A$61:$I$81,6,0)),0%,VLOOKUP(A5,'Données projet'!$A$61:$I$81,6,0)*VLOOKUP('Données projet'!$B$10,'Paramètres'!$A$1:$I$88,7,0))</f>
        <v>0</v>
      </c>
      <c r="AT5" s="155">
        <f>IF(ISNA(VLOOKUP(A5,'Données projet'!$A$61:$I$81,7,0)),0%,VLOOKUP(A5,'Données projet'!$A$61:$I$81,7,0))</f>
        <v>0</v>
      </c>
      <c r="AU5" s="162">
        <f>EXP(-LN(2)/35)*AU4+(1-EXP(-LN(2)/35))/(LN(2)/35)*AQ5*AR5*VLOOKUP('Données projet'!$B$10,'Paramètres'!$A$1:$I$88,3,0)*0.475*44/12</f>
        <v>0</v>
      </c>
      <c r="AV5" s="162">
        <f>EXP(-LN(2)/25)*AV4+(1-EXP(-LN(2)/25))/(LN(2)/25)*Calculateur!AQ5*Calculateur!AS5*VLOOKUP('Données projet'!$B$10,'Paramètres'!$A$1:$I$88,3,0)*0.475*44/12</f>
        <v>0</v>
      </c>
      <c r="AW5" s="162">
        <f>EXP(-LN(2)/2)*AW4+(1-EXP(-LN(2)/2))/(LN(2)/2)*AQ5*AT5*VLOOKUP('Données projet'!$B$10,'Paramètres'!$A$1:$I$88,3,0)*0.475*44/12</f>
        <v>0</v>
      </c>
      <c r="AX5" s="162">
        <f t="shared" si="7"/>
        <v>0</v>
      </c>
      <c r="AY5" s="157">
        <f>('Scénario référence'!$F$8+'Scénario référence'!$F$9+'Scénario référence'!$B$17+'Scénario référence'!$B$9+'Scénario référence'!$B$10)*70+IF((45+25*(1-EXP(-0.0175*A5)))&lt;70,'Scénario référence'!$B$16*(45+25*(1-EXP(-0.0175*A5))),70*'Scénario référence'!$B$16)+IF((32+38*(1-EXP(-0.0175*A5)))&lt;70,'Scénario référence'!$B$18*(32+38*(1-EXP(-0.0175*A5))),70*'Scénario référence'!$B$18)</f>
        <v>70</v>
      </c>
      <c r="AZ5" s="151">
        <f>IF(A5&gt;30,10,('Scénario référence'!$B$16+'Scénario référence'!$B$17+'Scénario référence'!$B$18+'Scénario référence'!$B$9+'Scénario référence'!$B$10)*A5*10/30+('Scénario référence'!$F$8+'Scénario référence'!$F$9)*10)</f>
        <v>0.6666666667</v>
      </c>
      <c r="BA5" s="151" t="str">
        <f>VLOOKUP(A5,'Données projet'!$A$87:$I$107,2,0)</f>
        <v>#N/A</v>
      </c>
      <c r="BB5" s="151" t="str">
        <f>VLOOKUP(A5,'Données projet'!$A$87:$I$107,9,0)</f>
        <v>#N/A</v>
      </c>
      <c r="BC5" s="150" t="str">
        <f t="array" ref="BC5">INDEX(BB:BB,MIN(IF(ISNUMBER(BB5:BB201),ROW(BB5:BB201),"")))</f>
        <v/>
      </c>
      <c r="BD5" s="150">
        <f>IF('Données projet'!$A$88&gt;35,BD4+BC5-BL4,IF(A5&lt;'Données projet'!$A$88,$BA$205^A5,IF(A5='Données projet'!$A$88,'Données projet'!$B$88,BD4+BC5-BL4)))</f>
        <v>0</v>
      </c>
      <c r="BE5" s="150">
        <f>BD5*VLOOKUP('Données projet'!$B$11,'Paramètres'!$A$1:$I$88,3,0)*VLOOKUP('Données projet'!$B$11,'Paramètres'!$A$1:$I$88,5,0)</f>
        <v>0</v>
      </c>
      <c r="BF5" s="150" t="str">
        <f t="shared" si="38"/>
        <v>#NUM!</v>
      </c>
      <c r="BG5" s="161" t="str">
        <f t="shared" si="8"/>
        <v>#NUM!</v>
      </c>
      <c r="BH5" s="153" t="str">
        <f t="shared" si="9"/>
        <v>#NUM!</v>
      </c>
      <c r="BI5" s="153">
        <f>AVERAGE(OFFSET($BH$3,0,0,'Données projet'!$E$11+1,1))-AVERAGE(OFFSET($H$3,0,0,'Données projet'!$E$11+1,1))</f>
        <v>0</v>
      </c>
      <c r="BJ5" s="153">
        <f t="shared" si="39"/>
        <v>0</v>
      </c>
      <c r="BK5" s="154">
        <f>IF(ISNA(VLOOKUP(A5,'Données projet'!$A$87:$I$107,3,0)),0,VLOOKUP(A5,'Données projet'!$A$87:$I$107,3,0))</f>
        <v>0</v>
      </c>
      <c r="BL5" s="154">
        <f>IF(ISNA(VLOOKUP(A5,'Données projet'!$A$87:$I$107,4,0)),0,VLOOKUP(A5,'Données projet'!$A$87:$I$107,4,0))</f>
        <v>0</v>
      </c>
      <c r="BM5" s="155">
        <f>IF(ISNA(VLOOKUP(A5,'Données projet'!$A$87:$I$107,5,0)),0%,VLOOKUP(A5,'Données projet'!$A$87:$I$107,5,0)*VLOOKUP('Données projet'!$B$11,'Paramètres'!$A$1:$I$88,7,0))</f>
        <v>0</v>
      </c>
      <c r="BN5" s="155">
        <f>IF(ISNA(VLOOKUP(A5,'Données projet'!$A$87:$I$107,6,0)),0%,VLOOKUP(A5,'Données projet'!$A$87:$I$107,6,0)*VLOOKUP('Données projet'!$B$11,'Paramètres'!$A$1:$I$88,7,0))</f>
        <v>0</v>
      </c>
      <c r="BO5" s="155">
        <f>IF(ISNA(VLOOKUP(A5,'Données projet'!$A$87:$I$107,7,0)),0%,VLOOKUP(A5,'Données projet'!$A$87:$I$107,7,0))</f>
        <v>0</v>
      </c>
      <c r="BP5" s="162">
        <f>EXP(-LN(2)/35)*BP4+(1-EXP(-LN(2)/35))/(LN(2)/35)*BL5*BM5*VLOOKUP('Données projet'!$B$11,'Paramètres'!$A$1:$I$88,3,0)*0.475*44/12</f>
        <v>0</v>
      </c>
      <c r="BQ5" s="162">
        <f>EXP(-LN(2)/25)*BQ4+(1-EXP(-LN(2)/25))/(LN(2)/25)*Calculateur!BL5*Calculateur!BN5*VLOOKUP('Données projet'!$B$11,'Paramètres'!$A$1:$I$88,3,0)*0.475*44/12</f>
        <v>0</v>
      </c>
      <c r="BR5" s="162">
        <f>EXP(-LN(2)/2)*BR4+(1-EXP(-LN(2)/2))/(LN(2)/2)*BL5*BO5*VLOOKUP('Données projet'!$B$11,'Paramètres'!$A$1:$I$88,3,0)*0.475*44/12</f>
        <v>0</v>
      </c>
      <c r="BS5" s="163">
        <f t="shared" si="10"/>
        <v>0</v>
      </c>
      <c r="BT5" s="159">
        <f>('Scénario référence'!$F$8+'Scénario référence'!$F$9+'Scénario référence'!$B$17+'Scénario référence'!$B$9+'Scénario référence'!$B$10)*70+IF((45+25*(1-EXP(-0.0175*A5)))&lt;70,'Scénario référence'!$B$16*(45+25*(1-EXP(-0.0175*A5))),70*'Scénario référence'!$B$16)+IF((32+38*(1-EXP(-0.0175*A5)))&lt;70,'Scénario référence'!$B$18*(32+38*(1-EXP(-0.0175*A5))),70*'Scénario référence'!$B$18)</f>
        <v>70</v>
      </c>
      <c r="BU5" s="151">
        <f>IF(A5&gt;30,10,('Scénario référence'!$B$16+'Scénario référence'!$B$17+'Scénario référence'!$B$18+'Scénario référence'!$B$9+'Scénario référence'!$B$10)*A5*10/30+('Scénario référence'!$F$8+'Scénario référence'!$F$9)*10)</f>
        <v>0.6666666667</v>
      </c>
      <c r="BV5" s="151" t="str">
        <f>VLOOKUP(A5,'Données projet'!$A$113:$I$133,2,0)</f>
        <v>#N/A</v>
      </c>
      <c r="BW5" s="151" t="str">
        <f>VLOOKUP(A5,'Données projet'!$A$113:$I$133,9,0)</f>
        <v>#N/A</v>
      </c>
      <c r="BX5" s="150" t="str">
        <f t="array" ref="BX5">INDEX(BW:BW,MIN(IF(ISNUMBER(BW5:BW201),ROW(BW5:BW201),"")))</f>
        <v/>
      </c>
      <c r="BY5" s="150">
        <f>IF('Données projet'!$A$114&gt;35,BY4+BX5-CG4,IF(A5&lt;'Données projet'!$A$114,$BV$205^A5,IF(A5='Données projet'!$A$114,'Données projet'!$B$114,BY4+BX5-CG4)))</f>
        <v>0</v>
      </c>
      <c r="BZ5" s="150" t="str">
        <f>BY5*VLOOKUP('Données projet'!$B$12,'Paramètres'!$A$1:$I$88,3,0)*VLOOKUP('Données projet'!$B$12,'Paramètres'!$A$1:$I$88,5,0)</f>
        <v>#N/A</v>
      </c>
      <c r="CA5" s="150" t="str">
        <f t="shared" si="40"/>
        <v>#N/A</v>
      </c>
      <c r="CB5" s="161" t="str">
        <f t="shared" si="11"/>
        <v>#N/A</v>
      </c>
      <c r="CC5" s="153" t="str">
        <f t="shared" si="12"/>
        <v>#N/A</v>
      </c>
      <c r="CD5" s="153" t="str">
        <f>AVERAGE(OFFSET($CC$3,0,0,'Données projet'!$E$12+1,1))-AVERAGE(OFFSET($H$3,0,0,'Données projet'!$E$12+1,1))</f>
        <v>#N/A</v>
      </c>
      <c r="CE5" s="153" t="str">
        <f t="shared" si="41"/>
        <v>#N/A</v>
      </c>
      <c r="CF5" s="154">
        <f>IF(ISNA(VLOOKUP(A5,'Données projet'!$A$113:$I$133,3,0)),0,VLOOKUP(A5,'Données projet'!$A$113:$I$133,3,0))</f>
        <v>0</v>
      </c>
      <c r="CG5" s="154">
        <f>IF(ISNA(VLOOKUP(A5,'Données projet'!$A$113:$I$133,4,0)),0,VLOOKUP(A5,'Données projet'!$A$113:$I$133,4,0))</f>
        <v>0</v>
      </c>
      <c r="CH5" s="155">
        <f>IF(ISNA(VLOOKUP(A5,'Données projet'!$A$113:$I$133,5,0)),0%,VLOOKUP(A5,'Données projet'!$A$113:$I$133,5,0)*VLOOKUP('Données projet'!$B$12,'Paramètres'!$A$1:$I$88,7,0))</f>
        <v>0</v>
      </c>
      <c r="CI5" s="155">
        <f>IF(ISNA(VLOOKUP(A5,'Données projet'!$A$113:$I$133,6,0)),0%,VLOOKUP(A5,'Données projet'!$A$113:$I$133,6,0)*VLOOKUP('Données projet'!$B$12,'Paramètres'!$A$1:$I$88,7,0))</f>
        <v>0</v>
      </c>
      <c r="CJ5" s="155">
        <f>IF(ISNA(VLOOKUP(A5,'Données projet'!$A$113:$I$133,7,0)),0%,VLOOKUP(A5,'Données projet'!$A$113:$I$133,7,0))</f>
        <v>0</v>
      </c>
      <c r="CK5" s="162" t="str">
        <f>EXP(-LN(2)/35)*CK4+(1-EXP(-LN(2)/35))/(LN(2)/35)*CG5*CH5*VLOOKUP('Données projet'!$B$12,'Paramètres'!$A$1:$I$88,3,0)*0.475*44/12</f>
        <v>#N/A</v>
      </c>
      <c r="CL5" s="162" t="str">
        <f>EXP(-LN(2)/25)*CL4+(1-EXP(-LN(2)/25))/(LN(2)/25)*Calculateur!CG5*Calculateur!CI5*VLOOKUP('Données projet'!$B$12,'Paramètres'!$A$1:$I$88,3,0)*0.475*44/12</f>
        <v>#N/A</v>
      </c>
      <c r="CM5" s="162" t="str">
        <f>EXP(-LN(2)/2)*CM4+(1-EXP(-LN(2)/2))/(LN(2)/2)*CG5*CJ5*VLOOKUP('Données projet'!$B$12,'Paramètres'!$A$1:$I$88,3,0)*0.475*44/12</f>
        <v>#N/A</v>
      </c>
      <c r="CN5" s="163" t="str">
        <f t="shared" si="13"/>
        <v>#N/A</v>
      </c>
      <c r="CO5" s="159">
        <f>('Scénario référence'!$F$8+'Scénario référence'!$F$9+'Scénario référence'!$B$17+'Scénario référence'!$B$9+'Scénario référence'!$B$10)*70+IF((45+25*(1-EXP(-0.0175*A5)))&lt;70,'Scénario référence'!$B$16*(45+25*(1-EXP(-0.0175*A5))),70*'Scénario référence'!$B$16)+IF((32+38*(1-EXP(-0.0175*A5)))&lt;70,'Scénario référence'!$B$18*(32+38*(1-EXP(-0.0175*A5))),70*'Scénario référence'!$B$18)</f>
        <v>70</v>
      </c>
      <c r="CP5" s="151">
        <f>IF(A5&gt;30,10,('Scénario référence'!$B$16+'Scénario référence'!$B$17+'Scénario référence'!$B$18+'Scénario référence'!$B$9+'Scénario référence'!$B$10)*A5*10/30+('Scénario référence'!$F$8+'Scénario référence'!$F$9)*10)</f>
        <v>0.6666666667</v>
      </c>
      <c r="CQ5" s="151" t="str">
        <f>VLOOKUP(A5,'Données projet'!$A$139:$I$159,2,0)</f>
        <v>#N/A</v>
      </c>
      <c r="CR5" s="151" t="str">
        <f>VLOOKUP(A5,'Données projet'!$A$139:$I$159,9,0)</f>
        <v>#N/A</v>
      </c>
      <c r="CS5" s="151" t="str">
        <f t="array" ref="CS5">INDEX(CR:CR,MIN(IF(ISNUMBER(CR5:CR201),ROW(CR5:CR201),"")))</f>
        <v/>
      </c>
      <c r="CT5" s="151">
        <f>IF('Données projet'!$A$140&gt;35,CT4+CS5-DB4,IF(A5&lt;'Données projet'!$A$140,$CQ$205^A5,IF(A5='Données projet'!$A$140,'Données projet'!$B$140,CT4+CS5-DB4)))</f>
        <v>0</v>
      </c>
      <c r="CU5" s="158" t="str">
        <f>CT5*VLOOKUP('Données projet'!$B$13,'Paramètres'!$A$1:$I$88,3,0)*VLOOKUP('Données projet'!$B$13,'Paramètres'!$A$1:$I$88,5,0)</f>
        <v>#N/A</v>
      </c>
      <c r="CV5" s="150" t="str">
        <f t="shared" si="42"/>
        <v>#N/A</v>
      </c>
      <c r="CW5" s="161" t="str">
        <f t="shared" si="14"/>
        <v>#N/A</v>
      </c>
      <c r="CX5" s="153" t="str">
        <f t="shared" si="15"/>
        <v>#N/A</v>
      </c>
      <c r="CY5" s="153" t="str">
        <f>AVERAGE(OFFSET($CX$3,0,0,'Données projet'!$E$13+1,1))-AVERAGE(OFFSET($H$3,0,0,'Données projet'!$E$13+1,1))</f>
        <v>#N/A</v>
      </c>
      <c r="CZ5" s="153" t="str">
        <f t="shared" si="43"/>
        <v>#N/A</v>
      </c>
      <c r="DA5" s="154">
        <f>IF(ISNA(VLOOKUP(A5,'Données projet'!$A$139:$I$159,3,0)),0,VLOOKUP(A5,'Données projet'!$A$139:$I$159,3,0))</f>
        <v>0</v>
      </c>
      <c r="DB5" s="154">
        <f>IF(ISNA(VLOOKUP(A5,'Données projet'!$A$139:$I$159,4,0)),0,VLOOKUP(A5,'Données projet'!$A$139:$I$159,4,0))</f>
        <v>0</v>
      </c>
      <c r="DC5" s="155">
        <f>IF(ISNA(VLOOKUP(A5,'Données projet'!$A$139:$I$159,5,0)),0%,VLOOKUP(A5,'Données projet'!$A$139:$I$159,5,0)*VLOOKUP('Données projet'!$B$13,'Paramètres'!$A$1:$I$88,7,0))</f>
        <v>0</v>
      </c>
      <c r="DD5" s="155">
        <f>IF(ISNA(VLOOKUP(A5,'Données projet'!$A$139:$I$159,6,0)),0%,VLOOKUP(A5,'Données projet'!$A$139:$I$159,6,0)*VLOOKUP('Données projet'!$B$13,'Paramètres'!$A$1:$I$88,7,0))</f>
        <v>0</v>
      </c>
      <c r="DE5" s="155">
        <f>IF(ISNA(VLOOKUP(A5,'Données projet'!$A$139:$I$159,7,0)),0%,VLOOKUP(A5,'Données projet'!$A$139:$I$159,7,0))</f>
        <v>0</v>
      </c>
      <c r="DF5" s="162" t="str">
        <f>EXP(-LN(2)/35)*DF4+(1-EXP(-LN(2)/35))/(LN(2)/35)*DB5*DC5*VLOOKUP('Données projet'!$B$13,'Paramètres'!$A$1:$I$88,3,0)*0.475*44/12</f>
        <v>#N/A</v>
      </c>
      <c r="DG5" s="162" t="str">
        <f>EXP(-LN(2)/25)*DG4+(1-EXP(-LN(2)/25))/(LN(2)/25)*Calculateur!DB5*Calculateur!DD5*VLOOKUP('Données projet'!$B$13,'Paramètres'!$A$1:$I$88,3,0)*0.475*44/12</f>
        <v>#N/A</v>
      </c>
      <c r="DH5" s="162" t="str">
        <f>EXP(-LN(2)/2)*DH4+(1-EXP(-LN(2)/2))/(LN(2)/2)*DB5*DE5*VLOOKUP('Données projet'!$B$13,'Paramètres'!$A$1:$I$88,3,0)*0.475*44/12</f>
        <v>#N/A</v>
      </c>
      <c r="DI5" s="163" t="str">
        <f t="shared" si="16"/>
        <v>#N/A</v>
      </c>
      <c r="DJ5" s="159">
        <f>('Scénario référence'!$F$8+'Scénario référence'!$F$9+'Scénario référence'!$B$17+'Scénario référence'!$B$9+'Scénario référence'!$B$10)*70+IF((45+25*(1-EXP(-0.0175*A5)))&lt;70,'Scénario référence'!$B$16*(45+25*(1-EXP(-0.0175*A5))),70*'Scénario référence'!$B$16)+IF((32+38*(1-EXP(-0.0175*A5)))&lt;70,'Scénario référence'!$B$18*(32+38*(1-EXP(-0.0175*A5))),70*'Scénario référence'!$B$18)</f>
        <v>70</v>
      </c>
      <c r="DK5" s="151">
        <f>IF(A5&gt;30,10,('Scénario référence'!$B$16+'Scénario référence'!$B$17+'Scénario référence'!$B$18+'Scénario référence'!$B$9+'Scénario référence'!$B$10)*A5*10/30+('Scénario référence'!$F$8+'Scénario référence'!$F$9)*10)</f>
        <v>0.6666666667</v>
      </c>
      <c r="DL5" s="151" t="str">
        <f>VLOOKUP(A5,'Données projet'!$A$165:$I$185,2,0)</f>
        <v>#N/A</v>
      </c>
      <c r="DM5" s="151" t="str">
        <f>VLOOKUP(A5,'Données projet'!$A$165:$I$185,9,0)</f>
        <v>#N/A</v>
      </c>
      <c r="DN5" s="151" t="str">
        <f t="array" ref="DN5">INDEX(DM:DM,MIN(IF(ISNUMBER(DM5:DM201),ROW(DM5:DM201),"")))</f>
        <v/>
      </c>
      <c r="DO5" s="151">
        <f>IF('Données projet'!$A$166&gt;35,DO4+DN5-DW4,IF(A5&lt;'Données projet'!$A$166,$DL$205^A5,IF(A5='Données projet'!$A$166,'Données projet'!$B$166,DO4+DN5-DW4)))</f>
        <v>0</v>
      </c>
      <c r="DP5" s="158" t="str">
        <f>DO5*VLOOKUP('Données projet'!$B$14,'Paramètres'!$A$1:$I$88,3,0)*VLOOKUP('Données projet'!$B$14,'Paramètres'!$A$1:$I$88,5,0)</f>
        <v>#N/A</v>
      </c>
      <c r="DQ5" s="150" t="str">
        <f t="shared" si="44"/>
        <v>#N/A</v>
      </c>
      <c r="DR5" s="161" t="str">
        <f t="shared" si="17"/>
        <v>#N/A</v>
      </c>
      <c r="DS5" s="153" t="str">
        <f t="shared" si="18"/>
        <v>#N/A</v>
      </c>
      <c r="DT5" s="153" t="str">
        <f>AVERAGE(OFFSET($DS$3,0,0,'Données projet'!$E$14+1,1))-AVERAGE(OFFSET($H$3,0,0,'Données projet'!$E$14+1,1))</f>
        <v>#N/A</v>
      </c>
      <c r="DU5" s="153" t="str">
        <f t="shared" si="45"/>
        <v>#N/A</v>
      </c>
      <c r="DV5" s="154">
        <f>IF(ISNA(VLOOKUP(A5,'Données projet'!$A$165:$I$185,3,0)),0,VLOOKUP(A5,'Données projet'!$A$165:$I$185,3,0))</f>
        <v>0</v>
      </c>
      <c r="DW5" s="154">
        <f>IF(ISNA(VLOOKUP(A5,'Données projet'!$A$165:$I$185,4,0)),0,VLOOKUP(A5,'Données projet'!$A$165:$I$185,4,0))</f>
        <v>0</v>
      </c>
      <c r="DX5" s="155">
        <f>IF(ISNA(VLOOKUP(A5,'Données projet'!$A$165:$I$185,5,0)),0%,VLOOKUP(A5,'Données projet'!$A$165:$I$185,5,0)*VLOOKUP('Données projet'!$B$14,'Paramètres'!$A$1:$I$88,7,0))</f>
        <v>0</v>
      </c>
      <c r="DY5" s="155">
        <f>IF(ISNA(VLOOKUP(A5,'Données projet'!$A$165:$I$185,6,0)),0%,VLOOKUP(A5,'Données projet'!$A$165:$I$185,6,0)*VLOOKUP('Données projet'!$B$14,'Paramètres'!$A$1:$I$88,7,0))</f>
        <v>0</v>
      </c>
      <c r="DZ5" s="155">
        <f>IF(ISNA(VLOOKUP(A5,'Données projet'!$A$165:$I$185,7,0)),0%,VLOOKUP(A5,'Données projet'!$A$165:$I$185,7,0))</f>
        <v>0</v>
      </c>
      <c r="EA5" s="162" t="str">
        <f>EXP(-LN(2)/35)*EA4+(1-EXP(-LN(2)/35))/(LN(2)/35)*DW5*DX5*VLOOKUP('Données projet'!$B$14,'Paramètres'!$A$1:$I$88,3,0)*0.475*44/12</f>
        <v>#N/A</v>
      </c>
      <c r="EB5" s="162" t="str">
        <f>EXP(-LN(2)/25)*EB4+(1-EXP(-LN(2)/25))/(LN(2)/25)*Calculateur!DW5*Calculateur!DY5*VLOOKUP('Données projet'!$B$14,'Paramètres'!$A$1:$I$88,3,0)*0.475*44/12</f>
        <v>#N/A</v>
      </c>
      <c r="EC5" s="162" t="str">
        <f>EXP(-LN(2)/2)*EC4+(1-EXP(-LN(2)/2))/(LN(2)/2)*DW5*DZ5*VLOOKUP('Données projet'!$B$14,'Paramètres'!$A$1:$I$88,3,0)*0.475*44/12</f>
        <v>#N/A</v>
      </c>
      <c r="ED5" s="163" t="str">
        <f t="shared" si="19"/>
        <v>#N/A</v>
      </c>
      <c r="EE5" s="159">
        <f>('Scénario référence'!$F$8+'Scénario référence'!$F$9+'Scénario référence'!$B$17+'Scénario référence'!$B$9+'Scénario référence'!$B$10)*70+IF((45+25*(1-EXP(-0.0175*A5)))&lt;70,'Scénario référence'!$B$16*(45+25*(1-EXP(-0.0175*A5))),70*'Scénario référence'!$B$16)+IF((32+38*(1-EXP(-0.0175*A5)))&lt;70,'Scénario référence'!$B$18*(32+38*(1-EXP(-0.0175*A5))),70*'Scénario référence'!$B$18)</f>
        <v>70</v>
      </c>
      <c r="EF5" s="151">
        <f>IF(A5&gt;30,10,('Scénario référence'!$B$16+'Scénario référence'!$B$17+'Scénario référence'!$B$18+'Scénario référence'!$B$9+'Scénario référence'!$B$10)*A5*10/30+('Scénario référence'!$F$8+'Scénario référence'!$F$9)*10)</f>
        <v>0.6666666667</v>
      </c>
      <c r="EG5" s="151" t="str">
        <f>VLOOKUP(A5,'Données projet'!$A$191:$I$211,2,0)</f>
        <v>#N/A</v>
      </c>
      <c r="EH5" s="151" t="str">
        <f>VLOOKUP(A5,'Données projet'!$A$191:$I$211,9,0)</f>
        <v>#N/A</v>
      </c>
      <c r="EI5" s="151" t="str">
        <f t="array" ref="EI5">INDEX(EH:EH,MIN(IF(ISNUMBER(EH5:EH201),ROW(EH5:EH201),"")))</f>
        <v/>
      </c>
      <c r="EJ5" s="151">
        <f>IF('Données projet'!$A$192&gt;35,EJ4+EI5-ER4,IF(A5&lt;'Données projet'!$A$192,$EG$205^A5,IF(A5='Données projet'!$A$192,'Données projet'!$B$192,EJ4+EI5-ER4)))</f>
        <v>0</v>
      </c>
      <c r="EK5" s="158" t="str">
        <f>EJ5*VLOOKUP('Données projet'!$B$15,'Paramètres'!$A$1:$I$88,3,0)*VLOOKUP('Données projet'!$B$15,'Paramètres'!$A$1:$I$88,5,0)</f>
        <v>#N/A</v>
      </c>
      <c r="EL5" s="150" t="str">
        <f t="shared" si="46"/>
        <v>#N/A</v>
      </c>
      <c r="EM5" s="161" t="str">
        <f t="shared" si="20"/>
        <v>#N/A</v>
      </c>
      <c r="EN5" s="153" t="str">
        <f t="shared" si="21"/>
        <v>#N/A</v>
      </c>
      <c r="EO5" s="153" t="str">
        <f>AVERAGE(OFFSET($EN$3,0,0,'Données projet'!$E$15+1,1))-AVERAGE(OFFSET($H$3,0,0,'Données projet'!$E$15+1,1))</f>
        <v>#N/A</v>
      </c>
      <c r="EP5" s="153" t="str">
        <f t="shared" si="47"/>
        <v>#N/A</v>
      </c>
      <c r="EQ5" s="154">
        <f>IF(ISNA(VLOOKUP(A5,'Données projet'!$A$191:$I$211,3,0)),0,VLOOKUP(A5,'Données projet'!$A$191:$I$211,3,0))</f>
        <v>0</v>
      </c>
      <c r="ER5" s="154">
        <f>IF(ISNA(VLOOKUP(A5,'Données projet'!$A$191:$I$211,4,0)),0,VLOOKUP(A5,'Données projet'!$A$191:$I$211,4,0))</f>
        <v>0</v>
      </c>
      <c r="ES5" s="155">
        <f>IF(ISNA(VLOOKUP(A5,'Données projet'!$A$191:$I$211,5,0)),0%,VLOOKUP(A5,'Données projet'!$A$191:$I$211,5,0)*VLOOKUP('Données projet'!$B$15,'Paramètres'!$A$1:$I$88,7,0))</f>
        <v>0</v>
      </c>
      <c r="ET5" s="155">
        <f>IF(ISNA(VLOOKUP(A5,'Données projet'!$A$191:$I$211,6,0)),0%,VLOOKUP(A5,'Données projet'!$A$191:$I$211,6,0)*VLOOKUP('Données projet'!$B$15,'Paramètres'!$A$1:$I$88,7,0))</f>
        <v>0</v>
      </c>
      <c r="EU5" s="155">
        <f>IF(ISNA(VLOOKUP(A5,'Données projet'!$A$191:$I$211,7,0)),0%,VLOOKUP(A5,'Données projet'!$A$191:$I$211,7,0))</f>
        <v>0</v>
      </c>
      <c r="EV5" s="162" t="str">
        <f>EXP(-LN(2)/35)*EV4+(1-EXP(-LN(2)/35))/(LN(2)/35)*ER5*ES5*VLOOKUP('Données projet'!$B$15,'Paramètres'!$A$1:$I$88,3,0)*0.475*44/12</f>
        <v>#N/A</v>
      </c>
      <c r="EW5" s="162" t="str">
        <f>EXP(-LN(2)/25)*EW4+(1-EXP(-LN(2)/25))/(LN(2)/25)*Calculateur!ER5*Calculateur!ET5*VLOOKUP('Données projet'!$B$15,'Paramètres'!$A$1:$I$88,3,0)*0.475*44/12</f>
        <v>#N/A</v>
      </c>
      <c r="EX5" s="162" t="str">
        <f>EXP(-LN(2)/2)*EX4+(1-EXP(-LN(2)/2))/(LN(2)/2)*ER5*EU5*VLOOKUP('Données projet'!$B$15,'Paramètres'!$A$1:$I$88,3,0)*0.475*44/12</f>
        <v>#N/A</v>
      </c>
      <c r="EY5" s="163" t="str">
        <f t="shared" si="22"/>
        <v>#N/A</v>
      </c>
      <c r="EZ5" s="159">
        <f>('Scénario référence'!$F$8+'Scénario référence'!$F$9+'Scénario référence'!$B$17+'Scénario référence'!$B$9+'Scénario référence'!$B$10)*70+IF((45+25*(1-EXP(-0.0175*A5)))&lt;70,'Scénario référence'!$B$16*(45+25*(1-EXP(-0.0175*A5))),70*'Scénario référence'!$B$16)+IF((32+38*(1-EXP(-0.0175*A5)))&lt;70,'Scénario référence'!$B$18*(32+38*(1-EXP(-0.0175*A5))),70*'Scénario référence'!$B$18)</f>
        <v>70</v>
      </c>
      <c r="FA5" s="151">
        <f>IF(A5&gt;30,10,('Scénario référence'!$B$16+'Scénario référence'!$B$17+'Scénario référence'!$B$18+'Scénario référence'!$B$9+'Scénario référence'!$B$10)*A5*10/30+('Scénario référence'!$F$8+'Scénario référence'!$F$9)*10)</f>
        <v>0.6666666667</v>
      </c>
      <c r="FB5" s="151" t="str">
        <f>VLOOKUP(A5,'Données projet'!$A$217:$I$237,2,0)</f>
        <v>#N/A</v>
      </c>
      <c r="FC5" s="151" t="str">
        <f>VLOOKUP(A5,'Données projet'!$A$217:$I$237,9,0)</f>
        <v>#N/A</v>
      </c>
      <c r="FD5" s="151" t="str">
        <f t="array" ref="FD5">INDEX(FC:FC,MIN(IF(ISNUMBER(FC5:FC201),ROW(FC5:FC201),"")))</f>
        <v/>
      </c>
      <c r="FE5" s="151">
        <f>IF('Données projet'!$A$218&gt;35,FE4+FD5-FM4,IF(A5&lt;'Données projet'!$A$218,$FB$205^A5,IF(A5='Données projet'!$A$218,'Données projet'!$B$218,FE4+FD5-FM4)))</f>
        <v>0</v>
      </c>
      <c r="FF5" s="158" t="str">
        <f>FE5*VLOOKUP('Données projet'!$B$16,'Paramètres'!$A$1:$I$88,3,0)*VLOOKUP('Données projet'!$B$16,'Paramètres'!$A$1:$I$88,5,0)</f>
        <v>#N/A</v>
      </c>
      <c r="FG5" s="150" t="str">
        <f t="shared" si="48"/>
        <v>#N/A</v>
      </c>
      <c r="FH5" s="161" t="str">
        <f t="shared" si="23"/>
        <v>#N/A</v>
      </c>
      <c r="FI5" s="153" t="str">
        <f t="shared" si="24"/>
        <v>#N/A</v>
      </c>
      <c r="FJ5" s="153" t="str">
        <f>AVERAGE(OFFSET($FI$3,0,0,'Données projet'!$E$16+1,1))-AVERAGE(OFFSET($H$3,0,0,'Données projet'!$E$16+1,1))</f>
        <v>#N/A</v>
      </c>
      <c r="FK5" s="153" t="str">
        <f t="shared" si="49"/>
        <v>#N/A</v>
      </c>
      <c r="FL5" s="154">
        <f>IF(ISNA(VLOOKUP(A5,'Données projet'!$A$217:$I$237,3,0)),0,VLOOKUP(A5,'Données projet'!$A$217:$I$237,3,0))</f>
        <v>0</v>
      </c>
      <c r="FM5" s="154">
        <f>IF(ISNA(VLOOKUP(A5,'Données projet'!$A$217:$I$237,4,0)),0,VLOOKUP(A5,'Données projet'!$A$217:$I$237,4,0))</f>
        <v>0</v>
      </c>
      <c r="FN5" s="155">
        <f>IF(ISNA(VLOOKUP(A5,'Données projet'!$A$217:$I$237,5,0)),0%,VLOOKUP(A5,'Données projet'!$A$217:$I$237,5,0)*VLOOKUP('Données projet'!$B$16,'Paramètres'!$A$1:$I$88,7,0))</f>
        <v>0</v>
      </c>
      <c r="FO5" s="155">
        <f>IF(ISNA(VLOOKUP(A5,'Données projet'!$A$217:$I$237,6,0)),0%,VLOOKUP(A5,'Données projet'!$A$217:$I$237,6,0)*VLOOKUP('Données projet'!$B$16,'Paramètres'!$A$1:$I$88,7,0))</f>
        <v>0</v>
      </c>
      <c r="FP5" s="155">
        <f>IF(ISNA(VLOOKUP(A5,'Données projet'!$A$217:$I$237,7,0)),0%,VLOOKUP(A5,'Données projet'!$A$217:$I$237,7,0))</f>
        <v>0</v>
      </c>
      <c r="FQ5" s="162" t="str">
        <f>EXP(-LN(2)/35)*FQ4+(1-EXP(-LN(2)/35))/(LN(2)/35)*FM5*FN5*VLOOKUP('Données projet'!$B$16,'Paramètres'!$A$1:$I$88,3,0)*0.475*44/12</f>
        <v>#N/A</v>
      </c>
      <c r="FR5" s="162" t="str">
        <f>EXP(-LN(2)/25)*FR4+(1-EXP(-LN(2)/25))/(LN(2)/25)*Calculateur!FM5*Calculateur!FO5*VLOOKUP('Données projet'!$B$16,'Paramètres'!$A$1:$I$88,3,0)*0.475*44/12</f>
        <v>#N/A</v>
      </c>
      <c r="FS5" s="162" t="str">
        <f>EXP(-LN(2)/2)*FS4+(1-EXP(-LN(2)/2))/(LN(2)/2)*FM5*FP5*VLOOKUP('Données projet'!$B$16,'Paramètres'!$A$1:$I$88,3,0)*0.475*44/12</f>
        <v>#N/A</v>
      </c>
      <c r="FT5" s="163" t="str">
        <f t="shared" si="25"/>
        <v>#N/A</v>
      </c>
      <c r="FU5" s="159">
        <f>('Scénario référence'!$F$8+'Scénario référence'!$F$9+'Scénario référence'!$B$17+'Scénario référence'!$B$9+'Scénario référence'!$B$10)*70+IF((45+25*(1-EXP(-0.0175*A5)))&lt;70,'Scénario référence'!$B$16*(45+25*(1-EXP(-0.0175*A5))),70*'Scénario référence'!$B$16)+IF((32+38*(1-EXP(-0.0175*A5)))&lt;70,'Scénario référence'!$B$18*(32+38*(1-EXP(-0.0175*A5))),70*'Scénario référence'!$B$18)</f>
        <v>70</v>
      </c>
      <c r="FV5" s="151">
        <f>IF(A5&gt;30,10,('Scénario référence'!$B$16+'Scénario référence'!$B$17+'Scénario référence'!$B$18+'Scénario référence'!$B$9+'Scénario référence'!$B$10)*A5*10/30+('Scénario référence'!$F$8+'Scénario référence'!$F$9)*10)</f>
        <v>0.6666666667</v>
      </c>
      <c r="FW5" s="151" t="str">
        <f>VLOOKUP(A5,'Données projet'!$A$243:$I$263,2,0)</f>
        <v>#N/A</v>
      </c>
      <c r="FX5" s="151" t="str">
        <f>VLOOKUP(A5,'Données projet'!$A$243:$I$263,9,0)</f>
        <v>#N/A</v>
      </c>
      <c r="FY5" s="151" t="str">
        <f t="array" ref="FY5">INDEX(FX:FX,MIN(IF(ISNUMBER(FX5:FX201),ROW(FX5:FX201),"")))</f>
        <v/>
      </c>
      <c r="FZ5" s="151">
        <f>IF('Données projet'!$A$244&gt;35,FZ4+FY5-GH4,IF(A5&lt;'Données projet'!$A$244,$FW$205^A5,IF(A5='Données projet'!$A$244,'Données projet'!$B$244,FZ4+FY5-GH4)))</f>
        <v>0</v>
      </c>
      <c r="GA5" s="158" t="str">
        <f>FZ5*VLOOKUP('Données projet'!$B$17,'Paramètres'!$A$1:$I$88,3,0)*VLOOKUP('Données projet'!$B$17,'Paramètres'!$A$1:$I$88,5,0)</f>
        <v>#N/A</v>
      </c>
      <c r="GB5" s="150" t="str">
        <f t="shared" si="50"/>
        <v>#N/A</v>
      </c>
      <c r="GC5" s="161" t="str">
        <f t="shared" si="26"/>
        <v>#N/A</v>
      </c>
      <c r="GD5" s="153" t="str">
        <f t="shared" si="27"/>
        <v>#N/A</v>
      </c>
      <c r="GE5" s="153" t="str">
        <f>AVERAGE(OFFSET($GD$3,0,0,'Données projet'!$E$17+1,1))-AVERAGE(OFFSET($H$3,0,0,'Données projet'!$E$17+1,1))</f>
        <v>#N/A</v>
      </c>
      <c r="GF5" s="153" t="str">
        <f t="shared" si="51"/>
        <v>#N/A</v>
      </c>
      <c r="GG5" s="154">
        <f>IF(ISNA(VLOOKUP(A5,'Données projet'!$A$243:$I$263,3,0)),0,VLOOKUP(A5,'Données projet'!$A$243:$I$263,3,0))</f>
        <v>0</v>
      </c>
      <c r="GH5" s="154">
        <f>IF(ISNA(VLOOKUP(A5,'Données projet'!$A$243:$I$263,4,0)),0,VLOOKUP(A5,'Données projet'!$A$243:$I$263,4,0))</f>
        <v>0</v>
      </c>
      <c r="GI5" s="155">
        <f>IF(ISNA(VLOOKUP(A5,'Données projet'!$A$243:$I$263,5,0)),0%,VLOOKUP(A5,'Données projet'!$A$243:$I$263,5,0)*VLOOKUP('Données projet'!$B$17,'Paramètres'!$A$1:$I$88,7,0))</f>
        <v>0</v>
      </c>
      <c r="GJ5" s="155">
        <f>IF(ISNA(VLOOKUP(A5,'Données projet'!$A$243:$I$263,6,0)),0%,VLOOKUP(A5,'Données projet'!$A$243:$I$263,6,0)*VLOOKUP('Données projet'!$B$17,'Paramètres'!$A$1:$I$88,7,0))</f>
        <v>0</v>
      </c>
      <c r="GK5" s="155">
        <f>IF(ISNA(VLOOKUP(A5,'Données projet'!$A$243:$I$263,7,0)),0%,VLOOKUP(A5,'Données projet'!$A$243:$I$263,7,0))</f>
        <v>0</v>
      </c>
      <c r="GL5" s="162" t="str">
        <f>EXP(-LN(2)/35)*GL4+(1-EXP(-LN(2)/35))/(LN(2)/35)*GH5*GI5*VLOOKUP('Données projet'!$B$17,'Paramètres'!$A$1:$I$88,3,0)*0.475*44/12</f>
        <v>#N/A</v>
      </c>
      <c r="GM5" s="162" t="str">
        <f>EXP(-LN(2)/25)*GM4+(1-EXP(-LN(2)/25))/(LN(2)/25)*Calculateur!GH5*Calculateur!GJ5*VLOOKUP('Données projet'!$B$17,'Paramètres'!$A$1:$I$88,3,0)*0.475*44/12</f>
        <v>#N/A</v>
      </c>
      <c r="GN5" s="162" t="str">
        <f>EXP(-LN(2)/2)*GN4+(1-EXP(-LN(2)/2))/(LN(2)/2)*GH5*GK5*VLOOKUP('Données projet'!$B$17,'Paramètres'!$A$1:$I$88,3,0)*0.475*44/12</f>
        <v>#N/A</v>
      </c>
      <c r="GO5" s="162" t="str">
        <f t="shared" si="28"/>
        <v>#N/A</v>
      </c>
      <c r="GP5" s="159">
        <f>('Scénario référence'!$F$8+'Scénario référence'!$F$9+'Scénario référence'!$B$17+'Scénario référence'!$B$9+'Scénario référence'!$B$10)*70+IF((45+25*(1-EXP(-0.0175*A5)))&lt;70,'Scénario référence'!$B$16*(45+25*(1-EXP(-0.0175*A5))),70*'Scénario référence'!$B$16)+IF((32+38*(1-EXP(-0.0175*A5)))&lt;70,'Scénario référence'!$B$18*(32+38*(1-EXP(-0.0175*A5))),70*'Scénario référence'!$B$18)</f>
        <v>70</v>
      </c>
      <c r="GQ5" s="151">
        <f>IF(A5&gt;30,10,('Scénario référence'!$B$16+'Scénario référence'!$B$17+'Scénario référence'!$B$18+'Scénario référence'!$B$9+'Scénario référence'!$B$10)*A5*10/30+('Scénario référence'!$F$8+'Scénario référence'!$F$9)*10)</f>
        <v>0.6666666667</v>
      </c>
      <c r="GR5" s="151" t="str">
        <f>VLOOKUP(A5,'Données projet'!$A$269:$I$289,2,0)</f>
        <v>#N/A</v>
      </c>
      <c r="GS5" s="151" t="str">
        <f>VLOOKUP(A5,'Données projet'!$A$269:$I$289,9,0)</f>
        <v>#N/A</v>
      </c>
      <c r="GT5" s="151" t="str">
        <f t="array" ref="GT5">INDEX(GS:GS,MIN(IF(ISNUMBER(GS5:GS201),ROW(GS5:GS201),"")))</f>
        <v/>
      </c>
      <c r="GU5" s="151">
        <f>IF('Données projet'!$A$270&gt;35,GU4+GT5-HC4,IF(A5&lt;'Données projet'!$A$270,$GR$205^A5,IF(A5='Données projet'!$A$270,'Données projet'!$B$270,GU4+GT5-HC4)))</f>
        <v>0</v>
      </c>
      <c r="GV5" s="158" t="str">
        <f>GU5*VLOOKUP('Données projet'!$B$18,'Paramètres'!$A$1:$I$88,3,0)*VLOOKUP('Données projet'!$B$18,'Paramètres'!$A$1:$I$88,5,0)</f>
        <v>#N/A</v>
      </c>
      <c r="GW5" s="150" t="str">
        <f t="shared" si="52"/>
        <v>#N/A</v>
      </c>
      <c r="GX5" s="161" t="str">
        <f t="shared" si="29"/>
        <v>#N/A</v>
      </c>
      <c r="GY5" s="153" t="str">
        <f t="shared" si="30"/>
        <v>#N/A</v>
      </c>
      <c r="GZ5" s="153" t="str">
        <f>AVERAGE(OFFSET($GY$3,0,0,'Données projet'!$E$18+1,1))-AVERAGE(OFFSET($H$3,0,0,'Données projet'!$E$18+1,1))</f>
        <v>#N/A</v>
      </c>
      <c r="HA5" s="153" t="str">
        <f t="shared" si="53"/>
        <v>#N/A</v>
      </c>
      <c r="HB5" s="154">
        <f>IF(ISNA(VLOOKUP(A5,'Données projet'!$A$269:$I$289,3,0)),0,VLOOKUP(A5,'Données projet'!$A$269:$I$289,3,0))</f>
        <v>0</v>
      </c>
      <c r="HC5" s="154">
        <f>IF(ISNA(VLOOKUP(A5,'Données projet'!$A$269:$I$289,4,0)),0,VLOOKUP(A5,'Données projet'!$A$269:$I$289,4,0))</f>
        <v>0</v>
      </c>
      <c r="HD5" s="155">
        <f>IF(ISNA(VLOOKUP(A5,'Données projet'!$A$269:$I$289,5,0)),0%,VLOOKUP(A5,'Données projet'!$A$269:$I$289,5,0)*VLOOKUP('Données projet'!$B$18,'Paramètres'!$A$1:$I$88,7,0))</f>
        <v>0</v>
      </c>
      <c r="HE5" s="155">
        <f>IF(ISNA(VLOOKUP(A5,'Données projet'!$A$269:$I$289,6,0)),0%,VLOOKUP(A5,'Données projet'!$A$269:$I$289,6,0)*VLOOKUP('Données projet'!$B$18,'Paramètres'!$A$1:$I$88,7,0))</f>
        <v>0</v>
      </c>
      <c r="HF5" s="155">
        <f>IF(ISNA(VLOOKUP(A5,'Données projet'!$A$269:$I$289,7,0)),0%,VLOOKUP(A5,'Données projet'!$A$269:$I$289,7,0))</f>
        <v>0</v>
      </c>
      <c r="HG5" s="162" t="str">
        <f>EXP(-LN(2)/35)*HG4+(1-EXP(-LN(2)/35))/(LN(2)/35)*HC5*HD5*VLOOKUP('Données projet'!$B$18,'Paramètres'!$A$1:$I$88,3,0)*0.475*44/12</f>
        <v>#N/A</v>
      </c>
      <c r="HH5" s="162" t="str">
        <f>EXP(-LN(2)/25)*HH4+(1-EXP(-LN(2)/25))/(LN(2)/25)*Calculateur!HC5*Calculateur!HE5*VLOOKUP('Données projet'!$B$18,'Paramètres'!$A$1:$I$88,3,0)*0.475*44/12</f>
        <v>#N/A</v>
      </c>
      <c r="HI5" s="162" t="str">
        <f>EXP(-LN(2)/2)*HI4+(1-EXP(-LN(2)/2))/(LN(2)/2)*HC5*HF5*VLOOKUP('Données projet'!$B$18,'Paramètres'!$A$1:$I$88,3,0)*0.475*44/12</f>
        <v>#N/A</v>
      </c>
      <c r="HJ5" s="163" t="str">
        <f t="shared" si="31"/>
        <v>#N/A</v>
      </c>
    </row>
    <row r="6">
      <c r="A6" s="145">
        <f t="shared" si="32"/>
        <v>3</v>
      </c>
      <c r="B6" s="146">
        <f>'Scénario référence'!$B$16*5+'Scénario référence'!$B$17*0+'Scénario référence'!$B$18*5</f>
        <v>0</v>
      </c>
      <c r="C6" s="160">
        <f>Calculateur!C5+'Scénario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6" s="147">
        <f t="shared" si="33"/>
        <v>0</v>
      </c>
      <c r="E6" s="147">
        <f>'Scénario référence'!$B$16*45+('Scénario référence'!$B$17+'Scénario référence'!$F$8+'Scénario référence'!$F$9+'Scénario référence'!$B$10+'Scénario référence'!$B$9)*70+'Scénario référence'!$B$18*32</f>
        <v>70</v>
      </c>
      <c r="F6" s="147">
        <f>IF(OR('Scénario référence'!$F$8&gt;0,'Scénario référence'!$F$9&gt;0),('Scénario référence'!$F$8+'Scénario référence'!$F$9)*10,0)</f>
        <v>0</v>
      </c>
      <c r="G6" s="147">
        <f>'Scénario référence'!$B$8*B6*44/12+'Scénario référence'!$B$9*(C6+D6)/0.475*44/12+'Scénario référence'!$B$10*(C6+D6)/0.475*44/12+'Scénario référence'!$F$8*(C6+D6)/0.475*44/12+'Scénario référence'!$F$9*(C6+D6)/0.475*44/12</f>
        <v>0</v>
      </c>
      <c r="H6" s="148">
        <f t="shared" si="1"/>
        <v>256.6666667</v>
      </c>
      <c r="I6" s="149">
        <f>('Scénario référence'!$F$8+'Scénario référence'!$F$9+'Scénario référence'!$B$17+'Scénario référence'!$B$9+'Scénario référence'!$B$10)*70+IF((45+25*(1-EXP(-0.0175*A6)))&lt;70,'Scénario référence'!$B$16*(45+25*(1-EXP(-0.0175*A6))),70*'Scénario référence'!$B$16)+IF((32+38*(1-EXP(-0.0175*A6)))&lt;70,'Scénario référence'!$B$18*(32+38*(1-EXP(-0.0175*A6))),70*'Scénario référence'!$B$18)</f>
        <v>70</v>
      </c>
      <c r="J6" s="150">
        <f>IF(A6&gt;30,10,('Scénario référence'!$B$16+'Scénario référence'!$B$17+'Scénario référence'!$B$18+'Scénario référence'!$B$9+'Scénario référence'!$B$10)*A6*10/30+('Scénario référence'!$F$8+'Scénario référence'!$F$9)*10)</f>
        <v>1</v>
      </c>
      <c r="K6" s="151" t="str">
        <f>VLOOKUP(A6,'Données projet'!$A$35:$I$55,2,0)</f>
        <v>#N/A</v>
      </c>
      <c r="L6" s="151" t="str">
        <f>VLOOKUP(A6,'Données projet'!$A$35:$I$55,9,0)</f>
        <v>#N/A</v>
      </c>
      <c r="M6" s="150">
        <f t="array" ref="M6">INDEX(L:L,MIN(IF(ISNUMBER(L6:L202),ROW(L6:L202),"")))</f>
        <v>3.65</v>
      </c>
      <c r="N6" s="150">
        <f>IF('Données projet'!$A$36&gt;35,N5+M6-V5,IF(A6&lt;'Données projet'!$A$36,$K$205^A6,IF(A6='Données projet'!$A$36,'Données projet'!$B$36,N5+M6-V5)))</f>
        <v>1.903261353</v>
      </c>
      <c r="O6" s="150">
        <f>N6*VLOOKUP('Données projet'!$B$9,'Paramètres'!$A$1:$I$88,3,0)*VLOOKUP('Données projet'!$B$9,'Paramètres'!$A$1:$I$88,5,0)</f>
        <v>1.722070872</v>
      </c>
      <c r="P6" s="150">
        <f t="shared" si="34"/>
        <v>0.7449493524</v>
      </c>
      <c r="Q6" s="161">
        <f t="shared" si="2"/>
        <v>4.296726891</v>
      </c>
      <c r="R6" s="153">
        <f t="shared" si="3"/>
        <v>264.6300602</v>
      </c>
      <c r="S6" s="153">
        <f>AVERAGE(OFFSET($R$3,0,0,'Données projet'!$E$9+1,1))-AVERAGE(OFFSET($H$3,0,0,'Données projet'!$E$9+1,1))</f>
        <v>439.1985427</v>
      </c>
      <c r="T6" s="153">
        <f t="shared" si="35"/>
        <v>278.2174123</v>
      </c>
      <c r="U6" s="154">
        <f>IF(ISNA(VLOOKUP(A6,'Données projet'!$A$35:$I$55,3,0)),0,VLOOKUP(A6,'Données projet'!$A$35:$I$55,3,0))</f>
        <v>0</v>
      </c>
      <c r="V6" s="154">
        <f>IF(ISNA(VLOOKUP(A6,'Données projet'!$A$35:$I$55,4,0)),0,VLOOKUP(A6,'Données projet'!$A$35:$I$55,4,0))</f>
        <v>0</v>
      </c>
      <c r="W6" s="155">
        <f>IF(ISNA(VLOOKUP(A6,'Données projet'!$A$35:$I$55,5,0)),0%,VLOOKUP(A6,'Données projet'!$A$35:$I$55,5,0)*VLOOKUP('Données projet'!$B$9,'Paramètres'!$A$1:$I$88,7,0))</f>
        <v>0</v>
      </c>
      <c r="X6" s="155">
        <f>IF(ISNA(VLOOKUP(A6,'Données projet'!$A$35:$I$55,6,0)),0%,VLOOKUP(A6,'Données projet'!$A$35:$I$55,6,0)*VLOOKUP('Données projet'!$B$9,'Paramètres'!$A$1:$I$88,7,0))</f>
        <v>0</v>
      </c>
      <c r="Y6" s="155">
        <f>IF(ISNA(VLOOKUP(A6,'Données projet'!$A$35:$I$55,7,0)),0%,VLOOKUP(A6,'Données projet'!$A$35:$I$55,7,0))</f>
        <v>0</v>
      </c>
      <c r="Z6" s="162">
        <f>EXP(-LN(2)/35)*Z5+(1-EXP(-LN(2)/35))/(LN(2)/35)*V6*W6*VLOOKUP('Données projet'!$B$9,'Paramètres'!$A$1:$I$88,3,0)*0.475*44/12</f>
        <v>0</v>
      </c>
      <c r="AA6" s="162">
        <f>EXP(-LN(2)/25)*AA5+(1-EXP(-LN(2)/25))/(LN(2)/25)*Calculateur!V6*Calculateur!X6*VLOOKUP('Données projet'!$B$9,'Paramètres'!$A$1:$I$88,3,0)*0.475*44/12</f>
        <v>0</v>
      </c>
      <c r="AB6" s="162">
        <f>EXP(-LN(2)/2)*AB5+(1-EXP(-LN(2)/2))/(LN(2)/2)*V6*Y6*VLOOKUP('Données projet'!$B$9,'Paramètres'!$A$1:$I$88,3,0)*0.475*44/12</f>
        <v>0</v>
      </c>
      <c r="AC6" s="163">
        <f t="shared" si="4"/>
        <v>0</v>
      </c>
      <c r="AD6" s="150">
        <f>('Scénario référence'!$F$8+'Scénario référence'!$F$9+'Scénario référence'!$B$17+'Scénario référence'!$B$9+'Scénario référence'!$B$10)*70+IF((45+25*(1-EXP(-0.0175*A6)))&lt;70,'Scénario référence'!$B$16*(45+25*(1-EXP(-0.0175*A6))),70*'Scénario référence'!$B$16)+IF((32+38*(1-EXP(-0.0175*A6)))&lt;70,'Scénario référence'!$B$18*(32+38*(1-EXP(-0.0175*A6))),70*'Scénario référence'!$B$18)</f>
        <v>70</v>
      </c>
      <c r="AE6" s="150">
        <f>IF(A6&gt;30,10,('Scénario référence'!$B$16+'Scénario référence'!$B$17+'Scénario référence'!$B$18+'Scénario référence'!$B$9+'Scénario référence'!$B$10)*A6*10/30+('Scénario référence'!$F$8+'Scénario référence'!$F$9)*10)</f>
        <v>1</v>
      </c>
      <c r="AF6" s="151" t="str">
        <f>VLOOKUP(A6,'Données projet'!$A$61:$I$81,2,0)</f>
        <v>#N/A</v>
      </c>
      <c r="AG6" s="151" t="str">
        <f>VLOOKUP(A6,'Données projet'!$A$61:$I$81,9,0)</f>
        <v>#N/A</v>
      </c>
      <c r="AH6" s="150">
        <f t="array" ref="AH6">INDEX(AG:AG,MIN(IF(ISNUMBER(AG6:AG202),ROW(AG6:AG202),"")))</f>
        <v>1.9</v>
      </c>
      <c r="AI6" s="150">
        <f>IF('Données projet'!$A$62&gt;35,AI5+AH6-AQ5,IF(A6&lt;'Données projet'!$A$62,$AF$205^A6,IF(A6='Données projet'!$A$62,'Données projet'!$B$62,AI5+AH6-AQ5)))</f>
        <v>2.418945481</v>
      </c>
      <c r="AJ6" s="150">
        <f>AI6*VLOOKUP('Données projet'!$B$10,'Paramètres'!$A$1:$I$88,3,0)*VLOOKUP('Données projet'!$B$10,'Paramètres'!$A$1:$I$88,5,0)</f>
        <v>1.924513025</v>
      </c>
      <c r="AK6" s="150">
        <f t="shared" si="36"/>
        <v>0.8218223956</v>
      </c>
      <c r="AL6" s="161">
        <f t="shared" si="5"/>
        <v>4.783200858</v>
      </c>
      <c r="AM6" s="153">
        <f t="shared" si="6"/>
        <v>265.1165342</v>
      </c>
      <c r="AN6" s="153">
        <f>AVERAGE(OFFSET($AM$3,0,0,'Données projet'!$E$10+1,1))-AVERAGE(OFFSET($H$3,0,0,'Données projet'!$E$10+1,1))</f>
        <v>405.6113614</v>
      </c>
      <c r="AO6" s="153">
        <f t="shared" si="37"/>
        <v>393.0787141</v>
      </c>
      <c r="AP6" s="154">
        <f>IF(ISNA(VLOOKUP(A6,'Données projet'!$A$61:$I$81,3,0)),0,VLOOKUP(A6,'Données projet'!$A$61:$I$81,3,0))</f>
        <v>0</v>
      </c>
      <c r="AQ6" s="154">
        <f>IF(ISNA(VLOOKUP(A6,'Données projet'!$A$61:$I$81,4,0)),0,VLOOKUP(A6,'Données projet'!$A$61:$I$81,4,0))</f>
        <v>0</v>
      </c>
      <c r="AR6" s="155">
        <f>IF(ISNA(VLOOKUP(A6,'Données projet'!$A$61:$I$81,5,0)),0%,VLOOKUP(A6,'Données projet'!$A$61:$I$81,5,0)*VLOOKUP('Données projet'!$B$10,'Paramètres'!$A$1:$I$88,7,0))</f>
        <v>0</v>
      </c>
      <c r="AS6" s="155">
        <f>IF(ISNA(VLOOKUP(A6,'Données projet'!$A$61:$I$81,6,0)),0%,VLOOKUP(A6,'Données projet'!$A$61:$I$81,6,0)*VLOOKUP('Données projet'!$B$10,'Paramètres'!$A$1:$I$88,7,0))</f>
        <v>0</v>
      </c>
      <c r="AT6" s="155">
        <f>IF(ISNA(VLOOKUP(A6,'Données projet'!$A$61:$I$81,7,0)),0%,VLOOKUP(A6,'Données projet'!$A$61:$I$81,7,0))</f>
        <v>0</v>
      </c>
      <c r="AU6" s="162">
        <f>EXP(-LN(2)/35)*AU5+(1-EXP(-LN(2)/35))/(LN(2)/35)*AQ6*AR6*VLOOKUP('Données projet'!$B$10,'Paramètres'!$A$1:$I$88,3,0)*0.475*44/12</f>
        <v>0</v>
      </c>
      <c r="AV6" s="162">
        <f>EXP(-LN(2)/25)*AV5+(1-EXP(-LN(2)/25))/(LN(2)/25)*Calculateur!AQ6*Calculateur!AS6*VLOOKUP('Données projet'!$B$10,'Paramètres'!$A$1:$I$88,3,0)*0.475*44/12</f>
        <v>0</v>
      </c>
      <c r="AW6" s="162">
        <f>EXP(-LN(2)/2)*AW5+(1-EXP(-LN(2)/2))/(LN(2)/2)*AQ6*AT6*VLOOKUP('Données projet'!$B$10,'Paramètres'!$A$1:$I$88,3,0)*0.475*44/12</f>
        <v>0</v>
      </c>
      <c r="AX6" s="162">
        <f t="shared" si="7"/>
        <v>0</v>
      </c>
      <c r="AY6" s="157">
        <f>('Scénario référence'!$F$8+'Scénario référence'!$F$9+'Scénario référence'!$B$17+'Scénario référence'!$B$9+'Scénario référence'!$B$10)*70+IF((45+25*(1-EXP(-0.0175*A6)))&lt;70,'Scénario référence'!$B$16*(45+25*(1-EXP(-0.0175*A6))),70*'Scénario référence'!$B$16)+IF((32+38*(1-EXP(-0.0175*A6)))&lt;70,'Scénario référence'!$B$18*(32+38*(1-EXP(-0.0175*A6))),70*'Scénario référence'!$B$18)</f>
        <v>70</v>
      </c>
      <c r="AZ6" s="151">
        <f>IF(A6&gt;30,10,('Scénario référence'!$B$16+'Scénario référence'!$B$17+'Scénario référence'!$B$18+'Scénario référence'!$B$9+'Scénario référence'!$B$10)*A6*10/30+('Scénario référence'!$F$8+'Scénario référence'!$F$9)*10)</f>
        <v>1</v>
      </c>
      <c r="BA6" s="151" t="str">
        <f>VLOOKUP(A6,'Données projet'!$A$87:$I$107,2,0)</f>
        <v>#N/A</v>
      </c>
      <c r="BB6" s="151" t="str">
        <f>VLOOKUP(A6,'Données projet'!$A$87:$I$107,9,0)</f>
        <v>#N/A</v>
      </c>
      <c r="BC6" s="150" t="str">
        <f t="array" ref="BC6">INDEX(BB:BB,MIN(IF(ISNUMBER(BB6:BB202),ROW(BB6:BB202),"")))</f>
        <v/>
      </c>
      <c r="BD6" s="150">
        <f>IF('Données projet'!$A$88&gt;35,BD5+BC6-BL5,IF(A6&lt;'Données projet'!$A$88,$BA$205^A6,IF(A6='Données projet'!$A$88,'Données projet'!$B$88,BD5+BC6-BL5)))</f>
        <v>0</v>
      </c>
      <c r="BE6" s="150">
        <f>BD6*VLOOKUP('Données projet'!$B$11,'Paramètres'!$A$1:$I$88,3,0)*VLOOKUP('Données projet'!$B$11,'Paramètres'!$A$1:$I$88,5,0)</f>
        <v>0</v>
      </c>
      <c r="BF6" s="150" t="str">
        <f t="shared" si="38"/>
        <v>#NUM!</v>
      </c>
      <c r="BG6" s="161" t="str">
        <f t="shared" si="8"/>
        <v>#NUM!</v>
      </c>
      <c r="BH6" s="153" t="str">
        <f t="shared" si="9"/>
        <v>#NUM!</v>
      </c>
      <c r="BI6" s="153">
        <f>AVERAGE(OFFSET($BH$3,0,0,'Données projet'!$E$11+1,1))-AVERAGE(OFFSET($H$3,0,0,'Données projet'!$E$11+1,1))</f>
        <v>0</v>
      </c>
      <c r="BJ6" s="153">
        <f t="shared" si="39"/>
        <v>0</v>
      </c>
      <c r="BK6" s="154">
        <f>IF(ISNA(VLOOKUP(A6,'Données projet'!$A$87:$I$107,3,0)),0,VLOOKUP(A6,'Données projet'!$A$87:$I$107,3,0))</f>
        <v>0</v>
      </c>
      <c r="BL6" s="154">
        <f>IF(ISNA(VLOOKUP(A6,'Données projet'!$A$87:$I$107,4,0)),0,VLOOKUP(A6,'Données projet'!$A$87:$I$107,4,0))</f>
        <v>0</v>
      </c>
      <c r="BM6" s="155">
        <f>IF(ISNA(VLOOKUP(A6,'Données projet'!$A$87:$I$107,5,0)),0%,VLOOKUP(A6,'Données projet'!$A$87:$I$107,5,0)*VLOOKUP('Données projet'!$B$11,'Paramètres'!$A$1:$I$88,7,0))</f>
        <v>0</v>
      </c>
      <c r="BN6" s="155">
        <f>IF(ISNA(VLOOKUP(A6,'Données projet'!$A$87:$I$107,6,0)),0%,VLOOKUP(A6,'Données projet'!$A$87:$I$107,6,0)*VLOOKUP('Données projet'!$B$11,'Paramètres'!$A$1:$I$88,7,0))</f>
        <v>0</v>
      </c>
      <c r="BO6" s="155">
        <f>IF(ISNA(VLOOKUP(A6,'Données projet'!$A$87:$I$107,7,0)),0%,VLOOKUP(A6,'Données projet'!$A$87:$I$107,7,0))</f>
        <v>0</v>
      </c>
      <c r="BP6" s="162">
        <f>EXP(-LN(2)/35)*BP5+(1-EXP(-LN(2)/35))/(LN(2)/35)*BL6*BM6*VLOOKUP('Données projet'!$B$11,'Paramètres'!$A$1:$I$88,3,0)*0.475*44/12</f>
        <v>0</v>
      </c>
      <c r="BQ6" s="162">
        <f>EXP(-LN(2)/25)*BQ5+(1-EXP(-LN(2)/25))/(LN(2)/25)*Calculateur!BL6*Calculateur!BN6*VLOOKUP('Données projet'!$B$11,'Paramètres'!$A$1:$I$88,3,0)*0.475*44/12</f>
        <v>0</v>
      </c>
      <c r="BR6" s="162">
        <f>EXP(-LN(2)/2)*BR5+(1-EXP(-LN(2)/2))/(LN(2)/2)*BL6*BO6*VLOOKUP('Données projet'!$B$11,'Paramètres'!$A$1:$I$88,3,0)*0.475*44/12</f>
        <v>0</v>
      </c>
      <c r="BS6" s="163">
        <f t="shared" si="10"/>
        <v>0</v>
      </c>
      <c r="BT6" s="159">
        <f>('Scénario référence'!$F$8+'Scénario référence'!$F$9+'Scénario référence'!$B$17+'Scénario référence'!$B$9+'Scénario référence'!$B$10)*70+IF((45+25*(1-EXP(-0.0175*A6)))&lt;70,'Scénario référence'!$B$16*(45+25*(1-EXP(-0.0175*A6))),70*'Scénario référence'!$B$16)+IF((32+38*(1-EXP(-0.0175*A6)))&lt;70,'Scénario référence'!$B$18*(32+38*(1-EXP(-0.0175*A6))),70*'Scénario référence'!$B$18)</f>
        <v>70</v>
      </c>
      <c r="BU6" s="151">
        <f>IF(A6&gt;30,10,('Scénario référence'!$B$16+'Scénario référence'!$B$17+'Scénario référence'!$B$18+'Scénario référence'!$B$9+'Scénario référence'!$B$10)*A6*10/30+('Scénario référence'!$F$8+'Scénario référence'!$F$9)*10)</f>
        <v>1</v>
      </c>
      <c r="BV6" s="151" t="str">
        <f>VLOOKUP(A6,'Données projet'!$A$113:$I$133,2,0)</f>
        <v>#N/A</v>
      </c>
      <c r="BW6" s="151" t="str">
        <f>VLOOKUP(A6,'Données projet'!$A$113:$I$133,9,0)</f>
        <v>#N/A</v>
      </c>
      <c r="BX6" s="150" t="str">
        <f t="array" ref="BX6">INDEX(BW:BW,MIN(IF(ISNUMBER(BW6:BW202),ROW(BW6:BW202),"")))</f>
        <v/>
      </c>
      <c r="BY6" s="150">
        <f>IF('Données projet'!$A$114&gt;35,BY5+BX6-CG5,IF(A6&lt;'Données projet'!$A$114,$BV$205^A6,IF(A6='Données projet'!$A$114,'Données projet'!$B$114,BY5+BX6-CG5)))</f>
        <v>0</v>
      </c>
      <c r="BZ6" s="150" t="str">
        <f>BY6*VLOOKUP('Données projet'!$B$12,'Paramètres'!$A$1:$I$88,3,0)*VLOOKUP('Données projet'!$B$12,'Paramètres'!$A$1:$I$88,5,0)</f>
        <v>#N/A</v>
      </c>
      <c r="CA6" s="150" t="str">
        <f t="shared" si="40"/>
        <v>#N/A</v>
      </c>
      <c r="CB6" s="161" t="str">
        <f t="shared" si="11"/>
        <v>#N/A</v>
      </c>
      <c r="CC6" s="153" t="str">
        <f t="shared" si="12"/>
        <v>#N/A</v>
      </c>
      <c r="CD6" s="153" t="str">
        <f>AVERAGE(OFFSET($CC$3,0,0,'Données projet'!$E$12+1,1))-AVERAGE(OFFSET($H$3,0,0,'Données projet'!$E$12+1,1))</f>
        <v>#N/A</v>
      </c>
      <c r="CE6" s="153" t="str">
        <f t="shared" si="41"/>
        <v>#N/A</v>
      </c>
      <c r="CF6" s="154">
        <f>IF(ISNA(VLOOKUP(A6,'Données projet'!$A$113:$I$133,3,0)),0,VLOOKUP(A6,'Données projet'!$A$113:$I$133,3,0))</f>
        <v>0</v>
      </c>
      <c r="CG6" s="154">
        <f>IF(ISNA(VLOOKUP(A6,'Données projet'!$A$113:$I$133,4,0)),0,VLOOKUP(A6,'Données projet'!$A$113:$I$133,4,0))</f>
        <v>0</v>
      </c>
      <c r="CH6" s="155">
        <f>IF(ISNA(VLOOKUP(A6,'Données projet'!$A$113:$I$133,5,0)),0%,VLOOKUP(A6,'Données projet'!$A$113:$I$133,5,0)*VLOOKUP('Données projet'!$B$12,'Paramètres'!$A$1:$I$88,7,0))</f>
        <v>0</v>
      </c>
      <c r="CI6" s="155">
        <f>IF(ISNA(VLOOKUP(A6,'Données projet'!$A$113:$I$133,6,0)),0%,VLOOKUP(A6,'Données projet'!$A$113:$I$133,6,0)*VLOOKUP('Données projet'!$B$12,'Paramètres'!$A$1:$I$88,7,0))</f>
        <v>0</v>
      </c>
      <c r="CJ6" s="155">
        <f>IF(ISNA(VLOOKUP(A6,'Données projet'!$A$113:$I$133,7,0)),0%,VLOOKUP(A6,'Données projet'!$A$113:$I$133,7,0))</f>
        <v>0</v>
      </c>
      <c r="CK6" s="162" t="str">
        <f>EXP(-LN(2)/35)*CK5+(1-EXP(-LN(2)/35))/(LN(2)/35)*CG6*CH6*VLOOKUP('Données projet'!$B$12,'Paramètres'!$A$1:$I$88,3,0)*0.475*44/12</f>
        <v>#N/A</v>
      </c>
      <c r="CL6" s="162" t="str">
        <f>EXP(-LN(2)/25)*CL5+(1-EXP(-LN(2)/25))/(LN(2)/25)*Calculateur!CG6*Calculateur!CI6*VLOOKUP('Données projet'!$B$12,'Paramètres'!$A$1:$I$88,3,0)*0.475*44/12</f>
        <v>#N/A</v>
      </c>
      <c r="CM6" s="162" t="str">
        <f>EXP(-LN(2)/2)*CM5+(1-EXP(-LN(2)/2))/(LN(2)/2)*CG6*CJ6*VLOOKUP('Données projet'!$B$12,'Paramètres'!$A$1:$I$88,3,0)*0.475*44/12</f>
        <v>#N/A</v>
      </c>
      <c r="CN6" s="163" t="str">
        <f t="shared" si="13"/>
        <v>#N/A</v>
      </c>
      <c r="CO6" s="159">
        <f>('Scénario référence'!$F$8+'Scénario référence'!$F$9+'Scénario référence'!$B$17+'Scénario référence'!$B$9+'Scénario référence'!$B$10)*70+IF((45+25*(1-EXP(-0.0175*A6)))&lt;70,'Scénario référence'!$B$16*(45+25*(1-EXP(-0.0175*A6))),70*'Scénario référence'!$B$16)+IF((32+38*(1-EXP(-0.0175*A6)))&lt;70,'Scénario référence'!$B$18*(32+38*(1-EXP(-0.0175*A6))),70*'Scénario référence'!$B$18)</f>
        <v>70</v>
      </c>
      <c r="CP6" s="151">
        <f>IF(A6&gt;30,10,('Scénario référence'!$B$16+'Scénario référence'!$B$17+'Scénario référence'!$B$18+'Scénario référence'!$B$9+'Scénario référence'!$B$10)*A6*10/30+('Scénario référence'!$F$8+'Scénario référence'!$F$9)*10)</f>
        <v>1</v>
      </c>
      <c r="CQ6" s="151" t="str">
        <f>VLOOKUP(A6,'Données projet'!$A$139:$I$159,2,0)</f>
        <v>#N/A</v>
      </c>
      <c r="CR6" s="151" t="str">
        <f>VLOOKUP(A6,'Données projet'!$A$139:$I$159,9,0)</f>
        <v>#N/A</v>
      </c>
      <c r="CS6" s="151" t="str">
        <f t="array" ref="CS6">INDEX(CR:CR,MIN(IF(ISNUMBER(CR6:CR202),ROW(CR6:CR202),"")))</f>
        <v/>
      </c>
      <c r="CT6" s="151">
        <f>IF('Données projet'!$A$140&gt;35,CT5+CS6-DB5,IF(A6&lt;'Données projet'!$A$140,$CQ$205^A6,IF(A6='Données projet'!$A$140,'Données projet'!$B$140,CT5+CS6-DB5)))</f>
        <v>0</v>
      </c>
      <c r="CU6" s="158" t="str">
        <f>CT6*VLOOKUP('Données projet'!$B$13,'Paramètres'!$A$1:$I$88,3,0)*VLOOKUP('Données projet'!$B$13,'Paramètres'!$A$1:$I$88,5,0)</f>
        <v>#N/A</v>
      </c>
      <c r="CV6" s="150" t="str">
        <f t="shared" si="42"/>
        <v>#N/A</v>
      </c>
      <c r="CW6" s="161" t="str">
        <f t="shared" si="14"/>
        <v>#N/A</v>
      </c>
      <c r="CX6" s="153" t="str">
        <f t="shared" si="15"/>
        <v>#N/A</v>
      </c>
      <c r="CY6" s="153" t="str">
        <f>AVERAGE(OFFSET($CX$3,0,0,'Données projet'!$E$13+1,1))-AVERAGE(OFFSET($H$3,0,0,'Données projet'!$E$13+1,1))</f>
        <v>#N/A</v>
      </c>
      <c r="CZ6" s="153" t="str">
        <f t="shared" si="43"/>
        <v>#N/A</v>
      </c>
      <c r="DA6" s="154">
        <f>IF(ISNA(VLOOKUP(A6,'Données projet'!$A$139:$I$159,3,0)),0,VLOOKUP(A6,'Données projet'!$A$139:$I$159,3,0))</f>
        <v>0</v>
      </c>
      <c r="DB6" s="154">
        <f>IF(ISNA(VLOOKUP(A6,'Données projet'!$A$139:$I$159,4,0)),0,VLOOKUP(A6,'Données projet'!$A$139:$I$159,4,0))</f>
        <v>0</v>
      </c>
      <c r="DC6" s="155">
        <f>IF(ISNA(VLOOKUP(A6,'Données projet'!$A$139:$I$159,5,0)),0%,VLOOKUP(A6,'Données projet'!$A$139:$I$159,5,0)*VLOOKUP('Données projet'!$B$13,'Paramètres'!$A$1:$I$88,7,0))</f>
        <v>0</v>
      </c>
      <c r="DD6" s="155">
        <f>IF(ISNA(VLOOKUP(A6,'Données projet'!$A$139:$I$159,6,0)),0%,VLOOKUP(A6,'Données projet'!$A$139:$I$159,6,0)*VLOOKUP('Données projet'!$B$13,'Paramètres'!$A$1:$I$88,7,0))</f>
        <v>0</v>
      </c>
      <c r="DE6" s="155">
        <f>IF(ISNA(VLOOKUP(A6,'Données projet'!$A$139:$I$159,7,0)),0%,VLOOKUP(A6,'Données projet'!$A$139:$I$159,7,0))</f>
        <v>0</v>
      </c>
      <c r="DF6" s="162" t="str">
        <f>EXP(-LN(2)/35)*DF5+(1-EXP(-LN(2)/35))/(LN(2)/35)*DB6*DC6*VLOOKUP('Données projet'!$B$13,'Paramètres'!$A$1:$I$88,3,0)*0.475*44/12</f>
        <v>#N/A</v>
      </c>
      <c r="DG6" s="162" t="str">
        <f>EXP(-LN(2)/25)*DG5+(1-EXP(-LN(2)/25))/(LN(2)/25)*Calculateur!DB6*Calculateur!DD6*VLOOKUP('Données projet'!$B$13,'Paramètres'!$A$1:$I$88,3,0)*0.475*44/12</f>
        <v>#N/A</v>
      </c>
      <c r="DH6" s="162" t="str">
        <f>EXP(-LN(2)/2)*DH5+(1-EXP(-LN(2)/2))/(LN(2)/2)*DB6*DE6*VLOOKUP('Données projet'!$B$13,'Paramètres'!$A$1:$I$88,3,0)*0.475*44/12</f>
        <v>#N/A</v>
      </c>
      <c r="DI6" s="163" t="str">
        <f t="shared" si="16"/>
        <v>#N/A</v>
      </c>
      <c r="DJ6" s="159">
        <f>('Scénario référence'!$F$8+'Scénario référence'!$F$9+'Scénario référence'!$B$17+'Scénario référence'!$B$9+'Scénario référence'!$B$10)*70+IF((45+25*(1-EXP(-0.0175*A6)))&lt;70,'Scénario référence'!$B$16*(45+25*(1-EXP(-0.0175*A6))),70*'Scénario référence'!$B$16)+IF((32+38*(1-EXP(-0.0175*A6)))&lt;70,'Scénario référence'!$B$18*(32+38*(1-EXP(-0.0175*A6))),70*'Scénario référence'!$B$18)</f>
        <v>70</v>
      </c>
      <c r="DK6" s="151">
        <f>IF(A6&gt;30,10,('Scénario référence'!$B$16+'Scénario référence'!$B$17+'Scénario référence'!$B$18+'Scénario référence'!$B$9+'Scénario référence'!$B$10)*A6*10/30+('Scénario référence'!$F$8+'Scénario référence'!$F$9)*10)</f>
        <v>1</v>
      </c>
      <c r="DL6" s="151" t="str">
        <f>VLOOKUP(A6,'Données projet'!$A$165:$I$185,2,0)</f>
        <v>#N/A</v>
      </c>
      <c r="DM6" s="151" t="str">
        <f>VLOOKUP(A6,'Données projet'!$A$165:$I$185,9,0)</f>
        <v>#N/A</v>
      </c>
      <c r="DN6" s="151" t="str">
        <f t="array" ref="DN6">INDEX(DM:DM,MIN(IF(ISNUMBER(DM6:DM202),ROW(DM6:DM202),"")))</f>
        <v/>
      </c>
      <c r="DO6" s="151">
        <f>IF('Données projet'!$A$166&gt;35,DO5+DN6-DW5,IF(A6&lt;'Données projet'!$A$166,$DL$205^A6,IF(A6='Données projet'!$A$166,'Données projet'!$B$166,DO5+DN6-DW5)))</f>
        <v>0</v>
      </c>
      <c r="DP6" s="158" t="str">
        <f>DO6*VLOOKUP('Données projet'!$B$14,'Paramètres'!$A$1:$I$88,3,0)*VLOOKUP('Données projet'!$B$14,'Paramètres'!$A$1:$I$88,5,0)</f>
        <v>#N/A</v>
      </c>
      <c r="DQ6" s="150" t="str">
        <f t="shared" si="44"/>
        <v>#N/A</v>
      </c>
      <c r="DR6" s="161" t="str">
        <f t="shared" si="17"/>
        <v>#N/A</v>
      </c>
      <c r="DS6" s="153" t="str">
        <f t="shared" si="18"/>
        <v>#N/A</v>
      </c>
      <c r="DT6" s="153" t="str">
        <f>AVERAGE(OFFSET($DS$3,0,0,'Données projet'!$E$14+1,1))-AVERAGE(OFFSET($H$3,0,0,'Données projet'!$E$14+1,1))</f>
        <v>#N/A</v>
      </c>
      <c r="DU6" s="153" t="str">
        <f t="shared" si="45"/>
        <v>#N/A</v>
      </c>
      <c r="DV6" s="154">
        <f>IF(ISNA(VLOOKUP(A6,'Données projet'!$A$165:$I$185,3,0)),0,VLOOKUP(A6,'Données projet'!$A$165:$I$185,3,0))</f>
        <v>0</v>
      </c>
      <c r="DW6" s="154">
        <f>IF(ISNA(VLOOKUP(A6,'Données projet'!$A$165:$I$185,4,0)),0,VLOOKUP(A6,'Données projet'!$A$165:$I$185,4,0))</f>
        <v>0</v>
      </c>
      <c r="DX6" s="155">
        <f>IF(ISNA(VLOOKUP(A6,'Données projet'!$A$165:$I$185,5,0)),0%,VLOOKUP(A6,'Données projet'!$A$165:$I$185,5,0)*VLOOKUP('Données projet'!$B$14,'Paramètres'!$A$1:$I$88,7,0))</f>
        <v>0</v>
      </c>
      <c r="DY6" s="155">
        <f>IF(ISNA(VLOOKUP(A6,'Données projet'!$A$165:$I$185,6,0)),0%,VLOOKUP(A6,'Données projet'!$A$165:$I$185,6,0)*VLOOKUP('Données projet'!$B$14,'Paramètres'!$A$1:$I$88,7,0))</f>
        <v>0</v>
      </c>
      <c r="DZ6" s="155">
        <f>IF(ISNA(VLOOKUP(A6,'Données projet'!$A$165:$I$185,7,0)),0%,VLOOKUP(A6,'Données projet'!$A$165:$I$185,7,0))</f>
        <v>0</v>
      </c>
      <c r="EA6" s="162" t="str">
        <f>EXP(-LN(2)/35)*EA5+(1-EXP(-LN(2)/35))/(LN(2)/35)*DW6*DX6*VLOOKUP('Données projet'!$B$14,'Paramètres'!$A$1:$I$88,3,0)*0.475*44/12</f>
        <v>#N/A</v>
      </c>
      <c r="EB6" s="162" t="str">
        <f>EXP(-LN(2)/25)*EB5+(1-EXP(-LN(2)/25))/(LN(2)/25)*Calculateur!DW6*Calculateur!DY6*VLOOKUP('Données projet'!$B$14,'Paramètres'!$A$1:$I$88,3,0)*0.475*44/12</f>
        <v>#N/A</v>
      </c>
      <c r="EC6" s="162" t="str">
        <f>EXP(-LN(2)/2)*EC5+(1-EXP(-LN(2)/2))/(LN(2)/2)*DW6*DZ6*VLOOKUP('Données projet'!$B$14,'Paramètres'!$A$1:$I$88,3,0)*0.475*44/12</f>
        <v>#N/A</v>
      </c>
      <c r="ED6" s="163" t="str">
        <f t="shared" si="19"/>
        <v>#N/A</v>
      </c>
      <c r="EE6" s="159">
        <f>('Scénario référence'!$F$8+'Scénario référence'!$F$9+'Scénario référence'!$B$17+'Scénario référence'!$B$9+'Scénario référence'!$B$10)*70+IF((45+25*(1-EXP(-0.0175*A6)))&lt;70,'Scénario référence'!$B$16*(45+25*(1-EXP(-0.0175*A6))),70*'Scénario référence'!$B$16)+IF((32+38*(1-EXP(-0.0175*A6)))&lt;70,'Scénario référence'!$B$18*(32+38*(1-EXP(-0.0175*A6))),70*'Scénario référence'!$B$18)</f>
        <v>70</v>
      </c>
      <c r="EF6" s="151">
        <f>IF(A6&gt;30,10,('Scénario référence'!$B$16+'Scénario référence'!$B$17+'Scénario référence'!$B$18+'Scénario référence'!$B$9+'Scénario référence'!$B$10)*A6*10/30+('Scénario référence'!$F$8+'Scénario référence'!$F$9)*10)</f>
        <v>1</v>
      </c>
      <c r="EG6" s="151" t="str">
        <f>VLOOKUP(A6,'Données projet'!$A$191:$I$211,2,0)</f>
        <v>#N/A</v>
      </c>
      <c r="EH6" s="151" t="str">
        <f>VLOOKUP(A6,'Données projet'!$A$191:$I$211,9,0)</f>
        <v>#N/A</v>
      </c>
      <c r="EI6" s="151" t="str">
        <f t="array" ref="EI6">INDEX(EH:EH,MIN(IF(ISNUMBER(EH6:EH202),ROW(EH6:EH202),"")))</f>
        <v/>
      </c>
      <c r="EJ6" s="151">
        <f>IF('Données projet'!$A$192&gt;35,EJ5+EI6-ER5,IF(A6&lt;'Données projet'!$A$192,$EG$205^A6,IF(A6='Données projet'!$A$192,'Données projet'!$B$192,EJ5+EI6-ER5)))</f>
        <v>0</v>
      </c>
      <c r="EK6" s="158" t="str">
        <f>EJ6*VLOOKUP('Données projet'!$B$15,'Paramètres'!$A$1:$I$88,3,0)*VLOOKUP('Données projet'!$B$15,'Paramètres'!$A$1:$I$88,5,0)</f>
        <v>#N/A</v>
      </c>
      <c r="EL6" s="150" t="str">
        <f t="shared" si="46"/>
        <v>#N/A</v>
      </c>
      <c r="EM6" s="161" t="str">
        <f t="shared" si="20"/>
        <v>#N/A</v>
      </c>
      <c r="EN6" s="153" t="str">
        <f t="shared" si="21"/>
        <v>#N/A</v>
      </c>
      <c r="EO6" s="153" t="str">
        <f>AVERAGE(OFFSET($EN$3,0,0,'Données projet'!$E$15+1,1))-AVERAGE(OFFSET($H$3,0,0,'Données projet'!$E$15+1,1))</f>
        <v>#N/A</v>
      </c>
      <c r="EP6" s="153" t="str">
        <f t="shared" si="47"/>
        <v>#N/A</v>
      </c>
      <c r="EQ6" s="154">
        <f>IF(ISNA(VLOOKUP(A6,'Données projet'!$A$191:$I$211,3,0)),0,VLOOKUP(A6,'Données projet'!$A$191:$I$211,3,0))</f>
        <v>0</v>
      </c>
      <c r="ER6" s="154">
        <f>IF(ISNA(VLOOKUP(A6,'Données projet'!$A$191:$I$211,4,0)),0,VLOOKUP(A6,'Données projet'!$A$191:$I$211,4,0))</f>
        <v>0</v>
      </c>
      <c r="ES6" s="155">
        <f>IF(ISNA(VLOOKUP(A6,'Données projet'!$A$191:$I$211,5,0)),0%,VLOOKUP(A6,'Données projet'!$A$191:$I$211,5,0)*VLOOKUP('Données projet'!$B$15,'Paramètres'!$A$1:$I$88,7,0))</f>
        <v>0</v>
      </c>
      <c r="ET6" s="155">
        <f>IF(ISNA(VLOOKUP(A6,'Données projet'!$A$191:$I$211,6,0)),0%,VLOOKUP(A6,'Données projet'!$A$191:$I$211,6,0)*VLOOKUP('Données projet'!$B$15,'Paramètres'!$A$1:$I$88,7,0))</f>
        <v>0</v>
      </c>
      <c r="EU6" s="155">
        <f>IF(ISNA(VLOOKUP(A6,'Données projet'!$A$191:$I$211,7,0)),0%,VLOOKUP(A6,'Données projet'!$A$191:$I$211,7,0))</f>
        <v>0</v>
      </c>
      <c r="EV6" s="162" t="str">
        <f>EXP(-LN(2)/35)*EV5+(1-EXP(-LN(2)/35))/(LN(2)/35)*ER6*ES6*VLOOKUP('Données projet'!$B$15,'Paramètres'!$A$1:$I$88,3,0)*0.475*44/12</f>
        <v>#N/A</v>
      </c>
      <c r="EW6" s="162" t="str">
        <f>EXP(-LN(2)/25)*EW5+(1-EXP(-LN(2)/25))/(LN(2)/25)*Calculateur!ER6*Calculateur!ET6*VLOOKUP('Données projet'!$B$15,'Paramètres'!$A$1:$I$88,3,0)*0.475*44/12</f>
        <v>#N/A</v>
      </c>
      <c r="EX6" s="162" t="str">
        <f>EXP(-LN(2)/2)*EX5+(1-EXP(-LN(2)/2))/(LN(2)/2)*ER6*EU6*VLOOKUP('Données projet'!$B$15,'Paramètres'!$A$1:$I$88,3,0)*0.475*44/12</f>
        <v>#N/A</v>
      </c>
      <c r="EY6" s="163" t="str">
        <f t="shared" si="22"/>
        <v>#N/A</v>
      </c>
      <c r="EZ6" s="159">
        <f>('Scénario référence'!$F$8+'Scénario référence'!$F$9+'Scénario référence'!$B$17+'Scénario référence'!$B$9+'Scénario référence'!$B$10)*70+IF((45+25*(1-EXP(-0.0175*A6)))&lt;70,'Scénario référence'!$B$16*(45+25*(1-EXP(-0.0175*A6))),70*'Scénario référence'!$B$16)+IF((32+38*(1-EXP(-0.0175*A6)))&lt;70,'Scénario référence'!$B$18*(32+38*(1-EXP(-0.0175*A6))),70*'Scénario référence'!$B$18)</f>
        <v>70</v>
      </c>
      <c r="FA6" s="151">
        <f>IF(A6&gt;30,10,('Scénario référence'!$B$16+'Scénario référence'!$B$17+'Scénario référence'!$B$18+'Scénario référence'!$B$9+'Scénario référence'!$B$10)*A6*10/30+('Scénario référence'!$F$8+'Scénario référence'!$F$9)*10)</f>
        <v>1</v>
      </c>
      <c r="FB6" s="151" t="str">
        <f>VLOOKUP(A6,'Données projet'!$A$217:$I$237,2,0)</f>
        <v>#N/A</v>
      </c>
      <c r="FC6" s="151" t="str">
        <f>VLOOKUP(A6,'Données projet'!$A$217:$I$237,9,0)</f>
        <v>#N/A</v>
      </c>
      <c r="FD6" s="151" t="str">
        <f t="array" ref="FD6">INDEX(FC:FC,MIN(IF(ISNUMBER(FC6:FC202),ROW(FC6:FC202),"")))</f>
        <v/>
      </c>
      <c r="FE6" s="151">
        <f>IF('Données projet'!$A$218&gt;35,FE5+FD6-FM5,IF(A6&lt;'Données projet'!$A$218,$FB$205^A6,IF(A6='Données projet'!$A$218,'Données projet'!$B$218,FE5+FD6-FM5)))</f>
        <v>0</v>
      </c>
      <c r="FF6" s="158" t="str">
        <f>FE6*VLOOKUP('Données projet'!$B$16,'Paramètres'!$A$1:$I$88,3,0)*VLOOKUP('Données projet'!$B$16,'Paramètres'!$A$1:$I$88,5,0)</f>
        <v>#N/A</v>
      </c>
      <c r="FG6" s="150" t="str">
        <f t="shared" si="48"/>
        <v>#N/A</v>
      </c>
      <c r="FH6" s="161" t="str">
        <f t="shared" si="23"/>
        <v>#N/A</v>
      </c>
      <c r="FI6" s="153" t="str">
        <f t="shared" si="24"/>
        <v>#N/A</v>
      </c>
      <c r="FJ6" s="153" t="str">
        <f>AVERAGE(OFFSET($FI$3,0,0,'Données projet'!$E$16+1,1))-AVERAGE(OFFSET($H$3,0,0,'Données projet'!$E$16+1,1))</f>
        <v>#N/A</v>
      </c>
      <c r="FK6" s="153" t="str">
        <f t="shared" si="49"/>
        <v>#N/A</v>
      </c>
      <c r="FL6" s="154">
        <f>IF(ISNA(VLOOKUP(A6,'Données projet'!$A$217:$I$237,3,0)),0,VLOOKUP(A6,'Données projet'!$A$217:$I$237,3,0))</f>
        <v>0</v>
      </c>
      <c r="FM6" s="154">
        <f>IF(ISNA(VLOOKUP(A6,'Données projet'!$A$217:$I$237,4,0)),0,VLOOKUP(A6,'Données projet'!$A$217:$I$237,4,0))</f>
        <v>0</v>
      </c>
      <c r="FN6" s="155">
        <f>IF(ISNA(VLOOKUP(A6,'Données projet'!$A$217:$I$237,5,0)),0%,VLOOKUP(A6,'Données projet'!$A$217:$I$237,5,0)*VLOOKUP('Données projet'!$B$16,'Paramètres'!$A$1:$I$88,7,0))</f>
        <v>0</v>
      </c>
      <c r="FO6" s="155">
        <f>IF(ISNA(VLOOKUP(A6,'Données projet'!$A$217:$I$237,6,0)),0%,VLOOKUP(A6,'Données projet'!$A$217:$I$237,6,0)*VLOOKUP('Données projet'!$B$16,'Paramètres'!$A$1:$I$88,7,0))</f>
        <v>0</v>
      </c>
      <c r="FP6" s="155">
        <f>IF(ISNA(VLOOKUP(A6,'Données projet'!$A$217:$I$237,7,0)),0%,VLOOKUP(A6,'Données projet'!$A$217:$I$237,7,0))</f>
        <v>0</v>
      </c>
      <c r="FQ6" s="162" t="str">
        <f>EXP(-LN(2)/35)*FQ5+(1-EXP(-LN(2)/35))/(LN(2)/35)*FM6*FN6*VLOOKUP('Données projet'!$B$16,'Paramètres'!$A$1:$I$88,3,0)*0.475*44/12</f>
        <v>#N/A</v>
      </c>
      <c r="FR6" s="162" t="str">
        <f>EXP(-LN(2)/25)*FR5+(1-EXP(-LN(2)/25))/(LN(2)/25)*Calculateur!FM6*Calculateur!FO6*VLOOKUP('Données projet'!$B$16,'Paramètres'!$A$1:$I$88,3,0)*0.475*44/12</f>
        <v>#N/A</v>
      </c>
      <c r="FS6" s="162" t="str">
        <f>EXP(-LN(2)/2)*FS5+(1-EXP(-LN(2)/2))/(LN(2)/2)*FM6*FP6*VLOOKUP('Données projet'!$B$16,'Paramètres'!$A$1:$I$88,3,0)*0.475*44/12</f>
        <v>#N/A</v>
      </c>
      <c r="FT6" s="163" t="str">
        <f t="shared" si="25"/>
        <v>#N/A</v>
      </c>
      <c r="FU6" s="159">
        <f>('Scénario référence'!$F$8+'Scénario référence'!$F$9+'Scénario référence'!$B$17+'Scénario référence'!$B$9+'Scénario référence'!$B$10)*70+IF((45+25*(1-EXP(-0.0175*A6)))&lt;70,'Scénario référence'!$B$16*(45+25*(1-EXP(-0.0175*A6))),70*'Scénario référence'!$B$16)+IF((32+38*(1-EXP(-0.0175*A6)))&lt;70,'Scénario référence'!$B$18*(32+38*(1-EXP(-0.0175*A6))),70*'Scénario référence'!$B$18)</f>
        <v>70</v>
      </c>
      <c r="FV6" s="151">
        <f>IF(A6&gt;30,10,('Scénario référence'!$B$16+'Scénario référence'!$B$17+'Scénario référence'!$B$18+'Scénario référence'!$B$9+'Scénario référence'!$B$10)*A6*10/30+('Scénario référence'!$F$8+'Scénario référence'!$F$9)*10)</f>
        <v>1</v>
      </c>
      <c r="FW6" s="151" t="str">
        <f>VLOOKUP(A6,'Données projet'!$A$243:$I$263,2,0)</f>
        <v>#N/A</v>
      </c>
      <c r="FX6" s="151" t="str">
        <f>VLOOKUP(A6,'Données projet'!$A$243:$I$263,9,0)</f>
        <v>#N/A</v>
      </c>
      <c r="FY6" s="151" t="str">
        <f t="array" ref="FY6">INDEX(FX:FX,MIN(IF(ISNUMBER(FX6:FX202),ROW(FX6:FX202),"")))</f>
        <v/>
      </c>
      <c r="FZ6" s="151">
        <f>IF('Données projet'!$A$244&gt;35,FZ5+FY6-GH5,IF(A6&lt;'Données projet'!$A$244,$FW$205^A6,IF(A6='Données projet'!$A$244,'Données projet'!$B$244,FZ5+FY6-GH5)))</f>
        <v>0</v>
      </c>
      <c r="GA6" s="158" t="str">
        <f>FZ6*VLOOKUP('Données projet'!$B$17,'Paramètres'!$A$1:$I$88,3,0)*VLOOKUP('Données projet'!$B$17,'Paramètres'!$A$1:$I$88,5,0)</f>
        <v>#N/A</v>
      </c>
      <c r="GB6" s="150" t="str">
        <f t="shared" si="50"/>
        <v>#N/A</v>
      </c>
      <c r="GC6" s="161" t="str">
        <f t="shared" si="26"/>
        <v>#N/A</v>
      </c>
      <c r="GD6" s="153" t="str">
        <f t="shared" si="27"/>
        <v>#N/A</v>
      </c>
      <c r="GE6" s="153" t="str">
        <f>AVERAGE(OFFSET($GD$3,0,0,'Données projet'!$E$17+1,1))-AVERAGE(OFFSET($H$3,0,0,'Données projet'!$E$17+1,1))</f>
        <v>#N/A</v>
      </c>
      <c r="GF6" s="153" t="str">
        <f t="shared" si="51"/>
        <v>#N/A</v>
      </c>
      <c r="GG6" s="154">
        <f>IF(ISNA(VLOOKUP(A6,'Données projet'!$A$243:$I$263,3,0)),0,VLOOKUP(A6,'Données projet'!$A$243:$I$263,3,0))</f>
        <v>0</v>
      </c>
      <c r="GH6" s="154">
        <f>IF(ISNA(VLOOKUP(A6,'Données projet'!$A$243:$I$263,4,0)),0,VLOOKUP(A6,'Données projet'!$A$243:$I$263,4,0))</f>
        <v>0</v>
      </c>
      <c r="GI6" s="155">
        <f>IF(ISNA(VLOOKUP(A6,'Données projet'!$A$243:$I$263,5,0)),0%,VLOOKUP(A6,'Données projet'!$A$243:$I$263,5,0)*VLOOKUP('Données projet'!$B$17,'Paramètres'!$A$1:$I$88,7,0))</f>
        <v>0</v>
      </c>
      <c r="GJ6" s="155">
        <f>IF(ISNA(VLOOKUP(A6,'Données projet'!$A$243:$I$263,6,0)),0%,VLOOKUP(A6,'Données projet'!$A$243:$I$263,6,0)*VLOOKUP('Données projet'!$B$17,'Paramètres'!$A$1:$I$88,7,0))</f>
        <v>0</v>
      </c>
      <c r="GK6" s="155">
        <f>IF(ISNA(VLOOKUP(A6,'Données projet'!$A$243:$I$263,7,0)),0%,VLOOKUP(A6,'Données projet'!$A$243:$I$263,7,0))</f>
        <v>0</v>
      </c>
      <c r="GL6" s="162" t="str">
        <f>EXP(-LN(2)/35)*GL5+(1-EXP(-LN(2)/35))/(LN(2)/35)*GH6*GI6*VLOOKUP('Données projet'!$B$17,'Paramètres'!$A$1:$I$88,3,0)*0.475*44/12</f>
        <v>#N/A</v>
      </c>
      <c r="GM6" s="162" t="str">
        <f>EXP(-LN(2)/25)*GM5+(1-EXP(-LN(2)/25))/(LN(2)/25)*Calculateur!GH6*Calculateur!GJ6*VLOOKUP('Données projet'!$B$17,'Paramètres'!$A$1:$I$88,3,0)*0.475*44/12</f>
        <v>#N/A</v>
      </c>
      <c r="GN6" s="162" t="str">
        <f>EXP(-LN(2)/2)*GN5+(1-EXP(-LN(2)/2))/(LN(2)/2)*GH6*GK6*VLOOKUP('Données projet'!$B$17,'Paramètres'!$A$1:$I$88,3,0)*0.475*44/12</f>
        <v>#N/A</v>
      </c>
      <c r="GO6" s="162" t="str">
        <f t="shared" si="28"/>
        <v>#N/A</v>
      </c>
      <c r="GP6" s="159">
        <f>('Scénario référence'!$F$8+'Scénario référence'!$F$9+'Scénario référence'!$B$17+'Scénario référence'!$B$9+'Scénario référence'!$B$10)*70+IF((45+25*(1-EXP(-0.0175*A6)))&lt;70,'Scénario référence'!$B$16*(45+25*(1-EXP(-0.0175*A6))),70*'Scénario référence'!$B$16)+IF((32+38*(1-EXP(-0.0175*A6)))&lt;70,'Scénario référence'!$B$18*(32+38*(1-EXP(-0.0175*A6))),70*'Scénario référence'!$B$18)</f>
        <v>70</v>
      </c>
      <c r="GQ6" s="151">
        <f>IF(A6&gt;30,10,('Scénario référence'!$B$16+'Scénario référence'!$B$17+'Scénario référence'!$B$18+'Scénario référence'!$B$9+'Scénario référence'!$B$10)*A6*10/30+('Scénario référence'!$F$8+'Scénario référence'!$F$9)*10)</f>
        <v>1</v>
      </c>
      <c r="GR6" s="151" t="str">
        <f>VLOOKUP(A6,'Données projet'!$A$269:$I$289,2,0)</f>
        <v>#N/A</v>
      </c>
      <c r="GS6" s="151" t="str">
        <f>VLOOKUP(A6,'Données projet'!$A$269:$I$289,9,0)</f>
        <v>#N/A</v>
      </c>
      <c r="GT6" s="151" t="str">
        <f t="array" ref="GT6">INDEX(GS:GS,MIN(IF(ISNUMBER(GS6:GS202),ROW(GS6:GS202),"")))</f>
        <v/>
      </c>
      <c r="GU6" s="151">
        <f>IF('Données projet'!$A$270&gt;35,GU5+GT6-HC5,IF(A6&lt;'Données projet'!$A$270,$GR$205^A6,IF(A6='Données projet'!$A$270,'Données projet'!$B$270,GU5+GT6-HC5)))</f>
        <v>0</v>
      </c>
      <c r="GV6" s="158" t="str">
        <f>GU6*VLOOKUP('Données projet'!$B$18,'Paramètres'!$A$1:$I$88,3,0)*VLOOKUP('Données projet'!$B$18,'Paramètres'!$A$1:$I$88,5,0)</f>
        <v>#N/A</v>
      </c>
      <c r="GW6" s="150" t="str">
        <f t="shared" si="52"/>
        <v>#N/A</v>
      </c>
      <c r="GX6" s="161" t="str">
        <f t="shared" si="29"/>
        <v>#N/A</v>
      </c>
      <c r="GY6" s="153" t="str">
        <f t="shared" si="30"/>
        <v>#N/A</v>
      </c>
      <c r="GZ6" s="153" t="str">
        <f>AVERAGE(OFFSET($GY$3,0,0,'Données projet'!$E$18+1,1))-AVERAGE(OFFSET($H$3,0,0,'Données projet'!$E$18+1,1))</f>
        <v>#N/A</v>
      </c>
      <c r="HA6" s="153" t="str">
        <f t="shared" si="53"/>
        <v>#N/A</v>
      </c>
      <c r="HB6" s="154">
        <f>IF(ISNA(VLOOKUP(A6,'Données projet'!$A$269:$I$289,3,0)),0,VLOOKUP(A6,'Données projet'!$A$269:$I$289,3,0))</f>
        <v>0</v>
      </c>
      <c r="HC6" s="154">
        <f>IF(ISNA(VLOOKUP(A6,'Données projet'!$A$269:$I$289,4,0)),0,VLOOKUP(A6,'Données projet'!$A$269:$I$289,4,0))</f>
        <v>0</v>
      </c>
      <c r="HD6" s="155">
        <f>IF(ISNA(VLOOKUP(A6,'Données projet'!$A$269:$I$289,5,0)),0%,VLOOKUP(A6,'Données projet'!$A$269:$I$289,5,0)*VLOOKUP('Données projet'!$B$18,'Paramètres'!$A$1:$I$88,7,0))</f>
        <v>0</v>
      </c>
      <c r="HE6" s="155">
        <f>IF(ISNA(VLOOKUP(A6,'Données projet'!$A$269:$I$289,6,0)),0%,VLOOKUP(A6,'Données projet'!$A$269:$I$289,6,0)*VLOOKUP('Données projet'!$B$18,'Paramètres'!$A$1:$I$88,7,0))</f>
        <v>0</v>
      </c>
      <c r="HF6" s="155">
        <f>IF(ISNA(VLOOKUP(A6,'Données projet'!$A$269:$I$289,7,0)),0%,VLOOKUP(A6,'Données projet'!$A$269:$I$289,7,0))</f>
        <v>0</v>
      </c>
      <c r="HG6" s="162" t="str">
        <f>EXP(-LN(2)/35)*HG5+(1-EXP(-LN(2)/35))/(LN(2)/35)*HC6*HD6*VLOOKUP('Données projet'!$B$18,'Paramètres'!$A$1:$I$88,3,0)*0.475*44/12</f>
        <v>#N/A</v>
      </c>
      <c r="HH6" s="162" t="str">
        <f>EXP(-LN(2)/25)*HH5+(1-EXP(-LN(2)/25))/(LN(2)/25)*Calculateur!HC6*Calculateur!HE6*VLOOKUP('Données projet'!$B$18,'Paramètres'!$A$1:$I$88,3,0)*0.475*44/12</f>
        <v>#N/A</v>
      </c>
      <c r="HI6" s="162" t="str">
        <f>EXP(-LN(2)/2)*HI5+(1-EXP(-LN(2)/2))/(LN(2)/2)*HC6*HF6*VLOOKUP('Données projet'!$B$18,'Paramètres'!$A$1:$I$88,3,0)*0.475*44/12</f>
        <v>#N/A</v>
      </c>
      <c r="HJ6" s="163" t="str">
        <f t="shared" si="31"/>
        <v>#N/A</v>
      </c>
    </row>
    <row r="7">
      <c r="A7" s="145">
        <f t="shared" si="32"/>
        <v>4</v>
      </c>
      <c r="B7" s="146">
        <f>'Scénario référence'!$B$16*5+'Scénario référence'!$B$17*0+'Scénario référence'!$B$18*5</f>
        <v>0</v>
      </c>
      <c r="C7" s="160">
        <f>Calculateur!C6+'Scénario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7" s="147">
        <f t="shared" si="33"/>
        <v>0</v>
      </c>
      <c r="E7" s="147">
        <f>'Scénario référence'!$B$16*45+('Scénario référence'!$B$17+'Scénario référence'!$F$8+'Scénario référence'!$F$9+'Scénario référence'!$B$10+'Scénario référence'!$B$9)*70+'Scénario référence'!$B$18*32</f>
        <v>70</v>
      </c>
      <c r="F7" s="147">
        <f>IF(OR('Scénario référence'!$F$8&gt;0,'Scénario référence'!$F$9&gt;0),('Scénario référence'!$F$8+'Scénario référence'!$F$9)*10,0)</f>
        <v>0</v>
      </c>
      <c r="G7" s="147">
        <f>'Scénario référence'!$B$8*B7*44/12+'Scénario référence'!$B$9*(C7+D7)/0.475*44/12+'Scénario référence'!$B$10*(C7+D7)/0.475*44/12+'Scénario référence'!$F$8*(C7+D7)/0.475*44/12+'Scénario référence'!$F$9*(C7+D7)/0.475*44/12</f>
        <v>0</v>
      </c>
      <c r="H7" s="148">
        <f t="shared" si="1"/>
        <v>256.6666667</v>
      </c>
      <c r="I7" s="149">
        <f>('Scénario référence'!$F$8+'Scénario référence'!$F$9+'Scénario référence'!$B$17+'Scénario référence'!$B$9+'Scénario référence'!$B$10)*70+IF((45+25*(1-EXP(-0.0175*A7)))&lt;70,'Scénario référence'!$B$16*(45+25*(1-EXP(-0.0175*A7))),70*'Scénario référence'!$B$16)+IF((32+38*(1-EXP(-0.0175*A7)))&lt;70,'Scénario référence'!$B$18*(32+38*(1-EXP(-0.0175*A7))),70*'Scénario référence'!$B$18)</f>
        <v>70</v>
      </c>
      <c r="J7" s="150">
        <f>IF(A7&gt;30,10,('Scénario référence'!$B$16+'Scénario référence'!$B$17+'Scénario référence'!$B$18+'Scénario référence'!$B$9+'Scénario référence'!$B$10)*A7*10/30+('Scénario référence'!$F$8+'Scénario référence'!$F$9)*10)</f>
        <v>1.333333333</v>
      </c>
      <c r="K7" s="151" t="str">
        <f>VLOOKUP(A7,'Données projet'!$A$35:$I$55,2,0)</f>
        <v>#N/A</v>
      </c>
      <c r="L7" s="151" t="str">
        <f>VLOOKUP(A7,'Données projet'!$A$35:$I$55,9,0)</f>
        <v>#N/A</v>
      </c>
      <c r="M7" s="150">
        <f t="array" ref="M7">INDEX(L:L,MIN(IF(ISNUMBER(L7:L203),ROW(L7:L203),"")))</f>
        <v>3.65</v>
      </c>
      <c r="N7" s="150">
        <f>IF('Données projet'!$A$36&gt;35,N6+M7-V6,IF(A7&lt;'Données projet'!$A$36,$K$205^A7,IF(A7='Données projet'!$A$36,'Données projet'!$B$36,N6+M7-V6)))</f>
        <v>2.358655818</v>
      </c>
      <c r="O7" s="150">
        <f>N7*VLOOKUP('Données projet'!$B$9,'Paramètres'!$A$1:$I$88,3,0)*VLOOKUP('Données projet'!$B$9,'Paramètres'!$A$1:$I$88,5,0)</f>
        <v>2.134111784</v>
      </c>
      <c r="P7" s="150">
        <f t="shared" si="34"/>
        <v>0.9004266719</v>
      </c>
      <c r="Q7" s="161">
        <f t="shared" si="2"/>
        <v>5.285154478</v>
      </c>
      <c r="R7" s="153">
        <f t="shared" si="3"/>
        <v>266.84071</v>
      </c>
      <c r="S7" s="153">
        <f>AVERAGE(OFFSET($R$3,0,0,'Données projet'!$E$9+1,1))-AVERAGE(OFFSET($H$3,0,0,'Données projet'!$E$9+1,1))</f>
        <v>439.1985427</v>
      </c>
      <c r="T7" s="153">
        <f t="shared" si="35"/>
        <v>278.2174123</v>
      </c>
      <c r="U7" s="154">
        <f>IF(ISNA(VLOOKUP(A7,'Données projet'!$A$35:$I$55,3,0)),0,VLOOKUP(A7,'Données projet'!$A$35:$I$55,3,0))</f>
        <v>0</v>
      </c>
      <c r="V7" s="154">
        <f>IF(ISNA(VLOOKUP(A7,'Données projet'!$A$35:$I$55,4,0)),0,VLOOKUP(A7,'Données projet'!$A$35:$I$55,4,0))</f>
        <v>0</v>
      </c>
      <c r="W7" s="155">
        <f>IF(ISNA(VLOOKUP(A7,'Données projet'!$A$35:$I$55,5,0)),0%,VLOOKUP(A7,'Données projet'!$A$35:$I$55,5,0)*VLOOKUP('Données projet'!$B$9,'Paramètres'!$A$1:$I$88,7,0))</f>
        <v>0</v>
      </c>
      <c r="X7" s="155">
        <f>IF(ISNA(VLOOKUP(A7,'Données projet'!$A$35:$I$55,6,0)),0%,VLOOKUP(A7,'Données projet'!$A$35:$I$55,6,0)*VLOOKUP('Données projet'!$B$9,'Paramètres'!$A$1:$I$88,7,0))</f>
        <v>0</v>
      </c>
      <c r="Y7" s="155">
        <f>IF(ISNA(VLOOKUP(A7,'Données projet'!$A$35:$I$55,7,0)),0%,VLOOKUP(A7,'Données projet'!$A$35:$I$55,7,0))</f>
        <v>0</v>
      </c>
      <c r="Z7" s="162">
        <f>EXP(-LN(2)/35)*Z6+(1-EXP(-LN(2)/35))/(LN(2)/35)*V7*W7*VLOOKUP('Données projet'!$B$9,'Paramètres'!$A$1:$I$88,3,0)*0.475*44/12</f>
        <v>0</v>
      </c>
      <c r="AA7" s="162">
        <f>EXP(-LN(2)/25)*AA6+(1-EXP(-LN(2)/25))/(LN(2)/25)*Calculateur!V7*Calculateur!X7*VLOOKUP('Données projet'!$B$9,'Paramètres'!$A$1:$I$88,3,0)*0.475*44/12</f>
        <v>0</v>
      </c>
      <c r="AB7" s="162">
        <f>EXP(-LN(2)/2)*AB6+(1-EXP(-LN(2)/2))/(LN(2)/2)*V7*Y7*VLOOKUP('Données projet'!$B$9,'Paramètres'!$A$1:$I$88,3,0)*0.475*44/12</f>
        <v>0</v>
      </c>
      <c r="AC7" s="163">
        <f t="shared" si="4"/>
        <v>0</v>
      </c>
      <c r="AD7" s="150">
        <f>('Scénario référence'!$F$8+'Scénario référence'!$F$9+'Scénario référence'!$B$17+'Scénario référence'!$B$9+'Scénario référence'!$B$10)*70+IF((45+25*(1-EXP(-0.0175*A7)))&lt;70,'Scénario référence'!$B$16*(45+25*(1-EXP(-0.0175*A7))),70*'Scénario référence'!$B$16)+IF((32+38*(1-EXP(-0.0175*A7)))&lt;70,'Scénario référence'!$B$18*(32+38*(1-EXP(-0.0175*A7))),70*'Scénario référence'!$B$18)</f>
        <v>70</v>
      </c>
      <c r="AE7" s="150">
        <f>IF(A7&gt;30,10,('Scénario référence'!$B$16+'Scénario référence'!$B$17+'Scénario référence'!$B$18+'Scénario référence'!$B$9+'Scénario référence'!$B$10)*A7*10/30+('Scénario référence'!$F$8+'Scénario référence'!$F$9)*10)</f>
        <v>1.333333333</v>
      </c>
      <c r="AF7" s="151" t="str">
        <f>VLOOKUP(A7,'Données projet'!$A$61:$I$81,2,0)</f>
        <v>#N/A</v>
      </c>
      <c r="AG7" s="151" t="str">
        <f>VLOOKUP(A7,'Données projet'!$A$61:$I$81,9,0)</f>
        <v>#N/A</v>
      </c>
      <c r="AH7" s="150">
        <f t="array" ref="AH7">INDEX(AG:AG,MIN(IF(ISNUMBER(AG7:AG203),ROW(AG7:AG203),"")))</f>
        <v>1.9</v>
      </c>
      <c r="AI7" s="150">
        <f>IF('Données projet'!$A$62&gt;35,AI6+AH7-AQ6,IF(A7&lt;'Données projet'!$A$62,$AF$205^A7,IF(A7='Données projet'!$A$62,'Données projet'!$B$62,AI6+AH7-AQ6)))</f>
        <v>3.247143191</v>
      </c>
      <c r="AJ7" s="150">
        <f>AI7*VLOOKUP('Données projet'!$B$10,'Paramètres'!$A$1:$I$88,3,0)*VLOOKUP('Données projet'!$B$10,'Paramètres'!$A$1:$I$88,5,0)</f>
        <v>2.583427123</v>
      </c>
      <c r="AK7" s="150">
        <f t="shared" si="36"/>
        <v>1.06602807</v>
      </c>
      <c r="AL7" s="161">
        <f t="shared" si="5"/>
        <v>6.35613446</v>
      </c>
      <c r="AM7" s="153">
        <f t="shared" si="6"/>
        <v>267.91169</v>
      </c>
      <c r="AN7" s="153">
        <f>AVERAGE(OFFSET($AM$3,0,0,'Données projet'!$E$10+1,1))-AVERAGE(OFFSET($H$3,0,0,'Données projet'!$E$10+1,1))</f>
        <v>405.6113614</v>
      </c>
      <c r="AO7" s="153">
        <f t="shared" si="37"/>
        <v>393.0787141</v>
      </c>
      <c r="AP7" s="154">
        <f>IF(ISNA(VLOOKUP(A7,'Données projet'!$A$61:$I$81,3,0)),0,VLOOKUP(A7,'Données projet'!$A$61:$I$81,3,0))</f>
        <v>0</v>
      </c>
      <c r="AQ7" s="154">
        <f>IF(ISNA(VLOOKUP(A7,'Données projet'!$A$61:$I$81,4,0)),0,VLOOKUP(A7,'Données projet'!$A$61:$I$81,4,0))</f>
        <v>0</v>
      </c>
      <c r="AR7" s="155">
        <f>IF(ISNA(VLOOKUP(A7,'Données projet'!$A$61:$I$81,5,0)),0%,VLOOKUP(A7,'Données projet'!$A$61:$I$81,5,0)*VLOOKUP('Données projet'!$B$10,'Paramètres'!$A$1:$I$88,7,0))</f>
        <v>0</v>
      </c>
      <c r="AS7" s="155">
        <f>IF(ISNA(VLOOKUP(A7,'Données projet'!$A$61:$I$81,6,0)),0%,VLOOKUP(A7,'Données projet'!$A$61:$I$81,6,0)*VLOOKUP('Données projet'!$B$10,'Paramètres'!$A$1:$I$88,7,0))</f>
        <v>0</v>
      </c>
      <c r="AT7" s="155">
        <f>IF(ISNA(VLOOKUP(A7,'Données projet'!$A$61:$I$81,7,0)),0%,VLOOKUP(A7,'Données projet'!$A$61:$I$81,7,0))</f>
        <v>0</v>
      </c>
      <c r="AU7" s="162">
        <f>EXP(-LN(2)/35)*AU6+(1-EXP(-LN(2)/35))/(LN(2)/35)*AQ7*AR7*VLOOKUP('Données projet'!$B$10,'Paramètres'!$A$1:$I$88,3,0)*0.475*44/12</f>
        <v>0</v>
      </c>
      <c r="AV7" s="162">
        <f>EXP(-LN(2)/25)*AV6+(1-EXP(-LN(2)/25))/(LN(2)/25)*Calculateur!AQ7*Calculateur!AS7*VLOOKUP('Données projet'!$B$10,'Paramètres'!$A$1:$I$88,3,0)*0.475*44/12</f>
        <v>0</v>
      </c>
      <c r="AW7" s="162">
        <f>EXP(-LN(2)/2)*AW6+(1-EXP(-LN(2)/2))/(LN(2)/2)*AQ7*AT7*VLOOKUP('Données projet'!$B$10,'Paramètres'!$A$1:$I$88,3,0)*0.475*44/12</f>
        <v>0</v>
      </c>
      <c r="AX7" s="162">
        <f t="shared" si="7"/>
        <v>0</v>
      </c>
      <c r="AY7" s="157">
        <f>('Scénario référence'!$F$8+'Scénario référence'!$F$9+'Scénario référence'!$B$17+'Scénario référence'!$B$9+'Scénario référence'!$B$10)*70+IF((45+25*(1-EXP(-0.0175*A7)))&lt;70,'Scénario référence'!$B$16*(45+25*(1-EXP(-0.0175*A7))),70*'Scénario référence'!$B$16)+IF((32+38*(1-EXP(-0.0175*A7)))&lt;70,'Scénario référence'!$B$18*(32+38*(1-EXP(-0.0175*A7))),70*'Scénario référence'!$B$18)</f>
        <v>70</v>
      </c>
      <c r="AZ7" s="151">
        <f>IF(A7&gt;30,10,('Scénario référence'!$B$16+'Scénario référence'!$B$17+'Scénario référence'!$B$18+'Scénario référence'!$B$9+'Scénario référence'!$B$10)*A7*10/30+('Scénario référence'!$F$8+'Scénario référence'!$F$9)*10)</f>
        <v>1.333333333</v>
      </c>
      <c r="BA7" s="151" t="str">
        <f>VLOOKUP(A7,'Données projet'!$A$87:$I$107,2,0)</f>
        <v>#N/A</v>
      </c>
      <c r="BB7" s="151" t="str">
        <f>VLOOKUP(A7,'Données projet'!$A$87:$I$107,9,0)</f>
        <v>#N/A</v>
      </c>
      <c r="BC7" s="150" t="str">
        <f t="array" ref="BC7">INDEX(BB:BB,MIN(IF(ISNUMBER(BB7:BB203),ROW(BB7:BB203),"")))</f>
        <v/>
      </c>
      <c r="BD7" s="150">
        <f>IF('Données projet'!$A$88&gt;35,BD6+BC7-BL6,IF(A7&lt;'Données projet'!$A$88,$BA$205^A7,IF(A7='Données projet'!$A$88,'Données projet'!$B$88,BD6+BC7-BL6)))</f>
        <v>0</v>
      </c>
      <c r="BE7" s="150">
        <f>BD7*VLOOKUP('Données projet'!$B$11,'Paramètres'!$A$1:$I$88,3,0)*VLOOKUP('Données projet'!$B$11,'Paramètres'!$A$1:$I$88,5,0)</f>
        <v>0</v>
      </c>
      <c r="BF7" s="150" t="str">
        <f t="shared" si="38"/>
        <v>#NUM!</v>
      </c>
      <c r="BG7" s="161" t="str">
        <f t="shared" si="8"/>
        <v>#NUM!</v>
      </c>
      <c r="BH7" s="153" t="str">
        <f t="shared" si="9"/>
        <v>#NUM!</v>
      </c>
      <c r="BI7" s="153">
        <f>AVERAGE(OFFSET($BH$3,0,0,'Données projet'!$E$11+1,1))-AVERAGE(OFFSET($H$3,0,0,'Données projet'!$E$11+1,1))</f>
        <v>0</v>
      </c>
      <c r="BJ7" s="153">
        <f t="shared" si="39"/>
        <v>0</v>
      </c>
      <c r="BK7" s="154">
        <f>IF(ISNA(VLOOKUP(A7,'Données projet'!$A$87:$I$107,3,0)),0,VLOOKUP(A7,'Données projet'!$A$87:$I$107,3,0))</f>
        <v>0</v>
      </c>
      <c r="BL7" s="154">
        <f>IF(ISNA(VLOOKUP(A7,'Données projet'!$A$87:$I$107,4,0)),0,VLOOKUP(A7,'Données projet'!$A$87:$I$107,4,0))</f>
        <v>0</v>
      </c>
      <c r="BM7" s="155">
        <f>IF(ISNA(VLOOKUP(A7,'Données projet'!$A$87:$I$107,5,0)),0%,VLOOKUP(A7,'Données projet'!$A$87:$I$107,5,0)*VLOOKUP('Données projet'!$B$11,'Paramètres'!$A$1:$I$88,7,0))</f>
        <v>0</v>
      </c>
      <c r="BN7" s="155">
        <f>IF(ISNA(VLOOKUP(A7,'Données projet'!$A$87:$I$107,6,0)),0%,VLOOKUP(A7,'Données projet'!$A$87:$I$107,6,0)*VLOOKUP('Données projet'!$B$11,'Paramètres'!$A$1:$I$88,7,0))</f>
        <v>0</v>
      </c>
      <c r="BO7" s="155">
        <f>IF(ISNA(VLOOKUP(A7,'Données projet'!$A$87:$I$107,7,0)),0%,VLOOKUP(A7,'Données projet'!$A$87:$I$107,7,0))</f>
        <v>0</v>
      </c>
      <c r="BP7" s="162">
        <f>EXP(-LN(2)/35)*BP6+(1-EXP(-LN(2)/35))/(LN(2)/35)*BL7*BM7*VLOOKUP('Données projet'!$B$11,'Paramètres'!$A$1:$I$88,3,0)*0.475*44/12</f>
        <v>0</v>
      </c>
      <c r="BQ7" s="162">
        <f>EXP(-LN(2)/25)*BQ6+(1-EXP(-LN(2)/25))/(LN(2)/25)*Calculateur!BL7*Calculateur!BN7*VLOOKUP('Données projet'!$B$11,'Paramètres'!$A$1:$I$88,3,0)*0.475*44/12</f>
        <v>0</v>
      </c>
      <c r="BR7" s="162">
        <f>EXP(-LN(2)/2)*BR6+(1-EXP(-LN(2)/2))/(LN(2)/2)*BL7*BO7*VLOOKUP('Données projet'!$B$11,'Paramètres'!$A$1:$I$88,3,0)*0.475*44/12</f>
        <v>0</v>
      </c>
      <c r="BS7" s="163">
        <f t="shared" si="10"/>
        <v>0</v>
      </c>
      <c r="BT7" s="159">
        <f>('Scénario référence'!$F$8+'Scénario référence'!$F$9+'Scénario référence'!$B$17+'Scénario référence'!$B$9+'Scénario référence'!$B$10)*70+IF((45+25*(1-EXP(-0.0175*A7)))&lt;70,'Scénario référence'!$B$16*(45+25*(1-EXP(-0.0175*A7))),70*'Scénario référence'!$B$16)+IF((32+38*(1-EXP(-0.0175*A7)))&lt;70,'Scénario référence'!$B$18*(32+38*(1-EXP(-0.0175*A7))),70*'Scénario référence'!$B$18)</f>
        <v>70</v>
      </c>
      <c r="BU7" s="151">
        <f>IF(A7&gt;30,10,('Scénario référence'!$B$16+'Scénario référence'!$B$17+'Scénario référence'!$B$18+'Scénario référence'!$B$9+'Scénario référence'!$B$10)*A7*10/30+('Scénario référence'!$F$8+'Scénario référence'!$F$9)*10)</f>
        <v>1.333333333</v>
      </c>
      <c r="BV7" s="151" t="str">
        <f>VLOOKUP(A7,'Données projet'!$A$113:$I$133,2,0)</f>
        <v>#N/A</v>
      </c>
      <c r="BW7" s="151" t="str">
        <f>VLOOKUP(A7,'Données projet'!$A$113:$I$133,9,0)</f>
        <v>#N/A</v>
      </c>
      <c r="BX7" s="150" t="str">
        <f t="array" ref="BX7">INDEX(BW:BW,MIN(IF(ISNUMBER(BW7:BW203),ROW(BW7:BW203),"")))</f>
        <v/>
      </c>
      <c r="BY7" s="150">
        <f>IF('Données projet'!$A$114&gt;35,BY6+BX7-CG6,IF(A7&lt;'Données projet'!$A$114,$BV$205^A7,IF(A7='Données projet'!$A$114,'Données projet'!$B$114,BY6+BX7-CG6)))</f>
        <v>0</v>
      </c>
      <c r="BZ7" s="150" t="str">
        <f>BY7*VLOOKUP('Données projet'!$B$12,'Paramètres'!$A$1:$I$88,3,0)*VLOOKUP('Données projet'!$B$12,'Paramètres'!$A$1:$I$88,5,0)</f>
        <v>#N/A</v>
      </c>
      <c r="CA7" s="150" t="str">
        <f t="shared" si="40"/>
        <v>#N/A</v>
      </c>
      <c r="CB7" s="161" t="str">
        <f t="shared" si="11"/>
        <v>#N/A</v>
      </c>
      <c r="CC7" s="153" t="str">
        <f t="shared" si="12"/>
        <v>#N/A</v>
      </c>
      <c r="CD7" s="153" t="str">
        <f>AVERAGE(OFFSET($CC$3,0,0,'Données projet'!$E$12+1,1))-AVERAGE(OFFSET($H$3,0,0,'Données projet'!$E$12+1,1))</f>
        <v>#N/A</v>
      </c>
      <c r="CE7" s="153" t="str">
        <f t="shared" si="41"/>
        <v>#N/A</v>
      </c>
      <c r="CF7" s="154">
        <f>IF(ISNA(VLOOKUP(A7,'Données projet'!$A$113:$I$133,3,0)),0,VLOOKUP(A7,'Données projet'!$A$113:$I$133,3,0))</f>
        <v>0</v>
      </c>
      <c r="CG7" s="154">
        <f>IF(ISNA(VLOOKUP(A7,'Données projet'!$A$113:$I$133,4,0)),0,VLOOKUP(A7,'Données projet'!$A$113:$I$133,4,0))</f>
        <v>0</v>
      </c>
      <c r="CH7" s="155">
        <f>IF(ISNA(VLOOKUP(A7,'Données projet'!$A$113:$I$133,5,0)),0%,VLOOKUP(A7,'Données projet'!$A$113:$I$133,5,0)*VLOOKUP('Données projet'!$B$12,'Paramètres'!$A$1:$I$88,7,0))</f>
        <v>0</v>
      </c>
      <c r="CI7" s="155">
        <f>IF(ISNA(VLOOKUP(A7,'Données projet'!$A$113:$I$133,6,0)),0%,VLOOKUP(A7,'Données projet'!$A$113:$I$133,6,0)*VLOOKUP('Données projet'!$B$12,'Paramètres'!$A$1:$I$88,7,0))</f>
        <v>0</v>
      </c>
      <c r="CJ7" s="155">
        <f>IF(ISNA(VLOOKUP(A7,'Données projet'!$A$113:$I$133,7,0)),0%,VLOOKUP(A7,'Données projet'!$A$113:$I$133,7,0))</f>
        <v>0</v>
      </c>
      <c r="CK7" s="162" t="str">
        <f>EXP(-LN(2)/35)*CK6+(1-EXP(-LN(2)/35))/(LN(2)/35)*CG7*CH7*VLOOKUP('Données projet'!$B$12,'Paramètres'!$A$1:$I$88,3,0)*0.475*44/12</f>
        <v>#N/A</v>
      </c>
      <c r="CL7" s="162" t="str">
        <f>EXP(-LN(2)/25)*CL6+(1-EXP(-LN(2)/25))/(LN(2)/25)*Calculateur!CG7*Calculateur!CI7*VLOOKUP('Données projet'!$B$12,'Paramètres'!$A$1:$I$88,3,0)*0.475*44/12</f>
        <v>#N/A</v>
      </c>
      <c r="CM7" s="162" t="str">
        <f>EXP(-LN(2)/2)*CM6+(1-EXP(-LN(2)/2))/(LN(2)/2)*CG7*CJ7*VLOOKUP('Données projet'!$B$12,'Paramètres'!$A$1:$I$88,3,0)*0.475*44/12</f>
        <v>#N/A</v>
      </c>
      <c r="CN7" s="163" t="str">
        <f t="shared" si="13"/>
        <v>#N/A</v>
      </c>
      <c r="CO7" s="159">
        <f>('Scénario référence'!$F$8+'Scénario référence'!$F$9+'Scénario référence'!$B$17+'Scénario référence'!$B$9+'Scénario référence'!$B$10)*70+IF((45+25*(1-EXP(-0.0175*A7)))&lt;70,'Scénario référence'!$B$16*(45+25*(1-EXP(-0.0175*A7))),70*'Scénario référence'!$B$16)+IF((32+38*(1-EXP(-0.0175*A7)))&lt;70,'Scénario référence'!$B$18*(32+38*(1-EXP(-0.0175*A7))),70*'Scénario référence'!$B$18)</f>
        <v>70</v>
      </c>
      <c r="CP7" s="151">
        <f>IF(A7&gt;30,10,('Scénario référence'!$B$16+'Scénario référence'!$B$17+'Scénario référence'!$B$18+'Scénario référence'!$B$9+'Scénario référence'!$B$10)*A7*10/30+('Scénario référence'!$F$8+'Scénario référence'!$F$9)*10)</f>
        <v>1.333333333</v>
      </c>
      <c r="CQ7" s="151" t="str">
        <f>VLOOKUP(A7,'Données projet'!$A$139:$I$159,2,0)</f>
        <v>#N/A</v>
      </c>
      <c r="CR7" s="151" t="str">
        <f>VLOOKUP(A7,'Données projet'!$A$139:$I$159,9,0)</f>
        <v>#N/A</v>
      </c>
      <c r="CS7" s="151" t="str">
        <f t="array" ref="CS7">INDEX(CR:CR,MIN(IF(ISNUMBER(CR7:CR203),ROW(CR7:CR203),"")))</f>
        <v/>
      </c>
      <c r="CT7" s="151">
        <f>IF('Données projet'!$A$140&gt;35,CT6+CS7-DB6,IF(A7&lt;'Données projet'!$A$140,$CQ$205^A7,IF(A7='Données projet'!$A$140,'Données projet'!$B$140,CT6+CS7-DB6)))</f>
        <v>0</v>
      </c>
      <c r="CU7" s="158" t="str">
        <f>CT7*VLOOKUP('Données projet'!$B$13,'Paramètres'!$A$1:$I$88,3,0)*VLOOKUP('Données projet'!$B$13,'Paramètres'!$A$1:$I$88,5,0)</f>
        <v>#N/A</v>
      </c>
      <c r="CV7" s="150" t="str">
        <f t="shared" si="42"/>
        <v>#N/A</v>
      </c>
      <c r="CW7" s="161" t="str">
        <f t="shared" si="14"/>
        <v>#N/A</v>
      </c>
      <c r="CX7" s="153" t="str">
        <f t="shared" si="15"/>
        <v>#N/A</v>
      </c>
      <c r="CY7" s="153" t="str">
        <f>AVERAGE(OFFSET($CX$3,0,0,'Données projet'!$E$13+1,1))-AVERAGE(OFFSET($H$3,0,0,'Données projet'!$E$13+1,1))</f>
        <v>#N/A</v>
      </c>
      <c r="CZ7" s="153" t="str">
        <f t="shared" si="43"/>
        <v>#N/A</v>
      </c>
      <c r="DA7" s="154">
        <f>IF(ISNA(VLOOKUP(A7,'Données projet'!$A$139:$I$159,3,0)),0,VLOOKUP(A7,'Données projet'!$A$139:$I$159,3,0))</f>
        <v>0</v>
      </c>
      <c r="DB7" s="154">
        <f>IF(ISNA(VLOOKUP(A7,'Données projet'!$A$139:$I$159,4,0)),0,VLOOKUP(A7,'Données projet'!$A$139:$I$159,4,0))</f>
        <v>0</v>
      </c>
      <c r="DC7" s="155">
        <f>IF(ISNA(VLOOKUP(A7,'Données projet'!$A$139:$I$159,5,0)),0%,VLOOKUP(A7,'Données projet'!$A$139:$I$159,5,0)*VLOOKUP('Données projet'!$B$13,'Paramètres'!$A$1:$I$88,7,0))</f>
        <v>0</v>
      </c>
      <c r="DD7" s="155">
        <f>IF(ISNA(VLOOKUP(A7,'Données projet'!$A$139:$I$159,6,0)),0%,VLOOKUP(A7,'Données projet'!$A$139:$I$159,6,0)*VLOOKUP('Données projet'!$B$13,'Paramètres'!$A$1:$I$88,7,0))</f>
        <v>0</v>
      </c>
      <c r="DE7" s="155">
        <f>IF(ISNA(VLOOKUP(A7,'Données projet'!$A$139:$I$159,7,0)),0%,VLOOKUP(A7,'Données projet'!$A$139:$I$159,7,0))</f>
        <v>0</v>
      </c>
      <c r="DF7" s="162" t="str">
        <f>EXP(-LN(2)/35)*DF6+(1-EXP(-LN(2)/35))/(LN(2)/35)*DB7*DC7*VLOOKUP('Données projet'!$B$13,'Paramètres'!$A$1:$I$88,3,0)*0.475*44/12</f>
        <v>#N/A</v>
      </c>
      <c r="DG7" s="162" t="str">
        <f>EXP(-LN(2)/25)*DG6+(1-EXP(-LN(2)/25))/(LN(2)/25)*Calculateur!DB7*Calculateur!DD7*VLOOKUP('Données projet'!$B$13,'Paramètres'!$A$1:$I$88,3,0)*0.475*44/12</f>
        <v>#N/A</v>
      </c>
      <c r="DH7" s="162" t="str">
        <f>EXP(-LN(2)/2)*DH6+(1-EXP(-LN(2)/2))/(LN(2)/2)*DB7*DE7*VLOOKUP('Données projet'!$B$13,'Paramètres'!$A$1:$I$88,3,0)*0.475*44/12</f>
        <v>#N/A</v>
      </c>
      <c r="DI7" s="163" t="str">
        <f t="shared" si="16"/>
        <v>#N/A</v>
      </c>
      <c r="DJ7" s="159">
        <f>('Scénario référence'!$F$8+'Scénario référence'!$F$9+'Scénario référence'!$B$17+'Scénario référence'!$B$9+'Scénario référence'!$B$10)*70+IF((45+25*(1-EXP(-0.0175*A7)))&lt;70,'Scénario référence'!$B$16*(45+25*(1-EXP(-0.0175*A7))),70*'Scénario référence'!$B$16)+IF((32+38*(1-EXP(-0.0175*A7)))&lt;70,'Scénario référence'!$B$18*(32+38*(1-EXP(-0.0175*A7))),70*'Scénario référence'!$B$18)</f>
        <v>70</v>
      </c>
      <c r="DK7" s="151">
        <f>IF(A7&gt;30,10,('Scénario référence'!$B$16+'Scénario référence'!$B$17+'Scénario référence'!$B$18+'Scénario référence'!$B$9+'Scénario référence'!$B$10)*A7*10/30+('Scénario référence'!$F$8+'Scénario référence'!$F$9)*10)</f>
        <v>1.333333333</v>
      </c>
      <c r="DL7" s="151" t="str">
        <f>VLOOKUP(A7,'Données projet'!$A$165:$I$185,2,0)</f>
        <v>#N/A</v>
      </c>
      <c r="DM7" s="151" t="str">
        <f>VLOOKUP(A7,'Données projet'!$A$165:$I$185,9,0)</f>
        <v>#N/A</v>
      </c>
      <c r="DN7" s="151" t="str">
        <f t="array" ref="DN7">INDEX(DM:DM,MIN(IF(ISNUMBER(DM7:DM203),ROW(DM7:DM203),"")))</f>
        <v/>
      </c>
      <c r="DO7" s="151">
        <f>IF('Données projet'!$A$166&gt;35,DO6+DN7-DW6,IF(A7&lt;'Données projet'!$A$166,$DL$205^A7,IF(A7='Données projet'!$A$166,'Données projet'!$B$166,DO6+DN7-DW6)))</f>
        <v>0</v>
      </c>
      <c r="DP7" s="158" t="str">
        <f>DO7*VLOOKUP('Données projet'!$B$14,'Paramètres'!$A$1:$I$88,3,0)*VLOOKUP('Données projet'!$B$14,'Paramètres'!$A$1:$I$88,5,0)</f>
        <v>#N/A</v>
      </c>
      <c r="DQ7" s="150" t="str">
        <f t="shared" si="44"/>
        <v>#N/A</v>
      </c>
      <c r="DR7" s="161" t="str">
        <f t="shared" si="17"/>
        <v>#N/A</v>
      </c>
      <c r="DS7" s="153" t="str">
        <f t="shared" si="18"/>
        <v>#N/A</v>
      </c>
      <c r="DT7" s="153" t="str">
        <f>AVERAGE(OFFSET($DS$3,0,0,'Données projet'!$E$14+1,1))-AVERAGE(OFFSET($H$3,0,0,'Données projet'!$E$14+1,1))</f>
        <v>#N/A</v>
      </c>
      <c r="DU7" s="153" t="str">
        <f t="shared" si="45"/>
        <v>#N/A</v>
      </c>
      <c r="DV7" s="154">
        <f>IF(ISNA(VLOOKUP(A7,'Données projet'!$A$165:$I$185,3,0)),0,VLOOKUP(A7,'Données projet'!$A$165:$I$185,3,0))</f>
        <v>0</v>
      </c>
      <c r="DW7" s="154">
        <f>IF(ISNA(VLOOKUP(A7,'Données projet'!$A$165:$I$185,4,0)),0,VLOOKUP(A7,'Données projet'!$A$165:$I$185,4,0))</f>
        <v>0</v>
      </c>
      <c r="DX7" s="155">
        <f>IF(ISNA(VLOOKUP(A7,'Données projet'!$A$165:$I$185,5,0)),0%,VLOOKUP(A7,'Données projet'!$A$165:$I$185,5,0)*VLOOKUP('Données projet'!$B$14,'Paramètres'!$A$1:$I$88,7,0))</f>
        <v>0</v>
      </c>
      <c r="DY7" s="155">
        <f>IF(ISNA(VLOOKUP(A7,'Données projet'!$A$165:$I$185,6,0)),0%,VLOOKUP(A7,'Données projet'!$A$165:$I$185,6,0)*VLOOKUP('Données projet'!$B$14,'Paramètres'!$A$1:$I$88,7,0))</f>
        <v>0</v>
      </c>
      <c r="DZ7" s="155">
        <f>IF(ISNA(VLOOKUP(A7,'Données projet'!$A$165:$I$185,7,0)),0%,VLOOKUP(A7,'Données projet'!$A$165:$I$185,7,0))</f>
        <v>0</v>
      </c>
      <c r="EA7" s="162" t="str">
        <f>EXP(-LN(2)/35)*EA6+(1-EXP(-LN(2)/35))/(LN(2)/35)*DW7*DX7*VLOOKUP('Données projet'!$B$14,'Paramètres'!$A$1:$I$88,3,0)*0.475*44/12</f>
        <v>#N/A</v>
      </c>
      <c r="EB7" s="162" t="str">
        <f>EXP(-LN(2)/25)*EB6+(1-EXP(-LN(2)/25))/(LN(2)/25)*Calculateur!DW7*Calculateur!DY7*VLOOKUP('Données projet'!$B$14,'Paramètres'!$A$1:$I$88,3,0)*0.475*44/12</f>
        <v>#N/A</v>
      </c>
      <c r="EC7" s="162" t="str">
        <f>EXP(-LN(2)/2)*EC6+(1-EXP(-LN(2)/2))/(LN(2)/2)*DW7*DZ7*VLOOKUP('Données projet'!$B$14,'Paramètres'!$A$1:$I$88,3,0)*0.475*44/12</f>
        <v>#N/A</v>
      </c>
      <c r="ED7" s="163" t="str">
        <f t="shared" si="19"/>
        <v>#N/A</v>
      </c>
      <c r="EE7" s="159">
        <f>('Scénario référence'!$F$8+'Scénario référence'!$F$9+'Scénario référence'!$B$17+'Scénario référence'!$B$9+'Scénario référence'!$B$10)*70+IF((45+25*(1-EXP(-0.0175*A7)))&lt;70,'Scénario référence'!$B$16*(45+25*(1-EXP(-0.0175*A7))),70*'Scénario référence'!$B$16)+IF((32+38*(1-EXP(-0.0175*A7)))&lt;70,'Scénario référence'!$B$18*(32+38*(1-EXP(-0.0175*A7))),70*'Scénario référence'!$B$18)</f>
        <v>70</v>
      </c>
      <c r="EF7" s="151">
        <f>IF(A7&gt;30,10,('Scénario référence'!$B$16+'Scénario référence'!$B$17+'Scénario référence'!$B$18+'Scénario référence'!$B$9+'Scénario référence'!$B$10)*A7*10/30+('Scénario référence'!$F$8+'Scénario référence'!$F$9)*10)</f>
        <v>1.333333333</v>
      </c>
      <c r="EG7" s="151" t="str">
        <f>VLOOKUP(A7,'Données projet'!$A$191:$I$211,2,0)</f>
        <v>#N/A</v>
      </c>
      <c r="EH7" s="151" t="str">
        <f>VLOOKUP(A7,'Données projet'!$A$191:$I$211,9,0)</f>
        <v>#N/A</v>
      </c>
      <c r="EI7" s="151" t="str">
        <f t="array" ref="EI7">INDEX(EH:EH,MIN(IF(ISNUMBER(EH7:EH203),ROW(EH7:EH203),"")))</f>
        <v/>
      </c>
      <c r="EJ7" s="151">
        <f>IF('Données projet'!$A$192&gt;35,EJ6+EI7-ER6,IF(A7&lt;'Données projet'!$A$192,$EG$205^A7,IF(A7='Données projet'!$A$192,'Données projet'!$B$192,EJ6+EI7-ER6)))</f>
        <v>0</v>
      </c>
      <c r="EK7" s="158" t="str">
        <f>EJ7*VLOOKUP('Données projet'!$B$15,'Paramètres'!$A$1:$I$88,3,0)*VLOOKUP('Données projet'!$B$15,'Paramètres'!$A$1:$I$88,5,0)</f>
        <v>#N/A</v>
      </c>
      <c r="EL7" s="150" t="str">
        <f t="shared" si="46"/>
        <v>#N/A</v>
      </c>
      <c r="EM7" s="161" t="str">
        <f t="shared" si="20"/>
        <v>#N/A</v>
      </c>
      <c r="EN7" s="153" t="str">
        <f t="shared" si="21"/>
        <v>#N/A</v>
      </c>
      <c r="EO7" s="153" t="str">
        <f>AVERAGE(OFFSET($EN$3,0,0,'Données projet'!$E$15+1,1))-AVERAGE(OFFSET($H$3,0,0,'Données projet'!$E$15+1,1))</f>
        <v>#N/A</v>
      </c>
      <c r="EP7" s="153" t="str">
        <f t="shared" si="47"/>
        <v>#N/A</v>
      </c>
      <c r="EQ7" s="154">
        <f>IF(ISNA(VLOOKUP(A7,'Données projet'!$A$191:$I$211,3,0)),0,VLOOKUP(A7,'Données projet'!$A$191:$I$211,3,0))</f>
        <v>0</v>
      </c>
      <c r="ER7" s="154">
        <f>IF(ISNA(VLOOKUP(A7,'Données projet'!$A$191:$I$211,4,0)),0,VLOOKUP(A7,'Données projet'!$A$191:$I$211,4,0))</f>
        <v>0</v>
      </c>
      <c r="ES7" s="155">
        <f>IF(ISNA(VLOOKUP(A7,'Données projet'!$A$191:$I$211,5,0)),0%,VLOOKUP(A7,'Données projet'!$A$191:$I$211,5,0)*VLOOKUP('Données projet'!$B$15,'Paramètres'!$A$1:$I$88,7,0))</f>
        <v>0</v>
      </c>
      <c r="ET7" s="155">
        <f>IF(ISNA(VLOOKUP(A7,'Données projet'!$A$191:$I$211,6,0)),0%,VLOOKUP(A7,'Données projet'!$A$191:$I$211,6,0)*VLOOKUP('Données projet'!$B$15,'Paramètres'!$A$1:$I$88,7,0))</f>
        <v>0</v>
      </c>
      <c r="EU7" s="155">
        <f>IF(ISNA(VLOOKUP(A7,'Données projet'!$A$191:$I$211,7,0)),0%,VLOOKUP(A7,'Données projet'!$A$191:$I$211,7,0))</f>
        <v>0</v>
      </c>
      <c r="EV7" s="162" t="str">
        <f>EXP(-LN(2)/35)*EV6+(1-EXP(-LN(2)/35))/(LN(2)/35)*ER7*ES7*VLOOKUP('Données projet'!$B$15,'Paramètres'!$A$1:$I$88,3,0)*0.475*44/12</f>
        <v>#N/A</v>
      </c>
      <c r="EW7" s="162" t="str">
        <f>EXP(-LN(2)/25)*EW6+(1-EXP(-LN(2)/25))/(LN(2)/25)*Calculateur!ER7*Calculateur!ET7*VLOOKUP('Données projet'!$B$15,'Paramètres'!$A$1:$I$88,3,0)*0.475*44/12</f>
        <v>#N/A</v>
      </c>
      <c r="EX7" s="162" t="str">
        <f>EXP(-LN(2)/2)*EX6+(1-EXP(-LN(2)/2))/(LN(2)/2)*ER7*EU7*VLOOKUP('Données projet'!$B$15,'Paramètres'!$A$1:$I$88,3,0)*0.475*44/12</f>
        <v>#N/A</v>
      </c>
      <c r="EY7" s="163" t="str">
        <f t="shared" si="22"/>
        <v>#N/A</v>
      </c>
      <c r="EZ7" s="159">
        <f>('Scénario référence'!$F$8+'Scénario référence'!$F$9+'Scénario référence'!$B$17+'Scénario référence'!$B$9+'Scénario référence'!$B$10)*70+IF((45+25*(1-EXP(-0.0175*A7)))&lt;70,'Scénario référence'!$B$16*(45+25*(1-EXP(-0.0175*A7))),70*'Scénario référence'!$B$16)+IF((32+38*(1-EXP(-0.0175*A7)))&lt;70,'Scénario référence'!$B$18*(32+38*(1-EXP(-0.0175*A7))),70*'Scénario référence'!$B$18)</f>
        <v>70</v>
      </c>
      <c r="FA7" s="151">
        <f>IF(A7&gt;30,10,('Scénario référence'!$B$16+'Scénario référence'!$B$17+'Scénario référence'!$B$18+'Scénario référence'!$B$9+'Scénario référence'!$B$10)*A7*10/30+('Scénario référence'!$F$8+'Scénario référence'!$F$9)*10)</f>
        <v>1.333333333</v>
      </c>
      <c r="FB7" s="151" t="str">
        <f>VLOOKUP(A7,'Données projet'!$A$217:$I$237,2,0)</f>
        <v>#N/A</v>
      </c>
      <c r="FC7" s="151" t="str">
        <f>VLOOKUP(A7,'Données projet'!$A$217:$I$237,9,0)</f>
        <v>#N/A</v>
      </c>
      <c r="FD7" s="151" t="str">
        <f t="array" ref="FD7">INDEX(FC:FC,MIN(IF(ISNUMBER(FC7:FC203),ROW(FC7:FC203),"")))</f>
        <v/>
      </c>
      <c r="FE7" s="151">
        <f>IF('Données projet'!$A$218&gt;35,FE6+FD7-FM6,IF(A7&lt;'Données projet'!$A$218,$FB$205^A7,IF(A7='Données projet'!$A$218,'Données projet'!$B$218,FE6+FD7-FM6)))</f>
        <v>0</v>
      </c>
      <c r="FF7" s="158" t="str">
        <f>FE7*VLOOKUP('Données projet'!$B$16,'Paramètres'!$A$1:$I$88,3,0)*VLOOKUP('Données projet'!$B$16,'Paramètres'!$A$1:$I$88,5,0)</f>
        <v>#N/A</v>
      </c>
      <c r="FG7" s="150" t="str">
        <f t="shared" si="48"/>
        <v>#N/A</v>
      </c>
      <c r="FH7" s="161" t="str">
        <f t="shared" si="23"/>
        <v>#N/A</v>
      </c>
      <c r="FI7" s="153" t="str">
        <f t="shared" si="24"/>
        <v>#N/A</v>
      </c>
      <c r="FJ7" s="153" t="str">
        <f>AVERAGE(OFFSET($FI$3,0,0,'Données projet'!$E$16+1,1))-AVERAGE(OFFSET($H$3,0,0,'Données projet'!$E$16+1,1))</f>
        <v>#N/A</v>
      </c>
      <c r="FK7" s="153" t="str">
        <f t="shared" si="49"/>
        <v>#N/A</v>
      </c>
      <c r="FL7" s="154">
        <f>IF(ISNA(VLOOKUP(A7,'Données projet'!$A$217:$I$237,3,0)),0,VLOOKUP(A7,'Données projet'!$A$217:$I$237,3,0))</f>
        <v>0</v>
      </c>
      <c r="FM7" s="154">
        <f>IF(ISNA(VLOOKUP(A7,'Données projet'!$A$217:$I$237,4,0)),0,VLOOKUP(A7,'Données projet'!$A$217:$I$237,4,0))</f>
        <v>0</v>
      </c>
      <c r="FN7" s="155">
        <f>IF(ISNA(VLOOKUP(A7,'Données projet'!$A$217:$I$237,5,0)),0%,VLOOKUP(A7,'Données projet'!$A$217:$I$237,5,0)*VLOOKUP('Données projet'!$B$16,'Paramètres'!$A$1:$I$88,7,0))</f>
        <v>0</v>
      </c>
      <c r="FO7" s="155">
        <f>IF(ISNA(VLOOKUP(A7,'Données projet'!$A$217:$I$237,6,0)),0%,VLOOKUP(A7,'Données projet'!$A$217:$I$237,6,0)*VLOOKUP('Données projet'!$B$16,'Paramètres'!$A$1:$I$88,7,0))</f>
        <v>0</v>
      </c>
      <c r="FP7" s="155">
        <f>IF(ISNA(VLOOKUP(A7,'Données projet'!$A$217:$I$237,7,0)),0%,VLOOKUP(A7,'Données projet'!$A$217:$I$237,7,0))</f>
        <v>0</v>
      </c>
      <c r="FQ7" s="162" t="str">
        <f>EXP(-LN(2)/35)*FQ6+(1-EXP(-LN(2)/35))/(LN(2)/35)*FM7*FN7*VLOOKUP('Données projet'!$B$16,'Paramètres'!$A$1:$I$88,3,0)*0.475*44/12</f>
        <v>#N/A</v>
      </c>
      <c r="FR7" s="162" t="str">
        <f>EXP(-LN(2)/25)*FR6+(1-EXP(-LN(2)/25))/(LN(2)/25)*Calculateur!FM7*Calculateur!FO7*VLOOKUP('Données projet'!$B$16,'Paramètres'!$A$1:$I$88,3,0)*0.475*44/12</f>
        <v>#N/A</v>
      </c>
      <c r="FS7" s="162" t="str">
        <f>EXP(-LN(2)/2)*FS6+(1-EXP(-LN(2)/2))/(LN(2)/2)*FM7*FP7*VLOOKUP('Données projet'!$B$16,'Paramètres'!$A$1:$I$88,3,0)*0.475*44/12</f>
        <v>#N/A</v>
      </c>
      <c r="FT7" s="163" t="str">
        <f t="shared" si="25"/>
        <v>#N/A</v>
      </c>
      <c r="FU7" s="159">
        <f>('Scénario référence'!$F$8+'Scénario référence'!$F$9+'Scénario référence'!$B$17+'Scénario référence'!$B$9+'Scénario référence'!$B$10)*70+IF((45+25*(1-EXP(-0.0175*A7)))&lt;70,'Scénario référence'!$B$16*(45+25*(1-EXP(-0.0175*A7))),70*'Scénario référence'!$B$16)+IF((32+38*(1-EXP(-0.0175*A7)))&lt;70,'Scénario référence'!$B$18*(32+38*(1-EXP(-0.0175*A7))),70*'Scénario référence'!$B$18)</f>
        <v>70</v>
      </c>
      <c r="FV7" s="151">
        <f>IF(A7&gt;30,10,('Scénario référence'!$B$16+'Scénario référence'!$B$17+'Scénario référence'!$B$18+'Scénario référence'!$B$9+'Scénario référence'!$B$10)*A7*10/30+('Scénario référence'!$F$8+'Scénario référence'!$F$9)*10)</f>
        <v>1.333333333</v>
      </c>
      <c r="FW7" s="151" t="str">
        <f>VLOOKUP(A7,'Données projet'!$A$243:$I$263,2,0)</f>
        <v>#N/A</v>
      </c>
      <c r="FX7" s="151" t="str">
        <f>VLOOKUP(A7,'Données projet'!$A$243:$I$263,9,0)</f>
        <v>#N/A</v>
      </c>
      <c r="FY7" s="151" t="str">
        <f t="array" ref="FY7">INDEX(FX:FX,MIN(IF(ISNUMBER(FX7:FX203),ROW(FX7:FX203),"")))</f>
        <v/>
      </c>
      <c r="FZ7" s="151">
        <f>IF('Données projet'!$A$244&gt;35,FZ6+FY7-GH6,IF(A7&lt;'Données projet'!$A$244,$FW$205^A7,IF(A7='Données projet'!$A$244,'Données projet'!$B$244,FZ6+FY7-GH6)))</f>
        <v>0</v>
      </c>
      <c r="GA7" s="158" t="str">
        <f>FZ7*VLOOKUP('Données projet'!$B$17,'Paramètres'!$A$1:$I$88,3,0)*VLOOKUP('Données projet'!$B$17,'Paramètres'!$A$1:$I$88,5,0)</f>
        <v>#N/A</v>
      </c>
      <c r="GB7" s="150" t="str">
        <f t="shared" si="50"/>
        <v>#N/A</v>
      </c>
      <c r="GC7" s="161" t="str">
        <f t="shared" si="26"/>
        <v>#N/A</v>
      </c>
      <c r="GD7" s="153" t="str">
        <f t="shared" si="27"/>
        <v>#N/A</v>
      </c>
      <c r="GE7" s="153" t="str">
        <f>AVERAGE(OFFSET($GD$3,0,0,'Données projet'!$E$17+1,1))-AVERAGE(OFFSET($H$3,0,0,'Données projet'!$E$17+1,1))</f>
        <v>#N/A</v>
      </c>
      <c r="GF7" s="153" t="str">
        <f t="shared" si="51"/>
        <v>#N/A</v>
      </c>
      <c r="GG7" s="154">
        <f>IF(ISNA(VLOOKUP(A7,'Données projet'!$A$243:$I$263,3,0)),0,VLOOKUP(A7,'Données projet'!$A$243:$I$263,3,0))</f>
        <v>0</v>
      </c>
      <c r="GH7" s="154">
        <f>IF(ISNA(VLOOKUP(A7,'Données projet'!$A$243:$I$263,4,0)),0,VLOOKUP(A7,'Données projet'!$A$243:$I$263,4,0))</f>
        <v>0</v>
      </c>
      <c r="GI7" s="155">
        <f>IF(ISNA(VLOOKUP(A7,'Données projet'!$A$243:$I$263,5,0)),0%,VLOOKUP(A7,'Données projet'!$A$243:$I$263,5,0)*VLOOKUP('Données projet'!$B$17,'Paramètres'!$A$1:$I$88,7,0))</f>
        <v>0</v>
      </c>
      <c r="GJ7" s="155">
        <f>IF(ISNA(VLOOKUP(A7,'Données projet'!$A$243:$I$263,6,0)),0%,VLOOKUP(A7,'Données projet'!$A$243:$I$263,6,0)*VLOOKUP('Données projet'!$B$17,'Paramètres'!$A$1:$I$88,7,0))</f>
        <v>0</v>
      </c>
      <c r="GK7" s="155">
        <f>IF(ISNA(VLOOKUP(A7,'Données projet'!$A$243:$I$263,7,0)),0%,VLOOKUP(A7,'Données projet'!$A$243:$I$263,7,0))</f>
        <v>0</v>
      </c>
      <c r="GL7" s="162" t="str">
        <f>EXP(-LN(2)/35)*GL6+(1-EXP(-LN(2)/35))/(LN(2)/35)*GH7*GI7*VLOOKUP('Données projet'!$B$17,'Paramètres'!$A$1:$I$88,3,0)*0.475*44/12</f>
        <v>#N/A</v>
      </c>
      <c r="GM7" s="162" t="str">
        <f>EXP(-LN(2)/25)*GM6+(1-EXP(-LN(2)/25))/(LN(2)/25)*Calculateur!GH7*Calculateur!GJ7*VLOOKUP('Données projet'!$B$17,'Paramètres'!$A$1:$I$88,3,0)*0.475*44/12</f>
        <v>#N/A</v>
      </c>
      <c r="GN7" s="162" t="str">
        <f>EXP(-LN(2)/2)*GN6+(1-EXP(-LN(2)/2))/(LN(2)/2)*GH7*GK7*VLOOKUP('Données projet'!$B$17,'Paramètres'!$A$1:$I$88,3,0)*0.475*44/12</f>
        <v>#N/A</v>
      </c>
      <c r="GO7" s="162" t="str">
        <f t="shared" si="28"/>
        <v>#N/A</v>
      </c>
      <c r="GP7" s="159">
        <f>('Scénario référence'!$F$8+'Scénario référence'!$F$9+'Scénario référence'!$B$17+'Scénario référence'!$B$9+'Scénario référence'!$B$10)*70+IF((45+25*(1-EXP(-0.0175*A7)))&lt;70,'Scénario référence'!$B$16*(45+25*(1-EXP(-0.0175*A7))),70*'Scénario référence'!$B$16)+IF((32+38*(1-EXP(-0.0175*A7)))&lt;70,'Scénario référence'!$B$18*(32+38*(1-EXP(-0.0175*A7))),70*'Scénario référence'!$B$18)</f>
        <v>70</v>
      </c>
      <c r="GQ7" s="151">
        <f>IF(A7&gt;30,10,('Scénario référence'!$B$16+'Scénario référence'!$B$17+'Scénario référence'!$B$18+'Scénario référence'!$B$9+'Scénario référence'!$B$10)*A7*10/30+('Scénario référence'!$F$8+'Scénario référence'!$F$9)*10)</f>
        <v>1.333333333</v>
      </c>
      <c r="GR7" s="151" t="str">
        <f>VLOOKUP(A7,'Données projet'!$A$269:$I$289,2,0)</f>
        <v>#N/A</v>
      </c>
      <c r="GS7" s="151" t="str">
        <f>VLOOKUP(A7,'Données projet'!$A$269:$I$289,9,0)</f>
        <v>#N/A</v>
      </c>
      <c r="GT7" s="151" t="str">
        <f t="array" ref="GT7">INDEX(GS:GS,MIN(IF(ISNUMBER(GS7:GS203),ROW(GS7:GS203),"")))</f>
        <v/>
      </c>
      <c r="GU7" s="151">
        <f>IF('Données projet'!$A$270&gt;35,GU6+GT7-HC6,IF(A7&lt;'Données projet'!$A$270,$GR$205^A7,IF(A7='Données projet'!$A$270,'Données projet'!$B$270,GU6+GT7-HC6)))</f>
        <v>0</v>
      </c>
      <c r="GV7" s="158" t="str">
        <f>GU7*VLOOKUP('Données projet'!$B$18,'Paramètres'!$A$1:$I$88,3,0)*VLOOKUP('Données projet'!$B$18,'Paramètres'!$A$1:$I$88,5,0)</f>
        <v>#N/A</v>
      </c>
      <c r="GW7" s="150" t="str">
        <f t="shared" si="52"/>
        <v>#N/A</v>
      </c>
      <c r="GX7" s="161" t="str">
        <f t="shared" si="29"/>
        <v>#N/A</v>
      </c>
      <c r="GY7" s="153" t="str">
        <f t="shared" si="30"/>
        <v>#N/A</v>
      </c>
      <c r="GZ7" s="153" t="str">
        <f>AVERAGE(OFFSET($GY$3,0,0,'Données projet'!$E$18+1,1))-AVERAGE(OFFSET($H$3,0,0,'Données projet'!$E$18+1,1))</f>
        <v>#N/A</v>
      </c>
      <c r="HA7" s="153" t="str">
        <f t="shared" si="53"/>
        <v>#N/A</v>
      </c>
      <c r="HB7" s="154">
        <f>IF(ISNA(VLOOKUP(A7,'Données projet'!$A$269:$I$289,3,0)),0,VLOOKUP(A7,'Données projet'!$A$269:$I$289,3,0))</f>
        <v>0</v>
      </c>
      <c r="HC7" s="154">
        <f>IF(ISNA(VLOOKUP(A7,'Données projet'!$A$269:$I$289,4,0)),0,VLOOKUP(A7,'Données projet'!$A$269:$I$289,4,0))</f>
        <v>0</v>
      </c>
      <c r="HD7" s="155">
        <f>IF(ISNA(VLOOKUP(A7,'Données projet'!$A$269:$I$289,5,0)),0%,VLOOKUP(A7,'Données projet'!$A$269:$I$289,5,0)*VLOOKUP('Données projet'!$B$18,'Paramètres'!$A$1:$I$88,7,0))</f>
        <v>0</v>
      </c>
      <c r="HE7" s="155">
        <f>IF(ISNA(VLOOKUP(A7,'Données projet'!$A$269:$I$289,6,0)),0%,VLOOKUP(A7,'Données projet'!$A$269:$I$289,6,0)*VLOOKUP('Données projet'!$B$18,'Paramètres'!$A$1:$I$88,7,0))</f>
        <v>0</v>
      </c>
      <c r="HF7" s="155">
        <f>IF(ISNA(VLOOKUP(A7,'Données projet'!$A$269:$I$289,7,0)),0%,VLOOKUP(A7,'Données projet'!$A$269:$I$289,7,0))</f>
        <v>0</v>
      </c>
      <c r="HG7" s="162" t="str">
        <f>EXP(-LN(2)/35)*HG6+(1-EXP(-LN(2)/35))/(LN(2)/35)*HC7*HD7*VLOOKUP('Données projet'!$B$18,'Paramètres'!$A$1:$I$88,3,0)*0.475*44/12</f>
        <v>#N/A</v>
      </c>
      <c r="HH7" s="162" t="str">
        <f>EXP(-LN(2)/25)*HH6+(1-EXP(-LN(2)/25))/(LN(2)/25)*Calculateur!HC7*Calculateur!HE7*VLOOKUP('Données projet'!$B$18,'Paramètres'!$A$1:$I$88,3,0)*0.475*44/12</f>
        <v>#N/A</v>
      </c>
      <c r="HI7" s="162" t="str">
        <f>EXP(-LN(2)/2)*HI6+(1-EXP(-LN(2)/2))/(LN(2)/2)*HC7*HF7*VLOOKUP('Données projet'!$B$18,'Paramètres'!$A$1:$I$88,3,0)*0.475*44/12</f>
        <v>#N/A</v>
      </c>
      <c r="HJ7" s="163" t="str">
        <f t="shared" si="31"/>
        <v>#N/A</v>
      </c>
    </row>
    <row r="8">
      <c r="A8" s="145">
        <f t="shared" si="32"/>
        <v>5</v>
      </c>
      <c r="B8" s="146">
        <f>'Scénario référence'!$B$16*5+'Scénario référence'!$B$17*0+'Scénario référence'!$B$18*5</f>
        <v>0</v>
      </c>
      <c r="C8" s="160">
        <f>Calculateur!C7+'Scénario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8" s="147">
        <f t="shared" si="33"/>
        <v>0</v>
      </c>
      <c r="E8" s="147">
        <f>'Scénario référence'!$B$16*45+('Scénario référence'!$B$17+'Scénario référence'!$F$8+'Scénario référence'!$F$9+'Scénario référence'!$B$10+'Scénario référence'!$B$9)*70+'Scénario référence'!$B$18*32</f>
        <v>70</v>
      </c>
      <c r="F8" s="147">
        <f>IF(OR('Scénario référence'!$F$8&gt;0,'Scénario référence'!$F$9&gt;0),('Scénario référence'!$F$8+'Scénario référence'!$F$9)*10,0)</f>
        <v>0</v>
      </c>
      <c r="G8" s="147">
        <f>'Scénario référence'!$B$8*B8*44/12+'Scénario référence'!$B$9*(C8+D8)/0.475*44/12+'Scénario référence'!$B$10*(C8+D8)/0.475*44/12+'Scénario référence'!$F$8*(C8+D8)/0.475*44/12+'Scénario référence'!$F$9*(C8+D8)/0.475*44/12</f>
        <v>0</v>
      </c>
      <c r="H8" s="148">
        <f t="shared" si="1"/>
        <v>256.6666667</v>
      </c>
      <c r="I8" s="149">
        <f>('Scénario référence'!$F$8+'Scénario référence'!$F$9+'Scénario référence'!$B$17+'Scénario référence'!$B$9+'Scénario référence'!$B$10)*70+IF((45+25*(1-EXP(-0.0175*A8)))&lt;70,'Scénario référence'!$B$16*(45+25*(1-EXP(-0.0175*A8))),70*'Scénario référence'!$B$16)+IF((32+38*(1-EXP(-0.0175*A8)))&lt;70,'Scénario référence'!$B$18*(32+38*(1-EXP(-0.0175*A8))),70*'Scénario référence'!$B$18)</f>
        <v>70</v>
      </c>
      <c r="J8" s="150">
        <f>IF(A8&gt;30,10,('Scénario référence'!$B$16+'Scénario référence'!$B$17+'Scénario référence'!$B$18+'Scénario référence'!$B$9+'Scénario référence'!$B$10)*A8*10/30+('Scénario référence'!$F$8+'Scénario référence'!$F$9)*10)</f>
        <v>1.666666667</v>
      </c>
      <c r="K8" s="151" t="str">
        <f>VLOOKUP(A8,'Données projet'!$A$35:$I$55,2,0)</f>
        <v>#N/A</v>
      </c>
      <c r="L8" s="151" t="str">
        <f>VLOOKUP(A8,'Données projet'!$A$35:$I$55,9,0)</f>
        <v>#N/A</v>
      </c>
      <c r="M8" s="150">
        <f t="array" ref="M8">INDEX(L:L,MIN(IF(ISNUMBER(L8:L204),ROW(L8:L204),"")))</f>
        <v>3.65</v>
      </c>
      <c r="N8" s="150">
        <f>IF('Données projet'!$A$36&gt;35,N7+M8-V7,IF(A8&lt;'Données projet'!$A$36,$K$205^A8,IF(A8='Données projet'!$A$36,'Données projet'!$B$36,N7+M8-V7)))</f>
        <v>2.923012786</v>
      </c>
      <c r="O8" s="150">
        <f>N8*VLOOKUP('Données projet'!$B$9,'Paramètres'!$A$1:$I$88,3,0)*VLOOKUP('Données projet'!$B$9,'Paramètres'!$A$1:$I$88,5,0)</f>
        <v>2.644741968</v>
      </c>
      <c r="P8" s="150">
        <f t="shared" si="34"/>
        <v>1.088353441</v>
      </c>
      <c r="Q8" s="161">
        <f t="shared" si="2"/>
        <v>6.501807839</v>
      </c>
      <c r="R8" s="153">
        <f t="shared" si="3"/>
        <v>269.2795856</v>
      </c>
      <c r="S8" s="153">
        <f>AVERAGE(OFFSET($R$3,0,0,'Données projet'!$E$9+1,1))-AVERAGE(OFFSET($H$3,0,0,'Données projet'!$E$9+1,1))</f>
        <v>439.1985427</v>
      </c>
      <c r="T8" s="153">
        <f t="shared" si="35"/>
        <v>278.2174123</v>
      </c>
      <c r="U8" s="154">
        <f>IF(ISNA(VLOOKUP(A8,'Données projet'!$A$35:$I$55,3,0)),0,VLOOKUP(A8,'Données projet'!$A$35:$I$55,3,0))</f>
        <v>0</v>
      </c>
      <c r="V8" s="154">
        <f>IF(ISNA(VLOOKUP(A8,'Données projet'!$A$35:$I$55,4,0)),0,VLOOKUP(A8,'Données projet'!$A$35:$I$55,4,0))</f>
        <v>0</v>
      </c>
      <c r="W8" s="155">
        <f>IF(ISNA(VLOOKUP(A8,'Données projet'!$A$35:$I$55,5,0)),0%,VLOOKUP(A8,'Données projet'!$A$35:$I$55,5,0)*VLOOKUP('Données projet'!$B$9,'Paramètres'!$A$1:$I$88,7,0))</f>
        <v>0</v>
      </c>
      <c r="X8" s="155">
        <f>IF(ISNA(VLOOKUP(A8,'Données projet'!$A$35:$I$55,6,0)),0%,VLOOKUP(A8,'Données projet'!$A$35:$I$55,6,0)*VLOOKUP('Données projet'!$B$9,'Paramètres'!$A$1:$I$88,7,0))</f>
        <v>0</v>
      </c>
      <c r="Y8" s="155">
        <f>IF(ISNA(VLOOKUP(A8,'Données projet'!$A$35:$I$55,7,0)),0%,VLOOKUP(A8,'Données projet'!$A$35:$I$55,7,0))</f>
        <v>0</v>
      </c>
      <c r="Z8" s="162">
        <f>EXP(-LN(2)/35)*Z7+(1-EXP(-LN(2)/35))/(LN(2)/35)*V8*W8*VLOOKUP('Données projet'!$B$9,'Paramètres'!$A$1:$I$88,3,0)*0.475*44/12</f>
        <v>0</v>
      </c>
      <c r="AA8" s="162">
        <f>EXP(-LN(2)/25)*AA7+(1-EXP(-LN(2)/25))/(LN(2)/25)*Calculateur!V8*Calculateur!X8*VLOOKUP('Données projet'!$B$9,'Paramètres'!$A$1:$I$88,3,0)*0.475*44/12</f>
        <v>0</v>
      </c>
      <c r="AB8" s="162">
        <f>EXP(-LN(2)/2)*AB7+(1-EXP(-LN(2)/2))/(LN(2)/2)*V8*Y8*VLOOKUP('Données projet'!$B$9,'Paramètres'!$A$1:$I$88,3,0)*0.475*44/12</f>
        <v>0</v>
      </c>
      <c r="AC8" s="163">
        <f t="shared" si="4"/>
        <v>0</v>
      </c>
      <c r="AD8" s="150">
        <f>('Scénario référence'!$F$8+'Scénario référence'!$F$9+'Scénario référence'!$B$17+'Scénario référence'!$B$9+'Scénario référence'!$B$10)*70+IF((45+25*(1-EXP(-0.0175*A8)))&lt;70,'Scénario référence'!$B$16*(45+25*(1-EXP(-0.0175*A8))),70*'Scénario référence'!$B$16)+IF((32+38*(1-EXP(-0.0175*A8)))&lt;70,'Scénario référence'!$B$18*(32+38*(1-EXP(-0.0175*A8))),70*'Scénario référence'!$B$18)</f>
        <v>70</v>
      </c>
      <c r="AE8" s="150">
        <f>IF(A8&gt;30,10,('Scénario référence'!$B$16+'Scénario référence'!$B$17+'Scénario référence'!$B$18+'Scénario référence'!$B$9+'Scénario référence'!$B$10)*A8*10/30+('Scénario référence'!$F$8+'Scénario référence'!$F$9)*10)</f>
        <v>1.666666667</v>
      </c>
      <c r="AF8" s="151" t="str">
        <f>VLOOKUP(A8,'Données projet'!$A$61:$I$81,2,0)</f>
        <v>#N/A</v>
      </c>
      <c r="AG8" s="151" t="str">
        <f>VLOOKUP(A8,'Données projet'!$A$61:$I$81,9,0)</f>
        <v>#N/A</v>
      </c>
      <c r="AH8" s="150">
        <f t="array" ref="AH8">INDEX(AG:AG,MIN(IF(ISNUMBER(AG8:AG204),ROW(AG8:AG204),"")))</f>
        <v>1.9</v>
      </c>
      <c r="AI8" s="150">
        <f>IF('Données projet'!$A$62&gt;35,AI7+AH8-AQ7,IF(A8&lt;'Données projet'!$A$62,$AF$205^A8,IF(A8='Données projet'!$A$62,'Données projet'!$B$62,AI7+AH8-AQ7)))</f>
        <v>4.358898944</v>
      </c>
      <c r="AJ8" s="150">
        <f>AI8*VLOOKUP('Données projet'!$B$10,'Paramètres'!$A$1:$I$88,3,0)*VLOOKUP('Données projet'!$B$10,'Paramètres'!$A$1:$I$88,5,0)</f>
        <v>3.467939999</v>
      </c>
      <c r="AK8" s="150">
        <f t="shared" si="36"/>
        <v>1.382799801</v>
      </c>
      <c r="AL8" s="161">
        <f t="shared" si="5"/>
        <v>8.44837182</v>
      </c>
      <c r="AM8" s="153">
        <f t="shared" si="6"/>
        <v>271.2261496</v>
      </c>
      <c r="AN8" s="153">
        <f>AVERAGE(OFFSET($AM$3,0,0,'Données projet'!$E$10+1,1))-AVERAGE(OFFSET($H$3,0,0,'Données projet'!$E$10+1,1))</f>
        <v>405.6113614</v>
      </c>
      <c r="AO8" s="153">
        <f t="shared" si="37"/>
        <v>393.0787141</v>
      </c>
      <c r="AP8" s="154">
        <f>IF(ISNA(VLOOKUP(A8,'Données projet'!$A$61:$I$81,3,0)),0,VLOOKUP(A8,'Données projet'!$A$61:$I$81,3,0))</f>
        <v>0</v>
      </c>
      <c r="AQ8" s="154">
        <f>IF(ISNA(VLOOKUP(A8,'Données projet'!$A$61:$I$81,4,0)),0,VLOOKUP(A8,'Données projet'!$A$61:$I$81,4,0))</f>
        <v>0</v>
      </c>
      <c r="AR8" s="155">
        <f>IF(ISNA(VLOOKUP(A8,'Données projet'!$A$61:$I$81,5,0)),0%,VLOOKUP(A8,'Données projet'!$A$61:$I$81,5,0)*VLOOKUP('Données projet'!$B$10,'Paramètres'!$A$1:$I$88,7,0))</f>
        <v>0</v>
      </c>
      <c r="AS8" s="155">
        <f>IF(ISNA(VLOOKUP(A8,'Données projet'!$A$61:$I$81,6,0)),0%,VLOOKUP(A8,'Données projet'!$A$61:$I$81,6,0)*VLOOKUP('Données projet'!$B$10,'Paramètres'!$A$1:$I$88,7,0))</f>
        <v>0</v>
      </c>
      <c r="AT8" s="155">
        <f>IF(ISNA(VLOOKUP(A8,'Données projet'!$A$61:$I$81,7,0)),0%,VLOOKUP(A8,'Données projet'!$A$61:$I$81,7,0))</f>
        <v>0</v>
      </c>
      <c r="AU8" s="162">
        <f>EXP(-LN(2)/35)*AU7+(1-EXP(-LN(2)/35))/(LN(2)/35)*AQ8*AR8*VLOOKUP('Données projet'!$B$10,'Paramètres'!$A$1:$I$88,3,0)*0.475*44/12</f>
        <v>0</v>
      </c>
      <c r="AV8" s="162">
        <f>EXP(-LN(2)/25)*AV7+(1-EXP(-LN(2)/25))/(LN(2)/25)*Calculateur!AQ8*Calculateur!AS8*VLOOKUP('Données projet'!$B$10,'Paramètres'!$A$1:$I$88,3,0)*0.475*44/12</f>
        <v>0</v>
      </c>
      <c r="AW8" s="162">
        <f>EXP(-LN(2)/2)*AW7+(1-EXP(-LN(2)/2))/(LN(2)/2)*AQ8*AT8*VLOOKUP('Données projet'!$B$10,'Paramètres'!$A$1:$I$88,3,0)*0.475*44/12</f>
        <v>0</v>
      </c>
      <c r="AX8" s="162">
        <f t="shared" si="7"/>
        <v>0</v>
      </c>
      <c r="AY8" s="157">
        <f>('Scénario référence'!$F$8+'Scénario référence'!$F$9+'Scénario référence'!$B$17+'Scénario référence'!$B$9+'Scénario référence'!$B$10)*70+IF((45+25*(1-EXP(-0.0175*A8)))&lt;70,'Scénario référence'!$B$16*(45+25*(1-EXP(-0.0175*A8))),70*'Scénario référence'!$B$16)+IF((32+38*(1-EXP(-0.0175*A8)))&lt;70,'Scénario référence'!$B$18*(32+38*(1-EXP(-0.0175*A8))),70*'Scénario référence'!$B$18)</f>
        <v>70</v>
      </c>
      <c r="AZ8" s="151">
        <f>IF(A8&gt;30,10,('Scénario référence'!$B$16+'Scénario référence'!$B$17+'Scénario référence'!$B$18+'Scénario référence'!$B$9+'Scénario référence'!$B$10)*A8*10/30+('Scénario référence'!$F$8+'Scénario référence'!$F$9)*10)</f>
        <v>1.666666667</v>
      </c>
      <c r="BA8" s="151" t="str">
        <f>VLOOKUP(A8,'Données projet'!$A$87:$I$107,2,0)</f>
        <v>#N/A</v>
      </c>
      <c r="BB8" s="151" t="str">
        <f>VLOOKUP(A8,'Données projet'!$A$87:$I$107,9,0)</f>
        <v>#N/A</v>
      </c>
      <c r="BC8" s="150" t="str">
        <f t="array" ref="BC8">INDEX(BB:BB,MIN(IF(ISNUMBER(BB8:BB204),ROW(BB8:BB204),"")))</f>
        <v/>
      </c>
      <c r="BD8" s="150">
        <f>IF('Données projet'!$A$88&gt;35,BD7+BC8-BL7,IF(A8&lt;'Données projet'!$A$88,$BA$205^A8,IF(A8='Données projet'!$A$88,'Données projet'!$B$88,BD7+BC8-BL7)))</f>
        <v>0</v>
      </c>
      <c r="BE8" s="150">
        <f>BD8*VLOOKUP('Données projet'!$B$11,'Paramètres'!$A$1:$I$88,3,0)*VLOOKUP('Données projet'!$B$11,'Paramètres'!$A$1:$I$88,5,0)</f>
        <v>0</v>
      </c>
      <c r="BF8" s="150" t="str">
        <f t="shared" si="38"/>
        <v>#NUM!</v>
      </c>
      <c r="BG8" s="161" t="str">
        <f t="shared" si="8"/>
        <v>#NUM!</v>
      </c>
      <c r="BH8" s="153" t="str">
        <f t="shared" si="9"/>
        <v>#NUM!</v>
      </c>
      <c r="BI8" s="153">
        <f>AVERAGE(OFFSET($BH$3,0,0,'Données projet'!$E$11+1,1))-AVERAGE(OFFSET($H$3,0,0,'Données projet'!$E$11+1,1))</f>
        <v>0</v>
      </c>
      <c r="BJ8" s="153">
        <f t="shared" si="39"/>
        <v>0</v>
      </c>
      <c r="BK8" s="154">
        <f>IF(ISNA(VLOOKUP(A8,'Données projet'!$A$87:$I$107,3,0)),0,VLOOKUP(A8,'Données projet'!$A$87:$I$107,3,0))</f>
        <v>0</v>
      </c>
      <c r="BL8" s="154">
        <f>IF(ISNA(VLOOKUP(A8,'Données projet'!$A$87:$I$107,4,0)),0,VLOOKUP(A8,'Données projet'!$A$87:$I$107,4,0))</f>
        <v>0</v>
      </c>
      <c r="BM8" s="155">
        <f>IF(ISNA(VLOOKUP(A8,'Données projet'!$A$87:$I$107,5,0)),0%,VLOOKUP(A8,'Données projet'!$A$87:$I$107,5,0)*VLOOKUP('Données projet'!$B$11,'Paramètres'!$A$1:$I$88,7,0))</f>
        <v>0</v>
      </c>
      <c r="BN8" s="155">
        <f>IF(ISNA(VLOOKUP(A8,'Données projet'!$A$87:$I$107,6,0)),0%,VLOOKUP(A8,'Données projet'!$A$87:$I$107,6,0)*VLOOKUP('Données projet'!$B$11,'Paramètres'!$A$1:$I$88,7,0))</f>
        <v>0</v>
      </c>
      <c r="BO8" s="155">
        <f>IF(ISNA(VLOOKUP(A8,'Données projet'!$A$87:$I$107,7,0)),0%,VLOOKUP(A8,'Données projet'!$A$87:$I$107,7,0))</f>
        <v>0</v>
      </c>
      <c r="BP8" s="162">
        <f>EXP(-LN(2)/35)*BP7+(1-EXP(-LN(2)/35))/(LN(2)/35)*BL8*BM8*VLOOKUP('Données projet'!$B$11,'Paramètres'!$A$1:$I$88,3,0)*0.475*44/12</f>
        <v>0</v>
      </c>
      <c r="BQ8" s="162">
        <f>EXP(-LN(2)/25)*BQ7+(1-EXP(-LN(2)/25))/(LN(2)/25)*Calculateur!BL8*Calculateur!BN8*VLOOKUP('Données projet'!$B$11,'Paramètres'!$A$1:$I$88,3,0)*0.475*44/12</f>
        <v>0</v>
      </c>
      <c r="BR8" s="162">
        <f>EXP(-LN(2)/2)*BR7+(1-EXP(-LN(2)/2))/(LN(2)/2)*BL8*BO8*VLOOKUP('Données projet'!$B$11,'Paramètres'!$A$1:$I$88,3,0)*0.475*44/12</f>
        <v>0</v>
      </c>
      <c r="BS8" s="163">
        <f t="shared" si="10"/>
        <v>0</v>
      </c>
      <c r="BT8" s="159">
        <f>('Scénario référence'!$F$8+'Scénario référence'!$F$9+'Scénario référence'!$B$17+'Scénario référence'!$B$9+'Scénario référence'!$B$10)*70+IF((45+25*(1-EXP(-0.0175*A8)))&lt;70,'Scénario référence'!$B$16*(45+25*(1-EXP(-0.0175*A8))),70*'Scénario référence'!$B$16)+IF((32+38*(1-EXP(-0.0175*A8)))&lt;70,'Scénario référence'!$B$18*(32+38*(1-EXP(-0.0175*A8))),70*'Scénario référence'!$B$18)</f>
        <v>70</v>
      </c>
      <c r="BU8" s="151">
        <f>IF(A8&gt;30,10,('Scénario référence'!$B$16+'Scénario référence'!$B$17+'Scénario référence'!$B$18+'Scénario référence'!$B$9+'Scénario référence'!$B$10)*A8*10/30+('Scénario référence'!$F$8+'Scénario référence'!$F$9)*10)</f>
        <v>1.666666667</v>
      </c>
      <c r="BV8" s="151" t="str">
        <f>VLOOKUP(A8,'Données projet'!$A$113:$I$133,2,0)</f>
        <v>#N/A</v>
      </c>
      <c r="BW8" s="151" t="str">
        <f>VLOOKUP(A8,'Données projet'!$A$113:$I$133,9,0)</f>
        <v>#N/A</v>
      </c>
      <c r="BX8" s="150" t="str">
        <f t="array" ref="BX8">INDEX(BW:BW,MIN(IF(ISNUMBER(BW8:BW204),ROW(BW8:BW204),"")))</f>
        <v/>
      </c>
      <c r="BY8" s="150">
        <f>IF('Données projet'!$A$114&gt;35,BY7+BX8-CG7,IF(A8&lt;'Données projet'!$A$114,$BV$205^A8,IF(A8='Données projet'!$A$114,'Données projet'!$B$114,BY7+BX8-CG7)))</f>
        <v>0</v>
      </c>
      <c r="BZ8" s="150" t="str">
        <f>BY8*VLOOKUP('Données projet'!$B$12,'Paramètres'!$A$1:$I$88,3,0)*VLOOKUP('Données projet'!$B$12,'Paramètres'!$A$1:$I$88,5,0)</f>
        <v>#N/A</v>
      </c>
      <c r="CA8" s="150" t="str">
        <f t="shared" si="40"/>
        <v>#N/A</v>
      </c>
      <c r="CB8" s="161" t="str">
        <f t="shared" si="11"/>
        <v>#N/A</v>
      </c>
      <c r="CC8" s="153" t="str">
        <f t="shared" si="12"/>
        <v>#N/A</v>
      </c>
      <c r="CD8" s="153" t="str">
        <f>AVERAGE(OFFSET($CC$3,0,0,'Données projet'!$E$12+1,1))-AVERAGE(OFFSET($H$3,0,0,'Données projet'!$E$12+1,1))</f>
        <v>#N/A</v>
      </c>
      <c r="CE8" s="153" t="str">
        <f t="shared" si="41"/>
        <v>#N/A</v>
      </c>
      <c r="CF8" s="154">
        <f>IF(ISNA(VLOOKUP(A8,'Données projet'!$A$113:$I$133,3,0)),0,VLOOKUP(A8,'Données projet'!$A$113:$I$133,3,0))</f>
        <v>0</v>
      </c>
      <c r="CG8" s="154">
        <f>IF(ISNA(VLOOKUP(A8,'Données projet'!$A$113:$I$133,4,0)),0,VLOOKUP(A8,'Données projet'!$A$113:$I$133,4,0))</f>
        <v>0</v>
      </c>
      <c r="CH8" s="155">
        <f>IF(ISNA(VLOOKUP(A8,'Données projet'!$A$113:$I$133,5,0)),0%,VLOOKUP(A8,'Données projet'!$A$113:$I$133,5,0)*VLOOKUP('Données projet'!$B$12,'Paramètres'!$A$1:$I$88,7,0))</f>
        <v>0</v>
      </c>
      <c r="CI8" s="155">
        <f>IF(ISNA(VLOOKUP(A8,'Données projet'!$A$113:$I$133,6,0)),0%,VLOOKUP(A8,'Données projet'!$A$113:$I$133,6,0)*VLOOKUP('Données projet'!$B$12,'Paramètres'!$A$1:$I$88,7,0))</f>
        <v>0</v>
      </c>
      <c r="CJ8" s="155">
        <f>IF(ISNA(VLOOKUP(A8,'Données projet'!$A$113:$I$133,7,0)),0%,VLOOKUP(A8,'Données projet'!$A$113:$I$133,7,0))</f>
        <v>0</v>
      </c>
      <c r="CK8" s="162" t="str">
        <f>EXP(-LN(2)/35)*CK7+(1-EXP(-LN(2)/35))/(LN(2)/35)*CG8*CH8*VLOOKUP('Données projet'!$B$12,'Paramètres'!$A$1:$I$88,3,0)*0.475*44/12</f>
        <v>#N/A</v>
      </c>
      <c r="CL8" s="162" t="str">
        <f>EXP(-LN(2)/25)*CL7+(1-EXP(-LN(2)/25))/(LN(2)/25)*Calculateur!CG8*Calculateur!CI8*VLOOKUP('Données projet'!$B$12,'Paramètres'!$A$1:$I$88,3,0)*0.475*44/12</f>
        <v>#N/A</v>
      </c>
      <c r="CM8" s="162" t="str">
        <f>EXP(-LN(2)/2)*CM7+(1-EXP(-LN(2)/2))/(LN(2)/2)*CG8*CJ8*VLOOKUP('Données projet'!$B$12,'Paramètres'!$A$1:$I$88,3,0)*0.475*44/12</f>
        <v>#N/A</v>
      </c>
      <c r="CN8" s="163" t="str">
        <f t="shared" si="13"/>
        <v>#N/A</v>
      </c>
      <c r="CO8" s="159">
        <f>('Scénario référence'!$F$8+'Scénario référence'!$F$9+'Scénario référence'!$B$17+'Scénario référence'!$B$9+'Scénario référence'!$B$10)*70+IF((45+25*(1-EXP(-0.0175*A8)))&lt;70,'Scénario référence'!$B$16*(45+25*(1-EXP(-0.0175*A8))),70*'Scénario référence'!$B$16)+IF((32+38*(1-EXP(-0.0175*A8)))&lt;70,'Scénario référence'!$B$18*(32+38*(1-EXP(-0.0175*A8))),70*'Scénario référence'!$B$18)</f>
        <v>70</v>
      </c>
      <c r="CP8" s="151">
        <f>IF(A8&gt;30,10,('Scénario référence'!$B$16+'Scénario référence'!$B$17+'Scénario référence'!$B$18+'Scénario référence'!$B$9+'Scénario référence'!$B$10)*A8*10/30+('Scénario référence'!$F$8+'Scénario référence'!$F$9)*10)</f>
        <v>1.666666667</v>
      </c>
      <c r="CQ8" s="151" t="str">
        <f>VLOOKUP(A8,'Données projet'!$A$139:$I$159,2,0)</f>
        <v>#N/A</v>
      </c>
      <c r="CR8" s="151" t="str">
        <f>VLOOKUP(A8,'Données projet'!$A$139:$I$159,9,0)</f>
        <v>#N/A</v>
      </c>
      <c r="CS8" s="151" t="str">
        <f t="array" ref="CS8">INDEX(CR:CR,MIN(IF(ISNUMBER(CR8:CR204),ROW(CR8:CR204),"")))</f>
        <v/>
      </c>
      <c r="CT8" s="151">
        <f>IF('Données projet'!$A$140&gt;35,CT7+CS8-DB7,IF(A8&lt;'Données projet'!$A$140,$CQ$205^A8,IF(A8='Données projet'!$A$140,'Données projet'!$B$140,CT7+CS8-DB7)))</f>
        <v>0</v>
      </c>
      <c r="CU8" s="158" t="str">
        <f>CT8*VLOOKUP('Données projet'!$B$13,'Paramètres'!$A$1:$I$88,3,0)*VLOOKUP('Données projet'!$B$13,'Paramètres'!$A$1:$I$88,5,0)</f>
        <v>#N/A</v>
      </c>
      <c r="CV8" s="150" t="str">
        <f t="shared" si="42"/>
        <v>#N/A</v>
      </c>
      <c r="CW8" s="161" t="str">
        <f t="shared" si="14"/>
        <v>#N/A</v>
      </c>
      <c r="CX8" s="153" t="str">
        <f t="shared" si="15"/>
        <v>#N/A</v>
      </c>
      <c r="CY8" s="153" t="str">
        <f>AVERAGE(OFFSET($CX$3,0,0,'Données projet'!$E$13+1,1))-AVERAGE(OFFSET($H$3,0,0,'Données projet'!$E$13+1,1))</f>
        <v>#N/A</v>
      </c>
      <c r="CZ8" s="153" t="str">
        <f t="shared" si="43"/>
        <v>#N/A</v>
      </c>
      <c r="DA8" s="154">
        <f>IF(ISNA(VLOOKUP(A8,'Données projet'!$A$139:$I$159,3,0)),0,VLOOKUP(A8,'Données projet'!$A$139:$I$159,3,0))</f>
        <v>0</v>
      </c>
      <c r="DB8" s="154">
        <f>IF(ISNA(VLOOKUP(A8,'Données projet'!$A$139:$I$159,4,0)),0,VLOOKUP(A8,'Données projet'!$A$139:$I$159,4,0))</f>
        <v>0</v>
      </c>
      <c r="DC8" s="155">
        <f>IF(ISNA(VLOOKUP(A8,'Données projet'!$A$139:$I$159,5,0)),0%,VLOOKUP(A8,'Données projet'!$A$139:$I$159,5,0)*VLOOKUP('Données projet'!$B$13,'Paramètres'!$A$1:$I$88,7,0))</f>
        <v>0</v>
      </c>
      <c r="DD8" s="155">
        <f>IF(ISNA(VLOOKUP(A8,'Données projet'!$A$139:$I$159,6,0)),0%,VLOOKUP(A8,'Données projet'!$A$139:$I$159,6,0)*VLOOKUP('Données projet'!$B$13,'Paramètres'!$A$1:$I$88,7,0))</f>
        <v>0</v>
      </c>
      <c r="DE8" s="155">
        <f>IF(ISNA(VLOOKUP(A8,'Données projet'!$A$139:$I$159,7,0)),0%,VLOOKUP(A8,'Données projet'!$A$139:$I$159,7,0))</f>
        <v>0</v>
      </c>
      <c r="DF8" s="162" t="str">
        <f>EXP(-LN(2)/35)*DF7+(1-EXP(-LN(2)/35))/(LN(2)/35)*DB8*DC8*VLOOKUP('Données projet'!$B$13,'Paramètres'!$A$1:$I$88,3,0)*0.475*44/12</f>
        <v>#N/A</v>
      </c>
      <c r="DG8" s="162" t="str">
        <f>EXP(-LN(2)/25)*DG7+(1-EXP(-LN(2)/25))/(LN(2)/25)*Calculateur!DB8*Calculateur!DD8*VLOOKUP('Données projet'!$B$13,'Paramètres'!$A$1:$I$88,3,0)*0.475*44/12</f>
        <v>#N/A</v>
      </c>
      <c r="DH8" s="162" t="str">
        <f>EXP(-LN(2)/2)*DH7+(1-EXP(-LN(2)/2))/(LN(2)/2)*DB8*DE8*VLOOKUP('Données projet'!$B$13,'Paramètres'!$A$1:$I$88,3,0)*0.475*44/12</f>
        <v>#N/A</v>
      </c>
      <c r="DI8" s="163" t="str">
        <f t="shared" si="16"/>
        <v>#N/A</v>
      </c>
      <c r="DJ8" s="159">
        <f>('Scénario référence'!$F$8+'Scénario référence'!$F$9+'Scénario référence'!$B$17+'Scénario référence'!$B$9+'Scénario référence'!$B$10)*70+IF((45+25*(1-EXP(-0.0175*A8)))&lt;70,'Scénario référence'!$B$16*(45+25*(1-EXP(-0.0175*A8))),70*'Scénario référence'!$B$16)+IF((32+38*(1-EXP(-0.0175*A8)))&lt;70,'Scénario référence'!$B$18*(32+38*(1-EXP(-0.0175*A8))),70*'Scénario référence'!$B$18)</f>
        <v>70</v>
      </c>
      <c r="DK8" s="151">
        <f>IF(A8&gt;30,10,('Scénario référence'!$B$16+'Scénario référence'!$B$17+'Scénario référence'!$B$18+'Scénario référence'!$B$9+'Scénario référence'!$B$10)*A8*10/30+('Scénario référence'!$F$8+'Scénario référence'!$F$9)*10)</f>
        <v>1.666666667</v>
      </c>
      <c r="DL8" s="151" t="str">
        <f>VLOOKUP(A8,'Données projet'!$A$165:$I$185,2,0)</f>
        <v>#N/A</v>
      </c>
      <c r="DM8" s="151" t="str">
        <f>VLOOKUP(A8,'Données projet'!$A$165:$I$185,9,0)</f>
        <v>#N/A</v>
      </c>
      <c r="DN8" s="151" t="str">
        <f t="array" ref="DN8">INDEX(DM:DM,MIN(IF(ISNUMBER(DM8:DM204),ROW(DM8:DM204),"")))</f>
        <v/>
      </c>
      <c r="DO8" s="151">
        <f>IF('Données projet'!$A$166&gt;35,DO7+DN8-DW7,IF(A8&lt;'Données projet'!$A$166,$DL$205^A8,IF(A8='Données projet'!$A$166,'Données projet'!$B$166,DO7+DN8-DW7)))</f>
        <v>0</v>
      </c>
      <c r="DP8" s="158" t="str">
        <f>DO8*VLOOKUP('Données projet'!$B$14,'Paramètres'!$A$1:$I$88,3,0)*VLOOKUP('Données projet'!$B$14,'Paramètres'!$A$1:$I$88,5,0)</f>
        <v>#N/A</v>
      </c>
      <c r="DQ8" s="150" t="str">
        <f t="shared" si="44"/>
        <v>#N/A</v>
      </c>
      <c r="DR8" s="161" t="str">
        <f t="shared" si="17"/>
        <v>#N/A</v>
      </c>
      <c r="DS8" s="153" t="str">
        <f t="shared" si="18"/>
        <v>#N/A</v>
      </c>
      <c r="DT8" s="153" t="str">
        <f>AVERAGE(OFFSET($DS$3,0,0,'Données projet'!$E$14+1,1))-AVERAGE(OFFSET($H$3,0,0,'Données projet'!$E$14+1,1))</f>
        <v>#N/A</v>
      </c>
      <c r="DU8" s="153" t="str">
        <f t="shared" si="45"/>
        <v>#N/A</v>
      </c>
      <c r="DV8" s="154">
        <f>IF(ISNA(VLOOKUP(A8,'Données projet'!$A$165:$I$185,3,0)),0,VLOOKUP(A8,'Données projet'!$A$165:$I$185,3,0))</f>
        <v>0</v>
      </c>
      <c r="DW8" s="154">
        <f>IF(ISNA(VLOOKUP(A8,'Données projet'!$A$165:$I$185,4,0)),0,VLOOKUP(A8,'Données projet'!$A$165:$I$185,4,0))</f>
        <v>0</v>
      </c>
      <c r="DX8" s="155">
        <f>IF(ISNA(VLOOKUP(A8,'Données projet'!$A$165:$I$185,5,0)),0%,VLOOKUP(A8,'Données projet'!$A$165:$I$185,5,0)*VLOOKUP('Données projet'!$B$14,'Paramètres'!$A$1:$I$88,7,0))</f>
        <v>0</v>
      </c>
      <c r="DY8" s="155">
        <f>IF(ISNA(VLOOKUP(A8,'Données projet'!$A$165:$I$185,6,0)),0%,VLOOKUP(A8,'Données projet'!$A$165:$I$185,6,0)*VLOOKUP('Données projet'!$B$14,'Paramètres'!$A$1:$I$88,7,0))</f>
        <v>0</v>
      </c>
      <c r="DZ8" s="155">
        <f>IF(ISNA(VLOOKUP(A8,'Données projet'!$A$165:$I$185,7,0)),0%,VLOOKUP(A8,'Données projet'!$A$165:$I$185,7,0))</f>
        <v>0</v>
      </c>
      <c r="EA8" s="162" t="str">
        <f>EXP(-LN(2)/35)*EA7+(1-EXP(-LN(2)/35))/(LN(2)/35)*DW8*DX8*VLOOKUP('Données projet'!$B$14,'Paramètres'!$A$1:$I$88,3,0)*0.475*44/12</f>
        <v>#N/A</v>
      </c>
      <c r="EB8" s="162" t="str">
        <f>EXP(-LN(2)/25)*EB7+(1-EXP(-LN(2)/25))/(LN(2)/25)*Calculateur!DW8*Calculateur!DY8*VLOOKUP('Données projet'!$B$14,'Paramètres'!$A$1:$I$88,3,0)*0.475*44/12</f>
        <v>#N/A</v>
      </c>
      <c r="EC8" s="162" t="str">
        <f>EXP(-LN(2)/2)*EC7+(1-EXP(-LN(2)/2))/(LN(2)/2)*DW8*DZ8*VLOOKUP('Données projet'!$B$14,'Paramètres'!$A$1:$I$88,3,0)*0.475*44/12</f>
        <v>#N/A</v>
      </c>
      <c r="ED8" s="163" t="str">
        <f t="shared" si="19"/>
        <v>#N/A</v>
      </c>
      <c r="EE8" s="159">
        <f>('Scénario référence'!$F$8+'Scénario référence'!$F$9+'Scénario référence'!$B$17+'Scénario référence'!$B$9+'Scénario référence'!$B$10)*70+IF((45+25*(1-EXP(-0.0175*A8)))&lt;70,'Scénario référence'!$B$16*(45+25*(1-EXP(-0.0175*A8))),70*'Scénario référence'!$B$16)+IF((32+38*(1-EXP(-0.0175*A8)))&lt;70,'Scénario référence'!$B$18*(32+38*(1-EXP(-0.0175*A8))),70*'Scénario référence'!$B$18)</f>
        <v>70</v>
      </c>
      <c r="EF8" s="151">
        <f>IF(A8&gt;30,10,('Scénario référence'!$B$16+'Scénario référence'!$B$17+'Scénario référence'!$B$18+'Scénario référence'!$B$9+'Scénario référence'!$B$10)*A8*10/30+('Scénario référence'!$F$8+'Scénario référence'!$F$9)*10)</f>
        <v>1.666666667</v>
      </c>
      <c r="EG8" s="151" t="str">
        <f>VLOOKUP(A8,'Données projet'!$A$191:$I$211,2,0)</f>
        <v>#N/A</v>
      </c>
      <c r="EH8" s="151" t="str">
        <f>VLOOKUP(A8,'Données projet'!$A$191:$I$211,9,0)</f>
        <v>#N/A</v>
      </c>
      <c r="EI8" s="151" t="str">
        <f t="array" ref="EI8">INDEX(EH:EH,MIN(IF(ISNUMBER(EH8:EH204),ROW(EH8:EH204),"")))</f>
        <v/>
      </c>
      <c r="EJ8" s="151">
        <f>IF('Données projet'!$A$192&gt;35,EJ7+EI8-ER7,IF(A8&lt;'Données projet'!$A$192,$EG$205^A8,IF(A8='Données projet'!$A$192,'Données projet'!$B$192,EJ7+EI8-ER7)))</f>
        <v>0</v>
      </c>
      <c r="EK8" s="158" t="str">
        <f>EJ8*VLOOKUP('Données projet'!$B$15,'Paramètres'!$A$1:$I$88,3,0)*VLOOKUP('Données projet'!$B$15,'Paramètres'!$A$1:$I$88,5,0)</f>
        <v>#N/A</v>
      </c>
      <c r="EL8" s="150" t="str">
        <f t="shared" si="46"/>
        <v>#N/A</v>
      </c>
      <c r="EM8" s="161" t="str">
        <f t="shared" si="20"/>
        <v>#N/A</v>
      </c>
      <c r="EN8" s="153" t="str">
        <f t="shared" si="21"/>
        <v>#N/A</v>
      </c>
      <c r="EO8" s="153" t="str">
        <f>AVERAGE(OFFSET($EN$3,0,0,'Données projet'!$E$15+1,1))-AVERAGE(OFFSET($H$3,0,0,'Données projet'!$E$15+1,1))</f>
        <v>#N/A</v>
      </c>
      <c r="EP8" s="153" t="str">
        <f t="shared" si="47"/>
        <v>#N/A</v>
      </c>
      <c r="EQ8" s="154">
        <f>IF(ISNA(VLOOKUP(A8,'Données projet'!$A$191:$I$211,3,0)),0,VLOOKUP(A8,'Données projet'!$A$191:$I$211,3,0))</f>
        <v>0</v>
      </c>
      <c r="ER8" s="154">
        <f>IF(ISNA(VLOOKUP(A8,'Données projet'!$A$191:$I$211,4,0)),0,VLOOKUP(A8,'Données projet'!$A$191:$I$211,4,0))</f>
        <v>0</v>
      </c>
      <c r="ES8" s="155">
        <f>IF(ISNA(VLOOKUP(A8,'Données projet'!$A$191:$I$211,5,0)),0%,VLOOKUP(A8,'Données projet'!$A$191:$I$211,5,0)*VLOOKUP('Données projet'!$B$15,'Paramètres'!$A$1:$I$88,7,0))</f>
        <v>0</v>
      </c>
      <c r="ET8" s="155">
        <f>IF(ISNA(VLOOKUP(A8,'Données projet'!$A$191:$I$211,6,0)),0%,VLOOKUP(A8,'Données projet'!$A$191:$I$211,6,0)*VLOOKUP('Données projet'!$B$15,'Paramètres'!$A$1:$I$88,7,0))</f>
        <v>0</v>
      </c>
      <c r="EU8" s="155">
        <f>IF(ISNA(VLOOKUP(A8,'Données projet'!$A$191:$I$211,7,0)),0%,VLOOKUP(A8,'Données projet'!$A$191:$I$211,7,0))</f>
        <v>0</v>
      </c>
      <c r="EV8" s="162" t="str">
        <f>EXP(-LN(2)/35)*EV7+(1-EXP(-LN(2)/35))/(LN(2)/35)*ER8*ES8*VLOOKUP('Données projet'!$B$15,'Paramètres'!$A$1:$I$88,3,0)*0.475*44/12</f>
        <v>#N/A</v>
      </c>
      <c r="EW8" s="162" t="str">
        <f>EXP(-LN(2)/25)*EW7+(1-EXP(-LN(2)/25))/(LN(2)/25)*Calculateur!ER8*Calculateur!ET8*VLOOKUP('Données projet'!$B$15,'Paramètres'!$A$1:$I$88,3,0)*0.475*44/12</f>
        <v>#N/A</v>
      </c>
      <c r="EX8" s="162" t="str">
        <f>EXP(-LN(2)/2)*EX7+(1-EXP(-LN(2)/2))/(LN(2)/2)*ER8*EU8*VLOOKUP('Données projet'!$B$15,'Paramètres'!$A$1:$I$88,3,0)*0.475*44/12</f>
        <v>#N/A</v>
      </c>
      <c r="EY8" s="163" t="str">
        <f t="shared" si="22"/>
        <v>#N/A</v>
      </c>
      <c r="EZ8" s="159">
        <f>('Scénario référence'!$F$8+'Scénario référence'!$F$9+'Scénario référence'!$B$17+'Scénario référence'!$B$9+'Scénario référence'!$B$10)*70+IF((45+25*(1-EXP(-0.0175*A8)))&lt;70,'Scénario référence'!$B$16*(45+25*(1-EXP(-0.0175*A8))),70*'Scénario référence'!$B$16)+IF((32+38*(1-EXP(-0.0175*A8)))&lt;70,'Scénario référence'!$B$18*(32+38*(1-EXP(-0.0175*A8))),70*'Scénario référence'!$B$18)</f>
        <v>70</v>
      </c>
      <c r="FA8" s="151">
        <f>IF(A8&gt;30,10,('Scénario référence'!$B$16+'Scénario référence'!$B$17+'Scénario référence'!$B$18+'Scénario référence'!$B$9+'Scénario référence'!$B$10)*A8*10/30+('Scénario référence'!$F$8+'Scénario référence'!$F$9)*10)</f>
        <v>1.666666667</v>
      </c>
      <c r="FB8" s="151" t="str">
        <f>VLOOKUP(A8,'Données projet'!$A$217:$I$237,2,0)</f>
        <v>#N/A</v>
      </c>
      <c r="FC8" s="151" t="str">
        <f>VLOOKUP(A8,'Données projet'!$A$217:$I$237,9,0)</f>
        <v>#N/A</v>
      </c>
      <c r="FD8" s="151" t="str">
        <f t="array" ref="FD8">INDEX(FC:FC,MIN(IF(ISNUMBER(FC8:FC204),ROW(FC8:FC204),"")))</f>
        <v/>
      </c>
      <c r="FE8" s="151">
        <f>IF('Données projet'!$A$218&gt;35,FE7+FD8-FM7,IF(A8&lt;'Données projet'!$A$218,$FB$205^A8,IF(A8='Données projet'!$A$218,'Données projet'!$B$218,FE7+FD8-FM7)))</f>
        <v>0</v>
      </c>
      <c r="FF8" s="158" t="str">
        <f>FE8*VLOOKUP('Données projet'!$B$16,'Paramètres'!$A$1:$I$88,3,0)*VLOOKUP('Données projet'!$B$16,'Paramètres'!$A$1:$I$88,5,0)</f>
        <v>#N/A</v>
      </c>
      <c r="FG8" s="150" t="str">
        <f t="shared" si="48"/>
        <v>#N/A</v>
      </c>
      <c r="FH8" s="161" t="str">
        <f t="shared" si="23"/>
        <v>#N/A</v>
      </c>
      <c r="FI8" s="153" t="str">
        <f t="shared" si="24"/>
        <v>#N/A</v>
      </c>
      <c r="FJ8" s="153" t="str">
        <f>AVERAGE(OFFSET($FI$3,0,0,'Données projet'!$E$16+1,1))-AVERAGE(OFFSET($H$3,0,0,'Données projet'!$E$16+1,1))</f>
        <v>#N/A</v>
      </c>
      <c r="FK8" s="153" t="str">
        <f t="shared" si="49"/>
        <v>#N/A</v>
      </c>
      <c r="FL8" s="154">
        <f>IF(ISNA(VLOOKUP(A8,'Données projet'!$A$217:$I$237,3,0)),0,VLOOKUP(A8,'Données projet'!$A$217:$I$237,3,0))</f>
        <v>0</v>
      </c>
      <c r="FM8" s="154">
        <f>IF(ISNA(VLOOKUP(A8,'Données projet'!$A$217:$I$237,4,0)),0,VLOOKUP(A8,'Données projet'!$A$217:$I$237,4,0))</f>
        <v>0</v>
      </c>
      <c r="FN8" s="155">
        <f>IF(ISNA(VLOOKUP(A8,'Données projet'!$A$217:$I$237,5,0)),0%,VLOOKUP(A8,'Données projet'!$A$217:$I$237,5,0)*VLOOKUP('Données projet'!$B$16,'Paramètres'!$A$1:$I$88,7,0))</f>
        <v>0</v>
      </c>
      <c r="FO8" s="155">
        <f>IF(ISNA(VLOOKUP(A8,'Données projet'!$A$217:$I$237,6,0)),0%,VLOOKUP(A8,'Données projet'!$A$217:$I$237,6,0)*VLOOKUP('Données projet'!$B$16,'Paramètres'!$A$1:$I$88,7,0))</f>
        <v>0</v>
      </c>
      <c r="FP8" s="155">
        <f>IF(ISNA(VLOOKUP(A8,'Données projet'!$A$217:$I$237,7,0)),0%,VLOOKUP(A8,'Données projet'!$A$217:$I$237,7,0))</f>
        <v>0</v>
      </c>
      <c r="FQ8" s="162" t="str">
        <f>EXP(-LN(2)/35)*FQ7+(1-EXP(-LN(2)/35))/(LN(2)/35)*FM8*FN8*VLOOKUP('Données projet'!$B$16,'Paramètres'!$A$1:$I$88,3,0)*0.475*44/12</f>
        <v>#N/A</v>
      </c>
      <c r="FR8" s="162" t="str">
        <f>EXP(-LN(2)/25)*FR7+(1-EXP(-LN(2)/25))/(LN(2)/25)*Calculateur!FM8*Calculateur!FO8*VLOOKUP('Données projet'!$B$16,'Paramètres'!$A$1:$I$88,3,0)*0.475*44/12</f>
        <v>#N/A</v>
      </c>
      <c r="FS8" s="162" t="str">
        <f>EXP(-LN(2)/2)*FS7+(1-EXP(-LN(2)/2))/(LN(2)/2)*FM8*FP8*VLOOKUP('Données projet'!$B$16,'Paramètres'!$A$1:$I$88,3,0)*0.475*44/12</f>
        <v>#N/A</v>
      </c>
      <c r="FT8" s="163" t="str">
        <f t="shared" si="25"/>
        <v>#N/A</v>
      </c>
      <c r="FU8" s="159">
        <f>('Scénario référence'!$F$8+'Scénario référence'!$F$9+'Scénario référence'!$B$17+'Scénario référence'!$B$9+'Scénario référence'!$B$10)*70+IF((45+25*(1-EXP(-0.0175*A8)))&lt;70,'Scénario référence'!$B$16*(45+25*(1-EXP(-0.0175*A8))),70*'Scénario référence'!$B$16)+IF((32+38*(1-EXP(-0.0175*A8)))&lt;70,'Scénario référence'!$B$18*(32+38*(1-EXP(-0.0175*A8))),70*'Scénario référence'!$B$18)</f>
        <v>70</v>
      </c>
      <c r="FV8" s="151">
        <f>IF(A8&gt;30,10,('Scénario référence'!$B$16+'Scénario référence'!$B$17+'Scénario référence'!$B$18+'Scénario référence'!$B$9+'Scénario référence'!$B$10)*A8*10/30+('Scénario référence'!$F$8+'Scénario référence'!$F$9)*10)</f>
        <v>1.666666667</v>
      </c>
      <c r="FW8" s="151" t="str">
        <f>VLOOKUP(A8,'Données projet'!$A$243:$I$263,2,0)</f>
        <v>#N/A</v>
      </c>
      <c r="FX8" s="151" t="str">
        <f>VLOOKUP(A8,'Données projet'!$A$243:$I$263,9,0)</f>
        <v>#N/A</v>
      </c>
      <c r="FY8" s="151" t="str">
        <f t="array" ref="FY8">INDEX(FX:FX,MIN(IF(ISNUMBER(FX8:FX204),ROW(FX8:FX204),"")))</f>
        <v/>
      </c>
      <c r="FZ8" s="151">
        <f>IF('Données projet'!$A$244&gt;35,FZ7+FY8-GH7,IF(A8&lt;'Données projet'!$A$244,$FW$205^A8,IF(A8='Données projet'!$A$244,'Données projet'!$B$244,FZ7+FY8-GH7)))</f>
        <v>0</v>
      </c>
      <c r="GA8" s="158" t="str">
        <f>FZ8*VLOOKUP('Données projet'!$B$17,'Paramètres'!$A$1:$I$88,3,0)*VLOOKUP('Données projet'!$B$17,'Paramètres'!$A$1:$I$88,5,0)</f>
        <v>#N/A</v>
      </c>
      <c r="GB8" s="150" t="str">
        <f t="shared" si="50"/>
        <v>#N/A</v>
      </c>
      <c r="GC8" s="161" t="str">
        <f t="shared" si="26"/>
        <v>#N/A</v>
      </c>
      <c r="GD8" s="153" t="str">
        <f t="shared" si="27"/>
        <v>#N/A</v>
      </c>
      <c r="GE8" s="153" t="str">
        <f>AVERAGE(OFFSET($GD$3,0,0,'Données projet'!$E$17+1,1))-AVERAGE(OFFSET($H$3,0,0,'Données projet'!$E$17+1,1))</f>
        <v>#N/A</v>
      </c>
      <c r="GF8" s="153" t="str">
        <f t="shared" si="51"/>
        <v>#N/A</v>
      </c>
      <c r="GG8" s="154">
        <f>IF(ISNA(VLOOKUP(A8,'Données projet'!$A$243:$I$263,3,0)),0,VLOOKUP(A8,'Données projet'!$A$243:$I$263,3,0))</f>
        <v>0</v>
      </c>
      <c r="GH8" s="154">
        <f>IF(ISNA(VLOOKUP(A8,'Données projet'!$A$243:$I$263,4,0)),0,VLOOKUP(A8,'Données projet'!$A$243:$I$263,4,0))</f>
        <v>0</v>
      </c>
      <c r="GI8" s="155">
        <f>IF(ISNA(VLOOKUP(A8,'Données projet'!$A$243:$I$263,5,0)),0%,VLOOKUP(A8,'Données projet'!$A$243:$I$263,5,0)*VLOOKUP('Données projet'!$B$17,'Paramètres'!$A$1:$I$88,7,0))</f>
        <v>0</v>
      </c>
      <c r="GJ8" s="155">
        <f>IF(ISNA(VLOOKUP(A8,'Données projet'!$A$243:$I$263,6,0)),0%,VLOOKUP(A8,'Données projet'!$A$243:$I$263,6,0)*VLOOKUP('Données projet'!$B$17,'Paramètres'!$A$1:$I$88,7,0))</f>
        <v>0</v>
      </c>
      <c r="GK8" s="155">
        <f>IF(ISNA(VLOOKUP(A8,'Données projet'!$A$243:$I$263,7,0)),0%,VLOOKUP(A8,'Données projet'!$A$243:$I$263,7,0))</f>
        <v>0</v>
      </c>
      <c r="GL8" s="162" t="str">
        <f>EXP(-LN(2)/35)*GL7+(1-EXP(-LN(2)/35))/(LN(2)/35)*GH8*GI8*VLOOKUP('Données projet'!$B$17,'Paramètres'!$A$1:$I$88,3,0)*0.475*44/12</f>
        <v>#N/A</v>
      </c>
      <c r="GM8" s="162" t="str">
        <f>EXP(-LN(2)/25)*GM7+(1-EXP(-LN(2)/25))/(LN(2)/25)*Calculateur!GH8*Calculateur!GJ8*VLOOKUP('Données projet'!$B$17,'Paramètres'!$A$1:$I$88,3,0)*0.475*44/12</f>
        <v>#N/A</v>
      </c>
      <c r="GN8" s="162" t="str">
        <f>EXP(-LN(2)/2)*GN7+(1-EXP(-LN(2)/2))/(LN(2)/2)*GH8*GK8*VLOOKUP('Données projet'!$B$17,'Paramètres'!$A$1:$I$88,3,0)*0.475*44/12</f>
        <v>#N/A</v>
      </c>
      <c r="GO8" s="162" t="str">
        <f t="shared" si="28"/>
        <v>#N/A</v>
      </c>
      <c r="GP8" s="159">
        <f>('Scénario référence'!$F$8+'Scénario référence'!$F$9+'Scénario référence'!$B$17+'Scénario référence'!$B$9+'Scénario référence'!$B$10)*70+IF((45+25*(1-EXP(-0.0175*A8)))&lt;70,'Scénario référence'!$B$16*(45+25*(1-EXP(-0.0175*A8))),70*'Scénario référence'!$B$16)+IF((32+38*(1-EXP(-0.0175*A8)))&lt;70,'Scénario référence'!$B$18*(32+38*(1-EXP(-0.0175*A8))),70*'Scénario référence'!$B$18)</f>
        <v>70</v>
      </c>
      <c r="GQ8" s="151">
        <f>IF(A8&gt;30,10,('Scénario référence'!$B$16+'Scénario référence'!$B$17+'Scénario référence'!$B$18+'Scénario référence'!$B$9+'Scénario référence'!$B$10)*A8*10/30+('Scénario référence'!$F$8+'Scénario référence'!$F$9)*10)</f>
        <v>1.666666667</v>
      </c>
      <c r="GR8" s="151" t="str">
        <f>VLOOKUP(A8,'Données projet'!$A$269:$I$289,2,0)</f>
        <v>#N/A</v>
      </c>
      <c r="GS8" s="151" t="str">
        <f>VLOOKUP(A8,'Données projet'!$A$269:$I$289,9,0)</f>
        <v>#N/A</v>
      </c>
      <c r="GT8" s="151" t="str">
        <f t="array" ref="GT8">INDEX(GS:GS,MIN(IF(ISNUMBER(GS8:GS204),ROW(GS8:GS204),"")))</f>
        <v/>
      </c>
      <c r="GU8" s="151">
        <f>IF('Données projet'!$A$270&gt;35,GU7+GT8-HC7,IF(A8&lt;'Données projet'!$A$270,$GR$205^A8,IF(A8='Données projet'!$A$270,'Données projet'!$B$270,GU7+GT8-HC7)))</f>
        <v>0</v>
      </c>
      <c r="GV8" s="158" t="str">
        <f>GU8*VLOOKUP('Données projet'!$B$18,'Paramètres'!$A$1:$I$88,3,0)*VLOOKUP('Données projet'!$B$18,'Paramètres'!$A$1:$I$88,5,0)</f>
        <v>#N/A</v>
      </c>
      <c r="GW8" s="150" t="str">
        <f t="shared" si="52"/>
        <v>#N/A</v>
      </c>
      <c r="GX8" s="161" t="str">
        <f t="shared" si="29"/>
        <v>#N/A</v>
      </c>
      <c r="GY8" s="153" t="str">
        <f t="shared" si="30"/>
        <v>#N/A</v>
      </c>
      <c r="GZ8" s="153" t="str">
        <f>AVERAGE(OFFSET($GY$3,0,0,'Données projet'!$E$18+1,1))-AVERAGE(OFFSET($H$3,0,0,'Données projet'!$E$18+1,1))</f>
        <v>#N/A</v>
      </c>
      <c r="HA8" s="153" t="str">
        <f t="shared" si="53"/>
        <v>#N/A</v>
      </c>
      <c r="HB8" s="154">
        <f>IF(ISNA(VLOOKUP(A8,'Données projet'!$A$269:$I$289,3,0)),0,VLOOKUP(A8,'Données projet'!$A$269:$I$289,3,0))</f>
        <v>0</v>
      </c>
      <c r="HC8" s="154">
        <f>IF(ISNA(VLOOKUP(A8,'Données projet'!$A$269:$I$289,4,0)),0,VLOOKUP(A8,'Données projet'!$A$269:$I$289,4,0))</f>
        <v>0</v>
      </c>
      <c r="HD8" s="155">
        <f>IF(ISNA(VLOOKUP(A8,'Données projet'!$A$269:$I$289,5,0)),0%,VLOOKUP(A8,'Données projet'!$A$269:$I$289,5,0)*VLOOKUP('Données projet'!$B$18,'Paramètres'!$A$1:$I$88,7,0))</f>
        <v>0</v>
      </c>
      <c r="HE8" s="155">
        <f>IF(ISNA(VLOOKUP(A8,'Données projet'!$A$269:$I$289,6,0)),0%,VLOOKUP(A8,'Données projet'!$A$269:$I$289,6,0)*VLOOKUP('Données projet'!$B$18,'Paramètres'!$A$1:$I$88,7,0))</f>
        <v>0</v>
      </c>
      <c r="HF8" s="155">
        <f>IF(ISNA(VLOOKUP(A8,'Données projet'!$A$269:$I$289,7,0)),0%,VLOOKUP(A8,'Données projet'!$A$269:$I$289,7,0))</f>
        <v>0</v>
      </c>
      <c r="HG8" s="162" t="str">
        <f>EXP(-LN(2)/35)*HG7+(1-EXP(-LN(2)/35))/(LN(2)/35)*HC8*HD8*VLOOKUP('Données projet'!$B$18,'Paramètres'!$A$1:$I$88,3,0)*0.475*44/12</f>
        <v>#N/A</v>
      </c>
      <c r="HH8" s="162" t="str">
        <f>EXP(-LN(2)/25)*HH7+(1-EXP(-LN(2)/25))/(LN(2)/25)*Calculateur!HC8*Calculateur!HE8*VLOOKUP('Données projet'!$B$18,'Paramètres'!$A$1:$I$88,3,0)*0.475*44/12</f>
        <v>#N/A</v>
      </c>
      <c r="HI8" s="162" t="str">
        <f>EXP(-LN(2)/2)*HI7+(1-EXP(-LN(2)/2))/(LN(2)/2)*HC8*HF8*VLOOKUP('Données projet'!$B$18,'Paramètres'!$A$1:$I$88,3,0)*0.475*44/12</f>
        <v>#N/A</v>
      </c>
      <c r="HJ8" s="163" t="str">
        <f t="shared" si="31"/>
        <v>#N/A</v>
      </c>
    </row>
    <row r="9">
      <c r="A9" s="145">
        <f t="shared" si="32"/>
        <v>6</v>
      </c>
      <c r="B9" s="146">
        <f>'Scénario référence'!$B$16*5+'Scénario référence'!$B$17*0+'Scénario référence'!$B$18*5</f>
        <v>0</v>
      </c>
      <c r="C9" s="160">
        <f>Calculateur!C8+'Scénario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9" s="147">
        <f t="shared" si="33"/>
        <v>0</v>
      </c>
      <c r="E9" s="147">
        <f>'Scénario référence'!$B$16*45+('Scénario référence'!$B$17+'Scénario référence'!$F$8+'Scénario référence'!$F$9+'Scénario référence'!$B$10+'Scénario référence'!$B$9)*70+'Scénario référence'!$B$18*32</f>
        <v>70</v>
      </c>
      <c r="F9" s="147">
        <f>IF(OR('Scénario référence'!$F$8&gt;0,'Scénario référence'!$F$9&gt;0),('Scénario référence'!$F$8+'Scénario référence'!$F$9)*10,0)</f>
        <v>0</v>
      </c>
      <c r="G9" s="147">
        <f>'Scénario référence'!$B$8*B9*44/12+'Scénario référence'!$B$9*(C9+D9)/0.475*44/12+'Scénario référence'!$B$10*(C9+D9)/0.475*44/12+'Scénario référence'!$F$8*(C9+D9)/0.475*44/12+'Scénario référence'!$F$9*(C9+D9)/0.475*44/12</f>
        <v>0</v>
      </c>
      <c r="H9" s="148">
        <f t="shared" si="1"/>
        <v>256.6666667</v>
      </c>
      <c r="I9" s="149">
        <f>('Scénario référence'!$F$8+'Scénario référence'!$F$9+'Scénario référence'!$B$17+'Scénario référence'!$B$9+'Scénario référence'!$B$10)*70+IF((45+25*(1-EXP(-0.0175*A9)))&lt;70,'Scénario référence'!$B$16*(45+25*(1-EXP(-0.0175*A9))),70*'Scénario référence'!$B$16)+IF((32+38*(1-EXP(-0.0175*A9)))&lt;70,'Scénario référence'!$B$18*(32+38*(1-EXP(-0.0175*A9))),70*'Scénario référence'!$B$18)</f>
        <v>70</v>
      </c>
      <c r="J9" s="150">
        <f>IF(A9&gt;30,10,('Scénario référence'!$B$16+'Scénario référence'!$B$17+'Scénario référence'!$B$18+'Scénario référence'!$B$9+'Scénario référence'!$B$10)*A9*10/30+('Scénario référence'!$F$8+'Scénario référence'!$F$9)*10)</f>
        <v>2</v>
      </c>
      <c r="K9" s="151" t="str">
        <f>VLOOKUP(A9,'Données projet'!$A$35:$I$55,2,0)</f>
        <v>#N/A</v>
      </c>
      <c r="L9" s="151" t="str">
        <f>VLOOKUP(A9,'Données projet'!$A$35:$I$55,9,0)</f>
        <v>#N/A</v>
      </c>
      <c r="M9" s="150">
        <f t="array" ref="M9">INDEX(L:L,MIN(IF(ISNUMBER(L9:L205),ROW(L9:L205),"")))</f>
        <v>3.65</v>
      </c>
      <c r="N9" s="150">
        <f>IF('Données projet'!$A$36&gt;35,N8+M9-V8,IF(A9&lt;'Données projet'!$A$36,$K$205^A9,IF(A9='Données projet'!$A$36,'Données projet'!$B$36,N8+M9-V8)))</f>
        <v>3.622403777</v>
      </c>
      <c r="O9" s="150">
        <f>N9*VLOOKUP('Données projet'!$B$9,'Paramètres'!$A$1:$I$88,3,0)*VLOOKUP('Données projet'!$B$9,'Paramètres'!$A$1:$I$88,5,0)</f>
        <v>3.277550938</v>
      </c>
      <c r="P9" s="150">
        <f t="shared" si="34"/>
        <v>1.31550214</v>
      </c>
      <c r="Q9" s="161">
        <f t="shared" si="2"/>
        <v>7.999567443</v>
      </c>
      <c r="R9" s="153">
        <f t="shared" si="3"/>
        <v>271.9995674</v>
      </c>
      <c r="S9" s="153">
        <f>AVERAGE(OFFSET($R$3,0,0,'Données projet'!$E$9+1,1))-AVERAGE(OFFSET($H$3,0,0,'Données projet'!$E$9+1,1))</f>
        <v>439.1985427</v>
      </c>
      <c r="T9" s="153">
        <f t="shared" si="35"/>
        <v>278.2174123</v>
      </c>
      <c r="U9" s="154">
        <f>IF(ISNA(VLOOKUP(A9,'Données projet'!$A$35:$I$55,3,0)),0,VLOOKUP(A9,'Données projet'!$A$35:$I$55,3,0))</f>
        <v>0</v>
      </c>
      <c r="V9" s="154">
        <f>IF(ISNA(VLOOKUP(A9,'Données projet'!$A$35:$I$55,4,0)),0,VLOOKUP(A9,'Données projet'!$A$35:$I$55,4,0))</f>
        <v>0</v>
      </c>
      <c r="W9" s="155">
        <f>IF(ISNA(VLOOKUP(A9,'Données projet'!$A$35:$I$55,5,0)),0%,VLOOKUP(A9,'Données projet'!$A$35:$I$55,5,0)*VLOOKUP('Données projet'!$B$9,'Paramètres'!$A$1:$I$88,7,0))</f>
        <v>0</v>
      </c>
      <c r="X9" s="155">
        <f>IF(ISNA(VLOOKUP(A9,'Données projet'!$A$35:$I$55,6,0)),0%,VLOOKUP(A9,'Données projet'!$A$35:$I$55,6,0)*VLOOKUP('Données projet'!$B$9,'Paramètres'!$A$1:$I$88,7,0))</f>
        <v>0</v>
      </c>
      <c r="Y9" s="155">
        <f>IF(ISNA(VLOOKUP(A9,'Données projet'!$A$35:$I$55,7,0)),0%,VLOOKUP(A9,'Données projet'!$A$35:$I$55,7,0))</f>
        <v>0</v>
      </c>
      <c r="Z9" s="162">
        <f>EXP(-LN(2)/35)*Z8+(1-EXP(-LN(2)/35))/(LN(2)/35)*V9*W9*VLOOKUP('Données projet'!$B$9,'Paramètres'!$A$1:$I$88,3,0)*0.475*44/12</f>
        <v>0</v>
      </c>
      <c r="AA9" s="162">
        <f>EXP(-LN(2)/25)*AA8+(1-EXP(-LN(2)/25))/(LN(2)/25)*Calculateur!V9*Calculateur!X9*VLOOKUP('Données projet'!$B$9,'Paramètres'!$A$1:$I$88,3,0)*0.475*44/12</f>
        <v>0</v>
      </c>
      <c r="AB9" s="162">
        <f>EXP(-LN(2)/2)*AB8+(1-EXP(-LN(2)/2))/(LN(2)/2)*V9*Y9*VLOOKUP('Données projet'!$B$9,'Paramètres'!$A$1:$I$88,3,0)*0.475*44/12</f>
        <v>0</v>
      </c>
      <c r="AC9" s="163">
        <f t="shared" si="4"/>
        <v>0</v>
      </c>
      <c r="AD9" s="150">
        <f>('Scénario référence'!$F$8+'Scénario référence'!$F$9+'Scénario référence'!$B$17+'Scénario référence'!$B$9+'Scénario référence'!$B$10)*70+IF((45+25*(1-EXP(-0.0175*A9)))&lt;70,'Scénario référence'!$B$16*(45+25*(1-EXP(-0.0175*A9))),70*'Scénario référence'!$B$16)+IF((32+38*(1-EXP(-0.0175*A9)))&lt;70,'Scénario référence'!$B$18*(32+38*(1-EXP(-0.0175*A9))),70*'Scénario référence'!$B$18)</f>
        <v>70</v>
      </c>
      <c r="AE9" s="150">
        <f>IF(A9&gt;30,10,('Scénario référence'!$B$16+'Scénario référence'!$B$17+'Scénario référence'!$B$18+'Scénario référence'!$B$9+'Scénario référence'!$B$10)*A9*10/30+('Scénario référence'!$F$8+'Scénario référence'!$F$9)*10)</f>
        <v>2</v>
      </c>
      <c r="AF9" s="151" t="str">
        <f>VLOOKUP(A9,'Données projet'!$A$61:$I$81,2,0)</f>
        <v>#N/A</v>
      </c>
      <c r="AG9" s="151" t="str">
        <f>VLOOKUP(A9,'Données projet'!$A$61:$I$81,9,0)</f>
        <v>#N/A</v>
      </c>
      <c r="AH9" s="150">
        <f t="array" ref="AH9">INDEX(AG:AG,MIN(IF(ISNUMBER(AG9:AG205),ROW(AG9:AG205),"")))</f>
        <v>1.9</v>
      </c>
      <c r="AI9" s="150">
        <f>IF('Données projet'!$A$62&gt;35,AI8+AH9-AQ8,IF(A9&lt;'Données projet'!$A$62,$AF$205^A9,IF(A9='Données projet'!$A$62,'Données projet'!$B$62,AI8+AH9-AQ8)))</f>
        <v>5.851297242</v>
      </c>
      <c r="AJ9" s="150">
        <f>AI9*VLOOKUP('Données projet'!$B$10,'Paramètres'!$A$1:$I$88,3,0)*VLOOKUP('Données projet'!$B$10,'Paramètres'!$A$1:$I$88,5,0)</f>
        <v>4.655292086</v>
      </c>
      <c r="AK9" s="150">
        <f t="shared" si="36"/>
        <v>1.793700696</v>
      </c>
      <c r="AL9" s="161">
        <f t="shared" si="5"/>
        <v>11.23199576</v>
      </c>
      <c r="AM9" s="153">
        <f t="shared" si="6"/>
        <v>275.2319958</v>
      </c>
      <c r="AN9" s="153">
        <f>AVERAGE(OFFSET($AM$3,0,0,'Données projet'!$E$10+1,1))-AVERAGE(OFFSET($H$3,0,0,'Données projet'!$E$10+1,1))</f>
        <v>405.6113614</v>
      </c>
      <c r="AO9" s="153">
        <f t="shared" si="37"/>
        <v>393.0787141</v>
      </c>
      <c r="AP9" s="154">
        <f>IF(ISNA(VLOOKUP(A9,'Données projet'!$A$61:$I$81,3,0)),0,VLOOKUP(A9,'Données projet'!$A$61:$I$81,3,0))</f>
        <v>0</v>
      </c>
      <c r="AQ9" s="154">
        <f>IF(ISNA(VLOOKUP(A9,'Données projet'!$A$61:$I$81,4,0)),0,VLOOKUP(A9,'Données projet'!$A$61:$I$81,4,0))</f>
        <v>0</v>
      </c>
      <c r="AR9" s="155">
        <f>IF(ISNA(VLOOKUP(A9,'Données projet'!$A$61:$I$81,5,0)),0%,VLOOKUP(A9,'Données projet'!$A$61:$I$81,5,0)*VLOOKUP('Données projet'!$B$10,'Paramètres'!$A$1:$I$88,7,0))</f>
        <v>0</v>
      </c>
      <c r="AS9" s="155">
        <f>IF(ISNA(VLOOKUP(A9,'Données projet'!$A$61:$I$81,6,0)),0%,VLOOKUP(A9,'Données projet'!$A$61:$I$81,6,0)*VLOOKUP('Données projet'!$B$10,'Paramètres'!$A$1:$I$88,7,0))</f>
        <v>0</v>
      </c>
      <c r="AT9" s="155">
        <f>IF(ISNA(VLOOKUP(A9,'Données projet'!$A$61:$I$81,7,0)),0%,VLOOKUP(A9,'Données projet'!$A$61:$I$81,7,0))</f>
        <v>0</v>
      </c>
      <c r="AU9" s="162">
        <f>EXP(-LN(2)/35)*AU8+(1-EXP(-LN(2)/35))/(LN(2)/35)*AQ9*AR9*VLOOKUP('Données projet'!$B$10,'Paramètres'!$A$1:$I$88,3,0)*0.475*44/12</f>
        <v>0</v>
      </c>
      <c r="AV9" s="162">
        <f>EXP(-LN(2)/25)*AV8+(1-EXP(-LN(2)/25))/(LN(2)/25)*Calculateur!AQ9*Calculateur!AS9*VLOOKUP('Données projet'!$B$10,'Paramètres'!$A$1:$I$88,3,0)*0.475*44/12</f>
        <v>0</v>
      </c>
      <c r="AW9" s="162">
        <f>EXP(-LN(2)/2)*AW8+(1-EXP(-LN(2)/2))/(LN(2)/2)*AQ9*AT9*VLOOKUP('Données projet'!$B$10,'Paramètres'!$A$1:$I$88,3,0)*0.475*44/12</f>
        <v>0</v>
      </c>
      <c r="AX9" s="162">
        <f t="shared" si="7"/>
        <v>0</v>
      </c>
      <c r="AY9" s="157">
        <f>('Scénario référence'!$F$8+'Scénario référence'!$F$9+'Scénario référence'!$B$17+'Scénario référence'!$B$9+'Scénario référence'!$B$10)*70+IF((45+25*(1-EXP(-0.0175*A9)))&lt;70,'Scénario référence'!$B$16*(45+25*(1-EXP(-0.0175*A9))),70*'Scénario référence'!$B$16)+IF((32+38*(1-EXP(-0.0175*A9)))&lt;70,'Scénario référence'!$B$18*(32+38*(1-EXP(-0.0175*A9))),70*'Scénario référence'!$B$18)</f>
        <v>70</v>
      </c>
      <c r="AZ9" s="151">
        <f>IF(A9&gt;30,10,('Scénario référence'!$B$16+'Scénario référence'!$B$17+'Scénario référence'!$B$18+'Scénario référence'!$B$9+'Scénario référence'!$B$10)*A9*10/30+('Scénario référence'!$F$8+'Scénario référence'!$F$9)*10)</f>
        <v>2</v>
      </c>
      <c r="BA9" s="151" t="str">
        <f>VLOOKUP(A9,'Données projet'!$A$87:$I$107,2,0)</f>
        <v>#N/A</v>
      </c>
      <c r="BB9" s="151" t="str">
        <f>VLOOKUP(A9,'Données projet'!$A$87:$I$107,9,0)</f>
        <v>#N/A</v>
      </c>
      <c r="BC9" s="150" t="str">
        <f t="array" ref="BC9">INDEX(BB:BB,MIN(IF(ISNUMBER(BB9:BB205),ROW(BB9:BB205),"")))</f>
        <v/>
      </c>
      <c r="BD9" s="150">
        <f>IF('Données projet'!$A$88&gt;35,BD8+BC9-BL8,IF(A9&lt;'Données projet'!$A$88,$BA$205^A9,IF(A9='Données projet'!$A$88,'Données projet'!$B$88,BD8+BC9-BL8)))</f>
        <v>0</v>
      </c>
      <c r="BE9" s="150">
        <f>BD9*VLOOKUP('Données projet'!$B$11,'Paramètres'!$A$1:$I$88,3,0)*VLOOKUP('Données projet'!$B$11,'Paramètres'!$A$1:$I$88,5,0)</f>
        <v>0</v>
      </c>
      <c r="BF9" s="150" t="str">
        <f t="shared" si="38"/>
        <v>#NUM!</v>
      </c>
      <c r="BG9" s="161" t="str">
        <f t="shared" si="8"/>
        <v>#NUM!</v>
      </c>
      <c r="BH9" s="153" t="str">
        <f t="shared" si="9"/>
        <v>#NUM!</v>
      </c>
      <c r="BI9" s="153">
        <f>AVERAGE(OFFSET($BH$3,0,0,'Données projet'!$E$11+1,1))-AVERAGE(OFFSET($H$3,0,0,'Données projet'!$E$11+1,1))</f>
        <v>0</v>
      </c>
      <c r="BJ9" s="153">
        <f t="shared" si="39"/>
        <v>0</v>
      </c>
      <c r="BK9" s="154">
        <f>IF(ISNA(VLOOKUP(A9,'Données projet'!$A$87:$I$107,3,0)),0,VLOOKUP(A9,'Données projet'!$A$87:$I$107,3,0))</f>
        <v>0</v>
      </c>
      <c r="BL9" s="154">
        <f>IF(ISNA(VLOOKUP(A9,'Données projet'!$A$87:$I$107,4,0)),0,VLOOKUP(A9,'Données projet'!$A$87:$I$107,4,0))</f>
        <v>0</v>
      </c>
      <c r="BM9" s="155">
        <f>IF(ISNA(VLOOKUP(A9,'Données projet'!$A$87:$I$107,5,0)),0%,VLOOKUP(A9,'Données projet'!$A$87:$I$107,5,0)*VLOOKUP('Données projet'!$B$11,'Paramètres'!$A$1:$I$88,7,0))</f>
        <v>0</v>
      </c>
      <c r="BN9" s="155">
        <f>IF(ISNA(VLOOKUP(A9,'Données projet'!$A$87:$I$107,6,0)),0%,VLOOKUP(A9,'Données projet'!$A$87:$I$107,6,0)*VLOOKUP('Données projet'!$B$11,'Paramètres'!$A$1:$I$88,7,0))</f>
        <v>0</v>
      </c>
      <c r="BO9" s="155">
        <f>IF(ISNA(VLOOKUP(A9,'Données projet'!$A$87:$I$107,7,0)),0%,VLOOKUP(A9,'Données projet'!$A$87:$I$107,7,0))</f>
        <v>0</v>
      </c>
      <c r="BP9" s="162">
        <f>EXP(-LN(2)/35)*BP8+(1-EXP(-LN(2)/35))/(LN(2)/35)*BL9*BM9*VLOOKUP('Données projet'!$B$11,'Paramètres'!$A$1:$I$88,3,0)*0.475*44/12</f>
        <v>0</v>
      </c>
      <c r="BQ9" s="162">
        <f>EXP(-LN(2)/25)*BQ8+(1-EXP(-LN(2)/25))/(LN(2)/25)*Calculateur!BL9*Calculateur!BN9*VLOOKUP('Données projet'!$B$11,'Paramètres'!$A$1:$I$88,3,0)*0.475*44/12</f>
        <v>0</v>
      </c>
      <c r="BR9" s="162">
        <f>EXP(-LN(2)/2)*BR8+(1-EXP(-LN(2)/2))/(LN(2)/2)*BL9*BO9*VLOOKUP('Données projet'!$B$11,'Paramètres'!$A$1:$I$88,3,0)*0.475*44/12</f>
        <v>0</v>
      </c>
      <c r="BS9" s="163">
        <f t="shared" si="10"/>
        <v>0</v>
      </c>
      <c r="BT9" s="159">
        <f>('Scénario référence'!$F$8+'Scénario référence'!$F$9+'Scénario référence'!$B$17+'Scénario référence'!$B$9+'Scénario référence'!$B$10)*70+IF((45+25*(1-EXP(-0.0175*A9)))&lt;70,'Scénario référence'!$B$16*(45+25*(1-EXP(-0.0175*A9))),70*'Scénario référence'!$B$16)+IF((32+38*(1-EXP(-0.0175*A9)))&lt;70,'Scénario référence'!$B$18*(32+38*(1-EXP(-0.0175*A9))),70*'Scénario référence'!$B$18)</f>
        <v>70</v>
      </c>
      <c r="BU9" s="151">
        <f>IF(A9&gt;30,10,('Scénario référence'!$B$16+'Scénario référence'!$B$17+'Scénario référence'!$B$18+'Scénario référence'!$B$9+'Scénario référence'!$B$10)*A9*10/30+('Scénario référence'!$F$8+'Scénario référence'!$F$9)*10)</f>
        <v>2</v>
      </c>
      <c r="BV9" s="151" t="str">
        <f>VLOOKUP(A9,'Données projet'!$A$113:$I$133,2,0)</f>
        <v>#N/A</v>
      </c>
      <c r="BW9" s="151" t="str">
        <f>VLOOKUP(A9,'Données projet'!$A$113:$I$133,9,0)</f>
        <v>#N/A</v>
      </c>
      <c r="BX9" s="150" t="str">
        <f t="array" ref="BX9">INDEX(BW:BW,MIN(IF(ISNUMBER(BW9:BW205),ROW(BW9:BW205),"")))</f>
        <v/>
      </c>
      <c r="BY9" s="150">
        <f>IF('Données projet'!$A$114&gt;35,BY8+BX9-CG8,IF(A9&lt;'Données projet'!$A$114,$BV$205^A9,IF(A9='Données projet'!$A$114,'Données projet'!$B$114,BY8+BX9-CG8)))</f>
        <v>0</v>
      </c>
      <c r="BZ9" s="150" t="str">
        <f>BY9*VLOOKUP('Données projet'!$B$12,'Paramètres'!$A$1:$I$88,3,0)*VLOOKUP('Données projet'!$B$12,'Paramètres'!$A$1:$I$88,5,0)</f>
        <v>#N/A</v>
      </c>
      <c r="CA9" s="150" t="str">
        <f t="shared" si="40"/>
        <v>#N/A</v>
      </c>
      <c r="CB9" s="161" t="str">
        <f t="shared" si="11"/>
        <v>#N/A</v>
      </c>
      <c r="CC9" s="153" t="str">
        <f t="shared" si="12"/>
        <v>#N/A</v>
      </c>
      <c r="CD9" s="153" t="str">
        <f>AVERAGE(OFFSET($CC$3,0,0,'Données projet'!$E$12+1,1))-AVERAGE(OFFSET($H$3,0,0,'Données projet'!$E$12+1,1))</f>
        <v>#N/A</v>
      </c>
      <c r="CE9" s="153" t="str">
        <f t="shared" si="41"/>
        <v>#N/A</v>
      </c>
      <c r="CF9" s="154">
        <f>IF(ISNA(VLOOKUP(A9,'Données projet'!$A$113:$I$133,3,0)),0,VLOOKUP(A9,'Données projet'!$A$113:$I$133,3,0))</f>
        <v>0</v>
      </c>
      <c r="CG9" s="154">
        <f>IF(ISNA(VLOOKUP(A9,'Données projet'!$A$113:$I$133,4,0)),0,VLOOKUP(A9,'Données projet'!$A$113:$I$133,4,0))</f>
        <v>0</v>
      </c>
      <c r="CH9" s="155">
        <f>IF(ISNA(VLOOKUP(A9,'Données projet'!$A$113:$I$133,5,0)),0%,VLOOKUP(A9,'Données projet'!$A$113:$I$133,5,0)*VLOOKUP('Données projet'!$B$12,'Paramètres'!$A$1:$I$88,7,0))</f>
        <v>0</v>
      </c>
      <c r="CI9" s="155">
        <f>IF(ISNA(VLOOKUP(A9,'Données projet'!$A$113:$I$133,6,0)),0%,VLOOKUP(A9,'Données projet'!$A$113:$I$133,6,0)*VLOOKUP('Données projet'!$B$12,'Paramètres'!$A$1:$I$88,7,0))</f>
        <v>0</v>
      </c>
      <c r="CJ9" s="155">
        <f>IF(ISNA(VLOOKUP(A9,'Données projet'!$A$113:$I$133,7,0)),0%,VLOOKUP(A9,'Données projet'!$A$113:$I$133,7,0))</f>
        <v>0</v>
      </c>
      <c r="CK9" s="162" t="str">
        <f>EXP(-LN(2)/35)*CK8+(1-EXP(-LN(2)/35))/(LN(2)/35)*CG9*CH9*VLOOKUP('Données projet'!$B$12,'Paramètres'!$A$1:$I$88,3,0)*0.475*44/12</f>
        <v>#N/A</v>
      </c>
      <c r="CL9" s="162" t="str">
        <f>EXP(-LN(2)/25)*CL8+(1-EXP(-LN(2)/25))/(LN(2)/25)*Calculateur!CG9*Calculateur!CI9*VLOOKUP('Données projet'!$B$12,'Paramètres'!$A$1:$I$88,3,0)*0.475*44/12</f>
        <v>#N/A</v>
      </c>
      <c r="CM9" s="162" t="str">
        <f>EXP(-LN(2)/2)*CM8+(1-EXP(-LN(2)/2))/(LN(2)/2)*CG9*CJ9*VLOOKUP('Données projet'!$B$12,'Paramètres'!$A$1:$I$88,3,0)*0.475*44/12</f>
        <v>#N/A</v>
      </c>
      <c r="CN9" s="163" t="str">
        <f t="shared" si="13"/>
        <v>#N/A</v>
      </c>
      <c r="CO9" s="159">
        <f>('Scénario référence'!$F$8+'Scénario référence'!$F$9+'Scénario référence'!$B$17+'Scénario référence'!$B$9+'Scénario référence'!$B$10)*70+IF((45+25*(1-EXP(-0.0175*A9)))&lt;70,'Scénario référence'!$B$16*(45+25*(1-EXP(-0.0175*A9))),70*'Scénario référence'!$B$16)+IF((32+38*(1-EXP(-0.0175*A9)))&lt;70,'Scénario référence'!$B$18*(32+38*(1-EXP(-0.0175*A9))),70*'Scénario référence'!$B$18)</f>
        <v>70</v>
      </c>
      <c r="CP9" s="151">
        <f>IF(A9&gt;30,10,('Scénario référence'!$B$16+'Scénario référence'!$B$17+'Scénario référence'!$B$18+'Scénario référence'!$B$9+'Scénario référence'!$B$10)*A9*10/30+('Scénario référence'!$F$8+'Scénario référence'!$F$9)*10)</f>
        <v>2</v>
      </c>
      <c r="CQ9" s="151" t="str">
        <f>VLOOKUP(A9,'Données projet'!$A$139:$I$159,2,0)</f>
        <v>#N/A</v>
      </c>
      <c r="CR9" s="151" t="str">
        <f>VLOOKUP(A9,'Données projet'!$A$139:$I$159,9,0)</f>
        <v>#N/A</v>
      </c>
      <c r="CS9" s="151" t="str">
        <f t="array" ref="CS9">INDEX(CR:CR,MIN(IF(ISNUMBER(CR9:CR205),ROW(CR9:CR205),"")))</f>
        <v/>
      </c>
      <c r="CT9" s="151">
        <f>IF('Données projet'!$A$140&gt;35,CT8+CS9-DB8,IF(A9&lt;'Données projet'!$A$140,$CQ$205^A9,IF(A9='Données projet'!$A$140,'Données projet'!$B$140,CT8+CS9-DB8)))</f>
        <v>0</v>
      </c>
      <c r="CU9" s="158" t="str">
        <f>CT9*VLOOKUP('Données projet'!$B$13,'Paramètres'!$A$1:$I$88,3,0)*VLOOKUP('Données projet'!$B$13,'Paramètres'!$A$1:$I$88,5,0)</f>
        <v>#N/A</v>
      </c>
      <c r="CV9" s="150" t="str">
        <f t="shared" si="42"/>
        <v>#N/A</v>
      </c>
      <c r="CW9" s="161" t="str">
        <f t="shared" si="14"/>
        <v>#N/A</v>
      </c>
      <c r="CX9" s="153" t="str">
        <f t="shared" si="15"/>
        <v>#N/A</v>
      </c>
      <c r="CY9" s="153" t="str">
        <f>AVERAGE(OFFSET($CX$3,0,0,'Données projet'!$E$13+1,1))-AVERAGE(OFFSET($H$3,0,0,'Données projet'!$E$13+1,1))</f>
        <v>#N/A</v>
      </c>
      <c r="CZ9" s="153" t="str">
        <f t="shared" si="43"/>
        <v>#N/A</v>
      </c>
      <c r="DA9" s="154">
        <f>IF(ISNA(VLOOKUP(A9,'Données projet'!$A$139:$I$159,3,0)),0,VLOOKUP(A9,'Données projet'!$A$139:$I$159,3,0))</f>
        <v>0</v>
      </c>
      <c r="DB9" s="154">
        <f>IF(ISNA(VLOOKUP(A9,'Données projet'!$A$139:$I$159,4,0)),0,VLOOKUP(A9,'Données projet'!$A$139:$I$159,4,0))</f>
        <v>0</v>
      </c>
      <c r="DC9" s="155">
        <f>IF(ISNA(VLOOKUP(A9,'Données projet'!$A$139:$I$159,5,0)),0%,VLOOKUP(A9,'Données projet'!$A$139:$I$159,5,0)*VLOOKUP('Données projet'!$B$13,'Paramètres'!$A$1:$I$88,7,0))</f>
        <v>0</v>
      </c>
      <c r="DD9" s="155">
        <f>IF(ISNA(VLOOKUP(A9,'Données projet'!$A$139:$I$159,6,0)),0%,VLOOKUP(A9,'Données projet'!$A$139:$I$159,6,0)*VLOOKUP('Données projet'!$B$13,'Paramètres'!$A$1:$I$88,7,0))</f>
        <v>0</v>
      </c>
      <c r="DE9" s="155">
        <f>IF(ISNA(VLOOKUP(A9,'Données projet'!$A$139:$I$159,7,0)),0%,VLOOKUP(A9,'Données projet'!$A$139:$I$159,7,0))</f>
        <v>0</v>
      </c>
      <c r="DF9" s="162" t="str">
        <f>EXP(-LN(2)/35)*DF8+(1-EXP(-LN(2)/35))/(LN(2)/35)*DB9*DC9*VLOOKUP('Données projet'!$B$13,'Paramètres'!$A$1:$I$88,3,0)*0.475*44/12</f>
        <v>#N/A</v>
      </c>
      <c r="DG9" s="162" t="str">
        <f>EXP(-LN(2)/25)*DG8+(1-EXP(-LN(2)/25))/(LN(2)/25)*Calculateur!DB9*Calculateur!DD9*VLOOKUP('Données projet'!$B$13,'Paramètres'!$A$1:$I$88,3,0)*0.475*44/12</f>
        <v>#N/A</v>
      </c>
      <c r="DH9" s="162" t="str">
        <f>EXP(-LN(2)/2)*DH8+(1-EXP(-LN(2)/2))/(LN(2)/2)*DB9*DE9*VLOOKUP('Données projet'!$B$13,'Paramètres'!$A$1:$I$88,3,0)*0.475*44/12</f>
        <v>#N/A</v>
      </c>
      <c r="DI9" s="163" t="str">
        <f t="shared" si="16"/>
        <v>#N/A</v>
      </c>
      <c r="DJ9" s="159">
        <f>('Scénario référence'!$F$8+'Scénario référence'!$F$9+'Scénario référence'!$B$17+'Scénario référence'!$B$9+'Scénario référence'!$B$10)*70+IF((45+25*(1-EXP(-0.0175*A9)))&lt;70,'Scénario référence'!$B$16*(45+25*(1-EXP(-0.0175*A9))),70*'Scénario référence'!$B$16)+IF((32+38*(1-EXP(-0.0175*A9)))&lt;70,'Scénario référence'!$B$18*(32+38*(1-EXP(-0.0175*A9))),70*'Scénario référence'!$B$18)</f>
        <v>70</v>
      </c>
      <c r="DK9" s="151">
        <f>IF(A9&gt;30,10,('Scénario référence'!$B$16+'Scénario référence'!$B$17+'Scénario référence'!$B$18+'Scénario référence'!$B$9+'Scénario référence'!$B$10)*A9*10/30+('Scénario référence'!$F$8+'Scénario référence'!$F$9)*10)</f>
        <v>2</v>
      </c>
      <c r="DL9" s="151" t="str">
        <f>VLOOKUP(A9,'Données projet'!$A$165:$I$185,2,0)</f>
        <v>#N/A</v>
      </c>
      <c r="DM9" s="151" t="str">
        <f>VLOOKUP(A9,'Données projet'!$A$165:$I$185,9,0)</f>
        <v>#N/A</v>
      </c>
      <c r="DN9" s="151" t="str">
        <f t="array" ref="DN9">INDEX(DM:DM,MIN(IF(ISNUMBER(DM9:DM205),ROW(DM9:DM205),"")))</f>
        <v/>
      </c>
      <c r="DO9" s="151">
        <f>IF('Données projet'!$A$166&gt;35,DO8+DN9-DW8,IF(A9&lt;'Données projet'!$A$166,$DL$205^A9,IF(A9='Données projet'!$A$166,'Données projet'!$B$166,DO8+DN9-DW8)))</f>
        <v>0</v>
      </c>
      <c r="DP9" s="158" t="str">
        <f>DO9*VLOOKUP('Données projet'!$B$14,'Paramètres'!$A$1:$I$88,3,0)*VLOOKUP('Données projet'!$B$14,'Paramètres'!$A$1:$I$88,5,0)</f>
        <v>#N/A</v>
      </c>
      <c r="DQ9" s="150" t="str">
        <f t="shared" si="44"/>
        <v>#N/A</v>
      </c>
      <c r="DR9" s="161" t="str">
        <f t="shared" si="17"/>
        <v>#N/A</v>
      </c>
      <c r="DS9" s="153" t="str">
        <f t="shared" si="18"/>
        <v>#N/A</v>
      </c>
      <c r="DT9" s="153" t="str">
        <f>AVERAGE(OFFSET($DS$3,0,0,'Données projet'!$E$14+1,1))-AVERAGE(OFFSET($H$3,0,0,'Données projet'!$E$14+1,1))</f>
        <v>#N/A</v>
      </c>
      <c r="DU9" s="153" t="str">
        <f t="shared" si="45"/>
        <v>#N/A</v>
      </c>
      <c r="DV9" s="154">
        <f>IF(ISNA(VLOOKUP(A9,'Données projet'!$A$165:$I$185,3,0)),0,VLOOKUP(A9,'Données projet'!$A$165:$I$185,3,0))</f>
        <v>0</v>
      </c>
      <c r="DW9" s="154">
        <f>IF(ISNA(VLOOKUP(A9,'Données projet'!$A$165:$I$185,4,0)),0,VLOOKUP(A9,'Données projet'!$A$165:$I$185,4,0))</f>
        <v>0</v>
      </c>
      <c r="DX9" s="155">
        <f>IF(ISNA(VLOOKUP(A9,'Données projet'!$A$165:$I$185,5,0)),0%,VLOOKUP(A9,'Données projet'!$A$165:$I$185,5,0)*VLOOKUP('Données projet'!$B$14,'Paramètres'!$A$1:$I$88,7,0))</f>
        <v>0</v>
      </c>
      <c r="DY9" s="155">
        <f>IF(ISNA(VLOOKUP(A9,'Données projet'!$A$165:$I$185,6,0)),0%,VLOOKUP(A9,'Données projet'!$A$165:$I$185,6,0)*VLOOKUP('Données projet'!$B$14,'Paramètres'!$A$1:$I$88,7,0))</f>
        <v>0</v>
      </c>
      <c r="DZ9" s="155">
        <f>IF(ISNA(VLOOKUP(A9,'Données projet'!$A$165:$I$185,7,0)),0%,VLOOKUP(A9,'Données projet'!$A$165:$I$185,7,0))</f>
        <v>0</v>
      </c>
      <c r="EA9" s="162" t="str">
        <f>EXP(-LN(2)/35)*EA8+(1-EXP(-LN(2)/35))/(LN(2)/35)*DW9*DX9*VLOOKUP('Données projet'!$B$14,'Paramètres'!$A$1:$I$88,3,0)*0.475*44/12</f>
        <v>#N/A</v>
      </c>
      <c r="EB9" s="162" t="str">
        <f>EXP(-LN(2)/25)*EB8+(1-EXP(-LN(2)/25))/(LN(2)/25)*Calculateur!DW9*Calculateur!DY9*VLOOKUP('Données projet'!$B$14,'Paramètres'!$A$1:$I$88,3,0)*0.475*44/12</f>
        <v>#N/A</v>
      </c>
      <c r="EC9" s="162" t="str">
        <f>EXP(-LN(2)/2)*EC8+(1-EXP(-LN(2)/2))/(LN(2)/2)*DW9*DZ9*VLOOKUP('Données projet'!$B$14,'Paramètres'!$A$1:$I$88,3,0)*0.475*44/12</f>
        <v>#N/A</v>
      </c>
      <c r="ED9" s="163" t="str">
        <f t="shared" si="19"/>
        <v>#N/A</v>
      </c>
      <c r="EE9" s="159">
        <f>('Scénario référence'!$F$8+'Scénario référence'!$F$9+'Scénario référence'!$B$17+'Scénario référence'!$B$9+'Scénario référence'!$B$10)*70+IF((45+25*(1-EXP(-0.0175*A9)))&lt;70,'Scénario référence'!$B$16*(45+25*(1-EXP(-0.0175*A9))),70*'Scénario référence'!$B$16)+IF((32+38*(1-EXP(-0.0175*A9)))&lt;70,'Scénario référence'!$B$18*(32+38*(1-EXP(-0.0175*A9))),70*'Scénario référence'!$B$18)</f>
        <v>70</v>
      </c>
      <c r="EF9" s="151">
        <f>IF(A9&gt;30,10,('Scénario référence'!$B$16+'Scénario référence'!$B$17+'Scénario référence'!$B$18+'Scénario référence'!$B$9+'Scénario référence'!$B$10)*A9*10/30+('Scénario référence'!$F$8+'Scénario référence'!$F$9)*10)</f>
        <v>2</v>
      </c>
      <c r="EG9" s="151" t="str">
        <f>VLOOKUP(A9,'Données projet'!$A$191:$I$211,2,0)</f>
        <v>#N/A</v>
      </c>
      <c r="EH9" s="151" t="str">
        <f>VLOOKUP(A9,'Données projet'!$A$191:$I$211,9,0)</f>
        <v>#N/A</v>
      </c>
      <c r="EI9" s="151" t="str">
        <f t="array" ref="EI9">INDEX(EH:EH,MIN(IF(ISNUMBER(EH9:EH205),ROW(EH9:EH205),"")))</f>
        <v/>
      </c>
      <c r="EJ9" s="151">
        <f>IF('Données projet'!$A$192&gt;35,EJ8+EI9-ER8,IF(A9&lt;'Données projet'!$A$192,$EG$205^A9,IF(A9='Données projet'!$A$192,'Données projet'!$B$192,EJ8+EI9-ER8)))</f>
        <v>0</v>
      </c>
      <c r="EK9" s="158" t="str">
        <f>EJ9*VLOOKUP('Données projet'!$B$15,'Paramètres'!$A$1:$I$88,3,0)*VLOOKUP('Données projet'!$B$15,'Paramètres'!$A$1:$I$88,5,0)</f>
        <v>#N/A</v>
      </c>
      <c r="EL9" s="150" t="str">
        <f t="shared" si="46"/>
        <v>#N/A</v>
      </c>
      <c r="EM9" s="161" t="str">
        <f t="shared" si="20"/>
        <v>#N/A</v>
      </c>
      <c r="EN9" s="153" t="str">
        <f t="shared" si="21"/>
        <v>#N/A</v>
      </c>
      <c r="EO9" s="153" t="str">
        <f>AVERAGE(OFFSET($EN$3,0,0,'Données projet'!$E$15+1,1))-AVERAGE(OFFSET($H$3,0,0,'Données projet'!$E$15+1,1))</f>
        <v>#N/A</v>
      </c>
      <c r="EP9" s="153" t="str">
        <f t="shared" si="47"/>
        <v>#N/A</v>
      </c>
      <c r="EQ9" s="154">
        <f>IF(ISNA(VLOOKUP(A9,'Données projet'!$A$191:$I$211,3,0)),0,VLOOKUP(A9,'Données projet'!$A$191:$I$211,3,0))</f>
        <v>0</v>
      </c>
      <c r="ER9" s="154">
        <f>IF(ISNA(VLOOKUP(A9,'Données projet'!$A$191:$I$211,4,0)),0,VLOOKUP(A9,'Données projet'!$A$191:$I$211,4,0))</f>
        <v>0</v>
      </c>
      <c r="ES9" s="155">
        <f>IF(ISNA(VLOOKUP(A9,'Données projet'!$A$191:$I$211,5,0)),0%,VLOOKUP(A9,'Données projet'!$A$191:$I$211,5,0)*VLOOKUP('Données projet'!$B$15,'Paramètres'!$A$1:$I$88,7,0))</f>
        <v>0</v>
      </c>
      <c r="ET9" s="155">
        <f>IF(ISNA(VLOOKUP(A9,'Données projet'!$A$191:$I$211,6,0)),0%,VLOOKUP(A9,'Données projet'!$A$191:$I$211,6,0)*VLOOKUP('Données projet'!$B$15,'Paramètres'!$A$1:$I$88,7,0))</f>
        <v>0</v>
      </c>
      <c r="EU9" s="155">
        <f>IF(ISNA(VLOOKUP(A9,'Données projet'!$A$191:$I$211,7,0)),0%,VLOOKUP(A9,'Données projet'!$A$191:$I$211,7,0))</f>
        <v>0</v>
      </c>
      <c r="EV9" s="162" t="str">
        <f>EXP(-LN(2)/35)*EV8+(1-EXP(-LN(2)/35))/(LN(2)/35)*ER9*ES9*VLOOKUP('Données projet'!$B$15,'Paramètres'!$A$1:$I$88,3,0)*0.475*44/12</f>
        <v>#N/A</v>
      </c>
      <c r="EW9" s="162" t="str">
        <f>EXP(-LN(2)/25)*EW8+(1-EXP(-LN(2)/25))/(LN(2)/25)*Calculateur!ER9*Calculateur!ET9*VLOOKUP('Données projet'!$B$15,'Paramètres'!$A$1:$I$88,3,0)*0.475*44/12</f>
        <v>#N/A</v>
      </c>
      <c r="EX9" s="162" t="str">
        <f>EXP(-LN(2)/2)*EX8+(1-EXP(-LN(2)/2))/(LN(2)/2)*ER9*EU9*VLOOKUP('Données projet'!$B$15,'Paramètres'!$A$1:$I$88,3,0)*0.475*44/12</f>
        <v>#N/A</v>
      </c>
      <c r="EY9" s="163" t="str">
        <f t="shared" si="22"/>
        <v>#N/A</v>
      </c>
      <c r="EZ9" s="159">
        <f>('Scénario référence'!$F$8+'Scénario référence'!$F$9+'Scénario référence'!$B$17+'Scénario référence'!$B$9+'Scénario référence'!$B$10)*70+IF((45+25*(1-EXP(-0.0175*A9)))&lt;70,'Scénario référence'!$B$16*(45+25*(1-EXP(-0.0175*A9))),70*'Scénario référence'!$B$16)+IF((32+38*(1-EXP(-0.0175*A9)))&lt;70,'Scénario référence'!$B$18*(32+38*(1-EXP(-0.0175*A9))),70*'Scénario référence'!$B$18)</f>
        <v>70</v>
      </c>
      <c r="FA9" s="151">
        <f>IF(A9&gt;30,10,('Scénario référence'!$B$16+'Scénario référence'!$B$17+'Scénario référence'!$B$18+'Scénario référence'!$B$9+'Scénario référence'!$B$10)*A9*10/30+('Scénario référence'!$F$8+'Scénario référence'!$F$9)*10)</f>
        <v>2</v>
      </c>
      <c r="FB9" s="151" t="str">
        <f>VLOOKUP(A9,'Données projet'!$A$217:$I$237,2,0)</f>
        <v>#N/A</v>
      </c>
      <c r="FC9" s="151" t="str">
        <f>VLOOKUP(A9,'Données projet'!$A$217:$I$237,9,0)</f>
        <v>#N/A</v>
      </c>
      <c r="FD9" s="151" t="str">
        <f t="array" ref="FD9">INDEX(FC:FC,MIN(IF(ISNUMBER(FC9:FC205),ROW(FC9:FC205),"")))</f>
        <v/>
      </c>
      <c r="FE9" s="151">
        <f>IF('Données projet'!$A$218&gt;35,FE8+FD9-FM8,IF(A9&lt;'Données projet'!$A$218,$FB$205^A9,IF(A9='Données projet'!$A$218,'Données projet'!$B$218,FE8+FD9-FM8)))</f>
        <v>0</v>
      </c>
      <c r="FF9" s="158" t="str">
        <f>FE9*VLOOKUP('Données projet'!$B$16,'Paramètres'!$A$1:$I$88,3,0)*VLOOKUP('Données projet'!$B$16,'Paramètres'!$A$1:$I$88,5,0)</f>
        <v>#N/A</v>
      </c>
      <c r="FG9" s="150" t="str">
        <f t="shared" si="48"/>
        <v>#N/A</v>
      </c>
      <c r="FH9" s="161" t="str">
        <f t="shared" si="23"/>
        <v>#N/A</v>
      </c>
      <c r="FI9" s="153" t="str">
        <f t="shared" si="24"/>
        <v>#N/A</v>
      </c>
      <c r="FJ9" s="153" t="str">
        <f>AVERAGE(OFFSET($FI$3,0,0,'Données projet'!$E$16+1,1))-AVERAGE(OFFSET($H$3,0,0,'Données projet'!$E$16+1,1))</f>
        <v>#N/A</v>
      </c>
      <c r="FK9" s="153" t="str">
        <f t="shared" si="49"/>
        <v>#N/A</v>
      </c>
      <c r="FL9" s="154">
        <f>IF(ISNA(VLOOKUP(A9,'Données projet'!$A$217:$I$237,3,0)),0,VLOOKUP(A9,'Données projet'!$A$217:$I$237,3,0))</f>
        <v>0</v>
      </c>
      <c r="FM9" s="154">
        <f>IF(ISNA(VLOOKUP(A9,'Données projet'!$A$217:$I$237,4,0)),0,VLOOKUP(A9,'Données projet'!$A$217:$I$237,4,0))</f>
        <v>0</v>
      </c>
      <c r="FN9" s="155">
        <f>IF(ISNA(VLOOKUP(A9,'Données projet'!$A$217:$I$237,5,0)),0%,VLOOKUP(A9,'Données projet'!$A$217:$I$237,5,0)*VLOOKUP('Données projet'!$B$16,'Paramètres'!$A$1:$I$88,7,0))</f>
        <v>0</v>
      </c>
      <c r="FO9" s="155">
        <f>IF(ISNA(VLOOKUP(A9,'Données projet'!$A$217:$I$237,6,0)),0%,VLOOKUP(A9,'Données projet'!$A$217:$I$237,6,0)*VLOOKUP('Données projet'!$B$16,'Paramètres'!$A$1:$I$88,7,0))</f>
        <v>0</v>
      </c>
      <c r="FP9" s="155">
        <f>IF(ISNA(VLOOKUP(A9,'Données projet'!$A$217:$I$237,7,0)),0%,VLOOKUP(A9,'Données projet'!$A$217:$I$237,7,0))</f>
        <v>0</v>
      </c>
      <c r="FQ9" s="162" t="str">
        <f>EXP(-LN(2)/35)*FQ8+(1-EXP(-LN(2)/35))/(LN(2)/35)*FM9*FN9*VLOOKUP('Données projet'!$B$16,'Paramètres'!$A$1:$I$88,3,0)*0.475*44/12</f>
        <v>#N/A</v>
      </c>
      <c r="FR9" s="162" t="str">
        <f>EXP(-LN(2)/25)*FR8+(1-EXP(-LN(2)/25))/(LN(2)/25)*Calculateur!FM9*Calculateur!FO9*VLOOKUP('Données projet'!$B$16,'Paramètres'!$A$1:$I$88,3,0)*0.475*44/12</f>
        <v>#N/A</v>
      </c>
      <c r="FS9" s="162" t="str">
        <f>EXP(-LN(2)/2)*FS8+(1-EXP(-LN(2)/2))/(LN(2)/2)*FM9*FP9*VLOOKUP('Données projet'!$B$16,'Paramètres'!$A$1:$I$88,3,0)*0.475*44/12</f>
        <v>#N/A</v>
      </c>
      <c r="FT9" s="163" t="str">
        <f t="shared" si="25"/>
        <v>#N/A</v>
      </c>
      <c r="FU9" s="159">
        <f>('Scénario référence'!$F$8+'Scénario référence'!$F$9+'Scénario référence'!$B$17+'Scénario référence'!$B$9+'Scénario référence'!$B$10)*70+IF((45+25*(1-EXP(-0.0175*A9)))&lt;70,'Scénario référence'!$B$16*(45+25*(1-EXP(-0.0175*A9))),70*'Scénario référence'!$B$16)+IF((32+38*(1-EXP(-0.0175*A9)))&lt;70,'Scénario référence'!$B$18*(32+38*(1-EXP(-0.0175*A9))),70*'Scénario référence'!$B$18)</f>
        <v>70</v>
      </c>
      <c r="FV9" s="151">
        <f>IF(A9&gt;30,10,('Scénario référence'!$B$16+'Scénario référence'!$B$17+'Scénario référence'!$B$18+'Scénario référence'!$B$9+'Scénario référence'!$B$10)*A9*10/30+('Scénario référence'!$F$8+'Scénario référence'!$F$9)*10)</f>
        <v>2</v>
      </c>
      <c r="FW9" s="151" t="str">
        <f>VLOOKUP(A9,'Données projet'!$A$243:$I$263,2,0)</f>
        <v>#N/A</v>
      </c>
      <c r="FX9" s="151" t="str">
        <f>VLOOKUP(A9,'Données projet'!$A$243:$I$263,9,0)</f>
        <v>#N/A</v>
      </c>
      <c r="FY9" s="151" t="str">
        <f t="array" ref="FY9">INDEX(FX:FX,MIN(IF(ISNUMBER(FX9:FX205),ROW(FX9:FX205),"")))</f>
        <v/>
      </c>
      <c r="FZ9" s="151">
        <f>IF('Données projet'!$A$244&gt;35,FZ8+FY9-GH8,IF(A9&lt;'Données projet'!$A$244,$FW$205^A9,IF(A9='Données projet'!$A$244,'Données projet'!$B$244,FZ8+FY9-GH8)))</f>
        <v>0</v>
      </c>
      <c r="GA9" s="158" t="str">
        <f>FZ9*VLOOKUP('Données projet'!$B$17,'Paramètres'!$A$1:$I$88,3,0)*VLOOKUP('Données projet'!$B$17,'Paramètres'!$A$1:$I$88,5,0)</f>
        <v>#N/A</v>
      </c>
      <c r="GB9" s="150" t="str">
        <f t="shared" si="50"/>
        <v>#N/A</v>
      </c>
      <c r="GC9" s="161" t="str">
        <f t="shared" si="26"/>
        <v>#N/A</v>
      </c>
      <c r="GD9" s="153" t="str">
        <f t="shared" si="27"/>
        <v>#N/A</v>
      </c>
      <c r="GE9" s="153" t="str">
        <f>AVERAGE(OFFSET($GD$3,0,0,'Données projet'!$E$17+1,1))-AVERAGE(OFFSET($H$3,0,0,'Données projet'!$E$17+1,1))</f>
        <v>#N/A</v>
      </c>
      <c r="GF9" s="153" t="str">
        <f t="shared" si="51"/>
        <v>#N/A</v>
      </c>
      <c r="GG9" s="154">
        <f>IF(ISNA(VLOOKUP(A9,'Données projet'!$A$243:$I$263,3,0)),0,VLOOKUP(A9,'Données projet'!$A$243:$I$263,3,0))</f>
        <v>0</v>
      </c>
      <c r="GH9" s="154">
        <f>IF(ISNA(VLOOKUP(A9,'Données projet'!$A$243:$I$263,4,0)),0,VLOOKUP(A9,'Données projet'!$A$243:$I$263,4,0))</f>
        <v>0</v>
      </c>
      <c r="GI9" s="155">
        <f>IF(ISNA(VLOOKUP(A9,'Données projet'!$A$243:$I$263,5,0)),0%,VLOOKUP(A9,'Données projet'!$A$243:$I$263,5,0)*VLOOKUP('Données projet'!$B$17,'Paramètres'!$A$1:$I$88,7,0))</f>
        <v>0</v>
      </c>
      <c r="GJ9" s="155">
        <f>IF(ISNA(VLOOKUP(A9,'Données projet'!$A$243:$I$263,6,0)),0%,VLOOKUP(A9,'Données projet'!$A$243:$I$263,6,0)*VLOOKUP('Données projet'!$B$17,'Paramètres'!$A$1:$I$88,7,0))</f>
        <v>0</v>
      </c>
      <c r="GK9" s="155">
        <f>IF(ISNA(VLOOKUP(A9,'Données projet'!$A$243:$I$263,7,0)),0%,VLOOKUP(A9,'Données projet'!$A$243:$I$263,7,0))</f>
        <v>0</v>
      </c>
      <c r="GL9" s="162" t="str">
        <f>EXP(-LN(2)/35)*GL8+(1-EXP(-LN(2)/35))/(LN(2)/35)*GH9*GI9*VLOOKUP('Données projet'!$B$17,'Paramètres'!$A$1:$I$88,3,0)*0.475*44/12</f>
        <v>#N/A</v>
      </c>
      <c r="GM9" s="162" t="str">
        <f>EXP(-LN(2)/25)*GM8+(1-EXP(-LN(2)/25))/(LN(2)/25)*Calculateur!GH9*Calculateur!GJ9*VLOOKUP('Données projet'!$B$17,'Paramètres'!$A$1:$I$88,3,0)*0.475*44/12</f>
        <v>#N/A</v>
      </c>
      <c r="GN9" s="162" t="str">
        <f>EXP(-LN(2)/2)*GN8+(1-EXP(-LN(2)/2))/(LN(2)/2)*GH9*GK9*VLOOKUP('Données projet'!$B$17,'Paramètres'!$A$1:$I$88,3,0)*0.475*44/12</f>
        <v>#N/A</v>
      </c>
      <c r="GO9" s="162" t="str">
        <f t="shared" si="28"/>
        <v>#N/A</v>
      </c>
      <c r="GP9" s="159">
        <f>('Scénario référence'!$F$8+'Scénario référence'!$F$9+'Scénario référence'!$B$17+'Scénario référence'!$B$9+'Scénario référence'!$B$10)*70+IF((45+25*(1-EXP(-0.0175*A9)))&lt;70,'Scénario référence'!$B$16*(45+25*(1-EXP(-0.0175*A9))),70*'Scénario référence'!$B$16)+IF((32+38*(1-EXP(-0.0175*A9)))&lt;70,'Scénario référence'!$B$18*(32+38*(1-EXP(-0.0175*A9))),70*'Scénario référence'!$B$18)</f>
        <v>70</v>
      </c>
      <c r="GQ9" s="151">
        <f>IF(A9&gt;30,10,('Scénario référence'!$B$16+'Scénario référence'!$B$17+'Scénario référence'!$B$18+'Scénario référence'!$B$9+'Scénario référence'!$B$10)*A9*10/30+('Scénario référence'!$F$8+'Scénario référence'!$F$9)*10)</f>
        <v>2</v>
      </c>
      <c r="GR9" s="151" t="str">
        <f>VLOOKUP(A9,'Données projet'!$A$269:$I$289,2,0)</f>
        <v>#N/A</v>
      </c>
      <c r="GS9" s="151" t="str">
        <f>VLOOKUP(A9,'Données projet'!$A$269:$I$289,9,0)</f>
        <v>#N/A</v>
      </c>
      <c r="GT9" s="151" t="str">
        <f t="array" ref="GT9">INDEX(GS:GS,MIN(IF(ISNUMBER(GS9:GS205),ROW(GS9:GS205),"")))</f>
        <v/>
      </c>
      <c r="GU9" s="151">
        <f>IF('Données projet'!$A$270&gt;35,GU8+GT9-HC8,IF(A9&lt;'Données projet'!$A$270,$GR$205^A9,IF(A9='Données projet'!$A$270,'Données projet'!$B$270,GU8+GT9-HC8)))</f>
        <v>0</v>
      </c>
      <c r="GV9" s="158" t="str">
        <f>GU9*VLOOKUP('Données projet'!$B$18,'Paramètres'!$A$1:$I$88,3,0)*VLOOKUP('Données projet'!$B$18,'Paramètres'!$A$1:$I$88,5,0)</f>
        <v>#N/A</v>
      </c>
      <c r="GW9" s="150" t="str">
        <f t="shared" si="52"/>
        <v>#N/A</v>
      </c>
      <c r="GX9" s="161" t="str">
        <f t="shared" si="29"/>
        <v>#N/A</v>
      </c>
      <c r="GY9" s="153" t="str">
        <f t="shared" si="30"/>
        <v>#N/A</v>
      </c>
      <c r="GZ9" s="153" t="str">
        <f>AVERAGE(OFFSET($GY$3,0,0,'Données projet'!$E$18+1,1))-AVERAGE(OFFSET($H$3,0,0,'Données projet'!$E$18+1,1))</f>
        <v>#N/A</v>
      </c>
      <c r="HA9" s="153" t="str">
        <f t="shared" si="53"/>
        <v>#N/A</v>
      </c>
      <c r="HB9" s="154">
        <f>IF(ISNA(VLOOKUP(A9,'Données projet'!$A$269:$I$289,3,0)),0,VLOOKUP(A9,'Données projet'!$A$269:$I$289,3,0))</f>
        <v>0</v>
      </c>
      <c r="HC9" s="154">
        <f>IF(ISNA(VLOOKUP(A9,'Données projet'!$A$269:$I$289,4,0)),0,VLOOKUP(A9,'Données projet'!$A$269:$I$289,4,0))</f>
        <v>0</v>
      </c>
      <c r="HD9" s="155">
        <f>IF(ISNA(VLOOKUP(A9,'Données projet'!$A$269:$I$289,5,0)),0%,VLOOKUP(A9,'Données projet'!$A$269:$I$289,5,0)*VLOOKUP('Données projet'!$B$18,'Paramètres'!$A$1:$I$88,7,0))</f>
        <v>0</v>
      </c>
      <c r="HE9" s="155">
        <f>IF(ISNA(VLOOKUP(A9,'Données projet'!$A$269:$I$289,6,0)),0%,VLOOKUP(A9,'Données projet'!$A$269:$I$289,6,0)*VLOOKUP('Données projet'!$B$18,'Paramètres'!$A$1:$I$88,7,0))</f>
        <v>0</v>
      </c>
      <c r="HF9" s="155">
        <f>IF(ISNA(VLOOKUP(A9,'Données projet'!$A$269:$I$289,7,0)),0%,VLOOKUP(A9,'Données projet'!$A$269:$I$289,7,0))</f>
        <v>0</v>
      </c>
      <c r="HG9" s="162" t="str">
        <f>EXP(-LN(2)/35)*HG8+(1-EXP(-LN(2)/35))/(LN(2)/35)*HC9*HD9*VLOOKUP('Données projet'!$B$18,'Paramètres'!$A$1:$I$88,3,0)*0.475*44/12</f>
        <v>#N/A</v>
      </c>
      <c r="HH9" s="162" t="str">
        <f>EXP(-LN(2)/25)*HH8+(1-EXP(-LN(2)/25))/(LN(2)/25)*Calculateur!HC9*Calculateur!HE9*VLOOKUP('Données projet'!$B$18,'Paramètres'!$A$1:$I$88,3,0)*0.475*44/12</f>
        <v>#N/A</v>
      </c>
      <c r="HI9" s="162" t="str">
        <f>EXP(-LN(2)/2)*HI8+(1-EXP(-LN(2)/2))/(LN(2)/2)*HC9*HF9*VLOOKUP('Données projet'!$B$18,'Paramètres'!$A$1:$I$88,3,0)*0.475*44/12</f>
        <v>#N/A</v>
      </c>
      <c r="HJ9" s="163" t="str">
        <f t="shared" si="31"/>
        <v>#N/A</v>
      </c>
    </row>
    <row r="10">
      <c r="A10" s="145">
        <f t="shared" si="32"/>
        <v>7</v>
      </c>
      <c r="B10" s="146">
        <f>'Scénario référence'!$B$16*5+'Scénario référence'!$B$17*0+'Scénario référence'!$B$18*5</f>
        <v>0</v>
      </c>
      <c r="C10" s="160">
        <f>Calculateur!C9+'Scénario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0" s="147">
        <f t="shared" si="33"/>
        <v>0</v>
      </c>
      <c r="E10" s="147">
        <f>'Scénario référence'!$B$16*45+('Scénario référence'!$B$17+'Scénario référence'!$F$8+'Scénario référence'!$F$9+'Scénario référence'!$B$10+'Scénario référence'!$B$9)*70+'Scénario référence'!$B$18*32</f>
        <v>70</v>
      </c>
      <c r="F10" s="147">
        <f>IF(OR('Scénario référence'!$F$8&gt;0,'Scénario référence'!$F$9&gt;0),('Scénario référence'!$F$8+'Scénario référence'!$F$9)*10,0)</f>
        <v>0</v>
      </c>
      <c r="G10" s="147">
        <f>'Scénario référence'!$B$8*B10*44/12+'Scénario référence'!$B$9*(C10+D10)/0.475*44/12+'Scénario référence'!$B$10*(C10+D10)/0.475*44/12+'Scénario référence'!$F$8*(C10+D10)/0.475*44/12+'Scénario référence'!$F$9*(C10+D10)/0.475*44/12</f>
        <v>0</v>
      </c>
      <c r="H10" s="148">
        <f t="shared" si="1"/>
        <v>256.6666667</v>
      </c>
      <c r="I10" s="149">
        <f>('Scénario référence'!$F$8+'Scénario référence'!$F$9+'Scénario référence'!$B$17+'Scénario référence'!$B$9+'Scénario référence'!$B$10)*70+IF((45+25*(1-EXP(-0.0175*A10)))&lt;70,'Scénario référence'!$B$16*(45+25*(1-EXP(-0.0175*A10))),70*'Scénario référence'!$B$16)+IF((32+38*(1-EXP(-0.0175*A10)))&lt;70,'Scénario référence'!$B$18*(32+38*(1-EXP(-0.0175*A10))),70*'Scénario référence'!$B$18)</f>
        <v>70</v>
      </c>
      <c r="J10" s="150">
        <f>IF(A10&gt;30,10,('Scénario référence'!$B$16+'Scénario référence'!$B$17+'Scénario référence'!$B$18+'Scénario référence'!$B$9+'Scénario référence'!$B$10)*A10*10/30+('Scénario référence'!$F$8+'Scénario référence'!$F$9)*10)</f>
        <v>2.333333333</v>
      </c>
      <c r="K10" s="151" t="str">
        <f>VLOOKUP(A10,'Données projet'!$A$35:$I$55,2,0)</f>
        <v>#N/A</v>
      </c>
      <c r="L10" s="151" t="str">
        <f>VLOOKUP(A10,'Données projet'!$A$35:$I$55,9,0)</f>
        <v>#N/A</v>
      </c>
      <c r="M10" s="150">
        <f t="array" ref="M10">INDEX(L:L,MIN(IF(ISNUMBER(L10:L206),ROW(L10:L206),"")))</f>
        <v>3.65</v>
      </c>
      <c r="N10" s="150">
        <f>IF('Données projet'!$A$36&gt;35,N9+M10-V9,IF(A10&lt;'Données projet'!$A$36,$K$205^A10,IF(A10='Données projet'!$A$36,'Données projet'!$B$36,N9+M10-V9)))</f>
        <v>4.489138464</v>
      </c>
      <c r="O10" s="150">
        <f>N10*VLOOKUP('Données projet'!$B$9,'Paramètres'!$A$1:$I$88,3,0)*VLOOKUP('Données projet'!$B$9,'Paramètres'!$A$1:$I$88,5,0)</f>
        <v>4.061772482</v>
      </c>
      <c r="P10" s="150">
        <f t="shared" si="34"/>
        <v>1.59005872</v>
      </c>
      <c r="Q10" s="161">
        <f t="shared" si="2"/>
        <v>9.843606009</v>
      </c>
      <c r="R10" s="153">
        <f t="shared" si="3"/>
        <v>275.0658282</v>
      </c>
      <c r="S10" s="153">
        <f>AVERAGE(OFFSET($R$3,0,0,'Données projet'!$E$9+1,1))-AVERAGE(OFFSET($H$3,0,0,'Données projet'!$E$9+1,1))</f>
        <v>439.1985427</v>
      </c>
      <c r="T10" s="153">
        <f t="shared" si="35"/>
        <v>278.2174123</v>
      </c>
      <c r="U10" s="154">
        <f>IF(ISNA(VLOOKUP(A10,'Données projet'!$A$35:$I$55,3,0)),0,VLOOKUP(A10,'Données projet'!$A$35:$I$55,3,0))</f>
        <v>0</v>
      </c>
      <c r="V10" s="154">
        <f>IF(ISNA(VLOOKUP(A10,'Données projet'!$A$35:$I$55,4,0)),0,VLOOKUP(A10,'Données projet'!$A$35:$I$55,4,0))</f>
        <v>0</v>
      </c>
      <c r="W10" s="155">
        <f>IF(ISNA(VLOOKUP(A10,'Données projet'!$A$35:$I$55,5,0)),0%,VLOOKUP(A10,'Données projet'!$A$35:$I$55,5,0)*VLOOKUP('Données projet'!$B$9,'Paramètres'!$A$1:$I$88,7,0))</f>
        <v>0</v>
      </c>
      <c r="X10" s="155">
        <f>IF(ISNA(VLOOKUP(A10,'Données projet'!$A$35:$I$55,6,0)),0%,VLOOKUP(A10,'Données projet'!$A$35:$I$55,6,0)*VLOOKUP('Données projet'!$B$9,'Paramètres'!$A$1:$I$88,7,0))</f>
        <v>0</v>
      </c>
      <c r="Y10" s="155">
        <f>IF(ISNA(VLOOKUP(A10,'Données projet'!$A$35:$I$55,7,0)),0%,VLOOKUP(A10,'Données projet'!$A$35:$I$55,7,0))</f>
        <v>0</v>
      </c>
      <c r="Z10" s="162">
        <f>EXP(-LN(2)/35)*Z9+(1-EXP(-LN(2)/35))/(LN(2)/35)*V10*W10*VLOOKUP('Données projet'!$B$9,'Paramètres'!$A$1:$I$88,3,0)*0.475*44/12</f>
        <v>0</v>
      </c>
      <c r="AA10" s="162">
        <f>EXP(-LN(2)/25)*AA9+(1-EXP(-LN(2)/25))/(LN(2)/25)*Calculateur!V10*Calculateur!X10*VLOOKUP('Données projet'!$B$9,'Paramètres'!$A$1:$I$88,3,0)*0.475*44/12</f>
        <v>0</v>
      </c>
      <c r="AB10" s="162">
        <f>EXP(-LN(2)/2)*AB9+(1-EXP(-LN(2)/2))/(LN(2)/2)*V10*Y10*VLOOKUP('Données projet'!$B$9,'Paramètres'!$A$1:$I$88,3,0)*0.475*44/12</f>
        <v>0</v>
      </c>
      <c r="AC10" s="163">
        <f t="shared" si="4"/>
        <v>0</v>
      </c>
      <c r="AD10" s="150">
        <f>('Scénario référence'!$F$8+'Scénario référence'!$F$9+'Scénario référence'!$B$17+'Scénario référence'!$B$9+'Scénario référence'!$B$10)*70+IF((45+25*(1-EXP(-0.0175*A10)))&lt;70,'Scénario référence'!$B$16*(45+25*(1-EXP(-0.0175*A10))),70*'Scénario référence'!$B$16)+IF((32+38*(1-EXP(-0.0175*A10)))&lt;70,'Scénario référence'!$B$18*(32+38*(1-EXP(-0.0175*A10))),70*'Scénario référence'!$B$18)</f>
        <v>70</v>
      </c>
      <c r="AE10" s="150">
        <f>IF(A10&gt;30,10,('Scénario référence'!$B$16+'Scénario référence'!$B$17+'Scénario référence'!$B$18+'Scénario référence'!$B$9+'Scénario référence'!$B$10)*A10*10/30+('Scénario référence'!$F$8+'Scénario référence'!$F$9)*10)</f>
        <v>2.333333333</v>
      </c>
      <c r="AF10" s="151" t="str">
        <f>VLOOKUP(A10,'Données projet'!$A$61:$I$81,2,0)</f>
        <v>#N/A</v>
      </c>
      <c r="AG10" s="151" t="str">
        <f>VLOOKUP(A10,'Données projet'!$A$61:$I$81,9,0)</f>
        <v>#N/A</v>
      </c>
      <c r="AH10" s="150">
        <f t="array" ref="AH10">INDEX(AG:AG,MIN(IF(ISNUMBER(AG10:AG206),ROW(AG10:AG206),"")))</f>
        <v>1.9</v>
      </c>
      <c r="AI10" s="150">
        <f>IF('Données projet'!$A$62&gt;35,AI9+AH10-AQ9,IF(A10&lt;'Données projet'!$A$62,$AF$205^A10,IF(A10='Données projet'!$A$62,'Données projet'!$B$62,AI9+AH10-AQ9)))</f>
        <v>7.85466235</v>
      </c>
      <c r="AJ10" s="150">
        <f>AI10*VLOOKUP('Données projet'!$B$10,'Paramètres'!$A$1:$I$88,3,0)*VLOOKUP('Données projet'!$B$10,'Paramètres'!$A$1:$I$88,5,0)</f>
        <v>6.249169366</v>
      </c>
      <c r="AK10" s="150">
        <f t="shared" si="36"/>
        <v>2.326701366</v>
      </c>
      <c r="AL10" s="161">
        <f t="shared" si="5"/>
        <v>14.93630819</v>
      </c>
      <c r="AM10" s="153">
        <f t="shared" si="6"/>
        <v>280.1585304</v>
      </c>
      <c r="AN10" s="153">
        <f>AVERAGE(OFFSET($AM$3,0,0,'Données projet'!$E$10+1,1))-AVERAGE(OFFSET($H$3,0,0,'Données projet'!$E$10+1,1))</f>
        <v>405.6113614</v>
      </c>
      <c r="AO10" s="153">
        <f t="shared" si="37"/>
        <v>393.0787141</v>
      </c>
      <c r="AP10" s="154">
        <f>IF(ISNA(VLOOKUP(A10,'Données projet'!$A$61:$I$81,3,0)),0,VLOOKUP(A10,'Données projet'!$A$61:$I$81,3,0))</f>
        <v>0</v>
      </c>
      <c r="AQ10" s="154">
        <f>IF(ISNA(VLOOKUP(A10,'Données projet'!$A$61:$I$81,4,0)),0,VLOOKUP(A10,'Données projet'!$A$61:$I$81,4,0))</f>
        <v>0</v>
      </c>
      <c r="AR10" s="155">
        <f>IF(ISNA(VLOOKUP(A10,'Données projet'!$A$61:$I$81,5,0)),0%,VLOOKUP(A10,'Données projet'!$A$61:$I$81,5,0)*VLOOKUP('Données projet'!$B$10,'Paramètres'!$A$1:$I$88,7,0))</f>
        <v>0</v>
      </c>
      <c r="AS10" s="155">
        <f>IF(ISNA(VLOOKUP(A10,'Données projet'!$A$61:$I$81,6,0)),0%,VLOOKUP(A10,'Données projet'!$A$61:$I$81,6,0)*VLOOKUP('Données projet'!$B$10,'Paramètres'!$A$1:$I$88,7,0))</f>
        <v>0</v>
      </c>
      <c r="AT10" s="155">
        <f>IF(ISNA(VLOOKUP(A10,'Données projet'!$A$61:$I$81,7,0)),0%,VLOOKUP(A10,'Données projet'!$A$61:$I$81,7,0))</f>
        <v>0</v>
      </c>
      <c r="AU10" s="162">
        <f>EXP(-LN(2)/35)*AU9+(1-EXP(-LN(2)/35))/(LN(2)/35)*AQ10*AR10*VLOOKUP('Données projet'!$B$10,'Paramètres'!$A$1:$I$88,3,0)*0.475*44/12</f>
        <v>0</v>
      </c>
      <c r="AV10" s="162">
        <f>EXP(-LN(2)/25)*AV9+(1-EXP(-LN(2)/25))/(LN(2)/25)*Calculateur!AQ10*Calculateur!AS10*VLOOKUP('Données projet'!$B$10,'Paramètres'!$A$1:$I$88,3,0)*0.475*44/12</f>
        <v>0</v>
      </c>
      <c r="AW10" s="162">
        <f>EXP(-LN(2)/2)*AW9+(1-EXP(-LN(2)/2))/(LN(2)/2)*AQ10*AT10*VLOOKUP('Données projet'!$B$10,'Paramètres'!$A$1:$I$88,3,0)*0.475*44/12</f>
        <v>0</v>
      </c>
      <c r="AX10" s="162">
        <f t="shared" si="7"/>
        <v>0</v>
      </c>
      <c r="AY10" s="157">
        <f>('Scénario référence'!$F$8+'Scénario référence'!$F$9+'Scénario référence'!$B$17+'Scénario référence'!$B$9+'Scénario référence'!$B$10)*70+IF((45+25*(1-EXP(-0.0175*A10)))&lt;70,'Scénario référence'!$B$16*(45+25*(1-EXP(-0.0175*A10))),70*'Scénario référence'!$B$16)+IF((32+38*(1-EXP(-0.0175*A10)))&lt;70,'Scénario référence'!$B$18*(32+38*(1-EXP(-0.0175*A10))),70*'Scénario référence'!$B$18)</f>
        <v>70</v>
      </c>
      <c r="AZ10" s="151">
        <f>IF(A10&gt;30,10,('Scénario référence'!$B$16+'Scénario référence'!$B$17+'Scénario référence'!$B$18+'Scénario référence'!$B$9+'Scénario référence'!$B$10)*A10*10/30+('Scénario référence'!$F$8+'Scénario référence'!$F$9)*10)</f>
        <v>2.333333333</v>
      </c>
      <c r="BA10" s="151" t="str">
        <f>VLOOKUP(A10,'Données projet'!$A$87:$I$107,2,0)</f>
        <v>#N/A</v>
      </c>
      <c r="BB10" s="151" t="str">
        <f>VLOOKUP(A10,'Données projet'!$A$87:$I$107,9,0)</f>
        <v>#N/A</v>
      </c>
      <c r="BC10" s="150" t="str">
        <f t="array" ref="BC10">INDEX(BB:BB,MIN(IF(ISNUMBER(BB10:BB206),ROW(BB10:BB206),"")))</f>
        <v/>
      </c>
      <c r="BD10" s="150">
        <f>IF('Données projet'!$A$88&gt;35,BD9+BC10-BL9,IF(A10&lt;'Données projet'!$A$88,$BA$205^A10,IF(A10='Données projet'!$A$88,'Données projet'!$B$88,BD9+BC10-BL9)))</f>
        <v>0</v>
      </c>
      <c r="BE10" s="150">
        <f>BD10*VLOOKUP('Données projet'!$B$11,'Paramètres'!$A$1:$I$88,3,0)*VLOOKUP('Données projet'!$B$11,'Paramètres'!$A$1:$I$88,5,0)</f>
        <v>0</v>
      </c>
      <c r="BF10" s="150" t="str">
        <f t="shared" si="38"/>
        <v>#NUM!</v>
      </c>
      <c r="BG10" s="161" t="str">
        <f t="shared" si="8"/>
        <v>#NUM!</v>
      </c>
      <c r="BH10" s="153" t="str">
        <f t="shared" si="9"/>
        <v>#NUM!</v>
      </c>
      <c r="BI10" s="153">
        <f>AVERAGE(OFFSET($BH$3,0,0,'Données projet'!$E$11+1,1))-AVERAGE(OFFSET($H$3,0,0,'Données projet'!$E$11+1,1))</f>
        <v>0</v>
      </c>
      <c r="BJ10" s="153">
        <f t="shared" si="39"/>
        <v>0</v>
      </c>
      <c r="BK10" s="154">
        <f>IF(ISNA(VLOOKUP(A10,'Données projet'!$A$87:$I$107,3,0)),0,VLOOKUP(A10,'Données projet'!$A$87:$I$107,3,0))</f>
        <v>0</v>
      </c>
      <c r="BL10" s="154">
        <f>IF(ISNA(VLOOKUP(A10,'Données projet'!$A$87:$I$107,4,0)),0,VLOOKUP(A10,'Données projet'!$A$87:$I$107,4,0))</f>
        <v>0</v>
      </c>
      <c r="BM10" s="155">
        <f>IF(ISNA(VLOOKUP(A10,'Données projet'!$A$87:$I$107,5,0)),0%,VLOOKUP(A10,'Données projet'!$A$87:$I$107,5,0)*VLOOKUP('Données projet'!$B$11,'Paramètres'!$A$1:$I$88,7,0))</f>
        <v>0</v>
      </c>
      <c r="BN10" s="155">
        <f>IF(ISNA(VLOOKUP(A10,'Données projet'!$A$87:$I$107,6,0)),0%,VLOOKUP(A10,'Données projet'!$A$87:$I$107,6,0)*VLOOKUP('Données projet'!$B$11,'Paramètres'!$A$1:$I$88,7,0))</f>
        <v>0</v>
      </c>
      <c r="BO10" s="155">
        <f>IF(ISNA(VLOOKUP(A10,'Données projet'!$A$87:$I$107,7,0)),0%,VLOOKUP(A10,'Données projet'!$A$87:$I$107,7,0))</f>
        <v>0</v>
      </c>
      <c r="BP10" s="162">
        <f>EXP(-LN(2)/35)*BP9+(1-EXP(-LN(2)/35))/(LN(2)/35)*BL10*BM10*VLOOKUP('Données projet'!$B$11,'Paramètres'!$A$1:$I$88,3,0)*0.475*44/12</f>
        <v>0</v>
      </c>
      <c r="BQ10" s="162">
        <f>EXP(-LN(2)/25)*BQ9+(1-EXP(-LN(2)/25))/(LN(2)/25)*Calculateur!BL10*Calculateur!BN10*VLOOKUP('Données projet'!$B$11,'Paramètres'!$A$1:$I$88,3,0)*0.475*44/12</f>
        <v>0</v>
      </c>
      <c r="BR10" s="162">
        <f>EXP(-LN(2)/2)*BR9+(1-EXP(-LN(2)/2))/(LN(2)/2)*BL10*BO10*VLOOKUP('Données projet'!$B$11,'Paramètres'!$A$1:$I$88,3,0)*0.475*44/12</f>
        <v>0</v>
      </c>
      <c r="BS10" s="163">
        <f t="shared" si="10"/>
        <v>0</v>
      </c>
      <c r="BT10" s="159">
        <f>('Scénario référence'!$F$8+'Scénario référence'!$F$9+'Scénario référence'!$B$17+'Scénario référence'!$B$9+'Scénario référence'!$B$10)*70+IF((45+25*(1-EXP(-0.0175*A10)))&lt;70,'Scénario référence'!$B$16*(45+25*(1-EXP(-0.0175*A10))),70*'Scénario référence'!$B$16)+IF((32+38*(1-EXP(-0.0175*A10)))&lt;70,'Scénario référence'!$B$18*(32+38*(1-EXP(-0.0175*A10))),70*'Scénario référence'!$B$18)</f>
        <v>70</v>
      </c>
      <c r="BU10" s="151">
        <f>IF(A10&gt;30,10,('Scénario référence'!$B$16+'Scénario référence'!$B$17+'Scénario référence'!$B$18+'Scénario référence'!$B$9+'Scénario référence'!$B$10)*A10*10/30+('Scénario référence'!$F$8+'Scénario référence'!$F$9)*10)</f>
        <v>2.333333333</v>
      </c>
      <c r="BV10" s="151" t="str">
        <f>VLOOKUP(A10,'Données projet'!$A$113:$I$133,2,0)</f>
        <v>#N/A</v>
      </c>
      <c r="BW10" s="151" t="str">
        <f>VLOOKUP(A10,'Données projet'!$A$113:$I$133,9,0)</f>
        <v>#N/A</v>
      </c>
      <c r="BX10" s="150" t="str">
        <f t="array" ref="BX10">INDEX(BW:BW,MIN(IF(ISNUMBER(BW10:BW206),ROW(BW10:BW206),"")))</f>
        <v/>
      </c>
      <c r="BY10" s="150">
        <f>IF('Données projet'!$A$114&gt;35,BY9+BX10-CG9,IF(A10&lt;'Données projet'!$A$114,$BV$205^A10,IF(A10='Données projet'!$A$114,'Données projet'!$B$114,BY9+BX10-CG9)))</f>
        <v>0</v>
      </c>
      <c r="BZ10" s="150" t="str">
        <f>BY10*VLOOKUP('Données projet'!$B$12,'Paramètres'!$A$1:$I$88,3,0)*VLOOKUP('Données projet'!$B$12,'Paramètres'!$A$1:$I$88,5,0)</f>
        <v>#N/A</v>
      </c>
      <c r="CA10" s="150" t="str">
        <f t="shared" si="40"/>
        <v>#N/A</v>
      </c>
      <c r="CB10" s="161" t="str">
        <f t="shared" si="11"/>
        <v>#N/A</v>
      </c>
      <c r="CC10" s="153" t="str">
        <f t="shared" si="12"/>
        <v>#N/A</v>
      </c>
      <c r="CD10" s="153" t="str">
        <f>AVERAGE(OFFSET($CC$3,0,0,'Données projet'!$E$12+1,1))-AVERAGE(OFFSET($H$3,0,0,'Données projet'!$E$12+1,1))</f>
        <v>#N/A</v>
      </c>
      <c r="CE10" s="153" t="str">
        <f t="shared" si="41"/>
        <v>#N/A</v>
      </c>
      <c r="CF10" s="154">
        <f>IF(ISNA(VLOOKUP(A10,'Données projet'!$A$113:$I$133,3,0)),0,VLOOKUP(A10,'Données projet'!$A$113:$I$133,3,0))</f>
        <v>0</v>
      </c>
      <c r="CG10" s="154">
        <f>IF(ISNA(VLOOKUP(A10,'Données projet'!$A$113:$I$133,4,0)),0,VLOOKUP(A10,'Données projet'!$A$113:$I$133,4,0))</f>
        <v>0</v>
      </c>
      <c r="CH10" s="155">
        <f>IF(ISNA(VLOOKUP(A10,'Données projet'!$A$113:$I$133,5,0)),0%,VLOOKUP(A10,'Données projet'!$A$113:$I$133,5,0)*VLOOKUP('Données projet'!$B$12,'Paramètres'!$A$1:$I$88,7,0))</f>
        <v>0</v>
      </c>
      <c r="CI10" s="155">
        <f>IF(ISNA(VLOOKUP(A10,'Données projet'!$A$113:$I$133,6,0)),0%,VLOOKUP(A10,'Données projet'!$A$113:$I$133,6,0)*VLOOKUP('Données projet'!$B$12,'Paramètres'!$A$1:$I$88,7,0))</f>
        <v>0</v>
      </c>
      <c r="CJ10" s="155">
        <f>IF(ISNA(VLOOKUP(A10,'Données projet'!$A$113:$I$133,7,0)),0%,VLOOKUP(A10,'Données projet'!$A$113:$I$133,7,0))</f>
        <v>0</v>
      </c>
      <c r="CK10" s="162" t="str">
        <f>EXP(-LN(2)/35)*CK9+(1-EXP(-LN(2)/35))/(LN(2)/35)*CG10*CH10*VLOOKUP('Données projet'!$B$12,'Paramètres'!$A$1:$I$88,3,0)*0.475*44/12</f>
        <v>#N/A</v>
      </c>
      <c r="CL10" s="162" t="str">
        <f>EXP(-LN(2)/25)*CL9+(1-EXP(-LN(2)/25))/(LN(2)/25)*Calculateur!CG10*Calculateur!CI10*VLOOKUP('Données projet'!$B$12,'Paramètres'!$A$1:$I$88,3,0)*0.475*44/12</f>
        <v>#N/A</v>
      </c>
      <c r="CM10" s="162" t="str">
        <f>EXP(-LN(2)/2)*CM9+(1-EXP(-LN(2)/2))/(LN(2)/2)*CG10*CJ10*VLOOKUP('Données projet'!$B$12,'Paramètres'!$A$1:$I$88,3,0)*0.475*44/12</f>
        <v>#N/A</v>
      </c>
      <c r="CN10" s="163" t="str">
        <f t="shared" si="13"/>
        <v>#N/A</v>
      </c>
      <c r="CO10" s="159">
        <f>('Scénario référence'!$F$8+'Scénario référence'!$F$9+'Scénario référence'!$B$17+'Scénario référence'!$B$9+'Scénario référence'!$B$10)*70+IF((45+25*(1-EXP(-0.0175*A10)))&lt;70,'Scénario référence'!$B$16*(45+25*(1-EXP(-0.0175*A10))),70*'Scénario référence'!$B$16)+IF((32+38*(1-EXP(-0.0175*A10)))&lt;70,'Scénario référence'!$B$18*(32+38*(1-EXP(-0.0175*A10))),70*'Scénario référence'!$B$18)</f>
        <v>70</v>
      </c>
      <c r="CP10" s="151">
        <f>IF(A10&gt;30,10,('Scénario référence'!$B$16+'Scénario référence'!$B$17+'Scénario référence'!$B$18+'Scénario référence'!$B$9+'Scénario référence'!$B$10)*A10*10/30+('Scénario référence'!$F$8+'Scénario référence'!$F$9)*10)</f>
        <v>2.333333333</v>
      </c>
      <c r="CQ10" s="151" t="str">
        <f>VLOOKUP(A10,'Données projet'!$A$139:$I$159,2,0)</f>
        <v>#N/A</v>
      </c>
      <c r="CR10" s="151" t="str">
        <f>VLOOKUP(A10,'Données projet'!$A$139:$I$159,9,0)</f>
        <v>#N/A</v>
      </c>
      <c r="CS10" s="151" t="str">
        <f t="array" ref="CS10">INDEX(CR:CR,MIN(IF(ISNUMBER(CR10:CR206),ROW(CR10:CR206),"")))</f>
        <v/>
      </c>
      <c r="CT10" s="151">
        <f>IF('Données projet'!$A$140&gt;35,CT9+CS10-DB9,IF(A10&lt;'Données projet'!$A$140,$CQ$205^A10,IF(A10='Données projet'!$A$140,'Données projet'!$B$140,CT9+CS10-DB9)))</f>
        <v>0</v>
      </c>
      <c r="CU10" s="158" t="str">
        <f>CT10*VLOOKUP('Données projet'!$B$13,'Paramètres'!$A$1:$I$88,3,0)*VLOOKUP('Données projet'!$B$13,'Paramètres'!$A$1:$I$88,5,0)</f>
        <v>#N/A</v>
      </c>
      <c r="CV10" s="150" t="str">
        <f t="shared" si="42"/>
        <v>#N/A</v>
      </c>
      <c r="CW10" s="161" t="str">
        <f t="shared" si="14"/>
        <v>#N/A</v>
      </c>
      <c r="CX10" s="153" t="str">
        <f t="shared" si="15"/>
        <v>#N/A</v>
      </c>
      <c r="CY10" s="153" t="str">
        <f>AVERAGE(OFFSET($CX$3,0,0,'Données projet'!$E$13+1,1))-AVERAGE(OFFSET($H$3,0,0,'Données projet'!$E$13+1,1))</f>
        <v>#N/A</v>
      </c>
      <c r="CZ10" s="153" t="str">
        <f t="shared" si="43"/>
        <v>#N/A</v>
      </c>
      <c r="DA10" s="154">
        <f>IF(ISNA(VLOOKUP(A10,'Données projet'!$A$139:$I$159,3,0)),0,VLOOKUP(A10,'Données projet'!$A$139:$I$159,3,0))</f>
        <v>0</v>
      </c>
      <c r="DB10" s="154">
        <f>IF(ISNA(VLOOKUP(A10,'Données projet'!$A$139:$I$159,4,0)),0,VLOOKUP(A10,'Données projet'!$A$139:$I$159,4,0))</f>
        <v>0</v>
      </c>
      <c r="DC10" s="155">
        <f>IF(ISNA(VLOOKUP(A10,'Données projet'!$A$139:$I$159,5,0)),0%,VLOOKUP(A10,'Données projet'!$A$139:$I$159,5,0)*VLOOKUP('Données projet'!$B$13,'Paramètres'!$A$1:$I$88,7,0))</f>
        <v>0</v>
      </c>
      <c r="DD10" s="155">
        <f>IF(ISNA(VLOOKUP(A10,'Données projet'!$A$139:$I$159,6,0)),0%,VLOOKUP(A10,'Données projet'!$A$139:$I$159,6,0)*VLOOKUP('Données projet'!$B$13,'Paramètres'!$A$1:$I$88,7,0))</f>
        <v>0</v>
      </c>
      <c r="DE10" s="155">
        <f>IF(ISNA(VLOOKUP(A10,'Données projet'!$A$139:$I$159,7,0)),0%,VLOOKUP(A10,'Données projet'!$A$139:$I$159,7,0))</f>
        <v>0</v>
      </c>
      <c r="DF10" s="162" t="str">
        <f>EXP(-LN(2)/35)*DF9+(1-EXP(-LN(2)/35))/(LN(2)/35)*DB10*DC10*VLOOKUP('Données projet'!$B$13,'Paramètres'!$A$1:$I$88,3,0)*0.475*44/12</f>
        <v>#N/A</v>
      </c>
      <c r="DG10" s="162" t="str">
        <f>EXP(-LN(2)/25)*DG9+(1-EXP(-LN(2)/25))/(LN(2)/25)*Calculateur!DB10*Calculateur!DD10*VLOOKUP('Données projet'!$B$13,'Paramètres'!$A$1:$I$88,3,0)*0.475*44/12</f>
        <v>#N/A</v>
      </c>
      <c r="DH10" s="162" t="str">
        <f>EXP(-LN(2)/2)*DH9+(1-EXP(-LN(2)/2))/(LN(2)/2)*DB10*DE10*VLOOKUP('Données projet'!$B$13,'Paramètres'!$A$1:$I$88,3,0)*0.475*44/12</f>
        <v>#N/A</v>
      </c>
      <c r="DI10" s="163" t="str">
        <f t="shared" si="16"/>
        <v>#N/A</v>
      </c>
      <c r="DJ10" s="159">
        <f>('Scénario référence'!$F$8+'Scénario référence'!$F$9+'Scénario référence'!$B$17+'Scénario référence'!$B$9+'Scénario référence'!$B$10)*70+IF((45+25*(1-EXP(-0.0175*A10)))&lt;70,'Scénario référence'!$B$16*(45+25*(1-EXP(-0.0175*A10))),70*'Scénario référence'!$B$16)+IF((32+38*(1-EXP(-0.0175*A10)))&lt;70,'Scénario référence'!$B$18*(32+38*(1-EXP(-0.0175*A10))),70*'Scénario référence'!$B$18)</f>
        <v>70</v>
      </c>
      <c r="DK10" s="151">
        <f>IF(A10&gt;30,10,('Scénario référence'!$B$16+'Scénario référence'!$B$17+'Scénario référence'!$B$18+'Scénario référence'!$B$9+'Scénario référence'!$B$10)*A10*10/30+('Scénario référence'!$F$8+'Scénario référence'!$F$9)*10)</f>
        <v>2.333333333</v>
      </c>
      <c r="DL10" s="151" t="str">
        <f>VLOOKUP(A10,'Données projet'!$A$165:$I$185,2,0)</f>
        <v>#N/A</v>
      </c>
      <c r="DM10" s="151" t="str">
        <f>VLOOKUP(A10,'Données projet'!$A$165:$I$185,9,0)</f>
        <v>#N/A</v>
      </c>
      <c r="DN10" s="151" t="str">
        <f t="array" ref="DN10">INDEX(DM:DM,MIN(IF(ISNUMBER(DM10:DM206),ROW(DM10:DM206),"")))</f>
        <v/>
      </c>
      <c r="DO10" s="151">
        <f>IF('Données projet'!$A$166&gt;35,DO9+DN10-DW9,IF(A10&lt;'Données projet'!$A$166,$DL$205^A10,IF(A10='Données projet'!$A$166,'Données projet'!$B$166,DO9+DN10-DW9)))</f>
        <v>0</v>
      </c>
      <c r="DP10" s="158" t="str">
        <f>DO10*VLOOKUP('Données projet'!$B$14,'Paramètres'!$A$1:$I$88,3,0)*VLOOKUP('Données projet'!$B$14,'Paramètres'!$A$1:$I$88,5,0)</f>
        <v>#N/A</v>
      </c>
      <c r="DQ10" s="150" t="str">
        <f t="shared" si="44"/>
        <v>#N/A</v>
      </c>
      <c r="DR10" s="161" t="str">
        <f t="shared" si="17"/>
        <v>#N/A</v>
      </c>
      <c r="DS10" s="153" t="str">
        <f t="shared" si="18"/>
        <v>#N/A</v>
      </c>
      <c r="DT10" s="153" t="str">
        <f>AVERAGE(OFFSET($DS$3,0,0,'Données projet'!$E$14+1,1))-AVERAGE(OFFSET($H$3,0,0,'Données projet'!$E$14+1,1))</f>
        <v>#N/A</v>
      </c>
      <c r="DU10" s="153" t="str">
        <f t="shared" si="45"/>
        <v>#N/A</v>
      </c>
      <c r="DV10" s="154">
        <f>IF(ISNA(VLOOKUP(A10,'Données projet'!$A$165:$I$185,3,0)),0,VLOOKUP(A10,'Données projet'!$A$165:$I$185,3,0))</f>
        <v>0</v>
      </c>
      <c r="DW10" s="154">
        <f>IF(ISNA(VLOOKUP(A10,'Données projet'!$A$165:$I$185,4,0)),0,VLOOKUP(A10,'Données projet'!$A$165:$I$185,4,0))</f>
        <v>0</v>
      </c>
      <c r="DX10" s="155">
        <f>IF(ISNA(VLOOKUP(A10,'Données projet'!$A$165:$I$185,5,0)),0%,VLOOKUP(A10,'Données projet'!$A$165:$I$185,5,0)*VLOOKUP('Données projet'!$B$14,'Paramètres'!$A$1:$I$88,7,0))</f>
        <v>0</v>
      </c>
      <c r="DY10" s="155">
        <f>IF(ISNA(VLOOKUP(A10,'Données projet'!$A$165:$I$185,6,0)),0%,VLOOKUP(A10,'Données projet'!$A$165:$I$185,6,0)*VLOOKUP('Données projet'!$B$14,'Paramètres'!$A$1:$I$88,7,0))</f>
        <v>0</v>
      </c>
      <c r="DZ10" s="155">
        <f>IF(ISNA(VLOOKUP(A10,'Données projet'!$A$165:$I$185,7,0)),0%,VLOOKUP(A10,'Données projet'!$A$165:$I$185,7,0))</f>
        <v>0</v>
      </c>
      <c r="EA10" s="162" t="str">
        <f>EXP(-LN(2)/35)*EA9+(1-EXP(-LN(2)/35))/(LN(2)/35)*DW10*DX10*VLOOKUP('Données projet'!$B$14,'Paramètres'!$A$1:$I$88,3,0)*0.475*44/12</f>
        <v>#N/A</v>
      </c>
      <c r="EB10" s="162" t="str">
        <f>EXP(-LN(2)/25)*EB9+(1-EXP(-LN(2)/25))/(LN(2)/25)*Calculateur!DW10*Calculateur!DY10*VLOOKUP('Données projet'!$B$14,'Paramètres'!$A$1:$I$88,3,0)*0.475*44/12</f>
        <v>#N/A</v>
      </c>
      <c r="EC10" s="162" t="str">
        <f>EXP(-LN(2)/2)*EC9+(1-EXP(-LN(2)/2))/(LN(2)/2)*DW10*DZ10*VLOOKUP('Données projet'!$B$14,'Paramètres'!$A$1:$I$88,3,0)*0.475*44/12</f>
        <v>#N/A</v>
      </c>
      <c r="ED10" s="163" t="str">
        <f t="shared" si="19"/>
        <v>#N/A</v>
      </c>
      <c r="EE10" s="159">
        <f>('Scénario référence'!$F$8+'Scénario référence'!$F$9+'Scénario référence'!$B$17+'Scénario référence'!$B$9+'Scénario référence'!$B$10)*70+IF((45+25*(1-EXP(-0.0175*A10)))&lt;70,'Scénario référence'!$B$16*(45+25*(1-EXP(-0.0175*A10))),70*'Scénario référence'!$B$16)+IF((32+38*(1-EXP(-0.0175*A10)))&lt;70,'Scénario référence'!$B$18*(32+38*(1-EXP(-0.0175*A10))),70*'Scénario référence'!$B$18)</f>
        <v>70</v>
      </c>
      <c r="EF10" s="151">
        <f>IF(A10&gt;30,10,('Scénario référence'!$B$16+'Scénario référence'!$B$17+'Scénario référence'!$B$18+'Scénario référence'!$B$9+'Scénario référence'!$B$10)*A10*10/30+('Scénario référence'!$F$8+'Scénario référence'!$F$9)*10)</f>
        <v>2.333333333</v>
      </c>
      <c r="EG10" s="151" t="str">
        <f>VLOOKUP(A10,'Données projet'!$A$191:$I$211,2,0)</f>
        <v>#N/A</v>
      </c>
      <c r="EH10" s="151" t="str">
        <f>VLOOKUP(A10,'Données projet'!$A$191:$I$211,9,0)</f>
        <v>#N/A</v>
      </c>
      <c r="EI10" s="151" t="str">
        <f t="array" ref="EI10">INDEX(EH:EH,MIN(IF(ISNUMBER(EH10:EH206),ROW(EH10:EH206),"")))</f>
        <v/>
      </c>
      <c r="EJ10" s="151">
        <f>IF('Données projet'!$A$192&gt;35,EJ9+EI10-ER9,IF(A10&lt;'Données projet'!$A$192,$EG$205^A10,IF(A10='Données projet'!$A$192,'Données projet'!$B$192,EJ9+EI10-ER9)))</f>
        <v>0</v>
      </c>
      <c r="EK10" s="158" t="str">
        <f>EJ10*VLOOKUP('Données projet'!$B$15,'Paramètres'!$A$1:$I$88,3,0)*VLOOKUP('Données projet'!$B$15,'Paramètres'!$A$1:$I$88,5,0)</f>
        <v>#N/A</v>
      </c>
      <c r="EL10" s="150" t="str">
        <f t="shared" si="46"/>
        <v>#N/A</v>
      </c>
      <c r="EM10" s="161" t="str">
        <f t="shared" si="20"/>
        <v>#N/A</v>
      </c>
      <c r="EN10" s="153" t="str">
        <f t="shared" si="21"/>
        <v>#N/A</v>
      </c>
      <c r="EO10" s="153" t="str">
        <f>AVERAGE(OFFSET($EN$3,0,0,'Données projet'!$E$15+1,1))-AVERAGE(OFFSET($H$3,0,0,'Données projet'!$E$15+1,1))</f>
        <v>#N/A</v>
      </c>
      <c r="EP10" s="153" t="str">
        <f t="shared" si="47"/>
        <v>#N/A</v>
      </c>
      <c r="EQ10" s="154">
        <f>IF(ISNA(VLOOKUP(A10,'Données projet'!$A$191:$I$211,3,0)),0,VLOOKUP(A10,'Données projet'!$A$191:$I$211,3,0))</f>
        <v>0</v>
      </c>
      <c r="ER10" s="154">
        <f>IF(ISNA(VLOOKUP(A10,'Données projet'!$A$191:$I$211,4,0)),0,VLOOKUP(A10,'Données projet'!$A$191:$I$211,4,0))</f>
        <v>0</v>
      </c>
      <c r="ES10" s="155">
        <f>IF(ISNA(VLOOKUP(A10,'Données projet'!$A$191:$I$211,5,0)),0%,VLOOKUP(A10,'Données projet'!$A$191:$I$211,5,0)*VLOOKUP('Données projet'!$B$15,'Paramètres'!$A$1:$I$88,7,0))</f>
        <v>0</v>
      </c>
      <c r="ET10" s="155">
        <f>IF(ISNA(VLOOKUP(A10,'Données projet'!$A$191:$I$211,6,0)),0%,VLOOKUP(A10,'Données projet'!$A$191:$I$211,6,0)*VLOOKUP('Données projet'!$B$15,'Paramètres'!$A$1:$I$88,7,0))</f>
        <v>0</v>
      </c>
      <c r="EU10" s="155">
        <f>IF(ISNA(VLOOKUP(A10,'Données projet'!$A$191:$I$211,7,0)),0%,VLOOKUP(A10,'Données projet'!$A$191:$I$211,7,0))</f>
        <v>0</v>
      </c>
      <c r="EV10" s="162" t="str">
        <f>EXP(-LN(2)/35)*EV9+(1-EXP(-LN(2)/35))/(LN(2)/35)*ER10*ES10*VLOOKUP('Données projet'!$B$15,'Paramètres'!$A$1:$I$88,3,0)*0.475*44/12</f>
        <v>#N/A</v>
      </c>
      <c r="EW10" s="162" t="str">
        <f>EXP(-LN(2)/25)*EW9+(1-EXP(-LN(2)/25))/(LN(2)/25)*Calculateur!ER10*Calculateur!ET10*VLOOKUP('Données projet'!$B$15,'Paramètres'!$A$1:$I$88,3,0)*0.475*44/12</f>
        <v>#N/A</v>
      </c>
      <c r="EX10" s="162" t="str">
        <f>EXP(-LN(2)/2)*EX9+(1-EXP(-LN(2)/2))/(LN(2)/2)*ER10*EU10*VLOOKUP('Données projet'!$B$15,'Paramètres'!$A$1:$I$88,3,0)*0.475*44/12</f>
        <v>#N/A</v>
      </c>
      <c r="EY10" s="163" t="str">
        <f t="shared" si="22"/>
        <v>#N/A</v>
      </c>
      <c r="EZ10" s="159">
        <f>('Scénario référence'!$F$8+'Scénario référence'!$F$9+'Scénario référence'!$B$17+'Scénario référence'!$B$9+'Scénario référence'!$B$10)*70+IF((45+25*(1-EXP(-0.0175*A10)))&lt;70,'Scénario référence'!$B$16*(45+25*(1-EXP(-0.0175*A10))),70*'Scénario référence'!$B$16)+IF((32+38*(1-EXP(-0.0175*A10)))&lt;70,'Scénario référence'!$B$18*(32+38*(1-EXP(-0.0175*A10))),70*'Scénario référence'!$B$18)</f>
        <v>70</v>
      </c>
      <c r="FA10" s="151">
        <f>IF(A10&gt;30,10,('Scénario référence'!$B$16+'Scénario référence'!$B$17+'Scénario référence'!$B$18+'Scénario référence'!$B$9+'Scénario référence'!$B$10)*A10*10/30+('Scénario référence'!$F$8+'Scénario référence'!$F$9)*10)</f>
        <v>2.333333333</v>
      </c>
      <c r="FB10" s="151" t="str">
        <f>VLOOKUP(A10,'Données projet'!$A$217:$I$237,2,0)</f>
        <v>#N/A</v>
      </c>
      <c r="FC10" s="151" t="str">
        <f>VLOOKUP(A10,'Données projet'!$A$217:$I$237,9,0)</f>
        <v>#N/A</v>
      </c>
      <c r="FD10" s="151" t="str">
        <f t="array" ref="FD10">INDEX(FC:FC,MIN(IF(ISNUMBER(FC10:FC206),ROW(FC10:FC206),"")))</f>
        <v/>
      </c>
      <c r="FE10" s="151">
        <f>IF('Données projet'!$A$218&gt;35,FE9+FD10-FM9,IF(A10&lt;'Données projet'!$A$218,$FB$205^A10,IF(A10='Données projet'!$A$218,'Données projet'!$B$218,FE9+FD10-FM9)))</f>
        <v>0</v>
      </c>
      <c r="FF10" s="158" t="str">
        <f>FE10*VLOOKUP('Données projet'!$B$16,'Paramètres'!$A$1:$I$88,3,0)*VLOOKUP('Données projet'!$B$16,'Paramètres'!$A$1:$I$88,5,0)</f>
        <v>#N/A</v>
      </c>
      <c r="FG10" s="150" t="str">
        <f t="shared" si="48"/>
        <v>#N/A</v>
      </c>
      <c r="FH10" s="161" t="str">
        <f t="shared" si="23"/>
        <v>#N/A</v>
      </c>
      <c r="FI10" s="153" t="str">
        <f t="shared" si="24"/>
        <v>#N/A</v>
      </c>
      <c r="FJ10" s="153" t="str">
        <f>AVERAGE(OFFSET($FI$3,0,0,'Données projet'!$E$16+1,1))-AVERAGE(OFFSET($H$3,0,0,'Données projet'!$E$16+1,1))</f>
        <v>#N/A</v>
      </c>
      <c r="FK10" s="153" t="str">
        <f t="shared" si="49"/>
        <v>#N/A</v>
      </c>
      <c r="FL10" s="154">
        <f>IF(ISNA(VLOOKUP(A10,'Données projet'!$A$217:$I$237,3,0)),0,VLOOKUP(A10,'Données projet'!$A$217:$I$237,3,0))</f>
        <v>0</v>
      </c>
      <c r="FM10" s="154">
        <f>IF(ISNA(VLOOKUP(A10,'Données projet'!$A$217:$I$237,4,0)),0,VLOOKUP(A10,'Données projet'!$A$217:$I$237,4,0))</f>
        <v>0</v>
      </c>
      <c r="FN10" s="155">
        <f>IF(ISNA(VLOOKUP(A10,'Données projet'!$A$217:$I$237,5,0)),0%,VLOOKUP(A10,'Données projet'!$A$217:$I$237,5,0)*VLOOKUP('Données projet'!$B$16,'Paramètres'!$A$1:$I$88,7,0))</f>
        <v>0</v>
      </c>
      <c r="FO10" s="155">
        <f>IF(ISNA(VLOOKUP(A10,'Données projet'!$A$217:$I$237,6,0)),0%,VLOOKUP(A10,'Données projet'!$A$217:$I$237,6,0)*VLOOKUP('Données projet'!$B$16,'Paramètres'!$A$1:$I$88,7,0))</f>
        <v>0</v>
      </c>
      <c r="FP10" s="155">
        <f>IF(ISNA(VLOOKUP(A10,'Données projet'!$A$217:$I$237,7,0)),0%,VLOOKUP(A10,'Données projet'!$A$217:$I$237,7,0))</f>
        <v>0</v>
      </c>
      <c r="FQ10" s="162" t="str">
        <f>EXP(-LN(2)/35)*FQ9+(1-EXP(-LN(2)/35))/(LN(2)/35)*FM10*FN10*VLOOKUP('Données projet'!$B$16,'Paramètres'!$A$1:$I$88,3,0)*0.475*44/12</f>
        <v>#N/A</v>
      </c>
      <c r="FR10" s="162" t="str">
        <f>EXP(-LN(2)/25)*FR9+(1-EXP(-LN(2)/25))/(LN(2)/25)*Calculateur!FM10*Calculateur!FO10*VLOOKUP('Données projet'!$B$16,'Paramètres'!$A$1:$I$88,3,0)*0.475*44/12</f>
        <v>#N/A</v>
      </c>
      <c r="FS10" s="162" t="str">
        <f>EXP(-LN(2)/2)*FS9+(1-EXP(-LN(2)/2))/(LN(2)/2)*FM10*FP10*VLOOKUP('Données projet'!$B$16,'Paramètres'!$A$1:$I$88,3,0)*0.475*44/12</f>
        <v>#N/A</v>
      </c>
      <c r="FT10" s="163" t="str">
        <f t="shared" si="25"/>
        <v>#N/A</v>
      </c>
      <c r="FU10" s="159">
        <f>('Scénario référence'!$F$8+'Scénario référence'!$F$9+'Scénario référence'!$B$17+'Scénario référence'!$B$9+'Scénario référence'!$B$10)*70+IF((45+25*(1-EXP(-0.0175*A10)))&lt;70,'Scénario référence'!$B$16*(45+25*(1-EXP(-0.0175*A10))),70*'Scénario référence'!$B$16)+IF((32+38*(1-EXP(-0.0175*A10)))&lt;70,'Scénario référence'!$B$18*(32+38*(1-EXP(-0.0175*A10))),70*'Scénario référence'!$B$18)</f>
        <v>70</v>
      </c>
      <c r="FV10" s="151">
        <f>IF(A10&gt;30,10,('Scénario référence'!$B$16+'Scénario référence'!$B$17+'Scénario référence'!$B$18+'Scénario référence'!$B$9+'Scénario référence'!$B$10)*A10*10/30+('Scénario référence'!$F$8+'Scénario référence'!$F$9)*10)</f>
        <v>2.333333333</v>
      </c>
      <c r="FW10" s="151" t="str">
        <f>VLOOKUP(A10,'Données projet'!$A$243:$I$263,2,0)</f>
        <v>#N/A</v>
      </c>
      <c r="FX10" s="151" t="str">
        <f>VLOOKUP(A10,'Données projet'!$A$243:$I$263,9,0)</f>
        <v>#N/A</v>
      </c>
      <c r="FY10" s="151" t="str">
        <f t="array" ref="FY10">INDEX(FX:FX,MIN(IF(ISNUMBER(FX10:FX206),ROW(FX10:FX206),"")))</f>
        <v/>
      </c>
      <c r="FZ10" s="151">
        <f>IF('Données projet'!$A$244&gt;35,FZ9+FY10-GH9,IF(A10&lt;'Données projet'!$A$244,$FW$205^A10,IF(A10='Données projet'!$A$244,'Données projet'!$B$244,FZ9+FY10-GH9)))</f>
        <v>0</v>
      </c>
      <c r="GA10" s="158" t="str">
        <f>FZ10*VLOOKUP('Données projet'!$B$17,'Paramètres'!$A$1:$I$88,3,0)*VLOOKUP('Données projet'!$B$17,'Paramètres'!$A$1:$I$88,5,0)</f>
        <v>#N/A</v>
      </c>
      <c r="GB10" s="150" t="str">
        <f t="shared" si="50"/>
        <v>#N/A</v>
      </c>
      <c r="GC10" s="161" t="str">
        <f t="shared" si="26"/>
        <v>#N/A</v>
      </c>
      <c r="GD10" s="153" t="str">
        <f t="shared" si="27"/>
        <v>#N/A</v>
      </c>
      <c r="GE10" s="153" t="str">
        <f>AVERAGE(OFFSET($GD$3,0,0,'Données projet'!$E$17+1,1))-AVERAGE(OFFSET($H$3,0,0,'Données projet'!$E$17+1,1))</f>
        <v>#N/A</v>
      </c>
      <c r="GF10" s="153" t="str">
        <f t="shared" si="51"/>
        <v>#N/A</v>
      </c>
      <c r="GG10" s="154">
        <f>IF(ISNA(VLOOKUP(A10,'Données projet'!$A$243:$I$263,3,0)),0,VLOOKUP(A10,'Données projet'!$A$243:$I$263,3,0))</f>
        <v>0</v>
      </c>
      <c r="GH10" s="154">
        <f>IF(ISNA(VLOOKUP(A10,'Données projet'!$A$243:$I$263,4,0)),0,VLOOKUP(A10,'Données projet'!$A$243:$I$263,4,0))</f>
        <v>0</v>
      </c>
      <c r="GI10" s="155">
        <f>IF(ISNA(VLOOKUP(A10,'Données projet'!$A$243:$I$263,5,0)),0%,VLOOKUP(A10,'Données projet'!$A$243:$I$263,5,0)*VLOOKUP('Données projet'!$B$17,'Paramètres'!$A$1:$I$88,7,0))</f>
        <v>0</v>
      </c>
      <c r="GJ10" s="155">
        <f>IF(ISNA(VLOOKUP(A10,'Données projet'!$A$243:$I$263,6,0)),0%,VLOOKUP(A10,'Données projet'!$A$243:$I$263,6,0)*VLOOKUP('Données projet'!$B$17,'Paramètres'!$A$1:$I$88,7,0))</f>
        <v>0</v>
      </c>
      <c r="GK10" s="155">
        <f>IF(ISNA(VLOOKUP(A10,'Données projet'!$A$243:$I$263,7,0)),0%,VLOOKUP(A10,'Données projet'!$A$243:$I$263,7,0))</f>
        <v>0</v>
      </c>
      <c r="GL10" s="162" t="str">
        <f>EXP(-LN(2)/35)*GL9+(1-EXP(-LN(2)/35))/(LN(2)/35)*GH10*GI10*VLOOKUP('Données projet'!$B$17,'Paramètres'!$A$1:$I$88,3,0)*0.475*44/12</f>
        <v>#N/A</v>
      </c>
      <c r="GM10" s="162" t="str">
        <f>EXP(-LN(2)/25)*GM9+(1-EXP(-LN(2)/25))/(LN(2)/25)*Calculateur!GH10*Calculateur!GJ10*VLOOKUP('Données projet'!$B$17,'Paramètres'!$A$1:$I$88,3,0)*0.475*44/12</f>
        <v>#N/A</v>
      </c>
      <c r="GN10" s="162" t="str">
        <f>EXP(-LN(2)/2)*GN9+(1-EXP(-LN(2)/2))/(LN(2)/2)*GH10*GK10*VLOOKUP('Données projet'!$B$17,'Paramètres'!$A$1:$I$88,3,0)*0.475*44/12</f>
        <v>#N/A</v>
      </c>
      <c r="GO10" s="162" t="str">
        <f t="shared" si="28"/>
        <v>#N/A</v>
      </c>
      <c r="GP10" s="159">
        <f>('Scénario référence'!$F$8+'Scénario référence'!$F$9+'Scénario référence'!$B$17+'Scénario référence'!$B$9+'Scénario référence'!$B$10)*70+IF((45+25*(1-EXP(-0.0175*A10)))&lt;70,'Scénario référence'!$B$16*(45+25*(1-EXP(-0.0175*A10))),70*'Scénario référence'!$B$16)+IF((32+38*(1-EXP(-0.0175*A10)))&lt;70,'Scénario référence'!$B$18*(32+38*(1-EXP(-0.0175*A10))),70*'Scénario référence'!$B$18)</f>
        <v>70</v>
      </c>
      <c r="GQ10" s="151">
        <f>IF(A10&gt;30,10,('Scénario référence'!$B$16+'Scénario référence'!$B$17+'Scénario référence'!$B$18+'Scénario référence'!$B$9+'Scénario référence'!$B$10)*A10*10/30+('Scénario référence'!$F$8+'Scénario référence'!$F$9)*10)</f>
        <v>2.333333333</v>
      </c>
      <c r="GR10" s="151" t="str">
        <f>VLOOKUP(A10,'Données projet'!$A$269:$I$289,2,0)</f>
        <v>#N/A</v>
      </c>
      <c r="GS10" s="151" t="str">
        <f>VLOOKUP(A10,'Données projet'!$A$269:$I$289,9,0)</f>
        <v>#N/A</v>
      </c>
      <c r="GT10" s="151" t="str">
        <f t="array" ref="GT10">INDEX(GS:GS,MIN(IF(ISNUMBER(GS10:GS206),ROW(GS10:GS206),"")))</f>
        <v/>
      </c>
      <c r="GU10" s="151">
        <f>IF('Données projet'!$A$270&gt;35,GU9+GT10-HC9,IF(A10&lt;'Données projet'!$A$270,$GR$205^A10,IF(A10='Données projet'!$A$270,'Données projet'!$B$270,GU9+GT10-HC9)))</f>
        <v>0</v>
      </c>
      <c r="GV10" s="158" t="str">
        <f>GU10*VLOOKUP('Données projet'!$B$18,'Paramètres'!$A$1:$I$88,3,0)*VLOOKUP('Données projet'!$B$18,'Paramètres'!$A$1:$I$88,5,0)</f>
        <v>#N/A</v>
      </c>
      <c r="GW10" s="150" t="str">
        <f t="shared" si="52"/>
        <v>#N/A</v>
      </c>
      <c r="GX10" s="161" t="str">
        <f t="shared" si="29"/>
        <v>#N/A</v>
      </c>
      <c r="GY10" s="153" t="str">
        <f t="shared" si="30"/>
        <v>#N/A</v>
      </c>
      <c r="GZ10" s="153" t="str">
        <f>AVERAGE(OFFSET($GY$3,0,0,'Données projet'!$E$18+1,1))-AVERAGE(OFFSET($H$3,0,0,'Données projet'!$E$18+1,1))</f>
        <v>#N/A</v>
      </c>
      <c r="HA10" s="153" t="str">
        <f t="shared" si="53"/>
        <v>#N/A</v>
      </c>
      <c r="HB10" s="154">
        <f>IF(ISNA(VLOOKUP(A10,'Données projet'!$A$269:$I$289,3,0)),0,VLOOKUP(A10,'Données projet'!$A$269:$I$289,3,0))</f>
        <v>0</v>
      </c>
      <c r="HC10" s="154">
        <f>IF(ISNA(VLOOKUP(A10,'Données projet'!$A$269:$I$289,4,0)),0,VLOOKUP(A10,'Données projet'!$A$269:$I$289,4,0))</f>
        <v>0</v>
      </c>
      <c r="HD10" s="155">
        <f>IF(ISNA(VLOOKUP(A10,'Données projet'!$A$269:$I$289,5,0)),0%,VLOOKUP(A10,'Données projet'!$A$269:$I$289,5,0)*VLOOKUP('Données projet'!$B$18,'Paramètres'!$A$1:$I$88,7,0))</f>
        <v>0</v>
      </c>
      <c r="HE10" s="155">
        <f>IF(ISNA(VLOOKUP(A10,'Données projet'!$A$269:$I$289,6,0)),0%,VLOOKUP(A10,'Données projet'!$A$269:$I$289,6,0)*VLOOKUP('Données projet'!$B$18,'Paramètres'!$A$1:$I$88,7,0))</f>
        <v>0</v>
      </c>
      <c r="HF10" s="155">
        <f>IF(ISNA(VLOOKUP(A10,'Données projet'!$A$269:$I$289,7,0)),0%,VLOOKUP(A10,'Données projet'!$A$269:$I$289,7,0))</f>
        <v>0</v>
      </c>
      <c r="HG10" s="162" t="str">
        <f>EXP(-LN(2)/35)*HG9+(1-EXP(-LN(2)/35))/(LN(2)/35)*HC10*HD10*VLOOKUP('Données projet'!$B$18,'Paramètres'!$A$1:$I$88,3,0)*0.475*44/12</f>
        <v>#N/A</v>
      </c>
      <c r="HH10" s="162" t="str">
        <f>EXP(-LN(2)/25)*HH9+(1-EXP(-LN(2)/25))/(LN(2)/25)*Calculateur!HC10*Calculateur!HE10*VLOOKUP('Données projet'!$B$18,'Paramètres'!$A$1:$I$88,3,0)*0.475*44/12</f>
        <v>#N/A</v>
      </c>
      <c r="HI10" s="162" t="str">
        <f>EXP(-LN(2)/2)*HI9+(1-EXP(-LN(2)/2))/(LN(2)/2)*HC10*HF10*VLOOKUP('Données projet'!$B$18,'Paramètres'!$A$1:$I$88,3,0)*0.475*44/12</f>
        <v>#N/A</v>
      </c>
      <c r="HJ10" s="163" t="str">
        <f t="shared" si="31"/>
        <v>#N/A</v>
      </c>
    </row>
    <row r="11">
      <c r="A11" s="145">
        <f t="shared" si="32"/>
        <v>8</v>
      </c>
      <c r="B11" s="146">
        <f>'Scénario référence'!$B$16*5+'Scénario référence'!$B$17*0+'Scénario référence'!$B$18*5</f>
        <v>0</v>
      </c>
      <c r="C11" s="160">
        <f>Calculateur!C10+'Scénario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1" s="147">
        <f t="shared" si="33"/>
        <v>0</v>
      </c>
      <c r="E11" s="147">
        <f>'Scénario référence'!$B$16*45+('Scénario référence'!$B$17+'Scénario référence'!$F$8+'Scénario référence'!$F$9+'Scénario référence'!$B$10+'Scénario référence'!$B$9)*70+'Scénario référence'!$B$18*32</f>
        <v>70</v>
      </c>
      <c r="F11" s="147">
        <f>IF(OR('Scénario référence'!$F$8&gt;0,'Scénario référence'!$F$9&gt;0),('Scénario référence'!$F$8+'Scénario référence'!$F$9)*10,0)</f>
        <v>0</v>
      </c>
      <c r="G11" s="147">
        <f>'Scénario référence'!$B$8*B11*44/12+'Scénario référence'!$B$9*(C11+D11)/0.475*44/12+'Scénario référence'!$B$10*(C11+D11)/0.475*44/12+'Scénario référence'!$F$8*(C11+D11)/0.475*44/12+'Scénario référence'!$F$9*(C11+D11)/0.475*44/12</f>
        <v>0</v>
      </c>
      <c r="H11" s="148">
        <f t="shared" si="1"/>
        <v>256.6666667</v>
      </c>
      <c r="I11" s="149">
        <f>('Scénario référence'!$F$8+'Scénario référence'!$F$9+'Scénario référence'!$B$17+'Scénario référence'!$B$9+'Scénario référence'!$B$10)*70+IF((45+25*(1-EXP(-0.0175*A11)))&lt;70,'Scénario référence'!$B$16*(45+25*(1-EXP(-0.0175*A11))),70*'Scénario référence'!$B$16)+IF((32+38*(1-EXP(-0.0175*A11)))&lt;70,'Scénario référence'!$B$18*(32+38*(1-EXP(-0.0175*A11))),70*'Scénario référence'!$B$18)</f>
        <v>70</v>
      </c>
      <c r="J11" s="150">
        <f>IF(A11&gt;30,10,('Scénario référence'!$B$16+'Scénario référence'!$B$17+'Scénario référence'!$B$18+'Scénario référence'!$B$9+'Scénario référence'!$B$10)*A11*10/30+('Scénario référence'!$F$8+'Scénario référence'!$F$9)*10)</f>
        <v>2.666666667</v>
      </c>
      <c r="K11" s="151" t="str">
        <f>VLOOKUP(A11,'Données projet'!$A$35:$I$55,2,0)</f>
        <v>#N/A</v>
      </c>
      <c r="L11" s="151" t="str">
        <f>VLOOKUP(A11,'Données projet'!$A$35:$I$55,9,0)</f>
        <v>#N/A</v>
      </c>
      <c r="M11" s="150">
        <f t="array" ref="M11">INDEX(L:L,MIN(IF(ISNUMBER(L11:L207),ROW(L11:L207),"")))</f>
        <v>3.65</v>
      </c>
      <c r="N11" s="150">
        <f>IF('Données projet'!$A$36&gt;35,N10+M11-V10,IF(A11&lt;'Données projet'!$A$36,$K$205^A11,IF(A11='Données projet'!$A$36,'Données projet'!$B$36,N10+M11-V10)))</f>
        <v>5.563257269</v>
      </c>
      <c r="O11" s="150">
        <f>N11*VLOOKUP('Données projet'!$B$9,'Paramètres'!$A$1:$I$88,3,0)*VLOOKUP('Données projet'!$B$9,'Paramètres'!$A$1:$I$88,5,0)</f>
        <v>5.033635177</v>
      </c>
      <c r="P11" s="150">
        <f t="shared" si="34"/>
        <v>1.921917613</v>
      </c>
      <c r="Q11" s="161">
        <f t="shared" si="2"/>
        <v>12.11425444</v>
      </c>
      <c r="R11" s="153">
        <f t="shared" si="3"/>
        <v>278.5586989</v>
      </c>
      <c r="S11" s="153">
        <f>AVERAGE(OFFSET($R$3,0,0,'Données projet'!$E$9+1,1))-AVERAGE(OFFSET($H$3,0,0,'Données projet'!$E$9+1,1))</f>
        <v>439.1985427</v>
      </c>
      <c r="T11" s="153">
        <f t="shared" si="35"/>
        <v>278.2174123</v>
      </c>
      <c r="U11" s="154">
        <f>IF(ISNA(VLOOKUP(A11,'Données projet'!$A$35:$I$55,3,0)),0,VLOOKUP(A11,'Données projet'!$A$35:$I$55,3,0))</f>
        <v>0</v>
      </c>
      <c r="V11" s="154">
        <f>IF(ISNA(VLOOKUP(A11,'Données projet'!$A$35:$I$55,4,0)),0,VLOOKUP(A11,'Données projet'!$A$35:$I$55,4,0))</f>
        <v>0</v>
      </c>
      <c r="W11" s="155">
        <f>IF(ISNA(VLOOKUP(A11,'Données projet'!$A$35:$I$55,5,0)),0%,VLOOKUP(A11,'Données projet'!$A$35:$I$55,5,0)*VLOOKUP('Données projet'!$B$9,'Paramètres'!$A$1:$I$88,7,0))</f>
        <v>0</v>
      </c>
      <c r="X11" s="155">
        <f>IF(ISNA(VLOOKUP(A11,'Données projet'!$A$35:$I$55,6,0)),0%,VLOOKUP(A11,'Données projet'!$A$35:$I$55,6,0)*VLOOKUP('Données projet'!$B$9,'Paramètres'!$A$1:$I$88,7,0))</f>
        <v>0</v>
      </c>
      <c r="Y11" s="155">
        <f>IF(ISNA(VLOOKUP(A11,'Données projet'!$A$35:$I$55,7,0)),0%,VLOOKUP(A11,'Données projet'!$A$35:$I$55,7,0))</f>
        <v>0</v>
      </c>
      <c r="Z11" s="162">
        <f>EXP(-LN(2)/35)*Z10+(1-EXP(-LN(2)/35))/(LN(2)/35)*V11*W11*VLOOKUP('Données projet'!$B$9,'Paramètres'!$A$1:$I$88,3,0)*0.475*44/12</f>
        <v>0</v>
      </c>
      <c r="AA11" s="162">
        <f>EXP(-LN(2)/25)*AA10+(1-EXP(-LN(2)/25))/(LN(2)/25)*Calculateur!V11*Calculateur!X11*VLOOKUP('Données projet'!$B$9,'Paramètres'!$A$1:$I$88,3,0)*0.475*44/12</f>
        <v>0</v>
      </c>
      <c r="AB11" s="162">
        <f>EXP(-LN(2)/2)*AB10+(1-EXP(-LN(2)/2))/(LN(2)/2)*V11*Y11*VLOOKUP('Données projet'!$B$9,'Paramètres'!$A$1:$I$88,3,0)*0.475*44/12</f>
        <v>0</v>
      </c>
      <c r="AC11" s="163">
        <f t="shared" si="4"/>
        <v>0</v>
      </c>
      <c r="AD11" s="150">
        <f>('Scénario référence'!$F$8+'Scénario référence'!$F$9+'Scénario référence'!$B$17+'Scénario référence'!$B$9+'Scénario référence'!$B$10)*70+IF((45+25*(1-EXP(-0.0175*A11)))&lt;70,'Scénario référence'!$B$16*(45+25*(1-EXP(-0.0175*A11))),70*'Scénario référence'!$B$16)+IF((32+38*(1-EXP(-0.0175*A11)))&lt;70,'Scénario référence'!$B$18*(32+38*(1-EXP(-0.0175*A11))),70*'Scénario référence'!$B$18)</f>
        <v>70</v>
      </c>
      <c r="AE11" s="150">
        <f>IF(A11&gt;30,10,('Scénario référence'!$B$16+'Scénario référence'!$B$17+'Scénario référence'!$B$18+'Scénario référence'!$B$9+'Scénario référence'!$B$10)*A11*10/30+('Scénario référence'!$F$8+'Scénario référence'!$F$9)*10)</f>
        <v>2.666666667</v>
      </c>
      <c r="AF11" s="151" t="str">
        <f>VLOOKUP(A11,'Données projet'!$A$61:$I$81,2,0)</f>
        <v>#N/A</v>
      </c>
      <c r="AG11" s="151" t="str">
        <f>VLOOKUP(A11,'Données projet'!$A$61:$I$81,9,0)</f>
        <v>#N/A</v>
      </c>
      <c r="AH11" s="150">
        <f t="array" ref="AH11">INDEX(AG:AG,MIN(IF(ISNUMBER(AG11:AG207),ROW(AG11:AG207),"")))</f>
        <v>1.9</v>
      </c>
      <c r="AI11" s="150">
        <f>IF('Données projet'!$A$62&gt;35,AI10+AH11-AQ10,IF(A11&lt;'Données projet'!$A$62,$AF$205^A11,IF(A11='Données projet'!$A$62,'Données projet'!$B$62,AI10+AH11-AQ10)))</f>
        <v>10.5439389</v>
      </c>
      <c r="AJ11" s="150">
        <f>AI11*VLOOKUP('Données projet'!$B$10,'Paramètres'!$A$1:$I$88,3,0)*VLOOKUP('Données projet'!$B$10,'Paramètres'!$A$1:$I$88,5,0)</f>
        <v>8.388757792</v>
      </c>
      <c r="AK11" s="150">
        <f t="shared" si="36"/>
        <v>3.018083931</v>
      </c>
      <c r="AL11" s="161">
        <f t="shared" si="5"/>
        <v>19.866916</v>
      </c>
      <c r="AM11" s="153">
        <f t="shared" si="6"/>
        <v>286.3113604</v>
      </c>
      <c r="AN11" s="153">
        <f>AVERAGE(OFFSET($AM$3,0,0,'Données projet'!$E$10+1,1))-AVERAGE(OFFSET($H$3,0,0,'Données projet'!$E$10+1,1))</f>
        <v>405.6113614</v>
      </c>
      <c r="AO11" s="153">
        <f t="shared" si="37"/>
        <v>393.0787141</v>
      </c>
      <c r="AP11" s="154">
        <f>IF(ISNA(VLOOKUP(A11,'Données projet'!$A$61:$I$81,3,0)),0,VLOOKUP(A11,'Données projet'!$A$61:$I$81,3,0))</f>
        <v>0</v>
      </c>
      <c r="AQ11" s="154">
        <f>IF(ISNA(VLOOKUP(A11,'Données projet'!$A$61:$I$81,4,0)),0,VLOOKUP(A11,'Données projet'!$A$61:$I$81,4,0))</f>
        <v>0</v>
      </c>
      <c r="AR11" s="155">
        <f>IF(ISNA(VLOOKUP(A11,'Données projet'!$A$61:$I$81,5,0)),0%,VLOOKUP(A11,'Données projet'!$A$61:$I$81,5,0)*VLOOKUP('Données projet'!$B$10,'Paramètres'!$A$1:$I$88,7,0))</f>
        <v>0</v>
      </c>
      <c r="AS11" s="155">
        <f>IF(ISNA(VLOOKUP(A11,'Données projet'!$A$61:$I$81,6,0)),0%,VLOOKUP(A11,'Données projet'!$A$61:$I$81,6,0)*VLOOKUP('Données projet'!$B$10,'Paramètres'!$A$1:$I$88,7,0))</f>
        <v>0</v>
      </c>
      <c r="AT11" s="155">
        <f>IF(ISNA(VLOOKUP(A11,'Données projet'!$A$61:$I$81,7,0)),0%,VLOOKUP(A11,'Données projet'!$A$61:$I$81,7,0))</f>
        <v>0</v>
      </c>
      <c r="AU11" s="162">
        <f>EXP(-LN(2)/35)*AU10+(1-EXP(-LN(2)/35))/(LN(2)/35)*AQ11*AR11*VLOOKUP('Données projet'!$B$10,'Paramètres'!$A$1:$I$88,3,0)*0.475*44/12</f>
        <v>0</v>
      </c>
      <c r="AV11" s="162">
        <f>EXP(-LN(2)/25)*AV10+(1-EXP(-LN(2)/25))/(LN(2)/25)*Calculateur!AQ11*Calculateur!AS11*VLOOKUP('Données projet'!$B$10,'Paramètres'!$A$1:$I$88,3,0)*0.475*44/12</f>
        <v>0</v>
      </c>
      <c r="AW11" s="162">
        <f>EXP(-LN(2)/2)*AW10+(1-EXP(-LN(2)/2))/(LN(2)/2)*AQ11*AT11*VLOOKUP('Données projet'!$B$10,'Paramètres'!$A$1:$I$88,3,0)*0.475*44/12</f>
        <v>0</v>
      </c>
      <c r="AX11" s="162">
        <f t="shared" si="7"/>
        <v>0</v>
      </c>
      <c r="AY11" s="157">
        <f>('Scénario référence'!$F$8+'Scénario référence'!$F$9+'Scénario référence'!$B$17+'Scénario référence'!$B$9+'Scénario référence'!$B$10)*70+IF((45+25*(1-EXP(-0.0175*A11)))&lt;70,'Scénario référence'!$B$16*(45+25*(1-EXP(-0.0175*A11))),70*'Scénario référence'!$B$16)+IF((32+38*(1-EXP(-0.0175*A11)))&lt;70,'Scénario référence'!$B$18*(32+38*(1-EXP(-0.0175*A11))),70*'Scénario référence'!$B$18)</f>
        <v>70</v>
      </c>
      <c r="AZ11" s="151">
        <f>IF(A11&gt;30,10,('Scénario référence'!$B$16+'Scénario référence'!$B$17+'Scénario référence'!$B$18+'Scénario référence'!$B$9+'Scénario référence'!$B$10)*A11*10/30+('Scénario référence'!$F$8+'Scénario référence'!$F$9)*10)</f>
        <v>2.666666667</v>
      </c>
      <c r="BA11" s="151" t="str">
        <f>VLOOKUP(A11,'Données projet'!$A$87:$I$107,2,0)</f>
        <v>#N/A</v>
      </c>
      <c r="BB11" s="151" t="str">
        <f>VLOOKUP(A11,'Données projet'!$A$87:$I$107,9,0)</f>
        <v>#N/A</v>
      </c>
      <c r="BC11" s="150" t="str">
        <f t="array" ref="BC11">INDEX(BB:BB,MIN(IF(ISNUMBER(BB11:BB207),ROW(BB11:BB207),"")))</f>
        <v/>
      </c>
      <c r="BD11" s="150">
        <f>IF('Données projet'!$A$88&gt;35,BD10+BC11-BL10,IF(A11&lt;'Données projet'!$A$88,$BA$205^A11,IF(A11='Données projet'!$A$88,'Données projet'!$B$88,BD10+BC11-BL10)))</f>
        <v>0</v>
      </c>
      <c r="BE11" s="150">
        <f>BD11*VLOOKUP('Données projet'!$B$11,'Paramètres'!$A$1:$I$88,3,0)*VLOOKUP('Données projet'!$B$11,'Paramètres'!$A$1:$I$88,5,0)</f>
        <v>0</v>
      </c>
      <c r="BF11" s="150" t="str">
        <f t="shared" si="38"/>
        <v>#NUM!</v>
      </c>
      <c r="BG11" s="161" t="str">
        <f t="shared" si="8"/>
        <v>#NUM!</v>
      </c>
      <c r="BH11" s="153" t="str">
        <f t="shared" si="9"/>
        <v>#NUM!</v>
      </c>
      <c r="BI11" s="153">
        <f>AVERAGE(OFFSET($BH$3,0,0,'Données projet'!$E$11+1,1))-AVERAGE(OFFSET($H$3,0,0,'Données projet'!$E$11+1,1))</f>
        <v>0</v>
      </c>
      <c r="BJ11" s="153">
        <f t="shared" si="39"/>
        <v>0</v>
      </c>
      <c r="BK11" s="154">
        <f>IF(ISNA(VLOOKUP(A11,'Données projet'!$A$87:$I$107,3,0)),0,VLOOKUP(A11,'Données projet'!$A$87:$I$107,3,0))</f>
        <v>0</v>
      </c>
      <c r="BL11" s="154">
        <f>IF(ISNA(VLOOKUP(A11,'Données projet'!$A$87:$I$107,4,0)),0,VLOOKUP(A11,'Données projet'!$A$87:$I$107,4,0))</f>
        <v>0</v>
      </c>
      <c r="BM11" s="155">
        <f>IF(ISNA(VLOOKUP(A11,'Données projet'!$A$87:$I$107,5,0)),0%,VLOOKUP(A11,'Données projet'!$A$87:$I$107,5,0)*VLOOKUP('Données projet'!$B$11,'Paramètres'!$A$1:$I$88,7,0))</f>
        <v>0</v>
      </c>
      <c r="BN11" s="155">
        <f>IF(ISNA(VLOOKUP(A11,'Données projet'!$A$87:$I$107,6,0)),0%,VLOOKUP(A11,'Données projet'!$A$87:$I$107,6,0)*VLOOKUP('Données projet'!$B$11,'Paramètres'!$A$1:$I$88,7,0))</f>
        <v>0</v>
      </c>
      <c r="BO11" s="155">
        <f>IF(ISNA(VLOOKUP(A11,'Données projet'!$A$87:$I$107,7,0)),0%,VLOOKUP(A11,'Données projet'!$A$87:$I$107,7,0))</f>
        <v>0</v>
      </c>
      <c r="BP11" s="162">
        <f>EXP(-LN(2)/35)*BP10+(1-EXP(-LN(2)/35))/(LN(2)/35)*BL11*BM11*VLOOKUP('Données projet'!$B$11,'Paramètres'!$A$1:$I$88,3,0)*0.475*44/12</f>
        <v>0</v>
      </c>
      <c r="BQ11" s="162">
        <f>EXP(-LN(2)/25)*BQ10+(1-EXP(-LN(2)/25))/(LN(2)/25)*Calculateur!BL11*Calculateur!BN11*VLOOKUP('Données projet'!$B$11,'Paramètres'!$A$1:$I$88,3,0)*0.475*44/12</f>
        <v>0</v>
      </c>
      <c r="BR11" s="162">
        <f>EXP(-LN(2)/2)*BR10+(1-EXP(-LN(2)/2))/(LN(2)/2)*BL11*BO11*VLOOKUP('Données projet'!$B$11,'Paramètres'!$A$1:$I$88,3,0)*0.475*44/12</f>
        <v>0</v>
      </c>
      <c r="BS11" s="163">
        <f t="shared" si="10"/>
        <v>0</v>
      </c>
      <c r="BT11" s="159">
        <f>('Scénario référence'!$F$8+'Scénario référence'!$F$9+'Scénario référence'!$B$17+'Scénario référence'!$B$9+'Scénario référence'!$B$10)*70+IF((45+25*(1-EXP(-0.0175*A11)))&lt;70,'Scénario référence'!$B$16*(45+25*(1-EXP(-0.0175*A11))),70*'Scénario référence'!$B$16)+IF((32+38*(1-EXP(-0.0175*A11)))&lt;70,'Scénario référence'!$B$18*(32+38*(1-EXP(-0.0175*A11))),70*'Scénario référence'!$B$18)</f>
        <v>70</v>
      </c>
      <c r="BU11" s="151">
        <f>IF(A11&gt;30,10,('Scénario référence'!$B$16+'Scénario référence'!$B$17+'Scénario référence'!$B$18+'Scénario référence'!$B$9+'Scénario référence'!$B$10)*A11*10/30+('Scénario référence'!$F$8+'Scénario référence'!$F$9)*10)</f>
        <v>2.666666667</v>
      </c>
      <c r="BV11" s="151" t="str">
        <f>VLOOKUP(A11,'Données projet'!$A$113:$I$133,2,0)</f>
        <v>#N/A</v>
      </c>
      <c r="BW11" s="151" t="str">
        <f>VLOOKUP(A11,'Données projet'!$A$113:$I$133,9,0)</f>
        <v>#N/A</v>
      </c>
      <c r="BX11" s="150" t="str">
        <f t="array" ref="BX11">INDEX(BW:BW,MIN(IF(ISNUMBER(BW11:BW207),ROW(BW11:BW207),"")))</f>
        <v/>
      </c>
      <c r="BY11" s="150">
        <f>IF('Données projet'!$A$114&gt;35,BY10+BX11-CG10,IF(A11&lt;'Données projet'!$A$114,$BV$205^A11,IF(A11='Données projet'!$A$114,'Données projet'!$B$114,BY10+BX11-CG10)))</f>
        <v>0</v>
      </c>
      <c r="BZ11" s="150" t="str">
        <f>BY11*VLOOKUP('Données projet'!$B$12,'Paramètres'!$A$1:$I$88,3,0)*VLOOKUP('Données projet'!$B$12,'Paramètres'!$A$1:$I$88,5,0)</f>
        <v>#N/A</v>
      </c>
      <c r="CA11" s="150" t="str">
        <f t="shared" si="40"/>
        <v>#N/A</v>
      </c>
      <c r="CB11" s="161" t="str">
        <f t="shared" si="11"/>
        <v>#N/A</v>
      </c>
      <c r="CC11" s="153" t="str">
        <f t="shared" si="12"/>
        <v>#N/A</v>
      </c>
      <c r="CD11" s="153" t="str">
        <f>AVERAGE(OFFSET($CC$3,0,0,'Données projet'!$E$12+1,1))-AVERAGE(OFFSET($H$3,0,0,'Données projet'!$E$12+1,1))</f>
        <v>#N/A</v>
      </c>
      <c r="CE11" s="153" t="str">
        <f t="shared" si="41"/>
        <v>#N/A</v>
      </c>
      <c r="CF11" s="154">
        <f>IF(ISNA(VLOOKUP(A11,'Données projet'!$A$113:$I$133,3,0)),0,VLOOKUP(A11,'Données projet'!$A$113:$I$133,3,0))</f>
        <v>0</v>
      </c>
      <c r="CG11" s="154">
        <f>IF(ISNA(VLOOKUP(A11,'Données projet'!$A$113:$I$133,4,0)),0,VLOOKUP(A11,'Données projet'!$A$113:$I$133,4,0))</f>
        <v>0</v>
      </c>
      <c r="CH11" s="155">
        <f>IF(ISNA(VLOOKUP(A11,'Données projet'!$A$113:$I$133,5,0)),0%,VLOOKUP(A11,'Données projet'!$A$113:$I$133,5,0)*VLOOKUP('Données projet'!$B$12,'Paramètres'!$A$1:$I$88,7,0))</f>
        <v>0</v>
      </c>
      <c r="CI11" s="155">
        <f>IF(ISNA(VLOOKUP(A11,'Données projet'!$A$113:$I$133,6,0)),0%,VLOOKUP(A11,'Données projet'!$A$113:$I$133,6,0)*VLOOKUP('Données projet'!$B$12,'Paramètres'!$A$1:$I$88,7,0))</f>
        <v>0</v>
      </c>
      <c r="CJ11" s="155">
        <f>IF(ISNA(VLOOKUP(A11,'Données projet'!$A$113:$I$133,7,0)),0%,VLOOKUP(A11,'Données projet'!$A$113:$I$133,7,0))</f>
        <v>0</v>
      </c>
      <c r="CK11" s="162" t="str">
        <f>EXP(-LN(2)/35)*CK10+(1-EXP(-LN(2)/35))/(LN(2)/35)*CG11*CH11*VLOOKUP('Données projet'!$B$12,'Paramètres'!$A$1:$I$88,3,0)*0.475*44/12</f>
        <v>#N/A</v>
      </c>
      <c r="CL11" s="162" t="str">
        <f>EXP(-LN(2)/25)*CL10+(1-EXP(-LN(2)/25))/(LN(2)/25)*Calculateur!CG11*Calculateur!CI11*VLOOKUP('Données projet'!$B$12,'Paramètres'!$A$1:$I$88,3,0)*0.475*44/12</f>
        <v>#N/A</v>
      </c>
      <c r="CM11" s="162" t="str">
        <f>EXP(-LN(2)/2)*CM10+(1-EXP(-LN(2)/2))/(LN(2)/2)*CG11*CJ11*VLOOKUP('Données projet'!$B$12,'Paramètres'!$A$1:$I$88,3,0)*0.475*44/12</f>
        <v>#N/A</v>
      </c>
      <c r="CN11" s="163" t="str">
        <f t="shared" si="13"/>
        <v>#N/A</v>
      </c>
      <c r="CO11" s="159">
        <f>('Scénario référence'!$F$8+'Scénario référence'!$F$9+'Scénario référence'!$B$17+'Scénario référence'!$B$9+'Scénario référence'!$B$10)*70+IF((45+25*(1-EXP(-0.0175*A11)))&lt;70,'Scénario référence'!$B$16*(45+25*(1-EXP(-0.0175*A11))),70*'Scénario référence'!$B$16)+IF((32+38*(1-EXP(-0.0175*A11)))&lt;70,'Scénario référence'!$B$18*(32+38*(1-EXP(-0.0175*A11))),70*'Scénario référence'!$B$18)</f>
        <v>70</v>
      </c>
      <c r="CP11" s="151">
        <f>IF(A11&gt;30,10,('Scénario référence'!$B$16+'Scénario référence'!$B$17+'Scénario référence'!$B$18+'Scénario référence'!$B$9+'Scénario référence'!$B$10)*A11*10/30+('Scénario référence'!$F$8+'Scénario référence'!$F$9)*10)</f>
        <v>2.666666667</v>
      </c>
      <c r="CQ11" s="151" t="str">
        <f>VLOOKUP(A11,'Données projet'!$A$139:$I$159,2,0)</f>
        <v>#N/A</v>
      </c>
      <c r="CR11" s="151" t="str">
        <f>VLOOKUP(A11,'Données projet'!$A$139:$I$159,9,0)</f>
        <v>#N/A</v>
      </c>
      <c r="CS11" s="151" t="str">
        <f t="array" ref="CS11">INDEX(CR:CR,MIN(IF(ISNUMBER(CR11:CR207),ROW(CR11:CR207),"")))</f>
        <v/>
      </c>
      <c r="CT11" s="151">
        <f>IF('Données projet'!$A$140&gt;35,CT10+CS11-DB10,IF(A11&lt;'Données projet'!$A$140,$CQ$205^A11,IF(A11='Données projet'!$A$140,'Données projet'!$B$140,CT10+CS11-DB10)))</f>
        <v>0</v>
      </c>
      <c r="CU11" s="158" t="str">
        <f>CT11*VLOOKUP('Données projet'!$B$13,'Paramètres'!$A$1:$I$88,3,0)*VLOOKUP('Données projet'!$B$13,'Paramètres'!$A$1:$I$88,5,0)</f>
        <v>#N/A</v>
      </c>
      <c r="CV11" s="150" t="str">
        <f t="shared" si="42"/>
        <v>#N/A</v>
      </c>
      <c r="CW11" s="161" t="str">
        <f t="shared" si="14"/>
        <v>#N/A</v>
      </c>
      <c r="CX11" s="153" t="str">
        <f t="shared" si="15"/>
        <v>#N/A</v>
      </c>
      <c r="CY11" s="153" t="str">
        <f>AVERAGE(OFFSET($CX$3,0,0,'Données projet'!$E$13+1,1))-AVERAGE(OFFSET($H$3,0,0,'Données projet'!$E$13+1,1))</f>
        <v>#N/A</v>
      </c>
      <c r="CZ11" s="153" t="str">
        <f t="shared" si="43"/>
        <v>#N/A</v>
      </c>
      <c r="DA11" s="154">
        <f>IF(ISNA(VLOOKUP(A11,'Données projet'!$A$139:$I$159,3,0)),0,VLOOKUP(A11,'Données projet'!$A$139:$I$159,3,0))</f>
        <v>0</v>
      </c>
      <c r="DB11" s="154">
        <f>IF(ISNA(VLOOKUP(A11,'Données projet'!$A$139:$I$159,4,0)),0,VLOOKUP(A11,'Données projet'!$A$139:$I$159,4,0))</f>
        <v>0</v>
      </c>
      <c r="DC11" s="155">
        <f>IF(ISNA(VLOOKUP(A11,'Données projet'!$A$139:$I$159,5,0)),0%,VLOOKUP(A11,'Données projet'!$A$139:$I$159,5,0)*VLOOKUP('Données projet'!$B$13,'Paramètres'!$A$1:$I$88,7,0))</f>
        <v>0</v>
      </c>
      <c r="DD11" s="155">
        <f>IF(ISNA(VLOOKUP(A11,'Données projet'!$A$139:$I$159,6,0)),0%,VLOOKUP(A11,'Données projet'!$A$139:$I$159,6,0)*VLOOKUP('Données projet'!$B$13,'Paramètres'!$A$1:$I$88,7,0))</f>
        <v>0</v>
      </c>
      <c r="DE11" s="155">
        <f>IF(ISNA(VLOOKUP(A11,'Données projet'!$A$139:$I$159,7,0)),0%,VLOOKUP(A11,'Données projet'!$A$139:$I$159,7,0))</f>
        <v>0</v>
      </c>
      <c r="DF11" s="162" t="str">
        <f>EXP(-LN(2)/35)*DF10+(1-EXP(-LN(2)/35))/(LN(2)/35)*DB11*DC11*VLOOKUP('Données projet'!$B$13,'Paramètres'!$A$1:$I$88,3,0)*0.475*44/12</f>
        <v>#N/A</v>
      </c>
      <c r="DG11" s="162" t="str">
        <f>EXP(-LN(2)/25)*DG10+(1-EXP(-LN(2)/25))/(LN(2)/25)*Calculateur!DB11*Calculateur!DD11*VLOOKUP('Données projet'!$B$13,'Paramètres'!$A$1:$I$88,3,0)*0.475*44/12</f>
        <v>#N/A</v>
      </c>
      <c r="DH11" s="162" t="str">
        <f>EXP(-LN(2)/2)*DH10+(1-EXP(-LN(2)/2))/(LN(2)/2)*DB11*DE11*VLOOKUP('Données projet'!$B$13,'Paramètres'!$A$1:$I$88,3,0)*0.475*44/12</f>
        <v>#N/A</v>
      </c>
      <c r="DI11" s="163" t="str">
        <f t="shared" si="16"/>
        <v>#N/A</v>
      </c>
      <c r="DJ11" s="159">
        <f>('Scénario référence'!$F$8+'Scénario référence'!$F$9+'Scénario référence'!$B$17+'Scénario référence'!$B$9+'Scénario référence'!$B$10)*70+IF((45+25*(1-EXP(-0.0175*A11)))&lt;70,'Scénario référence'!$B$16*(45+25*(1-EXP(-0.0175*A11))),70*'Scénario référence'!$B$16)+IF((32+38*(1-EXP(-0.0175*A11)))&lt;70,'Scénario référence'!$B$18*(32+38*(1-EXP(-0.0175*A11))),70*'Scénario référence'!$B$18)</f>
        <v>70</v>
      </c>
      <c r="DK11" s="151">
        <f>IF(A11&gt;30,10,('Scénario référence'!$B$16+'Scénario référence'!$B$17+'Scénario référence'!$B$18+'Scénario référence'!$B$9+'Scénario référence'!$B$10)*A11*10/30+('Scénario référence'!$F$8+'Scénario référence'!$F$9)*10)</f>
        <v>2.666666667</v>
      </c>
      <c r="DL11" s="151" t="str">
        <f>VLOOKUP(A11,'Données projet'!$A$165:$I$185,2,0)</f>
        <v>#N/A</v>
      </c>
      <c r="DM11" s="151" t="str">
        <f>VLOOKUP(A11,'Données projet'!$A$165:$I$185,9,0)</f>
        <v>#N/A</v>
      </c>
      <c r="DN11" s="151" t="str">
        <f t="array" ref="DN11">INDEX(DM:DM,MIN(IF(ISNUMBER(DM11:DM207),ROW(DM11:DM207),"")))</f>
        <v/>
      </c>
      <c r="DO11" s="151">
        <f>IF('Données projet'!$A$166&gt;35,DO10+DN11-DW10,IF(A11&lt;'Données projet'!$A$166,$DL$205^A11,IF(A11='Données projet'!$A$166,'Données projet'!$B$166,DO10+DN11-DW10)))</f>
        <v>0</v>
      </c>
      <c r="DP11" s="158" t="str">
        <f>DO11*VLOOKUP('Données projet'!$B$14,'Paramètres'!$A$1:$I$88,3,0)*VLOOKUP('Données projet'!$B$14,'Paramètres'!$A$1:$I$88,5,0)</f>
        <v>#N/A</v>
      </c>
      <c r="DQ11" s="150" t="str">
        <f t="shared" si="44"/>
        <v>#N/A</v>
      </c>
      <c r="DR11" s="161" t="str">
        <f t="shared" si="17"/>
        <v>#N/A</v>
      </c>
      <c r="DS11" s="153" t="str">
        <f t="shared" si="18"/>
        <v>#N/A</v>
      </c>
      <c r="DT11" s="153" t="str">
        <f>AVERAGE(OFFSET($DS$3,0,0,'Données projet'!$E$14+1,1))-AVERAGE(OFFSET($H$3,0,0,'Données projet'!$E$14+1,1))</f>
        <v>#N/A</v>
      </c>
      <c r="DU11" s="153" t="str">
        <f t="shared" si="45"/>
        <v>#N/A</v>
      </c>
      <c r="DV11" s="154">
        <f>IF(ISNA(VLOOKUP(A11,'Données projet'!$A$165:$I$185,3,0)),0,VLOOKUP(A11,'Données projet'!$A$165:$I$185,3,0))</f>
        <v>0</v>
      </c>
      <c r="DW11" s="154">
        <f>IF(ISNA(VLOOKUP(A11,'Données projet'!$A$165:$I$185,4,0)),0,VLOOKUP(A11,'Données projet'!$A$165:$I$185,4,0))</f>
        <v>0</v>
      </c>
      <c r="DX11" s="155">
        <f>IF(ISNA(VLOOKUP(A11,'Données projet'!$A$165:$I$185,5,0)),0%,VLOOKUP(A11,'Données projet'!$A$165:$I$185,5,0)*VLOOKUP('Données projet'!$B$14,'Paramètres'!$A$1:$I$88,7,0))</f>
        <v>0</v>
      </c>
      <c r="DY11" s="155">
        <f>IF(ISNA(VLOOKUP(A11,'Données projet'!$A$165:$I$185,6,0)),0%,VLOOKUP(A11,'Données projet'!$A$165:$I$185,6,0)*VLOOKUP('Données projet'!$B$14,'Paramètres'!$A$1:$I$88,7,0))</f>
        <v>0</v>
      </c>
      <c r="DZ11" s="155">
        <f>IF(ISNA(VLOOKUP(A11,'Données projet'!$A$165:$I$185,7,0)),0%,VLOOKUP(A11,'Données projet'!$A$165:$I$185,7,0))</f>
        <v>0</v>
      </c>
      <c r="EA11" s="162" t="str">
        <f>EXP(-LN(2)/35)*EA10+(1-EXP(-LN(2)/35))/(LN(2)/35)*DW11*DX11*VLOOKUP('Données projet'!$B$14,'Paramètres'!$A$1:$I$88,3,0)*0.475*44/12</f>
        <v>#N/A</v>
      </c>
      <c r="EB11" s="162" t="str">
        <f>EXP(-LN(2)/25)*EB10+(1-EXP(-LN(2)/25))/(LN(2)/25)*Calculateur!DW11*Calculateur!DY11*VLOOKUP('Données projet'!$B$14,'Paramètres'!$A$1:$I$88,3,0)*0.475*44/12</f>
        <v>#N/A</v>
      </c>
      <c r="EC11" s="162" t="str">
        <f>EXP(-LN(2)/2)*EC10+(1-EXP(-LN(2)/2))/(LN(2)/2)*DW11*DZ11*VLOOKUP('Données projet'!$B$14,'Paramètres'!$A$1:$I$88,3,0)*0.475*44/12</f>
        <v>#N/A</v>
      </c>
      <c r="ED11" s="163" t="str">
        <f t="shared" si="19"/>
        <v>#N/A</v>
      </c>
      <c r="EE11" s="159">
        <f>('Scénario référence'!$F$8+'Scénario référence'!$F$9+'Scénario référence'!$B$17+'Scénario référence'!$B$9+'Scénario référence'!$B$10)*70+IF((45+25*(1-EXP(-0.0175*A11)))&lt;70,'Scénario référence'!$B$16*(45+25*(1-EXP(-0.0175*A11))),70*'Scénario référence'!$B$16)+IF((32+38*(1-EXP(-0.0175*A11)))&lt;70,'Scénario référence'!$B$18*(32+38*(1-EXP(-0.0175*A11))),70*'Scénario référence'!$B$18)</f>
        <v>70</v>
      </c>
      <c r="EF11" s="151">
        <f>IF(A11&gt;30,10,('Scénario référence'!$B$16+'Scénario référence'!$B$17+'Scénario référence'!$B$18+'Scénario référence'!$B$9+'Scénario référence'!$B$10)*A11*10/30+('Scénario référence'!$F$8+'Scénario référence'!$F$9)*10)</f>
        <v>2.666666667</v>
      </c>
      <c r="EG11" s="151" t="str">
        <f>VLOOKUP(A11,'Données projet'!$A$191:$I$211,2,0)</f>
        <v>#N/A</v>
      </c>
      <c r="EH11" s="151" t="str">
        <f>VLOOKUP(A11,'Données projet'!$A$191:$I$211,9,0)</f>
        <v>#N/A</v>
      </c>
      <c r="EI11" s="151" t="str">
        <f t="array" ref="EI11">INDEX(EH:EH,MIN(IF(ISNUMBER(EH11:EH207),ROW(EH11:EH207),"")))</f>
        <v/>
      </c>
      <c r="EJ11" s="151">
        <f>IF('Données projet'!$A$192&gt;35,EJ10+EI11-ER10,IF(A11&lt;'Données projet'!$A$192,$EG$205^A11,IF(A11='Données projet'!$A$192,'Données projet'!$B$192,EJ10+EI11-ER10)))</f>
        <v>0</v>
      </c>
      <c r="EK11" s="158" t="str">
        <f>EJ11*VLOOKUP('Données projet'!$B$15,'Paramètres'!$A$1:$I$88,3,0)*VLOOKUP('Données projet'!$B$15,'Paramètres'!$A$1:$I$88,5,0)</f>
        <v>#N/A</v>
      </c>
      <c r="EL11" s="150" t="str">
        <f t="shared" si="46"/>
        <v>#N/A</v>
      </c>
      <c r="EM11" s="161" t="str">
        <f t="shared" si="20"/>
        <v>#N/A</v>
      </c>
      <c r="EN11" s="153" t="str">
        <f t="shared" si="21"/>
        <v>#N/A</v>
      </c>
      <c r="EO11" s="153" t="str">
        <f>AVERAGE(OFFSET($EN$3,0,0,'Données projet'!$E$15+1,1))-AVERAGE(OFFSET($H$3,0,0,'Données projet'!$E$15+1,1))</f>
        <v>#N/A</v>
      </c>
      <c r="EP11" s="153" t="str">
        <f t="shared" si="47"/>
        <v>#N/A</v>
      </c>
      <c r="EQ11" s="154">
        <f>IF(ISNA(VLOOKUP(A11,'Données projet'!$A$191:$I$211,3,0)),0,VLOOKUP(A11,'Données projet'!$A$191:$I$211,3,0))</f>
        <v>0</v>
      </c>
      <c r="ER11" s="154">
        <f>IF(ISNA(VLOOKUP(A11,'Données projet'!$A$191:$I$211,4,0)),0,VLOOKUP(A11,'Données projet'!$A$191:$I$211,4,0))</f>
        <v>0</v>
      </c>
      <c r="ES11" s="155">
        <f>IF(ISNA(VLOOKUP(A11,'Données projet'!$A$191:$I$211,5,0)),0%,VLOOKUP(A11,'Données projet'!$A$191:$I$211,5,0)*VLOOKUP('Données projet'!$B$15,'Paramètres'!$A$1:$I$88,7,0))</f>
        <v>0</v>
      </c>
      <c r="ET11" s="155">
        <f>IF(ISNA(VLOOKUP(A11,'Données projet'!$A$191:$I$211,6,0)),0%,VLOOKUP(A11,'Données projet'!$A$191:$I$211,6,0)*VLOOKUP('Données projet'!$B$15,'Paramètres'!$A$1:$I$88,7,0))</f>
        <v>0</v>
      </c>
      <c r="EU11" s="155">
        <f>IF(ISNA(VLOOKUP(A11,'Données projet'!$A$191:$I$211,7,0)),0%,VLOOKUP(A11,'Données projet'!$A$191:$I$211,7,0))</f>
        <v>0</v>
      </c>
      <c r="EV11" s="162" t="str">
        <f>EXP(-LN(2)/35)*EV10+(1-EXP(-LN(2)/35))/(LN(2)/35)*ER11*ES11*VLOOKUP('Données projet'!$B$15,'Paramètres'!$A$1:$I$88,3,0)*0.475*44/12</f>
        <v>#N/A</v>
      </c>
      <c r="EW11" s="162" t="str">
        <f>EXP(-LN(2)/25)*EW10+(1-EXP(-LN(2)/25))/(LN(2)/25)*Calculateur!ER11*Calculateur!ET11*VLOOKUP('Données projet'!$B$15,'Paramètres'!$A$1:$I$88,3,0)*0.475*44/12</f>
        <v>#N/A</v>
      </c>
      <c r="EX11" s="162" t="str">
        <f>EXP(-LN(2)/2)*EX10+(1-EXP(-LN(2)/2))/(LN(2)/2)*ER11*EU11*VLOOKUP('Données projet'!$B$15,'Paramètres'!$A$1:$I$88,3,0)*0.475*44/12</f>
        <v>#N/A</v>
      </c>
      <c r="EY11" s="163" t="str">
        <f t="shared" si="22"/>
        <v>#N/A</v>
      </c>
      <c r="EZ11" s="159">
        <f>('Scénario référence'!$F$8+'Scénario référence'!$F$9+'Scénario référence'!$B$17+'Scénario référence'!$B$9+'Scénario référence'!$B$10)*70+IF((45+25*(1-EXP(-0.0175*A11)))&lt;70,'Scénario référence'!$B$16*(45+25*(1-EXP(-0.0175*A11))),70*'Scénario référence'!$B$16)+IF((32+38*(1-EXP(-0.0175*A11)))&lt;70,'Scénario référence'!$B$18*(32+38*(1-EXP(-0.0175*A11))),70*'Scénario référence'!$B$18)</f>
        <v>70</v>
      </c>
      <c r="FA11" s="151">
        <f>IF(A11&gt;30,10,('Scénario référence'!$B$16+'Scénario référence'!$B$17+'Scénario référence'!$B$18+'Scénario référence'!$B$9+'Scénario référence'!$B$10)*A11*10/30+('Scénario référence'!$F$8+'Scénario référence'!$F$9)*10)</f>
        <v>2.666666667</v>
      </c>
      <c r="FB11" s="151" t="str">
        <f>VLOOKUP(A11,'Données projet'!$A$217:$I$237,2,0)</f>
        <v>#N/A</v>
      </c>
      <c r="FC11" s="151" t="str">
        <f>VLOOKUP(A11,'Données projet'!$A$217:$I$237,9,0)</f>
        <v>#N/A</v>
      </c>
      <c r="FD11" s="151" t="str">
        <f t="array" ref="FD11">INDEX(FC:FC,MIN(IF(ISNUMBER(FC11:FC207),ROW(FC11:FC207),"")))</f>
        <v/>
      </c>
      <c r="FE11" s="151">
        <f>IF('Données projet'!$A$218&gt;35,FE10+FD11-FM10,IF(A11&lt;'Données projet'!$A$218,$FB$205^A11,IF(A11='Données projet'!$A$218,'Données projet'!$B$218,FE10+FD11-FM10)))</f>
        <v>0</v>
      </c>
      <c r="FF11" s="158" t="str">
        <f>FE11*VLOOKUP('Données projet'!$B$16,'Paramètres'!$A$1:$I$88,3,0)*VLOOKUP('Données projet'!$B$16,'Paramètres'!$A$1:$I$88,5,0)</f>
        <v>#N/A</v>
      </c>
      <c r="FG11" s="150" t="str">
        <f t="shared" si="48"/>
        <v>#N/A</v>
      </c>
      <c r="FH11" s="161" t="str">
        <f t="shared" si="23"/>
        <v>#N/A</v>
      </c>
      <c r="FI11" s="153" t="str">
        <f t="shared" si="24"/>
        <v>#N/A</v>
      </c>
      <c r="FJ11" s="153" t="str">
        <f>AVERAGE(OFFSET($FI$3,0,0,'Données projet'!$E$16+1,1))-AVERAGE(OFFSET($H$3,0,0,'Données projet'!$E$16+1,1))</f>
        <v>#N/A</v>
      </c>
      <c r="FK11" s="153" t="str">
        <f t="shared" si="49"/>
        <v>#N/A</v>
      </c>
      <c r="FL11" s="154">
        <f>IF(ISNA(VLOOKUP(A11,'Données projet'!$A$217:$I$237,3,0)),0,VLOOKUP(A11,'Données projet'!$A$217:$I$237,3,0))</f>
        <v>0</v>
      </c>
      <c r="FM11" s="154">
        <f>IF(ISNA(VLOOKUP(A11,'Données projet'!$A$217:$I$237,4,0)),0,VLOOKUP(A11,'Données projet'!$A$217:$I$237,4,0))</f>
        <v>0</v>
      </c>
      <c r="FN11" s="155">
        <f>IF(ISNA(VLOOKUP(A11,'Données projet'!$A$217:$I$237,5,0)),0%,VLOOKUP(A11,'Données projet'!$A$217:$I$237,5,0)*VLOOKUP('Données projet'!$B$16,'Paramètres'!$A$1:$I$88,7,0))</f>
        <v>0</v>
      </c>
      <c r="FO11" s="155">
        <f>IF(ISNA(VLOOKUP(A11,'Données projet'!$A$217:$I$237,6,0)),0%,VLOOKUP(A11,'Données projet'!$A$217:$I$237,6,0)*VLOOKUP('Données projet'!$B$16,'Paramètres'!$A$1:$I$88,7,0))</f>
        <v>0</v>
      </c>
      <c r="FP11" s="155">
        <f>IF(ISNA(VLOOKUP(A11,'Données projet'!$A$217:$I$237,7,0)),0%,VLOOKUP(A11,'Données projet'!$A$217:$I$237,7,0))</f>
        <v>0</v>
      </c>
      <c r="FQ11" s="162" t="str">
        <f>EXP(-LN(2)/35)*FQ10+(1-EXP(-LN(2)/35))/(LN(2)/35)*FM11*FN11*VLOOKUP('Données projet'!$B$16,'Paramètres'!$A$1:$I$88,3,0)*0.475*44/12</f>
        <v>#N/A</v>
      </c>
      <c r="FR11" s="162" t="str">
        <f>EXP(-LN(2)/25)*FR10+(1-EXP(-LN(2)/25))/(LN(2)/25)*Calculateur!FM11*Calculateur!FO11*VLOOKUP('Données projet'!$B$16,'Paramètres'!$A$1:$I$88,3,0)*0.475*44/12</f>
        <v>#N/A</v>
      </c>
      <c r="FS11" s="162" t="str">
        <f>EXP(-LN(2)/2)*FS10+(1-EXP(-LN(2)/2))/(LN(2)/2)*FM11*FP11*VLOOKUP('Données projet'!$B$16,'Paramètres'!$A$1:$I$88,3,0)*0.475*44/12</f>
        <v>#N/A</v>
      </c>
      <c r="FT11" s="163" t="str">
        <f t="shared" si="25"/>
        <v>#N/A</v>
      </c>
      <c r="FU11" s="159">
        <f>('Scénario référence'!$F$8+'Scénario référence'!$F$9+'Scénario référence'!$B$17+'Scénario référence'!$B$9+'Scénario référence'!$B$10)*70+IF((45+25*(1-EXP(-0.0175*A11)))&lt;70,'Scénario référence'!$B$16*(45+25*(1-EXP(-0.0175*A11))),70*'Scénario référence'!$B$16)+IF((32+38*(1-EXP(-0.0175*A11)))&lt;70,'Scénario référence'!$B$18*(32+38*(1-EXP(-0.0175*A11))),70*'Scénario référence'!$B$18)</f>
        <v>70</v>
      </c>
      <c r="FV11" s="151">
        <f>IF(A11&gt;30,10,('Scénario référence'!$B$16+'Scénario référence'!$B$17+'Scénario référence'!$B$18+'Scénario référence'!$B$9+'Scénario référence'!$B$10)*A11*10/30+('Scénario référence'!$F$8+'Scénario référence'!$F$9)*10)</f>
        <v>2.666666667</v>
      </c>
      <c r="FW11" s="151" t="str">
        <f>VLOOKUP(A11,'Données projet'!$A$243:$I$263,2,0)</f>
        <v>#N/A</v>
      </c>
      <c r="FX11" s="151" t="str">
        <f>VLOOKUP(A11,'Données projet'!$A$243:$I$263,9,0)</f>
        <v>#N/A</v>
      </c>
      <c r="FY11" s="151" t="str">
        <f t="array" ref="FY11">INDEX(FX:FX,MIN(IF(ISNUMBER(FX11:FX207),ROW(FX11:FX207),"")))</f>
        <v/>
      </c>
      <c r="FZ11" s="151">
        <f>IF('Données projet'!$A$244&gt;35,FZ10+FY11-GH10,IF(A11&lt;'Données projet'!$A$244,$FW$205^A11,IF(A11='Données projet'!$A$244,'Données projet'!$B$244,FZ10+FY11-GH10)))</f>
        <v>0</v>
      </c>
      <c r="GA11" s="158" t="str">
        <f>FZ11*VLOOKUP('Données projet'!$B$17,'Paramètres'!$A$1:$I$88,3,0)*VLOOKUP('Données projet'!$B$17,'Paramètres'!$A$1:$I$88,5,0)</f>
        <v>#N/A</v>
      </c>
      <c r="GB11" s="150" t="str">
        <f t="shared" si="50"/>
        <v>#N/A</v>
      </c>
      <c r="GC11" s="161" t="str">
        <f t="shared" si="26"/>
        <v>#N/A</v>
      </c>
      <c r="GD11" s="153" t="str">
        <f t="shared" si="27"/>
        <v>#N/A</v>
      </c>
      <c r="GE11" s="153" t="str">
        <f>AVERAGE(OFFSET($GD$3,0,0,'Données projet'!$E$17+1,1))-AVERAGE(OFFSET($H$3,0,0,'Données projet'!$E$17+1,1))</f>
        <v>#N/A</v>
      </c>
      <c r="GF11" s="153" t="str">
        <f t="shared" si="51"/>
        <v>#N/A</v>
      </c>
      <c r="GG11" s="154">
        <f>IF(ISNA(VLOOKUP(A11,'Données projet'!$A$243:$I$263,3,0)),0,VLOOKUP(A11,'Données projet'!$A$243:$I$263,3,0))</f>
        <v>0</v>
      </c>
      <c r="GH11" s="154">
        <f>IF(ISNA(VLOOKUP(A11,'Données projet'!$A$243:$I$263,4,0)),0,VLOOKUP(A11,'Données projet'!$A$243:$I$263,4,0))</f>
        <v>0</v>
      </c>
      <c r="GI11" s="155">
        <f>IF(ISNA(VLOOKUP(A11,'Données projet'!$A$243:$I$263,5,0)),0%,VLOOKUP(A11,'Données projet'!$A$243:$I$263,5,0)*VLOOKUP('Données projet'!$B$17,'Paramètres'!$A$1:$I$88,7,0))</f>
        <v>0</v>
      </c>
      <c r="GJ11" s="155">
        <f>IF(ISNA(VLOOKUP(A11,'Données projet'!$A$243:$I$263,6,0)),0%,VLOOKUP(A11,'Données projet'!$A$243:$I$263,6,0)*VLOOKUP('Données projet'!$B$17,'Paramètres'!$A$1:$I$88,7,0))</f>
        <v>0</v>
      </c>
      <c r="GK11" s="155">
        <f>IF(ISNA(VLOOKUP(A11,'Données projet'!$A$243:$I$263,7,0)),0%,VLOOKUP(A11,'Données projet'!$A$243:$I$263,7,0))</f>
        <v>0</v>
      </c>
      <c r="GL11" s="162" t="str">
        <f>EXP(-LN(2)/35)*GL10+(1-EXP(-LN(2)/35))/(LN(2)/35)*GH11*GI11*VLOOKUP('Données projet'!$B$17,'Paramètres'!$A$1:$I$88,3,0)*0.475*44/12</f>
        <v>#N/A</v>
      </c>
      <c r="GM11" s="162" t="str">
        <f>EXP(-LN(2)/25)*GM10+(1-EXP(-LN(2)/25))/(LN(2)/25)*Calculateur!GH11*Calculateur!GJ11*VLOOKUP('Données projet'!$B$17,'Paramètres'!$A$1:$I$88,3,0)*0.475*44/12</f>
        <v>#N/A</v>
      </c>
      <c r="GN11" s="162" t="str">
        <f>EXP(-LN(2)/2)*GN10+(1-EXP(-LN(2)/2))/(LN(2)/2)*GH11*GK11*VLOOKUP('Données projet'!$B$17,'Paramètres'!$A$1:$I$88,3,0)*0.475*44/12</f>
        <v>#N/A</v>
      </c>
      <c r="GO11" s="162" t="str">
        <f t="shared" si="28"/>
        <v>#N/A</v>
      </c>
      <c r="GP11" s="159">
        <f>('Scénario référence'!$F$8+'Scénario référence'!$F$9+'Scénario référence'!$B$17+'Scénario référence'!$B$9+'Scénario référence'!$B$10)*70+IF((45+25*(1-EXP(-0.0175*A11)))&lt;70,'Scénario référence'!$B$16*(45+25*(1-EXP(-0.0175*A11))),70*'Scénario référence'!$B$16)+IF((32+38*(1-EXP(-0.0175*A11)))&lt;70,'Scénario référence'!$B$18*(32+38*(1-EXP(-0.0175*A11))),70*'Scénario référence'!$B$18)</f>
        <v>70</v>
      </c>
      <c r="GQ11" s="151">
        <f>IF(A11&gt;30,10,('Scénario référence'!$B$16+'Scénario référence'!$B$17+'Scénario référence'!$B$18+'Scénario référence'!$B$9+'Scénario référence'!$B$10)*A11*10/30+('Scénario référence'!$F$8+'Scénario référence'!$F$9)*10)</f>
        <v>2.666666667</v>
      </c>
      <c r="GR11" s="151" t="str">
        <f>VLOOKUP(A11,'Données projet'!$A$269:$I$289,2,0)</f>
        <v>#N/A</v>
      </c>
      <c r="GS11" s="151" t="str">
        <f>VLOOKUP(A11,'Données projet'!$A$269:$I$289,9,0)</f>
        <v>#N/A</v>
      </c>
      <c r="GT11" s="151" t="str">
        <f t="array" ref="GT11">INDEX(GS:GS,MIN(IF(ISNUMBER(GS11:GS207),ROW(GS11:GS207),"")))</f>
        <v/>
      </c>
      <c r="GU11" s="151">
        <f>IF('Données projet'!$A$270&gt;35,GU10+GT11-HC10,IF(A11&lt;'Données projet'!$A$270,$GR$205^A11,IF(A11='Données projet'!$A$270,'Données projet'!$B$270,GU10+GT11-HC10)))</f>
        <v>0</v>
      </c>
      <c r="GV11" s="158" t="str">
        <f>GU11*VLOOKUP('Données projet'!$B$18,'Paramètres'!$A$1:$I$88,3,0)*VLOOKUP('Données projet'!$B$18,'Paramètres'!$A$1:$I$88,5,0)</f>
        <v>#N/A</v>
      </c>
      <c r="GW11" s="150" t="str">
        <f t="shared" si="52"/>
        <v>#N/A</v>
      </c>
      <c r="GX11" s="161" t="str">
        <f t="shared" si="29"/>
        <v>#N/A</v>
      </c>
      <c r="GY11" s="153" t="str">
        <f t="shared" si="30"/>
        <v>#N/A</v>
      </c>
      <c r="GZ11" s="153" t="str">
        <f>AVERAGE(OFFSET($GY$3,0,0,'Données projet'!$E$18+1,1))-AVERAGE(OFFSET($H$3,0,0,'Données projet'!$E$18+1,1))</f>
        <v>#N/A</v>
      </c>
      <c r="HA11" s="153" t="str">
        <f t="shared" si="53"/>
        <v>#N/A</v>
      </c>
      <c r="HB11" s="154">
        <f>IF(ISNA(VLOOKUP(A11,'Données projet'!$A$269:$I$289,3,0)),0,VLOOKUP(A11,'Données projet'!$A$269:$I$289,3,0))</f>
        <v>0</v>
      </c>
      <c r="HC11" s="154">
        <f>IF(ISNA(VLOOKUP(A11,'Données projet'!$A$269:$I$289,4,0)),0,VLOOKUP(A11,'Données projet'!$A$269:$I$289,4,0))</f>
        <v>0</v>
      </c>
      <c r="HD11" s="155">
        <f>IF(ISNA(VLOOKUP(A11,'Données projet'!$A$269:$I$289,5,0)),0%,VLOOKUP(A11,'Données projet'!$A$269:$I$289,5,0)*VLOOKUP('Données projet'!$B$18,'Paramètres'!$A$1:$I$88,7,0))</f>
        <v>0</v>
      </c>
      <c r="HE11" s="155">
        <f>IF(ISNA(VLOOKUP(A11,'Données projet'!$A$269:$I$289,6,0)),0%,VLOOKUP(A11,'Données projet'!$A$269:$I$289,6,0)*VLOOKUP('Données projet'!$B$18,'Paramètres'!$A$1:$I$88,7,0))</f>
        <v>0</v>
      </c>
      <c r="HF11" s="155">
        <f>IF(ISNA(VLOOKUP(A11,'Données projet'!$A$269:$I$289,7,0)),0%,VLOOKUP(A11,'Données projet'!$A$269:$I$289,7,0))</f>
        <v>0</v>
      </c>
      <c r="HG11" s="162" t="str">
        <f>EXP(-LN(2)/35)*HG10+(1-EXP(-LN(2)/35))/(LN(2)/35)*HC11*HD11*VLOOKUP('Données projet'!$B$18,'Paramètres'!$A$1:$I$88,3,0)*0.475*44/12</f>
        <v>#N/A</v>
      </c>
      <c r="HH11" s="162" t="str">
        <f>EXP(-LN(2)/25)*HH10+(1-EXP(-LN(2)/25))/(LN(2)/25)*Calculateur!HC11*Calculateur!HE11*VLOOKUP('Données projet'!$B$18,'Paramètres'!$A$1:$I$88,3,0)*0.475*44/12</f>
        <v>#N/A</v>
      </c>
      <c r="HI11" s="162" t="str">
        <f>EXP(-LN(2)/2)*HI10+(1-EXP(-LN(2)/2))/(LN(2)/2)*HC11*HF11*VLOOKUP('Données projet'!$B$18,'Paramètres'!$A$1:$I$88,3,0)*0.475*44/12</f>
        <v>#N/A</v>
      </c>
      <c r="HJ11" s="163" t="str">
        <f t="shared" si="31"/>
        <v>#N/A</v>
      </c>
    </row>
    <row r="12">
      <c r="A12" s="145">
        <f t="shared" si="32"/>
        <v>9</v>
      </c>
      <c r="B12" s="146">
        <f>'Scénario référence'!$B$16*5+'Scénario référence'!$B$17*0+'Scénario référence'!$B$18*5</f>
        <v>0</v>
      </c>
      <c r="C12" s="160">
        <f>Calculateur!C11+'Scénario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2" s="147">
        <f t="shared" si="33"/>
        <v>0</v>
      </c>
      <c r="E12" s="147">
        <f>'Scénario référence'!$B$16*45+('Scénario référence'!$B$17+'Scénario référence'!$F$8+'Scénario référence'!$F$9+'Scénario référence'!$B$10+'Scénario référence'!$B$9)*70+'Scénario référence'!$B$18*32</f>
        <v>70</v>
      </c>
      <c r="F12" s="147">
        <f>IF(OR('Scénario référence'!$F$8&gt;0,'Scénario référence'!$F$9&gt;0),('Scénario référence'!$F$8+'Scénario référence'!$F$9)*10,0)</f>
        <v>0</v>
      </c>
      <c r="G12" s="147">
        <f>'Scénario référence'!$B$8*B12*44/12+'Scénario référence'!$B$9*(C12+D12)/0.475*44/12+'Scénario référence'!$B$10*(C12+D12)/0.475*44/12+'Scénario référence'!$F$8*(C12+D12)/0.475*44/12+'Scénario référence'!$F$9*(C12+D12)/0.475*44/12</f>
        <v>0</v>
      </c>
      <c r="H12" s="148">
        <f t="shared" si="1"/>
        <v>256.6666667</v>
      </c>
      <c r="I12" s="149">
        <f>('Scénario référence'!$F$8+'Scénario référence'!$F$9+'Scénario référence'!$B$17+'Scénario référence'!$B$9+'Scénario référence'!$B$10)*70+IF((45+25*(1-EXP(-0.0175*A12)))&lt;70,'Scénario référence'!$B$16*(45+25*(1-EXP(-0.0175*A12))),70*'Scénario référence'!$B$16)+IF((32+38*(1-EXP(-0.0175*A12)))&lt;70,'Scénario référence'!$B$18*(32+38*(1-EXP(-0.0175*A12))),70*'Scénario référence'!$B$18)</f>
        <v>70</v>
      </c>
      <c r="J12" s="150">
        <f>IF(A12&gt;30,10,('Scénario référence'!$B$16+'Scénario référence'!$B$17+'Scénario référence'!$B$18+'Scénario référence'!$B$9+'Scénario référence'!$B$10)*A12*10/30+('Scénario référence'!$F$8+'Scénario référence'!$F$9)*10)</f>
        <v>3</v>
      </c>
      <c r="K12" s="151" t="str">
        <f>VLOOKUP(A12,'Données projet'!$A$35:$I$55,2,0)</f>
        <v>#N/A</v>
      </c>
      <c r="L12" s="151" t="str">
        <f>VLOOKUP(A12,'Données projet'!$A$35:$I$55,9,0)</f>
        <v>#N/A</v>
      </c>
      <c r="M12" s="150">
        <f t="array" ref="M12">INDEX(L:L,MIN(IF(ISNUMBER(L12:L208),ROW(L12:L208),"")))</f>
        <v>3.65</v>
      </c>
      <c r="N12" s="150">
        <f>IF('Données projet'!$A$36&gt;35,N11+M12-V11,IF(A12&lt;'Données projet'!$A$36,$K$205^A12,IF(A12='Données projet'!$A$36,'Données projet'!$B$36,N11+M12-V11)))</f>
        <v>6.894381114</v>
      </c>
      <c r="O12" s="150">
        <f>N12*VLOOKUP('Données projet'!$B$9,'Paramètres'!$A$1:$I$88,3,0)*VLOOKUP('Données projet'!$B$9,'Paramètres'!$A$1:$I$88,5,0)</f>
        <v>6.238036032</v>
      </c>
      <c r="P12" s="150">
        <f t="shared" si="34"/>
        <v>2.323038303</v>
      </c>
      <c r="Q12" s="161">
        <f t="shared" si="2"/>
        <v>14.9105378</v>
      </c>
      <c r="R12" s="153">
        <f t="shared" si="3"/>
        <v>282.5772045</v>
      </c>
      <c r="S12" s="153">
        <f>AVERAGE(OFFSET($R$3,0,0,'Données projet'!$E$9+1,1))-AVERAGE(OFFSET($H$3,0,0,'Données projet'!$E$9+1,1))</f>
        <v>439.1985427</v>
      </c>
      <c r="T12" s="153">
        <f t="shared" si="35"/>
        <v>278.2174123</v>
      </c>
      <c r="U12" s="154">
        <f>IF(ISNA(VLOOKUP(A12,'Données projet'!$A$35:$I$55,3,0)),0,VLOOKUP(A12,'Données projet'!$A$35:$I$55,3,0))</f>
        <v>0</v>
      </c>
      <c r="V12" s="154">
        <f>IF(ISNA(VLOOKUP(A12,'Données projet'!$A$35:$I$55,4,0)),0,VLOOKUP(A12,'Données projet'!$A$35:$I$55,4,0))</f>
        <v>0</v>
      </c>
      <c r="W12" s="155">
        <f>IF(ISNA(VLOOKUP(A12,'Données projet'!$A$35:$I$55,5,0)),0%,VLOOKUP(A12,'Données projet'!$A$35:$I$55,5,0)*VLOOKUP('Données projet'!$B$9,'Paramètres'!$A$1:$I$88,7,0))</f>
        <v>0</v>
      </c>
      <c r="X12" s="155">
        <f>IF(ISNA(VLOOKUP(A12,'Données projet'!$A$35:$I$55,6,0)),0%,VLOOKUP(A12,'Données projet'!$A$35:$I$55,6,0)*VLOOKUP('Données projet'!$B$9,'Paramètres'!$A$1:$I$88,7,0))</f>
        <v>0</v>
      </c>
      <c r="Y12" s="155">
        <f>IF(ISNA(VLOOKUP(A12,'Données projet'!$A$35:$I$55,7,0)),0%,VLOOKUP(A12,'Données projet'!$A$35:$I$55,7,0))</f>
        <v>0</v>
      </c>
      <c r="Z12" s="162">
        <f>EXP(-LN(2)/35)*Z11+(1-EXP(-LN(2)/35))/(LN(2)/35)*V12*W12*VLOOKUP('Données projet'!$B$9,'Paramètres'!$A$1:$I$88,3,0)*0.475*44/12</f>
        <v>0</v>
      </c>
      <c r="AA12" s="162">
        <f>EXP(-LN(2)/25)*AA11+(1-EXP(-LN(2)/25))/(LN(2)/25)*Calculateur!V12*Calculateur!X12*VLOOKUP('Données projet'!$B$9,'Paramètres'!$A$1:$I$88,3,0)*0.475*44/12</f>
        <v>0</v>
      </c>
      <c r="AB12" s="162">
        <f>EXP(-LN(2)/2)*AB11+(1-EXP(-LN(2)/2))/(LN(2)/2)*V12*Y12*VLOOKUP('Données projet'!$B$9,'Paramètres'!$A$1:$I$88,3,0)*0.475*44/12</f>
        <v>0</v>
      </c>
      <c r="AC12" s="163">
        <f t="shared" si="4"/>
        <v>0</v>
      </c>
      <c r="AD12" s="150">
        <f>('Scénario référence'!$F$8+'Scénario référence'!$F$9+'Scénario référence'!$B$17+'Scénario référence'!$B$9+'Scénario référence'!$B$10)*70+IF((45+25*(1-EXP(-0.0175*A12)))&lt;70,'Scénario référence'!$B$16*(45+25*(1-EXP(-0.0175*A12))),70*'Scénario référence'!$B$16)+IF((32+38*(1-EXP(-0.0175*A12)))&lt;70,'Scénario référence'!$B$18*(32+38*(1-EXP(-0.0175*A12))),70*'Scénario référence'!$B$18)</f>
        <v>70</v>
      </c>
      <c r="AE12" s="150">
        <f>IF(A12&gt;30,10,('Scénario référence'!$B$16+'Scénario référence'!$B$17+'Scénario référence'!$B$18+'Scénario référence'!$B$9+'Scénario référence'!$B$10)*A12*10/30+('Scénario référence'!$F$8+'Scénario référence'!$F$9)*10)</f>
        <v>3</v>
      </c>
      <c r="AF12" s="151" t="str">
        <f>VLOOKUP(A12,'Données projet'!$A$61:$I$81,2,0)</f>
        <v>#N/A</v>
      </c>
      <c r="AG12" s="151" t="str">
        <f>VLOOKUP(A12,'Données projet'!$A$61:$I$81,9,0)</f>
        <v>#N/A</v>
      </c>
      <c r="AH12" s="150">
        <f t="array" ref="AH12">INDEX(AG:AG,MIN(IF(ISNUMBER(AG12:AG208),ROW(AG12:AG208),"")))</f>
        <v>1.9</v>
      </c>
      <c r="AI12" s="150">
        <f>IF('Données projet'!$A$62&gt;35,AI11+AH12-AQ11,IF(A12&lt;'Données projet'!$A$62,$AF$205^A12,IF(A12='Données projet'!$A$62,'Données projet'!$B$62,AI11+AH12-AQ11)))</f>
        <v>14.15396903</v>
      </c>
      <c r="AJ12" s="150">
        <f>AI12*VLOOKUP('Données projet'!$B$10,'Paramètres'!$A$1:$I$88,3,0)*VLOOKUP('Données projet'!$B$10,'Paramètres'!$A$1:$I$88,5,0)</f>
        <v>11.26089776</v>
      </c>
      <c r="AK12" s="150">
        <f t="shared" si="36"/>
        <v>3.914911791</v>
      </c>
      <c r="AL12" s="161">
        <f t="shared" si="5"/>
        <v>26.43120163</v>
      </c>
      <c r="AM12" s="153">
        <f t="shared" si="6"/>
        <v>294.0978683</v>
      </c>
      <c r="AN12" s="153">
        <f>AVERAGE(OFFSET($AM$3,0,0,'Données projet'!$E$10+1,1))-AVERAGE(OFFSET($H$3,0,0,'Données projet'!$E$10+1,1))</f>
        <v>405.6113614</v>
      </c>
      <c r="AO12" s="153">
        <f t="shared" si="37"/>
        <v>393.0787141</v>
      </c>
      <c r="AP12" s="154">
        <f>IF(ISNA(VLOOKUP(A12,'Données projet'!$A$61:$I$81,3,0)),0,VLOOKUP(A12,'Données projet'!$A$61:$I$81,3,0))</f>
        <v>0</v>
      </c>
      <c r="AQ12" s="154">
        <f>IF(ISNA(VLOOKUP(A12,'Données projet'!$A$61:$I$81,4,0)),0,VLOOKUP(A12,'Données projet'!$A$61:$I$81,4,0))</f>
        <v>0</v>
      </c>
      <c r="AR12" s="155">
        <f>IF(ISNA(VLOOKUP(A12,'Données projet'!$A$61:$I$81,5,0)),0%,VLOOKUP(A12,'Données projet'!$A$61:$I$81,5,0)*VLOOKUP('Données projet'!$B$10,'Paramètres'!$A$1:$I$88,7,0))</f>
        <v>0</v>
      </c>
      <c r="AS12" s="155">
        <f>IF(ISNA(VLOOKUP(A12,'Données projet'!$A$61:$I$81,6,0)),0%,VLOOKUP(A12,'Données projet'!$A$61:$I$81,6,0)*VLOOKUP('Données projet'!$B$10,'Paramètres'!$A$1:$I$88,7,0))</f>
        <v>0</v>
      </c>
      <c r="AT12" s="155">
        <f>IF(ISNA(VLOOKUP(A12,'Données projet'!$A$61:$I$81,7,0)),0%,VLOOKUP(A12,'Données projet'!$A$61:$I$81,7,0))</f>
        <v>0</v>
      </c>
      <c r="AU12" s="162">
        <f>EXP(-LN(2)/35)*AU11+(1-EXP(-LN(2)/35))/(LN(2)/35)*AQ12*AR12*VLOOKUP('Données projet'!$B$10,'Paramètres'!$A$1:$I$88,3,0)*0.475*44/12</f>
        <v>0</v>
      </c>
      <c r="AV12" s="162">
        <f>EXP(-LN(2)/25)*AV11+(1-EXP(-LN(2)/25))/(LN(2)/25)*Calculateur!AQ12*Calculateur!AS12*VLOOKUP('Données projet'!$B$10,'Paramètres'!$A$1:$I$88,3,0)*0.475*44/12</f>
        <v>0</v>
      </c>
      <c r="AW12" s="162">
        <f>EXP(-LN(2)/2)*AW11+(1-EXP(-LN(2)/2))/(LN(2)/2)*AQ12*AT12*VLOOKUP('Données projet'!$B$10,'Paramètres'!$A$1:$I$88,3,0)*0.475*44/12</f>
        <v>0</v>
      </c>
      <c r="AX12" s="162">
        <f t="shared" si="7"/>
        <v>0</v>
      </c>
      <c r="AY12" s="157">
        <f>('Scénario référence'!$F$8+'Scénario référence'!$F$9+'Scénario référence'!$B$17+'Scénario référence'!$B$9+'Scénario référence'!$B$10)*70+IF((45+25*(1-EXP(-0.0175*A12)))&lt;70,'Scénario référence'!$B$16*(45+25*(1-EXP(-0.0175*A12))),70*'Scénario référence'!$B$16)+IF((32+38*(1-EXP(-0.0175*A12)))&lt;70,'Scénario référence'!$B$18*(32+38*(1-EXP(-0.0175*A12))),70*'Scénario référence'!$B$18)</f>
        <v>70</v>
      </c>
      <c r="AZ12" s="151">
        <f>IF(A12&gt;30,10,('Scénario référence'!$B$16+'Scénario référence'!$B$17+'Scénario référence'!$B$18+'Scénario référence'!$B$9+'Scénario référence'!$B$10)*A12*10/30+('Scénario référence'!$F$8+'Scénario référence'!$F$9)*10)</f>
        <v>3</v>
      </c>
      <c r="BA12" s="151" t="str">
        <f>VLOOKUP(A12,'Données projet'!$A$87:$I$107,2,0)</f>
        <v>#N/A</v>
      </c>
      <c r="BB12" s="151" t="str">
        <f>VLOOKUP(A12,'Données projet'!$A$87:$I$107,9,0)</f>
        <v>#N/A</v>
      </c>
      <c r="BC12" s="150" t="str">
        <f t="array" ref="BC12">INDEX(BB:BB,MIN(IF(ISNUMBER(BB12:BB208),ROW(BB12:BB208),"")))</f>
        <v/>
      </c>
      <c r="BD12" s="150">
        <f>IF('Données projet'!$A$88&gt;35,BD11+BC12-BL11,IF(A12&lt;'Données projet'!$A$88,$BA$205^A12,IF(A12='Données projet'!$A$88,'Données projet'!$B$88,BD11+BC12-BL11)))</f>
        <v>0</v>
      </c>
      <c r="BE12" s="150">
        <f>BD12*VLOOKUP('Données projet'!$B$11,'Paramètres'!$A$1:$I$88,3,0)*VLOOKUP('Données projet'!$B$11,'Paramètres'!$A$1:$I$88,5,0)</f>
        <v>0</v>
      </c>
      <c r="BF12" s="150" t="str">
        <f t="shared" si="38"/>
        <v>#NUM!</v>
      </c>
      <c r="BG12" s="161" t="str">
        <f t="shared" si="8"/>
        <v>#NUM!</v>
      </c>
      <c r="BH12" s="153" t="str">
        <f t="shared" si="9"/>
        <v>#NUM!</v>
      </c>
      <c r="BI12" s="153">
        <f>AVERAGE(OFFSET($BH$3,0,0,'Données projet'!$E$11+1,1))-AVERAGE(OFFSET($H$3,0,0,'Données projet'!$E$11+1,1))</f>
        <v>0</v>
      </c>
      <c r="BJ12" s="153">
        <f t="shared" si="39"/>
        <v>0</v>
      </c>
      <c r="BK12" s="154">
        <f>IF(ISNA(VLOOKUP(A12,'Données projet'!$A$87:$I$107,3,0)),0,VLOOKUP(A12,'Données projet'!$A$87:$I$107,3,0))</f>
        <v>0</v>
      </c>
      <c r="BL12" s="154">
        <f>IF(ISNA(VLOOKUP(A12,'Données projet'!$A$87:$I$107,4,0)),0,VLOOKUP(A12,'Données projet'!$A$87:$I$107,4,0))</f>
        <v>0</v>
      </c>
      <c r="BM12" s="155">
        <f>IF(ISNA(VLOOKUP(A12,'Données projet'!$A$87:$I$107,5,0)),0%,VLOOKUP(A12,'Données projet'!$A$87:$I$107,5,0)*VLOOKUP('Données projet'!$B$11,'Paramètres'!$A$1:$I$88,7,0))</f>
        <v>0</v>
      </c>
      <c r="BN12" s="155">
        <f>IF(ISNA(VLOOKUP(A12,'Données projet'!$A$87:$I$107,6,0)),0%,VLOOKUP(A12,'Données projet'!$A$87:$I$107,6,0)*VLOOKUP('Données projet'!$B$11,'Paramètres'!$A$1:$I$88,7,0))</f>
        <v>0</v>
      </c>
      <c r="BO12" s="155">
        <f>IF(ISNA(VLOOKUP(A12,'Données projet'!$A$87:$I$107,7,0)),0%,VLOOKUP(A12,'Données projet'!$A$87:$I$107,7,0))</f>
        <v>0</v>
      </c>
      <c r="BP12" s="162">
        <f>EXP(-LN(2)/35)*BP11+(1-EXP(-LN(2)/35))/(LN(2)/35)*BL12*BM12*VLOOKUP('Données projet'!$B$11,'Paramètres'!$A$1:$I$88,3,0)*0.475*44/12</f>
        <v>0</v>
      </c>
      <c r="BQ12" s="162">
        <f>EXP(-LN(2)/25)*BQ11+(1-EXP(-LN(2)/25))/(LN(2)/25)*Calculateur!BL12*Calculateur!BN12*VLOOKUP('Données projet'!$B$11,'Paramètres'!$A$1:$I$88,3,0)*0.475*44/12</f>
        <v>0</v>
      </c>
      <c r="BR12" s="162">
        <f>EXP(-LN(2)/2)*BR11+(1-EXP(-LN(2)/2))/(LN(2)/2)*BL12*BO12*VLOOKUP('Données projet'!$B$11,'Paramètres'!$A$1:$I$88,3,0)*0.475*44/12</f>
        <v>0</v>
      </c>
      <c r="BS12" s="163">
        <f t="shared" si="10"/>
        <v>0</v>
      </c>
      <c r="BT12" s="159">
        <f>('Scénario référence'!$F$8+'Scénario référence'!$F$9+'Scénario référence'!$B$17+'Scénario référence'!$B$9+'Scénario référence'!$B$10)*70+IF((45+25*(1-EXP(-0.0175*A12)))&lt;70,'Scénario référence'!$B$16*(45+25*(1-EXP(-0.0175*A12))),70*'Scénario référence'!$B$16)+IF((32+38*(1-EXP(-0.0175*A12)))&lt;70,'Scénario référence'!$B$18*(32+38*(1-EXP(-0.0175*A12))),70*'Scénario référence'!$B$18)</f>
        <v>70</v>
      </c>
      <c r="BU12" s="151">
        <f>IF(A12&gt;30,10,('Scénario référence'!$B$16+'Scénario référence'!$B$17+'Scénario référence'!$B$18+'Scénario référence'!$B$9+'Scénario référence'!$B$10)*A12*10/30+('Scénario référence'!$F$8+'Scénario référence'!$F$9)*10)</f>
        <v>3</v>
      </c>
      <c r="BV12" s="151" t="str">
        <f>VLOOKUP(A12,'Données projet'!$A$113:$I$133,2,0)</f>
        <v>#N/A</v>
      </c>
      <c r="BW12" s="151" t="str">
        <f>VLOOKUP(A12,'Données projet'!$A$113:$I$133,9,0)</f>
        <v>#N/A</v>
      </c>
      <c r="BX12" s="150" t="str">
        <f t="array" ref="BX12">INDEX(BW:BW,MIN(IF(ISNUMBER(BW12:BW208),ROW(BW12:BW208),"")))</f>
        <v/>
      </c>
      <c r="BY12" s="150">
        <f>IF('Données projet'!$A$114&gt;35,BY11+BX12-CG11,IF(A12&lt;'Données projet'!$A$114,$BV$205^A12,IF(A12='Données projet'!$A$114,'Données projet'!$B$114,BY11+BX12-CG11)))</f>
        <v>0</v>
      </c>
      <c r="BZ12" s="150" t="str">
        <f>BY12*VLOOKUP('Données projet'!$B$12,'Paramètres'!$A$1:$I$88,3,0)*VLOOKUP('Données projet'!$B$12,'Paramètres'!$A$1:$I$88,5,0)</f>
        <v>#N/A</v>
      </c>
      <c r="CA12" s="150" t="str">
        <f t="shared" si="40"/>
        <v>#N/A</v>
      </c>
      <c r="CB12" s="161" t="str">
        <f t="shared" si="11"/>
        <v>#N/A</v>
      </c>
      <c r="CC12" s="153" t="str">
        <f t="shared" si="12"/>
        <v>#N/A</v>
      </c>
      <c r="CD12" s="153" t="str">
        <f>AVERAGE(OFFSET($CC$3,0,0,'Données projet'!$E$12+1,1))-AVERAGE(OFFSET($H$3,0,0,'Données projet'!$E$12+1,1))</f>
        <v>#N/A</v>
      </c>
      <c r="CE12" s="153" t="str">
        <f t="shared" si="41"/>
        <v>#N/A</v>
      </c>
      <c r="CF12" s="154">
        <f>IF(ISNA(VLOOKUP(A12,'Données projet'!$A$113:$I$133,3,0)),0,VLOOKUP(A12,'Données projet'!$A$113:$I$133,3,0))</f>
        <v>0</v>
      </c>
      <c r="CG12" s="154">
        <f>IF(ISNA(VLOOKUP(A12,'Données projet'!$A$113:$I$133,4,0)),0,VLOOKUP(A12,'Données projet'!$A$113:$I$133,4,0))</f>
        <v>0</v>
      </c>
      <c r="CH12" s="155">
        <f>IF(ISNA(VLOOKUP(A12,'Données projet'!$A$113:$I$133,5,0)),0%,VLOOKUP(A12,'Données projet'!$A$113:$I$133,5,0)*VLOOKUP('Données projet'!$B$12,'Paramètres'!$A$1:$I$88,7,0))</f>
        <v>0</v>
      </c>
      <c r="CI12" s="155">
        <f>IF(ISNA(VLOOKUP(A12,'Données projet'!$A$113:$I$133,6,0)),0%,VLOOKUP(A12,'Données projet'!$A$113:$I$133,6,0)*VLOOKUP('Données projet'!$B$12,'Paramètres'!$A$1:$I$88,7,0))</f>
        <v>0</v>
      </c>
      <c r="CJ12" s="155">
        <f>IF(ISNA(VLOOKUP(A12,'Données projet'!$A$113:$I$133,7,0)),0%,VLOOKUP(A12,'Données projet'!$A$113:$I$133,7,0))</f>
        <v>0</v>
      </c>
      <c r="CK12" s="162" t="str">
        <f>EXP(-LN(2)/35)*CK11+(1-EXP(-LN(2)/35))/(LN(2)/35)*CG12*CH12*VLOOKUP('Données projet'!$B$12,'Paramètres'!$A$1:$I$88,3,0)*0.475*44/12</f>
        <v>#N/A</v>
      </c>
      <c r="CL12" s="162" t="str">
        <f>EXP(-LN(2)/25)*CL11+(1-EXP(-LN(2)/25))/(LN(2)/25)*Calculateur!CG12*Calculateur!CI12*VLOOKUP('Données projet'!$B$12,'Paramètres'!$A$1:$I$88,3,0)*0.475*44/12</f>
        <v>#N/A</v>
      </c>
      <c r="CM12" s="162" t="str">
        <f>EXP(-LN(2)/2)*CM11+(1-EXP(-LN(2)/2))/(LN(2)/2)*CG12*CJ12*VLOOKUP('Données projet'!$B$12,'Paramètres'!$A$1:$I$88,3,0)*0.475*44/12</f>
        <v>#N/A</v>
      </c>
      <c r="CN12" s="163" t="str">
        <f t="shared" si="13"/>
        <v>#N/A</v>
      </c>
      <c r="CO12" s="159">
        <f>('Scénario référence'!$F$8+'Scénario référence'!$F$9+'Scénario référence'!$B$17+'Scénario référence'!$B$9+'Scénario référence'!$B$10)*70+IF((45+25*(1-EXP(-0.0175*A12)))&lt;70,'Scénario référence'!$B$16*(45+25*(1-EXP(-0.0175*A12))),70*'Scénario référence'!$B$16)+IF((32+38*(1-EXP(-0.0175*A12)))&lt;70,'Scénario référence'!$B$18*(32+38*(1-EXP(-0.0175*A12))),70*'Scénario référence'!$B$18)</f>
        <v>70</v>
      </c>
      <c r="CP12" s="151">
        <f>IF(A12&gt;30,10,('Scénario référence'!$B$16+'Scénario référence'!$B$17+'Scénario référence'!$B$18+'Scénario référence'!$B$9+'Scénario référence'!$B$10)*A12*10/30+('Scénario référence'!$F$8+'Scénario référence'!$F$9)*10)</f>
        <v>3</v>
      </c>
      <c r="CQ12" s="151" t="str">
        <f>VLOOKUP(A12,'Données projet'!$A$139:$I$159,2,0)</f>
        <v>#N/A</v>
      </c>
      <c r="CR12" s="151" t="str">
        <f>VLOOKUP(A12,'Données projet'!$A$139:$I$159,9,0)</f>
        <v>#N/A</v>
      </c>
      <c r="CS12" s="151" t="str">
        <f t="array" ref="CS12">INDEX(CR:CR,MIN(IF(ISNUMBER(CR12:CR208),ROW(CR12:CR208),"")))</f>
        <v/>
      </c>
      <c r="CT12" s="151">
        <f>IF('Données projet'!$A$140&gt;35,CT11+CS12-DB11,IF(A12&lt;'Données projet'!$A$140,$CQ$205^A12,IF(A12='Données projet'!$A$140,'Données projet'!$B$140,CT11+CS12-DB11)))</f>
        <v>0</v>
      </c>
      <c r="CU12" s="158" t="str">
        <f>CT12*VLOOKUP('Données projet'!$B$13,'Paramètres'!$A$1:$I$88,3,0)*VLOOKUP('Données projet'!$B$13,'Paramètres'!$A$1:$I$88,5,0)</f>
        <v>#N/A</v>
      </c>
      <c r="CV12" s="150" t="str">
        <f t="shared" si="42"/>
        <v>#N/A</v>
      </c>
      <c r="CW12" s="161" t="str">
        <f t="shared" si="14"/>
        <v>#N/A</v>
      </c>
      <c r="CX12" s="153" t="str">
        <f t="shared" si="15"/>
        <v>#N/A</v>
      </c>
      <c r="CY12" s="153" t="str">
        <f>AVERAGE(OFFSET($CX$3,0,0,'Données projet'!$E$13+1,1))-AVERAGE(OFFSET($H$3,0,0,'Données projet'!$E$13+1,1))</f>
        <v>#N/A</v>
      </c>
      <c r="CZ12" s="153" t="str">
        <f t="shared" si="43"/>
        <v>#N/A</v>
      </c>
      <c r="DA12" s="154">
        <f>IF(ISNA(VLOOKUP(A12,'Données projet'!$A$139:$I$159,3,0)),0,VLOOKUP(A12,'Données projet'!$A$139:$I$159,3,0))</f>
        <v>0</v>
      </c>
      <c r="DB12" s="154">
        <f>IF(ISNA(VLOOKUP(A12,'Données projet'!$A$139:$I$159,4,0)),0,VLOOKUP(A12,'Données projet'!$A$139:$I$159,4,0))</f>
        <v>0</v>
      </c>
      <c r="DC12" s="155">
        <f>IF(ISNA(VLOOKUP(A12,'Données projet'!$A$139:$I$159,5,0)),0%,VLOOKUP(A12,'Données projet'!$A$139:$I$159,5,0)*VLOOKUP('Données projet'!$B$13,'Paramètres'!$A$1:$I$88,7,0))</f>
        <v>0</v>
      </c>
      <c r="DD12" s="155">
        <f>IF(ISNA(VLOOKUP(A12,'Données projet'!$A$139:$I$159,6,0)),0%,VLOOKUP(A12,'Données projet'!$A$139:$I$159,6,0)*VLOOKUP('Données projet'!$B$13,'Paramètres'!$A$1:$I$88,7,0))</f>
        <v>0</v>
      </c>
      <c r="DE12" s="155">
        <f>IF(ISNA(VLOOKUP(A12,'Données projet'!$A$139:$I$159,7,0)),0%,VLOOKUP(A12,'Données projet'!$A$139:$I$159,7,0))</f>
        <v>0</v>
      </c>
      <c r="DF12" s="162" t="str">
        <f>EXP(-LN(2)/35)*DF11+(1-EXP(-LN(2)/35))/(LN(2)/35)*DB12*DC12*VLOOKUP('Données projet'!$B$13,'Paramètres'!$A$1:$I$88,3,0)*0.475*44/12</f>
        <v>#N/A</v>
      </c>
      <c r="DG12" s="162" t="str">
        <f>EXP(-LN(2)/25)*DG11+(1-EXP(-LN(2)/25))/(LN(2)/25)*Calculateur!DB12*Calculateur!DD12*VLOOKUP('Données projet'!$B$13,'Paramètres'!$A$1:$I$88,3,0)*0.475*44/12</f>
        <v>#N/A</v>
      </c>
      <c r="DH12" s="162" t="str">
        <f>EXP(-LN(2)/2)*DH11+(1-EXP(-LN(2)/2))/(LN(2)/2)*DB12*DE12*VLOOKUP('Données projet'!$B$13,'Paramètres'!$A$1:$I$88,3,0)*0.475*44/12</f>
        <v>#N/A</v>
      </c>
      <c r="DI12" s="163" t="str">
        <f t="shared" si="16"/>
        <v>#N/A</v>
      </c>
      <c r="DJ12" s="159">
        <f>('Scénario référence'!$F$8+'Scénario référence'!$F$9+'Scénario référence'!$B$17+'Scénario référence'!$B$9+'Scénario référence'!$B$10)*70+IF((45+25*(1-EXP(-0.0175*A12)))&lt;70,'Scénario référence'!$B$16*(45+25*(1-EXP(-0.0175*A12))),70*'Scénario référence'!$B$16)+IF((32+38*(1-EXP(-0.0175*A12)))&lt;70,'Scénario référence'!$B$18*(32+38*(1-EXP(-0.0175*A12))),70*'Scénario référence'!$B$18)</f>
        <v>70</v>
      </c>
      <c r="DK12" s="151">
        <f>IF(A12&gt;30,10,('Scénario référence'!$B$16+'Scénario référence'!$B$17+'Scénario référence'!$B$18+'Scénario référence'!$B$9+'Scénario référence'!$B$10)*A12*10/30+('Scénario référence'!$F$8+'Scénario référence'!$F$9)*10)</f>
        <v>3</v>
      </c>
      <c r="DL12" s="151" t="str">
        <f>VLOOKUP(A12,'Données projet'!$A$165:$I$185,2,0)</f>
        <v>#N/A</v>
      </c>
      <c r="DM12" s="151" t="str">
        <f>VLOOKUP(A12,'Données projet'!$A$165:$I$185,9,0)</f>
        <v>#N/A</v>
      </c>
      <c r="DN12" s="151" t="str">
        <f t="array" ref="DN12">INDEX(DM:DM,MIN(IF(ISNUMBER(DM12:DM208),ROW(DM12:DM208),"")))</f>
        <v/>
      </c>
      <c r="DO12" s="151">
        <f>IF('Données projet'!$A$166&gt;35,DO11+DN12-DW11,IF(A12&lt;'Données projet'!$A$166,$DL$205^A12,IF(A12='Données projet'!$A$166,'Données projet'!$B$166,DO11+DN12-DW11)))</f>
        <v>0</v>
      </c>
      <c r="DP12" s="158" t="str">
        <f>DO12*VLOOKUP('Données projet'!$B$14,'Paramètres'!$A$1:$I$88,3,0)*VLOOKUP('Données projet'!$B$14,'Paramètres'!$A$1:$I$88,5,0)</f>
        <v>#N/A</v>
      </c>
      <c r="DQ12" s="150" t="str">
        <f t="shared" si="44"/>
        <v>#N/A</v>
      </c>
      <c r="DR12" s="161" t="str">
        <f t="shared" si="17"/>
        <v>#N/A</v>
      </c>
      <c r="DS12" s="153" t="str">
        <f t="shared" si="18"/>
        <v>#N/A</v>
      </c>
      <c r="DT12" s="153" t="str">
        <f>AVERAGE(OFFSET($DS$3,0,0,'Données projet'!$E$14+1,1))-AVERAGE(OFFSET($H$3,0,0,'Données projet'!$E$14+1,1))</f>
        <v>#N/A</v>
      </c>
      <c r="DU12" s="153" t="str">
        <f t="shared" si="45"/>
        <v>#N/A</v>
      </c>
      <c r="DV12" s="154">
        <f>IF(ISNA(VLOOKUP(A12,'Données projet'!$A$165:$I$185,3,0)),0,VLOOKUP(A12,'Données projet'!$A$165:$I$185,3,0))</f>
        <v>0</v>
      </c>
      <c r="DW12" s="154">
        <f>IF(ISNA(VLOOKUP(A12,'Données projet'!$A$165:$I$185,4,0)),0,VLOOKUP(A12,'Données projet'!$A$165:$I$185,4,0))</f>
        <v>0</v>
      </c>
      <c r="DX12" s="155">
        <f>IF(ISNA(VLOOKUP(A12,'Données projet'!$A$165:$I$185,5,0)),0%,VLOOKUP(A12,'Données projet'!$A$165:$I$185,5,0)*VLOOKUP('Données projet'!$B$14,'Paramètres'!$A$1:$I$88,7,0))</f>
        <v>0</v>
      </c>
      <c r="DY12" s="155">
        <f>IF(ISNA(VLOOKUP(A12,'Données projet'!$A$165:$I$185,6,0)),0%,VLOOKUP(A12,'Données projet'!$A$165:$I$185,6,0)*VLOOKUP('Données projet'!$B$14,'Paramètres'!$A$1:$I$88,7,0))</f>
        <v>0</v>
      </c>
      <c r="DZ12" s="155">
        <f>IF(ISNA(VLOOKUP(A12,'Données projet'!$A$165:$I$185,7,0)),0%,VLOOKUP(A12,'Données projet'!$A$165:$I$185,7,0))</f>
        <v>0</v>
      </c>
      <c r="EA12" s="162" t="str">
        <f>EXP(-LN(2)/35)*EA11+(1-EXP(-LN(2)/35))/(LN(2)/35)*DW12*DX12*VLOOKUP('Données projet'!$B$14,'Paramètres'!$A$1:$I$88,3,0)*0.475*44/12</f>
        <v>#N/A</v>
      </c>
      <c r="EB12" s="162" t="str">
        <f>EXP(-LN(2)/25)*EB11+(1-EXP(-LN(2)/25))/(LN(2)/25)*Calculateur!DW12*Calculateur!DY12*VLOOKUP('Données projet'!$B$14,'Paramètres'!$A$1:$I$88,3,0)*0.475*44/12</f>
        <v>#N/A</v>
      </c>
      <c r="EC12" s="162" t="str">
        <f>EXP(-LN(2)/2)*EC11+(1-EXP(-LN(2)/2))/(LN(2)/2)*DW12*DZ12*VLOOKUP('Données projet'!$B$14,'Paramètres'!$A$1:$I$88,3,0)*0.475*44/12</f>
        <v>#N/A</v>
      </c>
      <c r="ED12" s="163" t="str">
        <f t="shared" si="19"/>
        <v>#N/A</v>
      </c>
      <c r="EE12" s="159">
        <f>('Scénario référence'!$F$8+'Scénario référence'!$F$9+'Scénario référence'!$B$17+'Scénario référence'!$B$9+'Scénario référence'!$B$10)*70+IF((45+25*(1-EXP(-0.0175*A12)))&lt;70,'Scénario référence'!$B$16*(45+25*(1-EXP(-0.0175*A12))),70*'Scénario référence'!$B$16)+IF((32+38*(1-EXP(-0.0175*A12)))&lt;70,'Scénario référence'!$B$18*(32+38*(1-EXP(-0.0175*A12))),70*'Scénario référence'!$B$18)</f>
        <v>70</v>
      </c>
      <c r="EF12" s="151">
        <f>IF(A12&gt;30,10,('Scénario référence'!$B$16+'Scénario référence'!$B$17+'Scénario référence'!$B$18+'Scénario référence'!$B$9+'Scénario référence'!$B$10)*A12*10/30+('Scénario référence'!$F$8+'Scénario référence'!$F$9)*10)</f>
        <v>3</v>
      </c>
      <c r="EG12" s="151" t="str">
        <f>VLOOKUP(A12,'Données projet'!$A$191:$I$211,2,0)</f>
        <v>#N/A</v>
      </c>
      <c r="EH12" s="151" t="str">
        <f>VLOOKUP(A12,'Données projet'!$A$191:$I$211,9,0)</f>
        <v>#N/A</v>
      </c>
      <c r="EI12" s="151" t="str">
        <f t="array" ref="EI12">INDEX(EH:EH,MIN(IF(ISNUMBER(EH12:EH208),ROW(EH12:EH208),"")))</f>
        <v/>
      </c>
      <c r="EJ12" s="151">
        <f>IF('Données projet'!$A$192&gt;35,EJ11+EI12-ER11,IF(A12&lt;'Données projet'!$A$192,$EG$205^A12,IF(A12='Données projet'!$A$192,'Données projet'!$B$192,EJ11+EI12-ER11)))</f>
        <v>0</v>
      </c>
      <c r="EK12" s="158" t="str">
        <f>EJ12*VLOOKUP('Données projet'!$B$15,'Paramètres'!$A$1:$I$88,3,0)*VLOOKUP('Données projet'!$B$15,'Paramètres'!$A$1:$I$88,5,0)</f>
        <v>#N/A</v>
      </c>
      <c r="EL12" s="150" t="str">
        <f t="shared" si="46"/>
        <v>#N/A</v>
      </c>
      <c r="EM12" s="161" t="str">
        <f t="shared" si="20"/>
        <v>#N/A</v>
      </c>
      <c r="EN12" s="153" t="str">
        <f t="shared" si="21"/>
        <v>#N/A</v>
      </c>
      <c r="EO12" s="153" t="str">
        <f>AVERAGE(OFFSET($EN$3,0,0,'Données projet'!$E$15+1,1))-AVERAGE(OFFSET($H$3,0,0,'Données projet'!$E$15+1,1))</f>
        <v>#N/A</v>
      </c>
      <c r="EP12" s="153" t="str">
        <f t="shared" si="47"/>
        <v>#N/A</v>
      </c>
      <c r="EQ12" s="154">
        <f>IF(ISNA(VLOOKUP(A12,'Données projet'!$A$191:$I$211,3,0)),0,VLOOKUP(A12,'Données projet'!$A$191:$I$211,3,0))</f>
        <v>0</v>
      </c>
      <c r="ER12" s="154">
        <f>IF(ISNA(VLOOKUP(A12,'Données projet'!$A$191:$I$211,4,0)),0,VLOOKUP(A12,'Données projet'!$A$191:$I$211,4,0))</f>
        <v>0</v>
      </c>
      <c r="ES12" s="155">
        <f>IF(ISNA(VLOOKUP(A12,'Données projet'!$A$191:$I$211,5,0)),0%,VLOOKUP(A12,'Données projet'!$A$191:$I$211,5,0)*VLOOKUP('Données projet'!$B$15,'Paramètres'!$A$1:$I$88,7,0))</f>
        <v>0</v>
      </c>
      <c r="ET12" s="155">
        <f>IF(ISNA(VLOOKUP(A12,'Données projet'!$A$191:$I$211,6,0)),0%,VLOOKUP(A12,'Données projet'!$A$191:$I$211,6,0)*VLOOKUP('Données projet'!$B$15,'Paramètres'!$A$1:$I$88,7,0))</f>
        <v>0</v>
      </c>
      <c r="EU12" s="155">
        <f>IF(ISNA(VLOOKUP(A12,'Données projet'!$A$191:$I$211,7,0)),0%,VLOOKUP(A12,'Données projet'!$A$191:$I$211,7,0))</f>
        <v>0</v>
      </c>
      <c r="EV12" s="162" t="str">
        <f>EXP(-LN(2)/35)*EV11+(1-EXP(-LN(2)/35))/(LN(2)/35)*ER12*ES12*VLOOKUP('Données projet'!$B$15,'Paramètres'!$A$1:$I$88,3,0)*0.475*44/12</f>
        <v>#N/A</v>
      </c>
      <c r="EW12" s="162" t="str">
        <f>EXP(-LN(2)/25)*EW11+(1-EXP(-LN(2)/25))/(LN(2)/25)*Calculateur!ER12*Calculateur!ET12*VLOOKUP('Données projet'!$B$15,'Paramètres'!$A$1:$I$88,3,0)*0.475*44/12</f>
        <v>#N/A</v>
      </c>
      <c r="EX12" s="162" t="str">
        <f>EXP(-LN(2)/2)*EX11+(1-EXP(-LN(2)/2))/(LN(2)/2)*ER12*EU12*VLOOKUP('Données projet'!$B$15,'Paramètres'!$A$1:$I$88,3,0)*0.475*44/12</f>
        <v>#N/A</v>
      </c>
      <c r="EY12" s="163" t="str">
        <f t="shared" si="22"/>
        <v>#N/A</v>
      </c>
      <c r="EZ12" s="159">
        <f>('Scénario référence'!$F$8+'Scénario référence'!$F$9+'Scénario référence'!$B$17+'Scénario référence'!$B$9+'Scénario référence'!$B$10)*70+IF((45+25*(1-EXP(-0.0175*A12)))&lt;70,'Scénario référence'!$B$16*(45+25*(1-EXP(-0.0175*A12))),70*'Scénario référence'!$B$16)+IF((32+38*(1-EXP(-0.0175*A12)))&lt;70,'Scénario référence'!$B$18*(32+38*(1-EXP(-0.0175*A12))),70*'Scénario référence'!$B$18)</f>
        <v>70</v>
      </c>
      <c r="FA12" s="151">
        <f>IF(A12&gt;30,10,('Scénario référence'!$B$16+'Scénario référence'!$B$17+'Scénario référence'!$B$18+'Scénario référence'!$B$9+'Scénario référence'!$B$10)*A12*10/30+('Scénario référence'!$F$8+'Scénario référence'!$F$9)*10)</f>
        <v>3</v>
      </c>
      <c r="FB12" s="151" t="str">
        <f>VLOOKUP(A12,'Données projet'!$A$217:$I$237,2,0)</f>
        <v>#N/A</v>
      </c>
      <c r="FC12" s="151" t="str">
        <f>VLOOKUP(A12,'Données projet'!$A$217:$I$237,9,0)</f>
        <v>#N/A</v>
      </c>
      <c r="FD12" s="151" t="str">
        <f t="array" ref="FD12">INDEX(FC:FC,MIN(IF(ISNUMBER(FC12:FC208),ROW(FC12:FC208),"")))</f>
        <v/>
      </c>
      <c r="FE12" s="151">
        <f>IF('Données projet'!$A$218&gt;35,FE11+FD12-FM11,IF(A12&lt;'Données projet'!$A$218,$FB$205^A12,IF(A12='Données projet'!$A$218,'Données projet'!$B$218,FE11+FD12-FM11)))</f>
        <v>0</v>
      </c>
      <c r="FF12" s="158" t="str">
        <f>FE12*VLOOKUP('Données projet'!$B$16,'Paramètres'!$A$1:$I$88,3,0)*VLOOKUP('Données projet'!$B$16,'Paramètres'!$A$1:$I$88,5,0)</f>
        <v>#N/A</v>
      </c>
      <c r="FG12" s="150" t="str">
        <f t="shared" si="48"/>
        <v>#N/A</v>
      </c>
      <c r="FH12" s="161" t="str">
        <f t="shared" si="23"/>
        <v>#N/A</v>
      </c>
      <c r="FI12" s="153" t="str">
        <f t="shared" si="24"/>
        <v>#N/A</v>
      </c>
      <c r="FJ12" s="153" t="str">
        <f>AVERAGE(OFFSET($FI$3,0,0,'Données projet'!$E$16+1,1))-AVERAGE(OFFSET($H$3,0,0,'Données projet'!$E$16+1,1))</f>
        <v>#N/A</v>
      </c>
      <c r="FK12" s="153" t="str">
        <f t="shared" si="49"/>
        <v>#N/A</v>
      </c>
      <c r="FL12" s="154">
        <f>IF(ISNA(VLOOKUP(A12,'Données projet'!$A$217:$I$237,3,0)),0,VLOOKUP(A12,'Données projet'!$A$217:$I$237,3,0))</f>
        <v>0</v>
      </c>
      <c r="FM12" s="154">
        <f>IF(ISNA(VLOOKUP(A12,'Données projet'!$A$217:$I$237,4,0)),0,VLOOKUP(A12,'Données projet'!$A$217:$I$237,4,0))</f>
        <v>0</v>
      </c>
      <c r="FN12" s="155">
        <f>IF(ISNA(VLOOKUP(A12,'Données projet'!$A$217:$I$237,5,0)),0%,VLOOKUP(A12,'Données projet'!$A$217:$I$237,5,0)*VLOOKUP('Données projet'!$B$16,'Paramètres'!$A$1:$I$88,7,0))</f>
        <v>0</v>
      </c>
      <c r="FO12" s="155">
        <f>IF(ISNA(VLOOKUP(A12,'Données projet'!$A$217:$I$237,6,0)),0%,VLOOKUP(A12,'Données projet'!$A$217:$I$237,6,0)*VLOOKUP('Données projet'!$B$16,'Paramètres'!$A$1:$I$88,7,0))</f>
        <v>0</v>
      </c>
      <c r="FP12" s="155">
        <f>IF(ISNA(VLOOKUP(A12,'Données projet'!$A$217:$I$237,7,0)),0%,VLOOKUP(A12,'Données projet'!$A$217:$I$237,7,0))</f>
        <v>0</v>
      </c>
      <c r="FQ12" s="162" t="str">
        <f>EXP(-LN(2)/35)*FQ11+(1-EXP(-LN(2)/35))/(LN(2)/35)*FM12*FN12*VLOOKUP('Données projet'!$B$16,'Paramètres'!$A$1:$I$88,3,0)*0.475*44/12</f>
        <v>#N/A</v>
      </c>
      <c r="FR12" s="162" t="str">
        <f>EXP(-LN(2)/25)*FR11+(1-EXP(-LN(2)/25))/(LN(2)/25)*Calculateur!FM12*Calculateur!FO12*VLOOKUP('Données projet'!$B$16,'Paramètres'!$A$1:$I$88,3,0)*0.475*44/12</f>
        <v>#N/A</v>
      </c>
      <c r="FS12" s="162" t="str">
        <f>EXP(-LN(2)/2)*FS11+(1-EXP(-LN(2)/2))/(LN(2)/2)*FM12*FP12*VLOOKUP('Données projet'!$B$16,'Paramètres'!$A$1:$I$88,3,0)*0.475*44/12</f>
        <v>#N/A</v>
      </c>
      <c r="FT12" s="163" t="str">
        <f t="shared" si="25"/>
        <v>#N/A</v>
      </c>
      <c r="FU12" s="159">
        <f>('Scénario référence'!$F$8+'Scénario référence'!$F$9+'Scénario référence'!$B$17+'Scénario référence'!$B$9+'Scénario référence'!$B$10)*70+IF((45+25*(1-EXP(-0.0175*A12)))&lt;70,'Scénario référence'!$B$16*(45+25*(1-EXP(-0.0175*A12))),70*'Scénario référence'!$B$16)+IF((32+38*(1-EXP(-0.0175*A12)))&lt;70,'Scénario référence'!$B$18*(32+38*(1-EXP(-0.0175*A12))),70*'Scénario référence'!$B$18)</f>
        <v>70</v>
      </c>
      <c r="FV12" s="151">
        <f>IF(A12&gt;30,10,('Scénario référence'!$B$16+'Scénario référence'!$B$17+'Scénario référence'!$B$18+'Scénario référence'!$B$9+'Scénario référence'!$B$10)*A12*10/30+('Scénario référence'!$F$8+'Scénario référence'!$F$9)*10)</f>
        <v>3</v>
      </c>
      <c r="FW12" s="151" t="str">
        <f>VLOOKUP(A12,'Données projet'!$A$243:$I$263,2,0)</f>
        <v>#N/A</v>
      </c>
      <c r="FX12" s="151" t="str">
        <f>VLOOKUP(A12,'Données projet'!$A$243:$I$263,9,0)</f>
        <v>#N/A</v>
      </c>
      <c r="FY12" s="151" t="str">
        <f t="array" ref="FY12">INDEX(FX:FX,MIN(IF(ISNUMBER(FX12:FX208),ROW(FX12:FX208),"")))</f>
        <v/>
      </c>
      <c r="FZ12" s="151">
        <f>IF('Données projet'!$A$244&gt;35,FZ11+FY12-GH11,IF(A12&lt;'Données projet'!$A$244,$FW$205^A12,IF(A12='Données projet'!$A$244,'Données projet'!$B$244,FZ11+FY12-GH11)))</f>
        <v>0</v>
      </c>
      <c r="GA12" s="158" t="str">
        <f>FZ12*VLOOKUP('Données projet'!$B$17,'Paramètres'!$A$1:$I$88,3,0)*VLOOKUP('Données projet'!$B$17,'Paramètres'!$A$1:$I$88,5,0)</f>
        <v>#N/A</v>
      </c>
      <c r="GB12" s="150" t="str">
        <f t="shared" si="50"/>
        <v>#N/A</v>
      </c>
      <c r="GC12" s="161" t="str">
        <f t="shared" si="26"/>
        <v>#N/A</v>
      </c>
      <c r="GD12" s="153" t="str">
        <f t="shared" si="27"/>
        <v>#N/A</v>
      </c>
      <c r="GE12" s="153" t="str">
        <f>AVERAGE(OFFSET($GD$3,0,0,'Données projet'!$E$17+1,1))-AVERAGE(OFFSET($H$3,0,0,'Données projet'!$E$17+1,1))</f>
        <v>#N/A</v>
      </c>
      <c r="GF12" s="153" t="str">
        <f t="shared" si="51"/>
        <v>#N/A</v>
      </c>
      <c r="GG12" s="154">
        <f>IF(ISNA(VLOOKUP(A12,'Données projet'!$A$243:$I$263,3,0)),0,VLOOKUP(A12,'Données projet'!$A$243:$I$263,3,0))</f>
        <v>0</v>
      </c>
      <c r="GH12" s="154">
        <f>IF(ISNA(VLOOKUP(A12,'Données projet'!$A$243:$I$263,4,0)),0,VLOOKUP(A12,'Données projet'!$A$243:$I$263,4,0))</f>
        <v>0</v>
      </c>
      <c r="GI12" s="155">
        <f>IF(ISNA(VLOOKUP(A12,'Données projet'!$A$243:$I$263,5,0)),0%,VLOOKUP(A12,'Données projet'!$A$243:$I$263,5,0)*VLOOKUP('Données projet'!$B$17,'Paramètres'!$A$1:$I$88,7,0))</f>
        <v>0</v>
      </c>
      <c r="GJ12" s="155">
        <f>IF(ISNA(VLOOKUP(A12,'Données projet'!$A$243:$I$263,6,0)),0%,VLOOKUP(A12,'Données projet'!$A$243:$I$263,6,0)*VLOOKUP('Données projet'!$B$17,'Paramètres'!$A$1:$I$88,7,0))</f>
        <v>0</v>
      </c>
      <c r="GK12" s="155">
        <f>IF(ISNA(VLOOKUP(A12,'Données projet'!$A$243:$I$263,7,0)),0%,VLOOKUP(A12,'Données projet'!$A$243:$I$263,7,0))</f>
        <v>0</v>
      </c>
      <c r="GL12" s="162" t="str">
        <f>EXP(-LN(2)/35)*GL11+(1-EXP(-LN(2)/35))/(LN(2)/35)*GH12*GI12*VLOOKUP('Données projet'!$B$17,'Paramètres'!$A$1:$I$88,3,0)*0.475*44/12</f>
        <v>#N/A</v>
      </c>
      <c r="GM12" s="162" t="str">
        <f>EXP(-LN(2)/25)*GM11+(1-EXP(-LN(2)/25))/(LN(2)/25)*Calculateur!GH12*Calculateur!GJ12*VLOOKUP('Données projet'!$B$17,'Paramètres'!$A$1:$I$88,3,0)*0.475*44/12</f>
        <v>#N/A</v>
      </c>
      <c r="GN12" s="162" t="str">
        <f>EXP(-LN(2)/2)*GN11+(1-EXP(-LN(2)/2))/(LN(2)/2)*GH12*GK12*VLOOKUP('Données projet'!$B$17,'Paramètres'!$A$1:$I$88,3,0)*0.475*44/12</f>
        <v>#N/A</v>
      </c>
      <c r="GO12" s="162" t="str">
        <f t="shared" si="28"/>
        <v>#N/A</v>
      </c>
      <c r="GP12" s="159">
        <f>('Scénario référence'!$F$8+'Scénario référence'!$F$9+'Scénario référence'!$B$17+'Scénario référence'!$B$9+'Scénario référence'!$B$10)*70+IF((45+25*(1-EXP(-0.0175*A12)))&lt;70,'Scénario référence'!$B$16*(45+25*(1-EXP(-0.0175*A12))),70*'Scénario référence'!$B$16)+IF((32+38*(1-EXP(-0.0175*A12)))&lt;70,'Scénario référence'!$B$18*(32+38*(1-EXP(-0.0175*A12))),70*'Scénario référence'!$B$18)</f>
        <v>70</v>
      </c>
      <c r="GQ12" s="151">
        <f>IF(A12&gt;30,10,('Scénario référence'!$B$16+'Scénario référence'!$B$17+'Scénario référence'!$B$18+'Scénario référence'!$B$9+'Scénario référence'!$B$10)*A12*10/30+('Scénario référence'!$F$8+'Scénario référence'!$F$9)*10)</f>
        <v>3</v>
      </c>
      <c r="GR12" s="151" t="str">
        <f>VLOOKUP(A12,'Données projet'!$A$269:$I$289,2,0)</f>
        <v>#N/A</v>
      </c>
      <c r="GS12" s="151" t="str">
        <f>VLOOKUP(A12,'Données projet'!$A$269:$I$289,9,0)</f>
        <v>#N/A</v>
      </c>
      <c r="GT12" s="151" t="str">
        <f t="array" ref="GT12">INDEX(GS:GS,MIN(IF(ISNUMBER(GS12:GS208),ROW(GS12:GS208),"")))</f>
        <v/>
      </c>
      <c r="GU12" s="151">
        <f>IF('Données projet'!$A$270&gt;35,GU11+GT12-HC11,IF(A12&lt;'Données projet'!$A$270,$GR$205^A12,IF(A12='Données projet'!$A$270,'Données projet'!$B$270,GU11+GT12-HC11)))</f>
        <v>0</v>
      </c>
      <c r="GV12" s="158" t="str">
        <f>GU12*VLOOKUP('Données projet'!$B$18,'Paramètres'!$A$1:$I$88,3,0)*VLOOKUP('Données projet'!$B$18,'Paramètres'!$A$1:$I$88,5,0)</f>
        <v>#N/A</v>
      </c>
      <c r="GW12" s="150" t="str">
        <f t="shared" si="52"/>
        <v>#N/A</v>
      </c>
      <c r="GX12" s="161" t="str">
        <f t="shared" si="29"/>
        <v>#N/A</v>
      </c>
      <c r="GY12" s="153" t="str">
        <f t="shared" si="30"/>
        <v>#N/A</v>
      </c>
      <c r="GZ12" s="153" t="str">
        <f>AVERAGE(OFFSET($GY$3,0,0,'Données projet'!$E$18+1,1))-AVERAGE(OFFSET($H$3,0,0,'Données projet'!$E$18+1,1))</f>
        <v>#N/A</v>
      </c>
      <c r="HA12" s="153" t="str">
        <f t="shared" si="53"/>
        <v>#N/A</v>
      </c>
      <c r="HB12" s="154">
        <f>IF(ISNA(VLOOKUP(A12,'Données projet'!$A$269:$I$289,3,0)),0,VLOOKUP(A12,'Données projet'!$A$269:$I$289,3,0))</f>
        <v>0</v>
      </c>
      <c r="HC12" s="154">
        <f>IF(ISNA(VLOOKUP(A12,'Données projet'!$A$269:$I$289,4,0)),0,VLOOKUP(A12,'Données projet'!$A$269:$I$289,4,0))</f>
        <v>0</v>
      </c>
      <c r="HD12" s="155">
        <f>IF(ISNA(VLOOKUP(A12,'Données projet'!$A$269:$I$289,5,0)),0%,VLOOKUP(A12,'Données projet'!$A$269:$I$289,5,0)*VLOOKUP('Données projet'!$B$18,'Paramètres'!$A$1:$I$88,7,0))</f>
        <v>0</v>
      </c>
      <c r="HE12" s="155">
        <f>IF(ISNA(VLOOKUP(A12,'Données projet'!$A$269:$I$289,6,0)),0%,VLOOKUP(A12,'Données projet'!$A$269:$I$289,6,0)*VLOOKUP('Données projet'!$B$18,'Paramètres'!$A$1:$I$88,7,0))</f>
        <v>0</v>
      </c>
      <c r="HF12" s="155">
        <f>IF(ISNA(VLOOKUP(A12,'Données projet'!$A$269:$I$289,7,0)),0%,VLOOKUP(A12,'Données projet'!$A$269:$I$289,7,0))</f>
        <v>0</v>
      </c>
      <c r="HG12" s="162" t="str">
        <f>EXP(-LN(2)/35)*HG11+(1-EXP(-LN(2)/35))/(LN(2)/35)*HC12*HD12*VLOOKUP('Données projet'!$B$18,'Paramètres'!$A$1:$I$88,3,0)*0.475*44/12</f>
        <v>#N/A</v>
      </c>
      <c r="HH12" s="162" t="str">
        <f>EXP(-LN(2)/25)*HH11+(1-EXP(-LN(2)/25))/(LN(2)/25)*Calculateur!HC12*Calculateur!HE12*VLOOKUP('Données projet'!$B$18,'Paramètres'!$A$1:$I$88,3,0)*0.475*44/12</f>
        <v>#N/A</v>
      </c>
      <c r="HI12" s="162" t="str">
        <f>EXP(-LN(2)/2)*HI11+(1-EXP(-LN(2)/2))/(LN(2)/2)*HC12*HF12*VLOOKUP('Données projet'!$B$18,'Paramètres'!$A$1:$I$88,3,0)*0.475*44/12</f>
        <v>#N/A</v>
      </c>
      <c r="HJ12" s="163" t="str">
        <f t="shared" si="31"/>
        <v>#N/A</v>
      </c>
    </row>
    <row r="13">
      <c r="A13" s="145">
        <f t="shared" si="32"/>
        <v>10</v>
      </c>
      <c r="B13" s="146">
        <f>'Scénario référence'!$B$16*5+'Scénario référence'!$B$17*0+'Scénario référence'!$B$18*5</f>
        <v>0</v>
      </c>
      <c r="C13" s="160">
        <f>Calculateur!C12+'Scénario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3" s="147">
        <f t="shared" si="33"/>
        <v>0</v>
      </c>
      <c r="E13" s="147">
        <f>'Scénario référence'!$B$16*45+('Scénario référence'!$B$17+'Scénario référence'!$F$8+'Scénario référence'!$F$9+'Scénario référence'!$B$10+'Scénario référence'!$B$9)*70+'Scénario référence'!$B$18*32</f>
        <v>70</v>
      </c>
      <c r="F13" s="147">
        <f>IF(OR('Scénario référence'!$F$8&gt;0,'Scénario référence'!$F$9&gt;0),('Scénario référence'!$F$8+'Scénario référence'!$F$9)*10,0)</f>
        <v>0</v>
      </c>
      <c r="G13" s="147">
        <f>'Scénario référence'!$B$8*B13*44/12+'Scénario référence'!$B$9*(C13+D13)/0.475*44/12+'Scénario référence'!$B$10*(C13+D13)/0.475*44/12+'Scénario référence'!$F$8*(C13+D13)/0.475*44/12+'Scénario référence'!$F$9*(C13+D13)/0.475*44/12</f>
        <v>0</v>
      </c>
      <c r="H13" s="148">
        <f t="shared" si="1"/>
        <v>256.6666667</v>
      </c>
      <c r="I13" s="149">
        <f>('Scénario référence'!$F$8+'Scénario référence'!$F$9+'Scénario référence'!$B$17+'Scénario référence'!$B$9+'Scénario référence'!$B$10)*70+IF((45+25*(1-EXP(-0.0175*A13)))&lt;70,'Scénario référence'!$B$16*(45+25*(1-EXP(-0.0175*A13))),70*'Scénario référence'!$B$16)+IF((32+38*(1-EXP(-0.0175*A13)))&lt;70,'Scénario référence'!$B$18*(32+38*(1-EXP(-0.0175*A13))),70*'Scénario référence'!$B$18)</f>
        <v>70</v>
      </c>
      <c r="J13" s="150">
        <f>IF(A13&gt;30,10,('Scénario référence'!$B$16+'Scénario référence'!$B$17+'Scénario référence'!$B$18+'Scénario référence'!$B$9+'Scénario référence'!$B$10)*A13*10/30+('Scénario référence'!$F$8+'Scénario référence'!$F$9)*10)</f>
        <v>3.333333333</v>
      </c>
      <c r="K13" s="151" t="str">
        <f>VLOOKUP(A13,'Données projet'!$A$35:$I$55,2,0)</f>
        <v>#N/A</v>
      </c>
      <c r="L13" s="151" t="str">
        <f>VLOOKUP(A13,'Données projet'!$A$35:$I$55,9,0)</f>
        <v>#N/A</v>
      </c>
      <c r="M13" s="150">
        <f t="array" ref="M13">INDEX(L:L,MIN(IF(ISNUMBER(L13:L209),ROW(L13:L209),"")))</f>
        <v>3.65</v>
      </c>
      <c r="N13" s="150">
        <f>IF('Données projet'!$A$36&gt;35,N12+M13-V12,IF(A13&lt;'Données projet'!$A$36,$K$205^A13,IF(A13='Données projet'!$A$36,'Données projet'!$B$36,N12+M13-V12)))</f>
        <v>8.544003745</v>
      </c>
      <c r="O13" s="150">
        <f>N13*VLOOKUP('Données projet'!$B$9,'Paramètres'!$A$1:$I$88,3,0)*VLOOKUP('Données projet'!$B$9,'Paramètres'!$A$1:$I$88,5,0)</f>
        <v>7.730614589</v>
      </c>
      <c r="P13" s="150">
        <f t="shared" si="34"/>
        <v>2.807876323</v>
      </c>
      <c r="Q13" s="161">
        <f t="shared" si="2"/>
        <v>18.35453834</v>
      </c>
      <c r="R13" s="153">
        <f t="shared" si="3"/>
        <v>287.2434272</v>
      </c>
      <c r="S13" s="153">
        <f>AVERAGE(OFFSET($R$3,0,0,'Données projet'!$E$9+1,1))-AVERAGE(OFFSET($H$3,0,0,'Données projet'!$E$9+1,1))</f>
        <v>439.1985427</v>
      </c>
      <c r="T13" s="153">
        <f t="shared" si="35"/>
        <v>278.2174123</v>
      </c>
      <c r="U13" s="154">
        <f>IF(ISNA(VLOOKUP(A13,'Données projet'!$A$35:$I$55,3,0)),0,VLOOKUP(A13,'Données projet'!$A$35:$I$55,3,0))</f>
        <v>0</v>
      </c>
      <c r="V13" s="154">
        <f>IF(ISNA(VLOOKUP(A13,'Données projet'!$A$35:$I$55,4,0)),0,VLOOKUP(A13,'Données projet'!$A$35:$I$55,4,0))</f>
        <v>0</v>
      </c>
      <c r="W13" s="155">
        <f>IF(ISNA(VLOOKUP(A13,'Données projet'!$A$35:$I$55,5,0)),0%,VLOOKUP(A13,'Données projet'!$A$35:$I$55,5,0)*VLOOKUP('Données projet'!$B$9,'Paramètres'!$A$1:$I$88,7,0))</f>
        <v>0</v>
      </c>
      <c r="X13" s="155">
        <f>IF(ISNA(VLOOKUP(A13,'Données projet'!$A$35:$I$55,6,0)),0%,VLOOKUP(A13,'Données projet'!$A$35:$I$55,6,0)*VLOOKUP('Données projet'!$B$9,'Paramètres'!$A$1:$I$88,7,0))</f>
        <v>0</v>
      </c>
      <c r="Y13" s="155">
        <f>IF(ISNA(VLOOKUP(A13,'Données projet'!$A$35:$I$55,7,0)),0%,VLOOKUP(A13,'Données projet'!$A$35:$I$55,7,0))</f>
        <v>0</v>
      </c>
      <c r="Z13" s="162">
        <f>EXP(-LN(2)/35)*Z12+(1-EXP(-LN(2)/35))/(LN(2)/35)*V13*W13*VLOOKUP('Données projet'!$B$9,'Paramètres'!$A$1:$I$88,3,0)*0.475*44/12</f>
        <v>0</v>
      </c>
      <c r="AA13" s="162">
        <f>EXP(-LN(2)/25)*AA12+(1-EXP(-LN(2)/25))/(LN(2)/25)*Calculateur!V13*Calculateur!X13*VLOOKUP('Données projet'!$B$9,'Paramètres'!$A$1:$I$88,3,0)*0.475*44/12</f>
        <v>0</v>
      </c>
      <c r="AB13" s="162">
        <f>EXP(-LN(2)/2)*AB12+(1-EXP(-LN(2)/2))/(LN(2)/2)*V13*Y13*VLOOKUP('Données projet'!$B$9,'Paramètres'!$A$1:$I$88,3,0)*0.475*44/12</f>
        <v>0</v>
      </c>
      <c r="AC13" s="163">
        <f t="shared" si="4"/>
        <v>0</v>
      </c>
      <c r="AD13" s="150">
        <f>('Scénario référence'!$F$8+'Scénario référence'!$F$9+'Scénario référence'!$B$17+'Scénario référence'!$B$9+'Scénario référence'!$B$10)*70+IF((45+25*(1-EXP(-0.0175*A13)))&lt;70,'Scénario référence'!$B$16*(45+25*(1-EXP(-0.0175*A13))),70*'Scénario référence'!$B$16)+IF((32+38*(1-EXP(-0.0175*A13)))&lt;70,'Scénario référence'!$B$18*(32+38*(1-EXP(-0.0175*A13))),70*'Scénario référence'!$B$18)</f>
        <v>70</v>
      </c>
      <c r="AE13" s="150">
        <f>IF(A13&gt;30,10,('Scénario référence'!$B$16+'Scénario référence'!$B$17+'Scénario référence'!$B$18+'Scénario référence'!$B$9+'Scénario référence'!$B$10)*A13*10/30+('Scénario référence'!$F$8+'Scénario référence'!$F$9)*10)</f>
        <v>3.333333333</v>
      </c>
      <c r="AF13" s="151">
        <f>VLOOKUP(A13,'Données projet'!$A$61:$I$81,2,0)</f>
        <v>19</v>
      </c>
      <c r="AG13" s="150">
        <f>VLOOKUP(A13,'Données projet'!$A$61:$I$81,9,0)</f>
        <v>1.9</v>
      </c>
      <c r="AH13" s="150">
        <f t="array" ref="AH13">INDEX(AG:AG,MIN(IF(ISNUMBER(AG13:AG209),ROW(AG13:AG209),"")))</f>
        <v>1.9</v>
      </c>
      <c r="AI13" s="150">
        <f>IF('Données projet'!$A$62&gt;35,AI12+AH13-AQ12,IF(A13&lt;'Données projet'!$A$62,$AF$205^A13,IF(A13='Données projet'!$A$62,'Données projet'!$B$62,AI12+AH13-AQ12)))</f>
        <v>19</v>
      </c>
      <c r="AJ13" s="150">
        <f>AI13*VLOOKUP('Données projet'!$B$10,'Paramètres'!$A$1:$I$88,3,0)*VLOOKUP('Données projet'!$B$10,'Paramètres'!$A$1:$I$88,5,0)</f>
        <v>15.1164</v>
      </c>
      <c r="AK13" s="150">
        <f t="shared" si="36"/>
        <v>5.078233304</v>
      </c>
      <c r="AL13" s="161">
        <f t="shared" si="5"/>
        <v>35.17231967</v>
      </c>
      <c r="AM13" s="153">
        <f t="shared" si="6"/>
        <v>304.0612086</v>
      </c>
      <c r="AN13" s="153">
        <f>AVERAGE(OFFSET($AM$3,0,0,'Données projet'!$E$10+1,1))-AVERAGE(OFFSET($H$3,0,0,'Données projet'!$E$10+1,1))</f>
        <v>405.6113614</v>
      </c>
      <c r="AO13" s="153">
        <f t="shared" si="37"/>
        <v>393.0787141</v>
      </c>
      <c r="AP13" s="154">
        <f>IF(ISNA(VLOOKUP(A13,'Données projet'!$A$61:$I$81,3,0)),0,VLOOKUP(A13,'Données projet'!$A$61:$I$81,3,0))</f>
        <v>1</v>
      </c>
      <c r="AQ13" s="164">
        <f>IF(ISNA(VLOOKUP(A13,'Données projet'!$A$61:$I$81,4,0)),0,VLOOKUP(A13,'Données projet'!$A$61:$I$81,4,0))</f>
        <v>7</v>
      </c>
      <c r="AR13" s="155">
        <f>IF(ISNA(VLOOKUP(A13,'Données projet'!$A$61:$I$81,5,0)),0%,VLOOKUP(A13,'Données projet'!$A$61:$I$81,5,0)*VLOOKUP('Données projet'!$B$10,'Paramètres'!$A$1:$I$88,7,0))</f>
        <v>0</v>
      </c>
      <c r="AS13" s="155">
        <f>IF(ISNA(VLOOKUP(A13,'Données projet'!$A$61:$I$81,6,0)),0%,VLOOKUP(A13,'Données projet'!$A$61:$I$81,6,0)*VLOOKUP('Données projet'!$B$10,'Paramètres'!$A$1:$I$88,7,0))</f>
        <v>0</v>
      </c>
      <c r="AT13" s="155" t="str">
        <f>IF(ISNA(VLOOKUP(A13,'Données projet'!$A$61:$I$81,7,0)),0%,VLOOKUP(A13,'Données projet'!$A$61:$I$81,7,0))</f>
        <v/>
      </c>
      <c r="AU13" s="162">
        <f>EXP(-LN(2)/35)*AU12+(1-EXP(-LN(2)/35))/(LN(2)/35)*AQ13*AR13*VLOOKUP('Données projet'!$B$10,'Paramètres'!$A$1:$I$88,3,0)*0.475*44/12</f>
        <v>0</v>
      </c>
      <c r="AV13" s="162">
        <f>EXP(-LN(2)/25)*AV12+(1-EXP(-LN(2)/25))/(LN(2)/25)*Calculateur!AQ13*Calculateur!AS13*VLOOKUP('Données projet'!$B$10,'Paramètres'!$A$1:$I$88,3,0)*0.475*44/12</f>
        <v>0</v>
      </c>
      <c r="AW13" s="162">
        <f>EXP(-LN(2)/2)*AW12+(1-EXP(-LN(2)/2))/(LN(2)/2)*AQ13*AT13*VLOOKUP('Données projet'!$B$10,'Paramètres'!$A$1:$I$88,3,0)*0.475*44/12</f>
        <v>0</v>
      </c>
      <c r="AX13" s="162">
        <f t="shared" si="7"/>
        <v>0</v>
      </c>
      <c r="AY13" s="157">
        <f>('Scénario référence'!$F$8+'Scénario référence'!$F$9+'Scénario référence'!$B$17+'Scénario référence'!$B$9+'Scénario référence'!$B$10)*70+IF((45+25*(1-EXP(-0.0175*A13)))&lt;70,'Scénario référence'!$B$16*(45+25*(1-EXP(-0.0175*A13))),70*'Scénario référence'!$B$16)+IF((32+38*(1-EXP(-0.0175*A13)))&lt;70,'Scénario référence'!$B$18*(32+38*(1-EXP(-0.0175*A13))),70*'Scénario référence'!$B$18)</f>
        <v>70</v>
      </c>
      <c r="AZ13" s="151">
        <f>IF(A13&gt;30,10,('Scénario référence'!$B$16+'Scénario référence'!$B$17+'Scénario référence'!$B$18+'Scénario référence'!$B$9+'Scénario référence'!$B$10)*A13*10/30+('Scénario référence'!$F$8+'Scénario référence'!$F$9)*10)</f>
        <v>3.333333333</v>
      </c>
      <c r="BA13" s="151" t="str">
        <f>VLOOKUP(A13,'Données projet'!$A$87:$I$107,2,0)</f>
        <v>#N/A</v>
      </c>
      <c r="BB13" s="151" t="str">
        <f>VLOOKUP(A13,'Données projet'!$A$87:$I$107,9,0)</f>
        <v>#N/A</v>
      </c>
      <c r="BC13" s="150" t="str">
        <f t="array" ref="BC13">INDEX(BB:BB,MIN(IF(ISNUMBER(BB13:BB209),ROW(BB13:BB209),"")))</f>
        <v/>
      </c>
      <c r="BD13" s="150">
        <f>IF('Données projet'!$A$88&gt;35,BD12+BC13-BL12,IF(A13&lt;'Données projet'!$A$88,$BA$205^A13,IF(A13='Données projet'!$A$88,'Données projet'!$B$88,BD12+BC13-BL12)))</f>
        <v>0</v>
      </c>
      <c r="BE13" s="150">
        <f>BD13*VLOOKUP('Données projet'!$B$11,'Paramètres'!$A$1:$I$88,3,0)*VLOOKUP('Données projet'!$B$11,'Paramètres'!$A$1:$I$88,5,0)</f>
        <v>0</v>
      </c>
      <c r="BF13" s="150" t="str">
        <f t="shared" si="38"/>
        <v>#NUM!</v>
      </c>
      <c r="BG13" s="161" t="str">
        <f t="shared" si="8"/>
        <v>#NUM!</v>
      </c>
      <c r="BH13" s="153" t="str">
        <f t="shared" si="9"/>
        <v>#NUM!</v>
      </c>
      <c r="BI13" s="153">
        <f>AVERAGE(OFFSET($BH$3,0,0,'Données projet'!$E$11+1,1))-AVERAGE(OFFSET($H$3,0,0,'Données projet'!$E$11+1,1))</f>
        <v>0</v>
      </c>
      <c r="BJ13" s="153">
        <f t="shared" si="39"/>
        <v>0</v>
      </c>
      <c r="BK13" s="154">
        <f>IF(ISNA(VLOOKUP(A13,'Données projet'!$A$87:$I$107,3,0)),0,VLOOKUP(A13,'Données projet'!$A$87:$I$107,3,0))</f>
        <v>0</v>
      </c>
      <c r="BL13" s="154">
        <f>IF(ISNA(VLOOKUP(A13,'Données projet'!$A$87:$I$107,4,0)),0,VLOOKUP(A13,'Données projet'!$A$87:$I$107,4,0))</f>
        <v>0</v>
      </c>
      <c r="BM13" s="155">
        <f>IF(ISNA(VLOOKUP(A13,'Données projet'!$A$87:$I$107,5,0)),0%,VLOOKUP(A13,'Données projet'!$A$87:$I$107,5,0)*VLOOKUP('Données projet'!$B$11,'Paramètres'!$A$1:$I$88,7,0))</f>
        <v>0</v>
      </c>
      <c r="BN13" s="155">
        <f>IF(ISNA(VLOOKUP(A13,'Données projet'!$A$87:$I$107,6,0)),0%,VLOOKUP(A13,'Données projet'!$A$87:$I$107,6,0)*VLOOKUP('Données projet'!$B$11,'Paramètres'!$A$1:$I$88,7,0))</f>
        <v>0</v>
      </c>
      <c r="BO13" s="155">
        <f>IF(ISNA(VLOOKUP(A13,'Données projet'!$A$87:$I$107,7,0)),0%,VLOOKUP(A13,'Données projet'!$A$87:$I$107,7,0))</f>
        <v>0</v>
      </c>
      <c r="BP13" s="162">
        <f>EXP(-LN(2)/35)*BP12+(1-EXP(-LN(2)/35))/(LN(2)/35)*BL13*BM13*VLOOKUP('Données projet'!$B$11,'Paramètres'!$A$1:$I$88,3,0)*0.475*44/12</f>
        <v>0</v>
      </c>
      <c r="BQ13" s="162">
        <f>EXP(-LN(2)/25)*BQ12+(1-EXP(-LN(2)/25))/(LN(2)/25)*Calculateur!BL13*Calculateur!BN13*VLOOKUP('Données projet'!$B$11,'Paramètres'!$A$1:$I$88,3,0)*0.475*44/12</f>
        <v>0</v>
      </c>
      <c r="BR13" s="162">
        <f>EXP(-LN(2)/2)*BR12+(1-EXP(-LN(2)/2))/(LN(2)/2)*BL13*BO13*VLOOKUP('Données projet'!$B$11,'Paramètres'!$A$1:$I$88,3,0)*0.475*44/12</f>
        <v>0</v>
      </c>
      <c r="BS13" s="163">
        <f t="shared" si="10"/>
        <v>0</v>
      </c>
      <c r="BT13" s="159">
        <f>('Scénario référence'!$F$8+'Scénario référence'!$F$9+'Scénario référence'!$B$17+'Scénario référence'!$B$9+'Scénario référence'!$B$10)*70+IF((45+25*(1-EXP(-0.0175*A13)))&lt;70,'Scénario référence'!$B$16*(45+25*(1-EXP(-0.0175*A13))),70*'Scénario référence'!$B$16)+IF((32+38*(1-EXP(-0.0175*A13)))&lt;70,'Scénario référence'!$B$18*(32+38*(1-EXP(-0.0175*A13))),70*'Scénario référence'!$B$18)</f>
        <v>70</v>
      </c>
      <c r="BU13" s="151">
        <f>IF(A13&gt;30,10,('Scénario référence'!$B$16+'Scénario référence'!$B$17+'Scénario référence'!$B$18+'Scénario référence'!$B$9+'Scénario référence'!$B$10)*A13*10/30+('Scénario référence'!$F$8+'Scénario référence'!$F$9)*10)</f>
        <v>3.333333333</v>
      </c>
      <c r="BV13" s="151" t="str">
        <f>VLOOKUP(A13,'Données projet'!$A$113:$I$133,2,0)</f>
        <v>#N/A</v>
      </c>
      <c r="BW13" s="151" t="str">
        <f>VLOOKUP(A13,'Données projet'!$A$113:$I$133,9,0)</f>
        <v>#N/A</v>
      </c>
      <c r="BX13" s="150" t="str">
        <f t="array" ref="BX13">INDEX(BW:BW,MIN(IF(ISNUMBER(BW13:BW209),ROW(BW13:BW209),"")))</f>
        <v/>
      </c>
      <c r="BY13" s="150">
        <f>IF('Données projet'!$A$114&gt;35,BY12+BX13-CG12,IF(A13&lt;'Données projet'!$A$114,$BV$205^A13,IF(A13='Données projet'!$A$114,'Données projet'!$B$114,BY12+BX13-CG12)))</f>
        <v>0</v>
      </c>
      <c r="BZ13" s="150" t="str">
        <f>BY13*VLOOKUP('Données projet'!$B$12,'Paramètres'!$A$1:$I$88,3,0)*VLOOKUP('Données projet'!$B$12,'Paramètres'!$A$1:$I$88,5,0)</f>
        <v>#N/A</v>
      </c>
      <c r="CA13" s="150" t="str">
        <f t="shared" si="40"/>
        <v>#N/A</v>
      </c>
      <c r="CB13" s="161" t="str">
        <f t="shared" si="11"/>
        <v>#N/A</v>
      </c>
      <c r="CC13" s="153" t="str">
        <f t="shared" si="12"/>
        <v>#N/A</v>
      </c>
      <c r="CD13" s="153" t="str">
        <f>AVERAGE(OFFSET($CC$3,0,0,'Données projet'!$E$12+1,1))-AVERAGE(OFFSET($H$3,0,0,'Données projet'!$E$12+1,1))</f>
        <v>#N/A</v>
      </c>
      <c r="CE13" s="153" t="str">
        <f t="shared" si="41"/>
        <v>#N/A</v>
      </c>
      <c r="CF13" s="154">
        <f>IF(ISNA(VLOOKUP(A13,'Données projet'!$A$113:$I$133,3,0)),0,VLOOKUP(A13,'Données projet'!$A$113:$I$133,3,0))</f>
        <v>0</v>
      </c>
      <c r="CG13" s="154">
        <f>IF(ISNA(VLOOKUP(A13,'Données projet'!$A$113:$I$133,4,0)),0,VLOOKUP(A13,'Données projet'!$A$113:$I$133,4,0))</f>
        <v>0</v>
      </c>
      <c r="CH13" s="155">
        <f>IF(ISNA(VLOOKUP(A13,'Données projet'!$A$113:$I$133,5,0)),0%,VLOOKUP(A13,'Données projet'!$A$113:$I$133,5,0)*VLOOKUP('Données projet'!$B$12,'Paramètres'!$A$1:$I$88,7,0))</f>
        <v>0</v>
      </c>
      <c r="CI13" s="155">
        <f>IF(ISNA(VLOOKUP(A13,'Données projet'!$A$113:$I$133,6,0)),0%,VLOOKUP(A13,'Données projet'!$A$113:$I$133,6,0)*VLOOKUP('Données projet'!$B$12,'Paramètres'!$A$1:$I$88,7,0))</f>
        <v>0</v>
      </c>
      <c r="CJ13" s="155">
        <f>IF(ISNA(VLOOKUP(A13,'Données projet'!$A$113:$I$133,7,0)),0%,VLOOKUP(A13,'Données projet'!$A$113:$I$133,7,0))</f>
        <v>0</v>
      </c>
      <c r="CK13" s="162" t="str">
        <f>EXP(-LN(2)/35)*CK12+(1-EXP(-LN(2)/35))/(LN(2)/35)*CG13*CH13*VLOOKUP('Données projet'!$B$12,'Paramètres'!$A$1:$I$88,3,0)*0.475*44/12</f>
        <v>#N/A</v>
      </c>
      <c r="CL13" s="162" t="str">
        <f>EXP(-LN(2)/25)*CL12+(1-EXP(-LN(2)/25))/(LN(2)/25)*Calculateur!CG13*Calculateur!CI13*VLOOKUP('Données projet'!$B$12,'Paramètres'!$A$1:$I$88,3,0)*0.475*44/12</f>
        <v>#N/A</v>
      </c>
      <c r="CM13" s="162" t="str">
        <f>EXP(-LN(2)/2)*CM12+(1-EXP(-LN(2)/2))/(LN(2)/2)*CG13*CJ13*VLOOKUP('Données projet'!$B$12,'Paramètres'!$A$1:$I$88,3,0)*0.475*44/12</f>
        <v>#N/A</v>
      </c>
      <c r="CN13" s="163" t="str">
        <f t="shared" si="13"/>
        <v>#N/A</v>
      </c>
      <c r="CO13" s="159">
        <f>('Scénario référence'!$F$8+'Scénario référence'!$F$9+'Scénario référence'!$B$17+'Scénario référence'!$B$9+'Scénario référence'!$B$10)*70+IF((45+25*(1-EXP(-0.0175*A13)))&lt;70,'Scénario référence'!$B$16*(45+25*(1-EXP(-0.0175*A13))),70*'Scénario référence'!$B$16)+IF((32+38*(1-EXP(-0.0175*A13)))&lt;70,'Scénario référence'!$B$18*(32+38*(1-EXP(-0.0175*A13))),70*'Scénario référence'!$B$18)</f>
        <v>70</v>
      </c>
      <c r="CP13" s="151">
        <f>IF(A13&gt;30,10,('Scénario référence'!$B$16+'Scénario référence'!$B$17+'Scénario référence'!$B$18+'Scénario référence'!$B$9+'Scénario référence'!$B$10)*A13*10/30+('Scénario référence'!$F$8+'Scénario référence'!$F$9)*10)</f>
        <v>3.333333333</v>
      </c>
      <c r="CQ13" s="151" t="str">
        <f>VLOOKUP(A13,'Données projet'!$A$139:$I$159,2,0)</f>
        <v>#N/A</v>
      </c>
      <c r="CR13" s="151" t="str">
        <f>VLOOKUP(A13,'Données projet'!$A$139:$I$159,9,0)</f>
        <v>#N/A</v>
      </c>
      <c r="CS13" s="151" t="str">
        <f t="array" ref="CS13">INDEX(CR:CR,MIN(IF(ISNUMBER(CR13:CR209),ROW(CR13:CR209),"")))</f>
        <v/>
      </c>
      <c r="CT13" s="151">
        <f>IF('Données projet'!$A$140&gt;35,CT12+CS13-DB12,IF(A13&lt;'Données projet'!$A$140,$CQ$205^A13,IF(A13='Données projet'!$A$140,'Données projet'!$B$140,CT12+CS13-DB12)))</f>
        <v>0</v>
      </c>
      <c r="CU13" s="158" t="str">
        <f>CT13*VLOOKUP('Données projet'!$B$13,'Paramètres'!$A$1:$I$88,3,0)*VLOOKUP('Données projet'!$B$13,'Paramètres'!$A$1:$I$88,5,0)</f>
        <v>#N/A</v>
      </c>
      <c r="CV13" s="150" t="str">
        <f t="shared" si="42"/>
        <v>#N/A</v>
      </c>
      <c r="CW13" s="161" t="str">
        <f t="shared" si="14"/>
        <v>#N/A</v>
      </c>
      <c r="CX13" s="153" t="str">
        <f t="shared" si="15"/>
        <v>#N/A</v>
      </c>
      <c r="CY13" s="153" t="str">
        <f>AVERAGE(OFFSET($CX$3,0,0,'Données projet'!$E$13+1,1))-AVERAGE(OFFSET($H$3,0,0,'Données projet'!$E$13+1,1))</f>
        <v>#N/A</v>
      </c>
      <c r="CZ13" s="153" t="str">
        <f t="shared" si="43"/>
        <v>#N/A</v>
      </c>
      <c r="DA13" s="154">
        <f>IF(ISNA(VLOOKUP(A13,'Données projet'!$A$139:$I$159,3,0)),0,VLOOKUP(A13,'Données projet'!$A$139:$I$159,3,0))</f>
        <v>0</v>
      </c>
      <c r="DB13" s="154">
        <f>IF(ISNA(VLOOKUP(A13,'Données projet'!$A$139:$I$159,4,0)),0,VLOOKUP(A13,'Données projet'!$A$139:$I$159,4,0))</f>
        <v>0</v>
      </c>
      <c r="DC13" s="155">
        <f>IF(ISNA(VLOOKUP(A13,'Données projet'!$A$139:$I$159,5,0)),0%,VLOOKUP(A13,'Données projet'!$A$139:$I$159,5,0)*VLOOKUP('Données projet'!$B$13,'Paramètres'!$A$1:$I$88,7,0))</f>
        <v>0</v>
      </c>
      <c r="DD13" s="155">
        <f>IF(ISNA(VLOOKUP(A13,'Données projet'!$A$139:$I$159,6,0)),0%,VLOOKUP(A13,'Données projet'!$A$139:$I$159,6,0)*VLOOKUP('Données projet'!$B$13,'Paramètres'!$A$1:$I$88,7,0))</f>
        <v>0</v>
      </c>
      <c r="DE13" s="155">
        <f>IF(ISNA(VLOOKUP(A13,'Données projet'!$A$139:$I$159,7,0)),0%,VLOOKUP(A13,'Données projet'!$A$139:$I$159,7,0))</f>
        <v>0</v>
      </c>
      <c r="DF13" s="162" t="str">
        <f>EXP(-LN(2)/35)*DF12+(1-EXP(-LN(2)/35))/(LN(2)/35)*DB13*DC13*VLOOKUP('Données projet'!$B$13,'Paramètres'!$A$1:$I$88,3,0)*0.475*44/12</f>
        <v>#N/A</v>
      </c>
      <c r="DG13" s="162" t="str">
        <f>EXP(-LN(2)/25)*DG12+(1-EXP(-LN(2)/25))/(LN(2)/25)*Calculateur!DB13*Calculateur!DD13*VLOOKUP('Données projet'!$B$13,'Paramètres'!$A$1:$I$88,3,0)*0.475*44/12</f>
        <v>#N/A</v>
      </c>
      <c r="DH13" s="162" t="str">
        <f>EXP(-LN(2)/2)*DH12+(1-EXP(-LN(2)/2))/(LN(2)/2)*DB13*DE13*VLOOKUP('Données projet'!$B$13,'Paramètres'!$A$1:$I$88,3,0)*0.475*44/12</f>
        <v>#N/A</v>
      </c>
      <c r="DI13" s="163" t="str">
        <f t="shared" si="16"/>
        <v>#N/A</v>
      </c>
      <c r="DJ13" s="159">
        <f>('Scénario référence'!$F$8+'Scénario référence'!$F$9+'Scénario référence'!$B$17+'Scénario référence'!$B$9+'Scénario référence'!$B$10)*70+IF((45+25*(1-EXP(-0.0175*A13)))&lt;70,'Scénario référence'!$B$16*(45+25*(1-EXP(-0.0175*A13))),70*'Scénario référence'!$B$16)+IF((32+38*(1-EXP(-0.0175*A13)))&lt;70,'Scénario référence'!$B$18*(32+38*(1-EXP(-0.0175*A13))),70*'Scénario référence'!$B$18)</f>
        <v>70</v>
      </c>
      <c r="DK13" s="151">
        <f>IF(A13&gt;30,10,('Scénario référence'!$B$16+'Scénario référence'!$B$17+'Scénario référence'!$B$18+'Scénario référence'!$B$9+'Scénario référence'!$B$10)*A13*10/30+('Scénario référence'!$F$8+'Scénario référence'!$F$9)*10)</f>
        <v>3.333333333</v>
      </c>
      <c r="DL13" s="151" t="str">
        <f>VLOOKUP(A13,'Données projet'!$A$165:$I$185,2,0)</f>
        <v>#N/A</v>
      </c>
      <c r="DM13" s="151" t="str">
        <f>VLOOKUP(A13,'Données projet'!$A$165:$I$185,9,0)</f>
        <v>#N/A</v>
      </c>
      <c r="DN13" s="151" t="str">
        <f t="array" ref="DN13">INDEX(DM:DM,MIN(IF(ISNUMBER(DM13:DM209),ROW(DM13:DM209),"")))</f>
        <v/>
      </c>
      <c r="DO13" s="151">
        <f>IF('Données projet'!$A$166&gt;35,DO12+DN13-DW12,IF(A13&lt;'Données projet'!$A$166,$DL$205^A13,IF(A13='Données projet'!$A$166,'Données projet'!$B$166,DO12+DN13-DW12)))</f>
        <v>0</v>
      </c>
      <c r="DP13" s="158" t="str">
        <f>DO13*VLOOKUP('Données projet'!$B$14,'Paramètres'!$A$1:$I$88,3,0)*VLOOKUP('Données projet'!$B$14,'Paramètres'!$A$1:$I$88,5,0)</f>
        <v>#N/A</v>
      </c>
      <c r="DQ13" s="150" t="str">
        <f t="shared" si="44"/>
        <v>#N/A</v>
      </c>
      <c r="DR13" s="161" t="str">
        <f t="shared" si="17"/>
        <v>#N/A</v>
      </c>
      <c r="DS13" s="153" t="str">
        <f t="shared" si="18"/>
        <v>#N/A</v>
      </c>
      <c r="DT13" s="153" t="str">
        <f>AVERAGE(OFFSET($DS$3,0,0,'Données projet'!$E$14+1,1))-AVERAGE(OFFSET($H$3,0,0,'Données projet'!$E$14+1,1))</f>
        <v>#N/A</v>
      </c>
      <c r="DU13" s="153" t="str">
        <f t="shared" si="45"/>
        <v>#N/A</v>
      </c>
      <c r="DV13" s="154">
        <f>IF(ISNA(VLOOKUP(A13,'Données projet'!$A$165:$I$185,3,0)),0,VLOOKUP(A13,'Données projet'!$A$165:$I$185,3,0))</f>
        <v>0</v>
      </c>
      <c r="DW13" s="154">
        <f>IF(ISNA(VLOOKUP(A13,'Données projet'!$A$165:$I$185,4,0)),0,VLOOKUP(A13,'Données projet'!$A$165:$I$185,4,0))</f>
        <v>0</v>
      </c>
      <c r="DX13" s="155">
        <f>IF(ISNA(VLOOKUP(A13,'Données projet'!$A$165:$I$185,5,0)),0%,VLOOKUP(A13,'Données projet'!$A$165:$I$185,5,0)*VLOOKUP('Données projet'!$B$14,'Paramètres'!$A$1:$I$88,7,0))</f>
        <v>0</v>
      </c>
      <c r="DY13" s="155">
        <f>IF(ISNA(VLOOKUP(A13,'Données projet'!$A$165:$I$185,6,0)),0%,VLOOKUP(A13,'Données projet'!$A$165:$I$185,6,0)*VLOOKUP('Données projet'!$B$14,'Paramètres'!$A$1:$I$88,7,0))</f>
        <v>0</v>
      </c>
      <c r="DZ13" s="155">
        <f>IF(ISNA(VLOOKUP(A13,'Données projet'!$A$165:$I$185,7,0)),0%,VLOOKUP(A13,'Données projet'!$A$165:$I$185,7,0))</f>
        <v>0</v>
      </c>
      <c r="EA13" s="162" t="str">
        <f>EXP(-LN(2)/35)*EA12+(1-EXP(-LN(2)/35))/(LN(2)/35)*DW13*DX13*VLOOKUP('Données projet'!$B$14,'Paramètres'!$A$1:$I$88,3,0)*0.475*44/12</f>
        <v>#N/A</v>
      </c>
      <c r="EB13" s="162" t="str">
        <f>EXP(-LN(2)/25)*EB12+(1-EXP(-LN(2)/25))/(LN(2)/25)*Calculateur!DW13*Calculateur!DY13*VLOOKUP('Données projet'!$B$14,'Paramètres'!$A$1:$I$88,3,0)*0.475*44/12</f>
        <v>#N/A</v>
      </c>
      <c r="EC13" s="162" t="str">
        <f>EXP(-LN(2)/2)*EC12+(1-EXP(-LN(2)/2))/(LN(2)/2)*DW13*DZ13*VLOOKUP('Données projet'!$B$14,'Paramètres'!$A$1:$I$88,3,0)*0.475*44/12</f>
        <v>#N/A</v>
      </c>
      <c r="ED13" s="163" t="str">
        <f t="shared" si="19"/>
        <v>#N/A</v>
      </c>
      <c r="EE13" s="159">
        <f>('Scénario référence'!$F$8+'Scénario référence'!$F$9+'Scénario référence'!$B$17+'Scénario référence'!$B$9+'Scénario référence'!$B$10)*70+IF((45+25*(1-EXP(-0.0175*A13)))&lt;70,'Scénario référence'!$B$16*(45+25*(1-EXP(-0.0175*A13))),70*'Scénario référence'!$B$16)+IF((32+38*(1-EXP(-0.0175*A13)))&lt;70,'Scénario référence'!$B$18*(32+38*(1-EXP(-0.0175*A13))),70*'Scénario référence'!$B$18)</f>
        <v>70</v>
      </c>
      <c r="EF13" s="151">
        <f>IF(A13&gt;30,10,('Scénario référence'!$B$16+'Scénario référence'!$B$17+'Scénario référence'!$B$18+'Scénario référence'!$B$9+'Scénario référence'!$B$10)*A13*10/30+('Scénario référence'!$F$8+'Scénario référence'!$F$9)*10)</f>
        <v>3.333333333</v>
      </c>
      <c r="EG13" s="151" t="str">
        <f>VLOOKUP(A13,'Données projet'!$A$191:$I$211,2,0)</f>
        <v>#N/A</v>
      </c>
      <c r="EH13" s="151" t="str">
        <f>VLOOKUP(A13,'Données projet'!$A$191:$I$211,9,0)</f>
        <v>#N/A</v>
      </c>
      <c r="EI13" s="151" t="str">
        <f t="array" ref="EI13">INDEX(EH:EH,MIN(IF(ISNUMBER(EH13:EH209),ROW(EH13:EH209),"")))</f>
        <v/>
      </c>
      <c r="EJ13" s="151">
        <f>IF('Données projet'!$A$192&gt;35,EJ12+EI13-ER12,IF(A13&lt;'Données projet'!$A$192,$EG$205^A13,IF(A13='Données projet'!$A$192,'Données projet'!$B$192,EJ12+EI13-ER12)))</f>
        <v>0</v>
      </c>
      <c r="EK13" s="158" t="str">
        <f>EJ13*VLOOKUP('Données projet'!$B$15,'Paramètres'!$A$1:$I$88,3,0)*VLOOKUP('Données projet'!$B$15,'Paramètres'!$A$1:$I$88,5,0)</f>
        <v>#N/A</v>
      </c>
      <c r="EL13" s="150" t="str">
        <f t="shared" si="46"/>
        <v>#N/A</v>
      </c>
      <c r="EM13" s="161" t="str">
        <f t="shared" si="20"/>
        <v>#N/A</v>
      </c>
      <c r="EN13" s="153" t="str">
        <f t="shared" si="21"/>
        <v>#N/A</v>
      </c>
      <c r="EO13" s="153" t="str">
        <f>AVERAGE(OFFSET($EN$3,0,0,'Données projet'!$E$15+1,1))-AVERAGE(OFFSET($H$3,0,0,'Données projet'!$E$15+1,1))</f>
        <v>#N/A</v>
      </c>
      <c r="EP13" s="153" t="str">
        <f t="shared" si="47"/>
        <v>#N/A</v>
      </c>
      <c r="EQ13" s="154">
        <f>IF(ISNA(VLOOKUP(A13,'Données projet'!$A$191:$I$211,3,0)),0,VLOOKUP(A13,'Données projet'!$A$191:$I$211,3,0))</f>
        <v>0</v>
      </c>
      <c r="ER13" s="154">
        <f>IF(ISNA(VLOOKUP(A13,'Données projet'!$A$191:$I$211,4,0)),0,VLOOKUP(A13,'Données projet'!$A$191:$I$211,4,0))</f>
        <v>0</v>
      </c>
      <c r="ES13" s="155">
        <f>IF(ISNA(VLOOKUP(A13,'Données projet'!$A$191:$I$211,5,0)),0%,VLOOKUP(A13,'Données projet'!$A$191:$I$211,5,0)*VLOOKUP('Données projet'!$B$15,'Paramètres'!$A$1:$I$88,7,0))</f>
        <v>0</v>
      </c>
      <c r="ET13" s="155">
        <f>IF(ISNA(VLOOKUP(A13,'Données projet'!$A$191:$I$211,6,0)),0%,VLOOKUP(A13,'Données projet'!$A$191:$I$211,6,0)*VLOOKUP('Données projet'!$B$15,'Paramètres'!$A$1:$I$88,7,0))</f>
        <v>0</v>
      </c>
      <c r="EU13" s="155">
        <f>IF(ISNA(VLOOKUP(A13,'Données projet'!$A$191:$I$211,7,0)),0%,VLOOKUP(A13,'Données projet'!$A$191:$I$211,7,0))</f>
        <v>0</v>
      </c>
      <c r="EV13" s="162" t="str">
        <f>EXP(-LN(2)/35)*EV12+(1-EXP(-LN(2)/35))/(LN(2)/35)*ER13*ES13*VLOOKUP('Données projet'!$B$15,'Paramètres'!$A$1:$I$88,3,0)*0.475*44/12</f>
        <v>#N/A</v>
      </c>
      <c r="EW13" s="162" t="str">
        <f>EXP(-LN(2)/25)*EW12+(1-EXP(-LN(2)/25))/(LN(2)/25)*Calculateur!ER13*Calculateur!ET13*VLOOKUP('Données projet'!$B$15,'Paramètres'!$A$1:$I$88,3,0)*0.475*44/12</f>
        <v>#N/A</v>
      </c>
      <c r="EX13" s="162" t="str">
        <f>EXP(-LN(2)/2)*EX12+(1-EXP(-LN(2)/2))/(LN(2)/2)*ER13*EU13*VLOOKUP('Données projet'!$B$15,'Paramètres'!$A$1:$I$88,3,0)*0.475*44/12</f>
        <v>#N/A</v>
      </c>
      <c r="EY13" s="163" t="str">
        <f t="shared" si="22"/>
        <v>#N/A</v>
      </c>
      <c r="EZ13" s="159">
        <f>('Scénario référence'!$F$8+'Scénario référence'!$F$9+'Scénario référence'!$B$17+'Scénario référence'!$B$9+'Scénario référence'!$B$10)*70+IF((45+25*(1-EXP(-0.0175*A13)))&lt;70,'Scénario référence'!$B$16*(45+25*(1-EXP(-0.0175*A13))),70*'Scénario référence'!$B$16)+IF((32+38*(1-EXP(-0.0175*A13)))&lt;70,'Scénario référence'!$B$18*(32+38*(1-EXP(-0.0175*A13))),70*'Scénario référence'!$B$18)</f>
        <v>70</v>
      </c>
      <c r="FA13" s="151">
        <f>IF(A13&gt;30,10,('Scénario référence'!$B$16+'Scénario référence'!$B$17+'Scénario référence'!$B$18+'Scénario référence'!$B$9+'Scénario référence'!$B$10)*A13*10/30+('Scénario référence'!$F$8+'Scénario référence'!$F$9)*10)</f>
        <v>3.333333333</v>
      </c>
      <c r="FB13" s="151" t="str">
        <f>VLOOKUP(A13,'Données projet'!$A$217:$I$237,2,0)</f>
        <v>#N/A</v>
      </c>
      <c r="FC13" s="151" t="str">
        <f>VLOOKUP(A13,'Données projet'!$A$217:$I$237,9,0)</f>
        <v>#N/A</v>
      </c>
      <c r="FD13" s="151" t="str">
        <f t="array" ref="FD13">INDEX(FC:FC,MIN(IF(ISNUMBER(FC13:FC209),ROW(FC13:FC209),"")))</f>
        <v/>
      </c>
      <c r="FE13" s="151">
        <f>IF('Données projet'!$A$218&gt;35,FE12+FD13-FM12,IF(A13&lt;'Données projet'!$A$218,$FB$205^A13,IF(A13='Données projet'!$A$218,'Données projet'!$B$218,FE12+FD13-FM12)))</f>
        <v>0</v>
      </c>
      <c r="FF13" s="158" t="str">
        <f>FE13*VLOOKUP('Données projet'!$B$16,'Paramètres'!$A$1:$I$88,3,0)*VLOOKUP('Données projet'!$B$16,'Paramètres'!$A$1:$I$88,5,0)</f>
        <v>#N/A</v>
      </c>
      <c r="FG13" s="150" t="str">
        <f t="shared" si="48"/>
        <v>#N/A</v>
      </c>
      <c r="FH13" s="161" t="str">
        <f t="shared" si="23"/>
        <v>#N/A</v>
      </c>
      <c r="FI13" s="153" t="str">
        <f t="shared" si="24"/>
        <v>#N/A</v>
      </c>
      <c r="FJ13" s="153" t="str">
        <f>AVERAGE(OFFSET($FI$3,0,0,'Données projet'!$E$16+1,1))-AVERAGE(OFFSET($H$3,0,0,'Données projet'!$E$16+1,1))</f>
        <v>#N/A</v>
      </c>
      <c r="FK13" s="153" t="str">
        <f t="shared" si="49"/>
        <v>#N/A</v>
      </c>
      <c r="FL13" s="154">
        <f>IF(ISNA(VLOOKUP(A13,'Données projet'!$A$217:$I$237,3,0)),0,VLOOKUP(A13,'Données projet'!$A$217:$I$237,3,0))</f>
        <v>0</v>
      </c>
      <c r="FM13" s="154">
        <f>IF(ISNA(VLOOKUP(A13,'Données projet'!$A$217:$I$237,4,0)),0,VLOOKUP(A13,'Données projet'!$A$217:$I$237,4,0))</f>
        <v>0</v>
      </c>
      <c r="FN13" s="155">
        <f>IF(ISNA(VLOOKUP(A13,'Données projet'!$A$217:$I$237,5,0)),0%,VLOOKUP(A13,'Données projet'!$A$217:$I$237,5,0)*VLOOKUP('Données projet'!$B$16,'Paramètres'!$A$1:$I$88,7,0))</f>
        <v>0</v>
      </c>
      <c r="FO13" s="155">
        <f>IF(ISNA(VLOOKUP(A13,'Données projet'!$A$217:$I$237,6,0)),0%,VLOOKUP(A13,'Données projet'!$A$217:$I$237,6,0)*VLOOKUP('Données projet'!$B$16,'Paramètres'!$A$1:$I$88,7,0))</f>
        <v>0</v>
      </c>
      <c r="FP13" s="155">
        <f>IF(ISNA(VLOOKUP(A13,'Données projet'!$A$217:$I$237,7,0)),0%,VLOOKUP(A13,'Données projet'!$A$217:$I$237,7,0))</f>
        <v>0</v>
      </c>
      <c r="FQ13" s="162" t="str">
        <f>EXP(-LN(2)/35)*FQ12+(1-EXP(-LN(2)/35))/(LN(2)/35)*FM13*FN13*VLOOKUP('Données projet'!$B$16,'Paramètres'!$A$1:$I$88,3,0)*0.475*44/12</f>
        <v>#N/A</v>
      </c>
      <c r="FR13" s="162" t="str">
        <f>EXP(-LN(2)/25)*FR12+(1-EXP(-LN(2)/25))/(LN(2)/25)*Calculateur!FM13*Calculateur!FO13*VLOOKUP('Données projet'!$B$16,'Paramètres'!$A$1:$I$88,3,0)*0.475*44/12</f>
        <v>#N/A</v>
      </c>
      <c r="FS13" s="162" t="str">
        <f>EXP(-LN(2)/2)*FS12+(1-EXP(-LN(2)/2))/(LN(2)/2)*FM13*FP13*VLOOKUP('Données projet'!$B$16,'Paramètres'!$A$1:$I$88,3,0)*0.475*44/12</f>
        <v>#N/A</v>
      </c>
      <c r="FT13" s="163" t="str">
        <f t="shared" si="25"/>
        <v>#N/A</v>
      </c>
      <c r="FU13" s="159">
        <f>('Scénario référence'!$F$8+'Scénario référence'!$F$9+'Scénario référence'!$B$17+'Scénario référence'!$B$9+'Scénario référence'!$B$10)*70+IF((45+25*(1-EXP(-0.0175*A13)))&lt;70,'Scénario référence'!$B$16*(45+25*(1-EXP(-0.0175*A13))),70*'Scénario référence'!$B$16)+IF((32+38*(1-EXP(-0.0175*A13)))&lt;70,'Scénario référence'!$B$18*(32+38*(1-EXP(-0.0175*A13))),70*'Scénario référence'!$B$18)</f>
        <v>70</v>
      </c>
      <c r="FV13" s="151">
        <f>IF(A13&gt;30,10,('Scénario référence'!$B$16+'Scénario référence'!$B$17+'Scénario référence'!$B$18+'Scénario référence'!$B$9+'Scénario référence'!$B$10)*A13*10/30+('Scénario référence'!$F$8+'Scénario référence'!$F$9)*10)</f>
        <v>3.333333333</v>
      </c>
      <c r="FW13" s="151" t="str">
        <f>VLOOKUP(A13,'Données projet'!$A$243:$I$263,2,0)</f>
        <v>#N/A</v>
      </c>
      <c r="FX13" s="151" t="str">
        <f>VLOOKUP(A13,'Données projet'!$A$243:$I$263,9,0)</f>
        <v>#N/A</v>
      </c>
      <c r="FY13" s="151" t="str">
        <f t="array" ref="FY13">INDEX(FX:FX,MIN(IF(ISNUMBER(FX13:FX209),ROW(FX13:FX209),"")))</f>
        <v/>
      </c>
      <c r="FZ13" s="151">
        <f>IF('Données projet'!$A$244&gt;35,FZ12+FY13-GH12,IF(A13&lt;'Données projet'!$A$244,$FW$205^A13,IF(A13='Données projet'!$A$244,'Données projet'!$B$244,FZ12+FY13-GH12)))</f>
        <v>0</v>
      </c>
      <c r="GA13" s="158" t="str">
        <f>FZ13*VLOOKUP('Données projet'!$B$17,'Paramètres'!$A$1:$I$88,3,0)*VLOOKUP('Données projet'!$B$17,'Paramètres'!$A$1:$I$88,5,0)</f>
        <v>#N/A</v>
      </c>
      <c r="GB13" s="150" t="str">
        <f t="shared" si="50"/>
        <v>#N/A</v>
      </c>
      <c r="GC13" s="161" t="str">
        <f t="shared" si="26"/>
        <v>#N/A</v>
      </c>
      <c r="GD13" s="153" t="str">
        <f t="shared" si="27"/>
        <v>#N/A</v>
      </c>
      <c r="GE13" s="153" t="str">
        <f>AVERAGE(OFFSET($GD$3,0,0,'Données projet'!$E$17+1,1))-AVERAGE(OFFSET($H$3,0,0,'Données projet'!$E$17+1,1))</f>
        <v>#N/A</v>
      </c>
      <c r="GF13" s="153" t="str">
        <f t="shared" si="51"/>
        <v>#N/A</v>
      </c>
      <c r="GG13" s="154">
        <f>IF(ISNA(VLOOKUP(A13,'Données projet'!$A$243:$I$263,3,0)),0,VLOOKUP(A13,'Données projet'!$A$243:$I$263,3,0))</f>
        <v>0</v>
      </c>
      <c r="GH13" s="154">
        <f>IF(ISNA(VLOOKUP(A13,'Données projet'!$A$243:$I$263,4,0)),0,VLOOKUP(A13,'Données projet'!$A$243:$I$263,4,0))</f>
        <v>0</v>
      </c>
      <c r="GI13" s="155">
        <f>IF(ISNA(VLOOKUP(A13,'Données projet'!$A$243:$I$263,5,0)),0%,VLOOKUP(A13,'Données projet'!$A$243:$I$263,5,0)*VLOOKUP('Données projet'!$B$17,'Paramètres'!$A$1:$I$88,7,0))</f>
        <v>0</v>
      </c>
      <c r="GJ13" s="155">
        <f>IF(ISNA(VLOOKUP(A13,'Données projet'!$A$243:$I$263,6,0)),0%,VLOOKUP(A13,'Données projet'!$A$243:$I$263,6,0)*VLOOKUP('Données projet'!$B$17,'Paramètres'!$A$1:$I$88,7,0))</f>
        <v>0</v>
      </c>
      <c r="GK13" s="155">
        <f>IF(ISNA(VLOOKUP(A13,'Données projet'!$A$243:$I$263,7,0)),0%,VLOOKUP(A13,'Données projet'!$A$243:$I$263,7,0))</f>
        <v>0</v>
      </c>
      <c r="GL13" s="162" t="str">
        <f>EXP(-LN(2)/35)*GL12+(1-EXP(-LN(2)/35))/(LN(2)/35)*GH13*GI13*VLOOKUP('Données projet'!$B$17,'Paramètres'!$A$1:$I$88,3,0)*0.475*44/12</f>
        <v>#N/A</v>
      </c>
      <c r="GM13" s="162" t="str">
        <f>EXP(-LN(2)/25)*GM12+(1-EXP(-LN(2)/25))/(LN(2)/25)*Calculateur!GH13*Calculateur!GJ13*VLOOKUP('Données projet'!$B$17,'Paramètres'!$A$1:$I$88,3,0)*0.475*44/12</f>
        <v>#N/A</v>
      </c>
      <c r="GN13" s="162" t="str">
        <f>EXP(-LN(2)/2)*GN12+(1-EXP(-LN(2)/2))/(LN(2)/2)*GH13*GK13*VLOOKUP('Données projet'!$B$17,'Paramètres'!$A$1:$I$88,3,0)*0.475*44/12</f>
        <v>#N/A</v>
      </c>
      <c r="GO13" s="162" t="str">
        <f t="shared" si="28"/>
        <v>#N/A</v>
      </c>
      <c r="GP13" s="159">
        <f>('Scénario référence'!$F$8+'Scénario référence'!$F$9+'Scénario référence'!$B$17+'Scénario référence'!$B$9+'Scénario référence'!$B$10)*70+IF((45+25*(1-EXP(-0.0175*A13)))&lt;70,'Scénario référence'!$B$16*(45+25*(1-EXP(-0.0175*A13))),70*'Scénario référence'!$B$16)+IF((32+38*(1-EXP(-0.0175*A13)))&lt;70,'Scénario référence'!$B$18*(32+38*(1-EXP(-0.0175*A13))),70*'Scénario référence'!$B$18)</f>
        <v>70</v>
      </c>
      <c r="GQ13" s="151">
        <f>IF(A13&gt;30,10,('Scénario référence'!$B$16+'Scénario référence'!$B$17+'Scénario référence'!$B$18+'Scénario référence'!$B$9+'Scénario référence'!$B$10)*A13*10/30+('Scénario référence'!$F$8+'Scénario référence'!$F$9)*10)</f>
        <v>3.333333333</v>
      </c>
      <c r="GR13" s="151" t="str">
        <f>VLOOKUP(A13,'Données projet'!$A$269:$I$289,2,0)</f>
        <v>#N/A</v>
      </c>
      <c r="GS13" s="151" t="str">
        <f>VLOOKUP(A13,'Données projet'!$A$269:$I$289,9,0)</f>
        <v>#N/A</v>
      </c>
      <c r="GT13" s="151" t="str">
        <f t="array" ref="GT13">INDEX(GS:GS,MIN(IF(ISNUMBER(GS13:GS209),ROW(GS13:GS209),"")))</f>
        <v/>
      </c>
      <c r="GU13" s="151">
        <f>IF('Données projet'!$A$270&gt;35,GU12+GT13-HC12,IF(A13&lt;'Données projet'!$A$270,$GR$205^A13,IF(A13='Données projet'!$A$270,'Données projet'!$B$270,GU12+GT13-HC12)))</f>
        <v>0</v>
      </c>
      <c r="GV13" s="158" t="str">
        <f>GU13*VLOOKUP('Données projet'!$B$18,'Paramètres'!$A$1:$I$88,3,0)*VLOOKUP('Données projet'!$B$18,'Paramètres'!$A$1:$I$88,5,0)</f>
        <v>#N/A</v>
      </c>
      <c r="GW13" s="150" t="str">
        <f t="shared" si="52"/>
        <v>#N/A</v>
      </c>
      <c r="GX13" s="161" t="str">
        <f t="shared" si="29"/>
        <v>#N/A</v>
      </c>
      <c r="GY13" s="153" t="str">
        <f t="shared" si="30"/>
        <v>#N/A</v>
      </c>
      <c r="GZ13" s="153" t="str">
        <f>AVERAGE(OFFSET($GY$3,0,0,'Données projet'!$E$18+1,1))-AVERAGE(OFFSET($H$3,0,0,'Données projet'!$E$18+1,1))</f>
        <v>#N/A</v>
      </c>
      <c r="HA13" s="153" t="str">
        <f t="shared" si="53"/>
        <v>#N/A</v>
      </c>
      <c r="HB13" s="154">
        <f>IF(ISNA(VLOOKUP(A13,'Données projet'!$A$269:$I$289,3,0)),0,VLOOKUP(A13,'Données projet'!$A$269:$I$289,3,0))</f>
        <v>0</v>
      </c>
      <c r="HC13" s="154">
        <f>IF(ISNA(VLOOKUP(A13,'Données projet'!$A$269:$I$289,4,0)),0,VLOOKUP(A13,'Données projet'!$A$269:$I$289,4,0))</f>
        <v>0</v>
      </c>
      <c r="HD13" s="155">
        <f>IF(ISNA(VLOOKUP(A13,'Données projet'!$A$269:$I$289,5,0)),0%,VLOOKUP(A13,'Données projet'!$A$269:$I$289,5,0)*VLOOKUP('Données projet'!$B$18,'Paramètres'!$A$1:$I$88,7,0))</f>
        <v>0</v>
      </c>
      <c r="HE13" s="155">
        <f>IF(ISNA(VLOOKUP(A13,'Données projet'!$A$269:$I$289,6,0)),0%,VLOOKUP(A13,'Données projet'!$A$269:$I$289,6,0)*VLOOKUP('Données projet'!$B$18,'Paramètres'!$A$1:$I$88,7,0))</f>
        <v>0</v>
      </c>
      <c r="HF13" s="155">
        <f>IF(ISNA(VLOOKUP(A13,'Données projet'!$A$269:$I$289,7,0)),0%,VLOOKUP(A13,'Données projet'!$A$269:$I$289,7,0))</f>
        <v>0</v>
      </c>
      <c r="HG13" s="162" t="str">
        <f>EXP(-LN(2)/35)*HG12+(1-EXP(-LN(2)/35))/(LN(2)/35)*HC13*HD13*VLOOKUP('Données projet'!$B$18,'Paramètres'!$A$1:$I$88,3,0)*0.475*44/12</f>
        <v>#N/A</v>
      </c>
      <c r="HH13" s="162" t="str">
        <f>EXP(-LN(2)/25)*HH12+(1-EXP(-LN(2)/25))/(LN(2)/25)*Calculateur!HC13*Calculateur!HE13*VLOOKUP('Données projet'!$B$18,'Paramètres'!$A$1:$I$88,3,0)*0.475*44/12</f>
        <v>#N/A</v>
      </c>
      <c r="HI13" s="162" t="str">
        <f>EXP(-LN(2)/2)*HI12+(1-EXP(-LN(2)/2))/(LN(2)/2)*HC13*HF13*VLOOKUP('Données projet'!$B$18,'Paramètres'!$A$1:$I$88,3,0)*0.475*44/12</f>
        <v>#N/A</v>
      </c>
      <c r="HJ13" s="163" t="str">
        <f t="shared" si="31"/>
        <v>#N/A</v>
      </c>
    </row>
    <row r="14">
      <c r="A14" s="145">
        <f t="shared" si="32"/>
        <v>11</v>
      </c>
      <c r="B14" s="146">
        <f>'Scénario référence'!$B$16*5+'Scénario référence'!$B$17*0+'Scénario référence'!$B$18*5</f>
        <v>0</v>
      </c>
      <c r="C14" s="160">
        <f>Calculateur!C13+'Scénario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4" s="147">
        <f t="shared" si="33"/>
        <v>0</v>
      </c>
      <c r="E14" s="147">
        <f>'Scénario référence'!$B$16*45+('Scénario référence'!$B$17+'Scénario référence'!$F$8+'Scénario référence'!$F$9+'Scénario référence'!$B$10+'Scénario référence'!$B$9)*70+'Scénario référence'!$B$18*32</f>
        <v>70</v>
      </c>
      <c r="F14" s="147">
        <f>IF(OR('Scénario référence'!$F$8&gt;0,'Scénario référence'!$F$9&gt;0),('Scénario référence'!$F$8+'Scénario référence'!$F$9)*10,0)</f>
        <v>0</v>
      </c>
      <c r="G14" s="147">
        <f>'Scénario référence'!$B$8*B14*44/12+'Scénario référence'!$B$9*(C14+D14)/0.475*44/12+'Scénario référence'!$B$10*(C14+D14)/0.475*44/12+'Scénario référence'!$F$8*(C14+D14)/0.475*44/12+'Scénario référence'!$F$9*(C14+D14)/0.475*44/12</f>
        <v>0</v>
      </c>
      <c r="H14" s="148">
        <f t="shared" si="1"/>
        <v>256.6666667</v>
      </c>
      <c r="I14" s="149">
        <f>('Scénario référence'!$F$8+'Scénario référence'!$F$9+'Scénario référence'!$B$17+'Scénario référence'!$B$9+'Scénario référence'!$B$10)*70+IF((45+25*(1-EXP(-0.0175*A14)))&lt;70,'Scénario référence'!$B$16*(45+25*(1-EXP(-0.0175*A14))),70*'Scénario référence'!$B$16)+IF((32+38*(1-EXP(-0.0175*A14)))&lt;70,'Scénario référence'!$B$18*(32+38*(1-EXP(-0.0175*A14))),70*'Scénario référence'!$B$18)</f>
        <v>70</v>
      </c>
      <c r="J14" s="150">
        <f>IF(A14&gt;30,10,('Scénario référence'!$B$16+'Scénario référence'!$B$17+'Scénario référence'!$B$18+'Scénario référence'!$B$9+'Scénario référence'!$B$10)*A14*10/30+('Scénario référence'!$F$8+'Scénario référence'!$F$9)*10)</f>
        <v>3.666666667</v>
      </c>
      <c r="K14" s="151" t="str">
        <f>VLOOKUP(A14,'Données projet'!$A$35:$I$55,2,0)</f>
        <v>#N/A</v>
      </c>
      <c r="L14" s="151" t="str">
        <f>VLOOKUP(A14,'Données projet'!$A$35:$I$55,9,0)</f>
        <v>#N/A</v>
      </c>
      <c r="M14" s="150">
        <f t="array" ref="M14">INDEX(L:L,MIN(IF(ISNUMBER(L14:L210),ROW(L14:L210),"")))</f>
        <v>3.65</v>
      </c>
      <c r="N14" s="150">
        <f>IF('Données projet'!$A$36&gt;35,N13+M14-V13,IF(A14&lt;'Données projet'!$A$36,$K$205^A14,IF(A14='Données projet'!$A$36,'Données projet'!$B$36,N13+M14-V13)))</f>
        <v>10.58833256</v>
      </c>
      <c r="O14" s="150">
        <f>N14*VLOOKUP('Données projet'!$B$9,'Paramètres'!$A$1:$I$88,3,0)*VLOOKUP('Données projet'!$B$9,'Paramètres'!$A$1:$I$88,5,0)</f>
        <v>9.580323297</v>
      </c>
      <c r="P14" s="150">
        <f t="shared" si="34"/>
        <v>3.393904195</v>
      </c>
      <c r="Q14" s="161">
        <f t="shared" si="2"/>
        <v>22.59677955</v>
      </c>
      <c r="R14" s="153">
        <f t="shared" si="3"/>
        <v>292.7078907</v>
      </c>
      <c r="S14" s="153">
        <f>AVERAGE(OFFSET($R$3,0,0,'Données projet'!$E$9+1,1))-AVERAGE(OFFSET($H$3,0,0,'Données projet'!$E$9+1,1))</f>
        <v>439.1985427</v>
      </c>
      <c r="T14" s="153">
        <f t="shared" si="35"/>
        <v>278.2174123</v>
      </c>
      <c r="U14" s="154">
        <f>IF(ISNA(VLOOKUP(A14,'Données projet'!$A$35:$I$55,3,0)),0,VLOOKUP(A14,'Données projet'!$A$35:$I$55,3,0))</f>
        <v>0</v>
      </c>
      <c r="V14" s="154">
        <f>IF(ISNA(VLOOKUP(A14,'Données projet'!$A$35:$I$55,4,0)),0,VLOOKUP(A14,'Données projet'!$A$35:$I$55,4,0))</f>
        <v>0</v>
      </c>
      <c r="W14" s="155">
        <f>IF(ISNA(VLOOKUP(A14,'Données projet'!$A$35:$I$55,5,0)),0%,VLOOKUP(A14,'Données projet'!$A$35:$I$55,5,0)*VLOOKUP('Données projet'!$B$9,'Paramètres'!$A$1:$I$88,7,0))</f>
        <v>0</v>
      </c>
      <c r="X14" s="155">
        <f>IF(ISNA(VLOOKUP(A14,'Données projet'!$A$35:$I$55,6,0)),0%,VLOOKUP(A14,'Données projet'!$A$35:$I$55,6,0)*VLOOKUP('Données projet'!$B$9,'Paramètres'!$A$1:$I$88,7,0))</f>
        <v>0</v>
      </c>
      <c r="Y14" s="155">
        <f>IF(ISNA(VLOOKUP(A14,'Données projet'!$A$35:$I$55,7,0)),0%,VLOOKUP(A14,'Données projet'!$A$35:$I$55,7,0))</f>
        <v>0</v>
      </c>
      <c r="Z14" s="162">
        <f>EXP(-LN(2)/35)*Z13+(1-EXP(-LN(2)/35))/(LN(2)/35)*V14*W14*VLOOKUP('Données projet'!$B$9,'Paramètres'!$A$1:$I$88,3,0)*0.475*44/12</f>
        <v>0</v>
      </c>
      <c r="AA14" s="162">
        <f>EXP(-LN(2)/25)*AA13+(1-EXP(-LN(2)/25))/(LN(2)/25)*Calculateur!V14*Calculateur!X14*VLOOKUP('Données projet'!$B$9,'Paramètres'!$A$1:$I$88,3,0)*0.475*44/12</f>
        <v>0</v>
      </c>
      <c r="AB14" s="162">
        <f>EXP(-LN(2)/2)*AB13+(1-EXP(-LN(2)/2))/(LN(2)/2)*V14*Y14*VLOOKUP('Données projet'!$B$9,'Paramètres'!$A$1:$I$88,3,0)*0.475*44/12</f>
        <v>0</v>
      </c>
      <c r="AC14" s="163">
        <f t="shared" si="4"/>
        <v>0</v>
      </c>
      <c r="AD14" s="150">
        <f>('Scénario référence'!$F$8+'Scénario référence'!$F$9+'Scénario référence'!$B$17+'Scénario référence'!$B$9+'Scénario référence'!$B$10)*70+IF((45+25*(1-EXP(-0.0175*A14)))&lt;70,'Scénario référence'!$B$16*(45+25*(1-EXP(-0.0175*A14))),70*'Scénario référence'!$B$16)+IF((32+38*(1-EXP(-0.0175*A14)))&lt;70,'Scénario référence'!$B$18*(32+38*(1-EXP(-0.0175*A14))),70*'Scénario référence'!$B$18)</f>
        <v>70</v>
      </c>
      <c r="AE14" s="150">
        <f>IF(A14&gt;30,10,('Scénario référence'!$B$16+'Scénario référence'!$B$17+'Scénario référence'!$B$18+'Scénario référence'!$B$9+'Scénario référence'!$B$10)*A14*10/30+('Scénario référence'!$F$8+'Scénario référence'!$F$9)*10)</f>
        <v>3.666666667</v>
      </c>
      <c r="AF14" s="151" t="str">
        <f>VLOOKUP(A14,'Données projet'!$A$61:$I$81,2,0)</f>
        <v>#N/A</v>
      </c>
      <c r="AG14" s="151" t="str">
        <f>VLOOKUP(A14,'Données projet'!$A$61:$I$81,9,0)</f>
        <v>#N/A</v>
      </c>
      <c r="AH14" s="150">
        <f t="array" ref="AH14">INDEX(AG:AG,MIN(IF(ISNUMBER(AG14:AG210),ROW(AG14:AG210),"")))</f>
        <v>14.6</v>
      </c>
      <c r="AI14" s="150">
        <f>IF('Données projet'!$A$62&gt;35,AI13+AH14-AQ13,IF(A14&lt;'Données projet'!$A$62,$AF$205^A14,IF(A14='Données projet'!$A$62,'Données projet'!$B$62,AI13+AH14-AQ13)))</f>
        <v>26.6</v>
      </c>
      <c r="AJ14" s="150">
        <f>AI14*VLOOKUP('Données projet'!$B$10,'Paramètres'!$A$1:$I$88,3,0)*VLOOKUP('Données projet'!$B$10,'Paramètres'!$A$1:$I$88,5,0)</f>
        <v>21.16296</v>
      </c>
      <c r="AK14" s="150">
        <f t="shared" si="36"/>
        <v>6.836461647</v>
      </c>
      <c r="AL14" s="161">
        <f t="shared" si="5"/>
        <v>48.76565937</v>
      </c>
      <c r="AM14" s="153">
        <f t="shared" si="6"/>
        <v>318.8767705</v>
      </c>
      <c r="AN14" s="153">
        <f>AVERAGE(OFFSET($AM$3,0,0,'Données projet'!$E$10+1,1))-AVERAGE(OFFSET($H$3,0,0,'Données projet'!$E$10+1,1))</f>
        <v>405.6113614</v>
      </c>
      <c r="AO14" s="153">
        <f t="shared" si="37"/>
        <v>393.0787141</v>
      </c>
      <c r="AP14" s="154">
        <f>IF(ISNA(VLOOKUP(A14,'Données projet'!$A$61:$I$81,3,0)),0,VLOOKUP(A14,'Données projet'!$A$61:$I$81,3,0))</f>
        <v>0</v>
      </c>
      <c r="AQ14" s="154">
        <f>IF(ISNA(VLOOKUP(A14,'Données projet'!$A$61:$I$81,4,0)),0,VLOOKUP(A14,'Données projet'!$A$61:$I$81,4,0))</f>
        <v>0</v>
      </c>
      <c r="AR14" s="155">
        <f>IF(ISNA(VLOOKUP(A14,'Données projet'!$A$61:$I$81,5,0)),0%,VLOOKUP(A14,'Données projet'!$A$61:$I$81,5,0)*VLOOKUP('Données projet'!$B$10,'Paramètres'!$A$1:$I$88,7,0))</f>
        <v>0</v>
      </c>
      <c r="AS14" s="155">
        <f>IF(ISNA(VLOOKUP(A14,'Données projet'!$A$61:$I$81,6,0)),0%,VLOOKUP(A14,'Données projet'!$A$61:$I$81,6,0)*VLOOKUP('Données projet'!$B$10,'Paramètres'!$A$1:$I$88,7,0))</f>
        <v>0</v>
      </c>
      <c r="AT14" s="155">
        <f>IF(ISNA(VLOOKUP(A14,'Données projet'!$A$61:$I$81,7,0)),0%,VLOOKUP(A14,'Données projet'!$A$61:$I$81,7,0))</f>
        <v>0</v>
      </c>
      <c r="AU14" s="162">
        <f>EXP(-LN(2)/35)*AU13+(1-EXP(-LN(2)/35))/(LN(2)/35)*AQ14*AR14*VLOOKUP('Données projet'!$B$10,'Paramètres'!$A$1:$I$88,3,0)*0.475*44/12</f>
        <v>0</v>
      </c>
      <c r="AV14" s="162">
        <f>EXP(-LN(2)/25)*AV13+(1-EXP(-LN(2)/25))/(LN(2)/25)*Calculateur!AQ14*Calculateur!AS14*VLOOKUP('Données projet'!$B$10,'Paramètres'!$A$1:$I$88,3,0)*0.475*44/12</f>
        <v>0</v>
      </c>
      <c r="AW14" s="162">
        <f>EXP(-LN(2)/2)*AW13+(1-EXP(-LN(2)/2))/(LN(2)/2)*AQ14*AT14*VLOOKUP('Données projet'!$B$10,'Paramètres'!$A$1:$I$88,3,0)*0.475*44/12</f>
        <v>0</v>
      </c>
      <c r="AX14" s="162">
        <f t="shared" si="7"/>
        <v>0</v>
      </c>
      <c r="AY14" s="157">
        <f>('Scénario référence'!$F$8+'Scénario référence'!$F$9+'Scénario référence'!$B$17+'Scénario référence'!$B$9+'Scénario référence'!$B$10)*70+IF((45+25*(1-EXP(-0.0175*A14)))&lt;70,'Scénario référence'!$B$16*(45+25*(1-EXP(-0.0175*A14))),70*'Scénario référence'!$B$16)+IF((32+38*(1-EXP(-0.0175*A14)))&lt;70,'Scénario référence'!$B$18*(32+38*(1-EXP(-0.0175*A14))),70*'Scénario référence'!$B$18)</f>
        <v>70</v>
      </c>
      <c r="AZ14" s="151">
        <f>IF(A14&gt;30,10,('Scénario référence'!$B$16+'Scénario référence'!$B$17+'Scénario référence'!$B$18+'Scénario référence'!$B$9+'Scénario référence'!$B$10)*A14*10/30+('Scénario référence'!$F$8+'Scénario référence'!$F$9)*10)</f>
        <v>3.666666667</v>
      </c>
      <c r="BA14" s="151" t="str">
        <f>VLOOKUP(A14,'Données projet'!$A$87:$I$107,2,0)</f>
        <v>#N/A</v>
      </c>
      <c r="BB14" s="151" t="str">
        <f>VLOOKUP(A14,'Données projet'!$A$87:$I$107,9,0)</f>
        <v>#N/A</v>
      </c>
      <c r="BC14" s="150" t="str">
        <f t="array" ref="BC14">INDEX(BB:BB,MIN(IF(ISNUMBER(BB14:BB210),ROW(BB14:BB210),"")))</f>
        <v/>
      </c>
      <c r="BD14" s="150">
        <f>IF('Données projet'!$A$88&gt;35,BD13+BC14-BL13,IF(A14&lt;'Données projet'!$A$88,$BA$205^A14,IF(A14='Données projet'!$A$88,'Données projet'!$B$88,BD13+BC14-BL13)))</f>
        <v>0</v>
      </c>
      <c r="BE14" s="150">
        <f>BD14*VLOOKUP('Données projet'!$B$11,'Paramètres'!$A$1:$I$88,3,0)*VLOOKUP('Données projet'!$B$11,'Paramètres'!$A$1:$I$88,5,0)</f>
        <v>0</v>
      </c>
      <c r="BF14" s="150" t="str">
        <f t="shared" si="38"/>
        <v>#NUM!</v>
      </c>
      <c r="BG14" s="161" t="str">
        <f t="shared" si="8"/>
        <v>#NUM!</v>
      </c>
      <c r="BH14" s="153" t="str">
        <f t="shared" si="9"/>
        <v>#NUM!</v>
      </c>
      <c r="BI14" s="153">
        <f>AVERAGE(OFFSET($BH$3,0,0,'Données projet'!$E$11+1,1))-AVERAGE(OFFSET($H$3,0,0,'Données projet'!$E$11+1,1))</f>
        <v>0</v>
      </c>
      <c r="BJ14" s="153">
        <f t="shared" si="39"/>
        <v>0</v>
      </c>
      <c r="BK14" s="154">
        <f>IF(ISNA(VLOOKUP(A14,'Données projet'!$A$87:$I$107,3,0)),0,VLOOKUP(A14,'Données projet'!$A$87:$I$107,3,0))</f>
        <v>0</v>
      </c>
      <c r="BL14" s="154">
        <f>IF(ISNA(VLOOKUP(A14,'Données projet'!$A$87:$I$107,4,0)),0,VLOOKUP(A14,'Données projet'!$A$87:$I$107,4,0))</f>
        <v>0</v>
      </c>
      <c r="BM14" s="155">
        <f>IF(ISNA(VLOOKUP(A14,'Données projet'!$A$87:$I$107,5,0)),0%,VLOOKUP(A14,'Données projet'!$A$87:$I$107,5,0)*VLOOKUP('Données projet'!$B$11,'Paramètres'!$A$1:$I$88,7,0))</f>
        <v>0</v>
      </c>
      <c r="BN14" s="155">
        <f>IF(ISNA(VLOOKUP(A14,'Données projet'!$A$87:$I$107,6,0)),0%,VLOOKUP(A14,'Données projet'!$A$87:$I$107,6,0)*VLOOKUP('Données projet'!$B$11,'Paramètres'!$A$1:$I$88,7,0))</f>
        <v>0</v>
      </c>
      <c r="BO14" s="155">
        <f>IF(ISNA(VLOOKUP(A14,'Données projet'!$A$87:$I$107,7,0)),0%,VLOOKUP(A14,'Données projet'!$A$87:$I$107,7,0))</f>
        <v>0</v>
      </c>
      <c r="BP14" s="162">
        <f>EXP(-LN(2)/35)*BP13+(1-EXP(-LN(2)/35))/(LN(2)/35)*BL14*BM14*VLOOKUP('Données projet'!$B$11,'Paramètres'!$A$1:$I$88,3,0)*0.475*44/12</f>
        <v>0</v>
      </c>
      <c r="BQ14" s="162">
        <f>EXP(-LN(2)/25)*BQ13+(1-EXP(-LN(2)/25))/(LN(2)/25)*Calculateur!BL14*Calculateur!BN14*VLOOKUP('Données projet'!$B$11,'Paramètres'!$A$1:$I$88,3,0)*0.475*44/12</f>
        <v>0</v>
      </c>
      <c r="BR14" s="162">
        <f>EXP(-LN(2)/2)*BR13+(1-EXP(-LN(2)/2))/(LN(2)/2)*BL14*BO14*VLOOKUP('Données projet'!$B$11,'Paramètres'!$A$1:$I$88,3,0)*0.475*44/12</f>
        <v>0</v>
      </c>
      <c r="BS14" s="163">
        <f t="shared" si="10"/>
        <v>0</v>
      </c>
      <c r="BT14" s="159">
        <f>('Scénario référence'!$F$8+'Scénario référence'!$F$9+'Scénario référence'!$B$17+'Scénario référence'!$B$9+'Scénario référence'!$B$10)*70+IF((45+25*(1-EXP(-0.0175*A14)))&lt;70,'Scénario référence'!$B$16*(45+25*(1-EXP(-0.0175*A14))),70*'Scénario référence'!$B$16)+IF((32+38*(1-EXP(-0.0175*A14)))&lt;70,'Scénario référence'!$B$18*(32+38*(1-EXP(-0.0175*A14))),70*'Scénario référence'!$B$18)</f>
        <v>70</v>
      </c>
      <c r="BU14" s="151">
        <f>IF(A14&gt;30,10,('Scénario référence'!$B$16+'Scénario référence'!$B$17+'Scénario référence'!$B$18+'Scénario référence'!$B$9+'Scénario référence'!$B$10)*A14*10/30+('Scénario référence'!$F$8+'Scénario référence'!$F$9)*10)</f>
        <v>3.666666667</v>
      </c>
      <c r="BV14" s="151" t="str">
        <f>VLOOKUP(A14,'Données projet'!$A$113:$I$133,2,0)</f>
        <v>#N/A</v>
      </c>
      <c r="BW14" s="151" t="str">
        <f>VLOOKUP(A14,'Données projet'!$A$113:$I$133,9,0)</f>
        <v>#N/A</v>
      </c>
      <c r="BX14" s="150" t="str">
        <f t="array" ref="BX14">INDEX(BW:BW,MIN(IF(ISNUMBER(BW14:BW210),ROW(BW14:BW210),"")))</f>
        <v/>
      </c>
      <c r="BY14" s="150">
        <f>IF('Données projet'!$A$114&gt;35,BY13+BX14-CG13,IF(A14&lt;'Données projet'!$A$114,$BV$205^A14,IF(A14='Données projet'!$A$114,'Données projet'!$B$114,BY13+BX14-CG13)))</f>
        <v>0</v>
      </c>
      <c r="BZ14" s="150" t="str">
        <f>BY14*VLOOKUP('Données projet'!$B$12,'Paramètres'!$A$1:$I$88,3,0)*VLOOKUP('Données projet'!$B$12,'Paramètres'!$A$1:$I$88,5,0)</f>
        <v>#N/A</v>
      </c>
      <c r="CA14" s="150" t="str">
        <f t="shared" si="40"/>
        <v>#N/A</v>
      </c>
      <c r="CB14" s="161" t="str">
        <f t="shared" si="11"/>
        <v>#N/A</v>
      </c>
      <c r="CC14" s="153" t="str">
        <f t="shared" si="12"/>
        <v>#N/A</v>
      </c>
      <c r="CD14" s="153" t="str">
        <f>AVERAGE(OFFSET($CC$3,0,0,'Données projet'!$E$12+1,1))-AVERAGE(OFFSET($H$3,0,0,'Données projet'!$E$12+1,1))</f>
        <v>#N/A</v>
      </c>
      <c r="CE14" s="153" t="str">
        <f t="shared" si="41"/>
        <v>#N/A</v>
      </c>
      <c r="CF14" s="154">
        <f>IF(ISNA(VLOOKUP(A14,'Données projet'!$A$113:$I$133,3,0)),0,VLOOKUP(A14,'Données projet'!$A$113:$I$133,3,0))</f>
        <v>0</v>
      </c>
      <c r="CG14" s="154">
        <f>IF(ISNA(VLOOKUP(A14,'Données projet'!$A$113:$I$133,4,0)),0,VLOOKUP(A14,'Données projet'!$A$113:$I$133,4,0))</f>
        <v>0</v>
      </c>
      <c r="CH14" s="155">
        <f>IF(ISNA(VLOOKUP(A14,'Données projet'!$A$113:$I$133,5,0)),0%,VLOOKUP(A14,'Données projet'!$A$113:$I$133,5,0)*VLOOKUP('Données projet'!$B$12,'Paramètres'!$A$1:$I$88,7,0))</f>
        <v>0</v>
      </c>
      <c r="CI14" s="155">
        <f>IF(ISNA(VLOOKUP(A14,'Données projet'!$A$113:$I$133,6,0)),0%,VLOOKUP(A14,'Données projet'!$A$113:$I$133,6,0)*VLOOKUP('Données projet'!$B$12,'Paramètres'!$A$1:$I$88,7,0))</f>
        <v>0</v>
      </c>
      <c r="CJ14" s="155">
        <f>IF(ISNA(VLOOKUP(A14,'Données projet'!$A$113:$I$133,7,0)),0%,VLOOKUP(A14,'Données projet'!$A$113:$I$133,7,0))</f>
        <v>0</v>
      </c>
      <c r="CK14" s="162" t="str">
        <f>EXP(-LN(2)/35)*CK13+(1-EXP(-LN(2)/35))/(LN(2)/35)*CG14*CH14*VLOOKUP('Données projet'!$B$12,'Paramètres'!$A$1:$I$88,3,0)*0.475*44/12</f>
        <v>#N/A</v>
      </c>
      <c r="CL14" s="162" t="str">
        <f>EXP(-LN(2)/25)*CL13+(1-EXP(-LN(2)/25))/(LN(2)/25)*Calculateur!CG14*Calculateur!CI14*VLOOKUP('Données projet'!$B$12,'Paramètres'!$A$1:$I$88,3,0)*0.475*44/12</f>
        <v>#N/A</v>
      </c>
      <c r="CM14" s="162" t="str">
        <f>EXP(-LN(2)/2)*CM13+(1-EXP(-LN(2)/2))/(LN(2)/2)*CG14*CJ14*VLOOKUP('Données projet'!$B$12,'Paramètres'!$A$1:$I$88,3,0)*0.475*44/12</f>
        <v>#N/A</v>
      </c>
      <c r="CN14" s="163" t="str">
        <f t="shared" si="13"/>
        <v>#N/A</v>
      </c>
      <c r="CO14" s="159">
        <f>('Scénario référence'!$F$8+'Scénario référence'!$F$9+'Scénario référence'!$B$17+'Scénario référence'!$B$9+'Scénario référence'!$B$10)*70+IF((45+25*(1-EXP(-0.0175*A14)))&lt;70,'Scénario référence'!$B$16*(45+25*(1-EXP(-0.0175*A14))),70*'Scénario référence'!$B$16)+IF((32+38*(1-EXP(-0.0175*A14)))&lt;70,'Scénario référence'!$B$18*(32+38*(1-EXP(-0.0175*A14))),70*'Scénario référence'!$B$18)</f>
        <v>70</v>
      </c>
      <c r="CP14" s="151">
        <f>IF(A14&gt;30,10,('Scénario référence'!$B$16+'Scénario référence'!$B$17+'Scénario référence'!$B$18+'Scénario référence'!$B$9+'Scénario référence'!$B$10)*A14*10/30+('Scénario référence'!$F$8+'Scénario référence'!$F$9)*10)</f>
        <v>3.666666667</v>
      </c>
      <c r="CQ14" s="151" t="str">
        <f>VLOOKUP(A14,'Données projet'!$A$139:$I$159,2,0)</f>
        <v>#N/A</v>
      </c>
      <c r="CR14" s="151" t="str">
        <f>VLOOKUP(A14,'Données projet'!$A$139:$I$159,9,0)</f>
        <v>#N/A</v>
      </c>
      <c r="CS14" s="151" t="str">
        <f t="array" ref="CS14">INDEX(CR:CR,MIN(IF(ISNUMBER(CR14:CR210),ROW(CR14:CR210),"")))</f>
        <v/>
      </c>
      <c r="CT14" s="151">
        <f>IF('Données projet'!$A$140&gt;35,CT13+CS14-DB13,IF(A14&lt;'Données projet'!$A$140,$CQ$205^A14,IF(A14='Données projet'!$A$140,'Données projet'!$B$140,CT13+CS14-DB13)))</f>
        <v>0</v>
      </c>
      <c r="CU14" s="158" t="str">
        <f>CT14*VLOOKUP('Données projet'!$B$13,'Paramètres'!$A$1:$I$88,3,0)*VLOOKUP('Données projet'!$B$13,'Paramètres'!$A$1:$I$88,5,0)</f>
        <v>#N/A</v>
      </c>
      <c r="CV14" s="150" t="str">
        <f t="shared" si="42"/>
        <v>#N/A</v>
      </c>
      <c r="CW14" s="161" t="str">
        <f t="shared" si="14"/>
        <v>#N/A</v>
      </c>
      <c r="CX14" s="153" t="str">
        <f t="shared" si="15"/>
        <v>#N/A</v>
      </c>
      <c r="CY14" s="153" t="str">
        <f>AVERAGE(OFFSET($CX$3,0,0,'Données projet'!$E$13+1,1))-AVERAGE(OFFSET($H$3,0,0,'Données projet'!$E$13+1,1))</f>
        <v>#N/A</v>
      </c>
      <c r="CZ14" s="153" t="str">
        <f t="shared" si="43"/>
        <v>#N/A</v>
      </c>
      <c r="DA14" s="154">
        <f>IF(ISNA(VLOOKUP(A14,'Données projet'!$A$139:$I$159,3,0)),0,VLOOKUP(A14,'Données projet'!$A$139:$I$159,3,0))</f>
        <v>0</v>
      </c>
      <c r="DB14" s="154">
        <f>IF(ISNA(VLOOKUP(A14,'Données projet'!$A$139:$I$159,4,0)),0,VLOOKUP(A14,'Données projet'!$A$139:$I$159,4,0))</f>
        <v>0</v>
      </c>
      <c r="DC14" s="155">
        <f>IF(ISNA(VLOOKUP(A14,'Données projet'!$A$139:$I$159,5,0)),0%,VLOOKUP(A14,'Données projet'!$A$139:$I$159,5,0)*VLOOKUP('Données projet'!$B$13,'Paramètres'!$A$1:$I$88,7,0))</f>
        <v>0</v>
      </c>
      <c r="DD14" s="155">
        <f>IF(ISNA(VLOOKUP(A14,'Données projet'!$A$139:$I$159,6,0)),0%,VLOOKUP(A14,'Données projet'!$A$139:$I$159,6,0)*VLOOKUP('Données projet'!$B$13,'Paramètres'!$A$1:$I$88,7,0))</f>
        <v>0</v>
      </c>
      <c r="DE14" s="155">
        <f>IF(ISNA(VLOOKUP(A14,'Données projet'!$A$139:$I$159,7,0)),0%,VLOOKUP(A14,'Données projet'!$A$139:$I$159,7,0))</f>
        <v>0</v>
      </c>
      <c r="DF14" s="162" t="str">
        <f>EXP(-LN(2)/35)*DF13+(1-EXP(-LN(2)/35))/(LN(2)/35)*DB14*DC14*VLOOKUP('Données projet'!$B$13,'Paramètres'!$A$1:$I$88,3,0)*0.475*44/12</f>
        <v>#N/A</v>
      </c>
      <c r="DG14" s="162" t="str">
        <f>EXP(-LN(2)/25)*DG13+(1-EXP(-LN(2)/25))/(LN(2)/25)*Calculateur!DB14*Calculateur!DD14*VLOOKUP('Données projet'!$B$13,'Paramètres'!$A$1:$I$88,3,0)*0.475*44/12</f>
        <v>#N/A</v>
      </c>
      <c r="DH14" s="162" t="str">
        <f>EXP(-LN(2)/2)*DH13+(1-EXP(-LN(2)/2))/(LN(2)/2)*DB14*DE14*VLOOKUP('Données projet'!$B$13,'Paramètres'!$A$1:$I$88,3,0)*0.475*44/12</f>
        <v>#N/A</v>
      </c>
      <c r="DI14" s="163" t="str">
        <f t="shared" si="16"/>
        <v>#N/A</v>
      </c>
      <c r="DJ14" s="159">
        <f>('Scénario référence'!$F$8+'Scénario référence'!$F$9+'Scénario référence'!$B$17+'Scénario référence'!$B$9+'Scénario référence'!$B$10)*70+IF((45+25*(1-EXP(-0.0175*A14)))&lt;70,'Scénario référence'!$B$16*(45+25*(1-EXP(-0.0175*A14))),70*'Scénario référence'!$B$16)+IF((32+38*(1-EXP(-0.0175*A14)))&lt;70,'Scénario référence'!$B$18*(32+38*(1-EXP(-0.0175*A14))),70*'Scénario référence'!$B$18)</f>
        <v>70</v>
      </c>
      <c r="DK14" s="151">
        <f>IF(A14&gt;30,10,('Scénario référence'!$B$16+'Scénario référence'!$B$17+'Scénario référence'!$B$18+'Scénario référence'!$B$9+'Scénario référence'!$B$10)*A14*10/30+('Scénario référence'!$F$8+'Scénario référence'!$F$9)*10)</f>
        <v>3.666666667</v>
      </c>
      <c r="DL14" s="151" t="str">
        <f>VLOOKUP(A14,'Données projet'!$A$165:$I$185,2,0)</f>
        <v>#N/A</v>
      </c>
      <c r="DM14" s="151" t="str">
        <f>VLOOKUP(A14,'Données projet'!$A$165:$I$185,9,0)</f>
        <v>#N/A</v>
      </c>
      <c r="DN14" s="151" t="str">
        <f t="array" ref="DN14">INDEX(DM:DM,MIN(IF(ISNUMBER(DM14:DM210),ROW(DM14:DM210),"")))</f>
        <v/>
      </c>
      <c r="DO14" s="151">
        <f>IF('Données projet'!$A$166&gt;35,DO13+DN14-DW13,IF(A14&lt;'Données projet'!$A$166,$DL$205^A14,IF(A14='Données projet'!$A$166,'Données projet'!$B$166,DO13+DN14-DW13)))</f>
        <v>0</v>
      </c>
      <c r="DP14" s="158" t="str">
        <f>DO14*VLOOKUP('Données projet'!$B$14,'Paramètres'!$A$1:$I$88,3,0)*VLOOKUP('Données projet'!$B$14,'Paramètres'!$A$1:$I$88,5,0)</f>
        <v>#N/A</v>
      </c>
      <c r="DQ14" s="150" t="str">
        <f t="shared" si="44"/>
        <v>#N/A</v>
      </c>
      <c r="DR14" s="161" t="str">
        <f t="shared" si="17"/>
        <v>#N/A</v>
      </c>
      <c r="DS14" s="153" t="str">
        <f t="shared" si="18"/>
        <v>#N/A</v>
      </c>
      <c r="DT14" s="153" t="str">
        <f>AVERAGE(OFFSET($DS$3,0,0,'Données projet'!$E$14+1,1))-AVERAGE(OFFSET($H$3,0,0,'Données projet'!$E$14+1,1))</f>
        <v>#N/A</v>
      </c>
      <c r="DU14" s="153" t="str">
        <f t="shared" si="45"/>
        <v>#N/A</v>
      </c>
      <c r="DV14" s="154">
        <f>IF(ISNA(VLOOKUP(A14,'Données projet'!$A$165:$I$185,3,0)),0,VLOOKUP(A14,'Données projet'!$A$165:$I$185,3,0))</f>
        <v>0</v>
      </c>
      <c r="DW14" s="154">
        <f>IF(ISNA(VLOOKUP(A14,'Données projet'!$A$165:$I$185,4,0)),0,VLOOKUP(A14,'Données projet'!$A$165:$I$185,4,0))</f>
        <v>0</v>
      </c>
      <c r="DX14" s="155">
        <f>IF(ISNA(VLOOKUP(A14,'Données projet'!$A$165:$I$185,5,0)),0%,VLOOKUP(A14,'Données projet'!$A$165:$I$185,5,0)*VLOOKUP('Données projet'!$B$14,'Paramètres'!$A$1:$I$88,7,0))</f>
        <v>0</v>
      </c>
      <c r="DY14" s="155">
        <f>IF(ISNA(VLOOKUP(A14,'Données projet'!$A$165:$I$185,6,0)),0%,VLOOKUP(A14,'Données projet'!$A$165:$I$185,6,0)*VLOOKUP('Données projet'!$B$14,'Paramètres'!$A$1:$I$88,7,0))</f>
        <v>0</v>
      </c>
      <c r="DZ14" s="155">
        <f>IF(ISNA(VLOOKUP(A14,'Données projet'!$A$165:$I$185,7,0)),0%,VLOOKUP(A14,'Données projet'!$A$165:$I$185,7,0))</f>
        <v>0</v>
      </c>
      <c r="EA14" s="162" t="str">
        <f>EXP(-LN(2)/35)*EA13+(1-EXP(-LN(2)/35))/(LN(2)/35)*DW14*DX14*VLOOKUP('Données projet'!$B$14,'Paramètres'!$A$1:$I$88,3,0)*0.475*44/12</f>
        <v>#N/A</v>
      </c>
      <c r="EB14" s="162" t="str">
        <f>EXP(-LN(2)/25)*EB13+(1-EXP(-LN(2)/25))/(LN(2)/25)*Calculateur!DW14*Calculateur!DY14*VLOOKUP('Données projet'!$B$14,'Paramètres'!$A$1:$I$88,3,0)*0.475*44/12</f>
        <v>#N/A</v>
      </c>
      <c r="EC14" s="162" t="str">
        <f>EXP(-LN(2)/2)*EC13+(1-EXP(-LN(2)/2))/(LN(2)/2)*DW14*DZ14*VLOOKUP('Données projet'!$B$14,'Paramètres'!$A$1:$I$88,3,0)*0.475*44/12</f>
        <v>#N/A</v>
      </c>
      <c r="ED14" s="163" t="str">
        <f t="shared" si="19"/>
        <v>#N/A</v>
      </c>
      <c r="EE14" s="159">
        <f>('Scénario référence'!$F$8+'Scénario référence'!$F$9+'Scénario référence'!$B$17+'Scénario référence'!$B$9+'Scénario référence'!$B$10)*70+IF((45+25*(1-EXP(-0.0175*A14)))&lt;70,'Scénario référence'!$B$16*(45+25*(1-EXP(-0.0175*A14))),70*'Scénario référence'!$B$16)+IF((32+38*(1-EXP(-0.0175*A14)))&lt;70,'Scénario référence'!$B$18*(32+38*(1-EXP(-0.0175*A14))),70*'Scénario référence'!$B$18)</f>
        <v>70</v>
      </c>
      <c r="EF14" s="151">
        <f>IF(A14&gt;30,10,('Scénario référence'!$B$16+'Scénario référence'!$B$17+'Scénario référence'!$B$18+'Scénario référence'!$B$9+'Scénario référence'!$B$10)*A14*10/30+('Scénario référence'!$F$8+'Scénario référence'!$F$9)*10)</f>
        <v>3.666666667</v>
      </c>
      <c r="EG14" s="151" t="str">
        <f>VLOOKUP(A14,'Données projet'!$A$191:$I$211,2,0)</f>
        <v>#N/A</v>
      </c>
      <c r="EH14" s="151" t="str">
        <f>VLOOKUP(A14,'Données projet'!$A$191:$I$211,9,0)</f>
        <v>#N/A</v>
      </c>
      <c r="EI14" s="151" t="str">
        <f t="array" ref="EI14">INDEX(EH:EH,MIN(IF(ISNUMBER(EH14:EH210),ROW(EH14:EH210),"")))</f>
        <v/>
      </c>
      <c r="EJ14" s="151">
        <f>IF('Données projet'!$A$192&gt;35,EJ13+EI14-ER13,IF(A14&lt;'Données projet'!$A$192,$EG$205^A14,IF(A14='Données projet'!$A$192,'Données projet'!$B$192,EJ13+EI14-ER13)))</f>
        <v>0</v>
      </c>
      <c r="EK14" s="158" t="str">
        <f>EJ14*VLOOKUP('Données projet'!$B$15,'Paramètres'!$A$1:$I$88,3,0)*VLOOKUP('Données projet'!$B$15,'Paramètres'!$A$1:$I$88,5,0)</f>
        <v>#N/A</v>
      </c>
      <c r="EL14" s="150" t="str">
        <f t="shared" si="46"/>
        <v>#N/A</v>
      </c>
      <c r="EM14" s="161" t="str">
        <f t="shared" si="20"/>
        <v>#N/A</v>
      </c>
      <c r="EN14" s="153" t="str">
        <f t="shared" si="21"/>
        <v>#N/A</v>
      </c>
      <c r="EO14" s="153" t="str">
        <f>AVERAGE(OFFSET($EN$3,0,0,'Données projet'!$E$15+1,1))-AVERAGE(OFFSET($H$3,0,0,'Données projet'!$E$15+1,1))</f>
        <v>#N/A</v>
      </c>
      <c r="EP14" s="153" t="str">
        <f t="shared" si="47"/>
        <v>#N/A</v>
      </c>
      <c r="EQ14" s="154">
        <f>IF(ISNA(VLOOKUP(A14,'Données projet'!$A$191:$I$211,3,0)),0,VLOOKUP(A14,'Données projet'!$A$191:$I$211,3,0))</f>
        <v>0</v>
      </c>
      <c r="ER14" s="154">
        <f>IF(ISNA(VLOOKUP(A14,'Données projet'!$A$191:$I$211,4,0)),0,VLOOKUP(A14,'Données projet'!$A$191:$I$211,4,0))</f>
        <v>0</v>
      </c>
      <c r="ES14" s="155">
        <f>IF(ISNA(VLOOKUP(A14,'Données projet'!$A$191:$I$211,5,0)),0%,VLOOKUP(A14,'Données projet'!$A$191:$I$211,5,0)*VLOOKUP('Données projet'!$B$15,'Paramètres'!$A$1:$I$88,7,0))</f>
        <v>0</v>
      </c>
      <c r="ET14" s="155">
        <f>IF(ISNA(VLOOKUP(A14,'Données projet'!$A$191:$I$211,6,0)),0%,VLOOKUP(A14,'Données projet'!$A$191:$I$211,6,0)*VLOOKUP('Données projet'!$B$15,'Paramètres'!$A$1:$I$88,7,0))</f>
        <v>0</v>
      </c>
      <c r="EU14" s="155">
        <f>IF(ISNA(VLOOKUP(A14,'Données projet'!$A$191:$I$211,7,0)),0%,VLOOKUP(A14,'Données projet'!$A$191:$I$211,7,0))</f>
        <v>0</v>
      </c>
      <c r="EV14" s="162" t="str">
        <f>EXP(-LN(2)/35)*EV13+(1-EXP(-LN(2)/35))/(LN(2)/35)*ER14*ES14*VLOOKUP('Données projet'!$B$15,'Paramètres'!$A$1:$I$88,3,0)*0.475*44/12</f>
        <v>#N/A</v>
      </c>
      <c r="EW14" s="162" t="str">
        <f>EXP(-LN(2)/25)*EW13+(1-EXP(-LN(2)/25))/(LN(2)/25)*Calculateur!ER14*Calculateur!ET14*VLOOKUP('Données projet'!$B$15,'Paramètres'!$A$1:$I$88,3,0)*0.475*44/12</f>
        <v>#N/A</v>
      </c>
      <c r="EX14" s="162" t="str">
        <f>EXP(-LN(2)/2)*EX13+(1-EXP(-LN(2)/2))/(LN(2)/2)*ER14*EU14*VLOOKUP('Données projet'!$B$15,'Paramètres'!$A$1:$I$88,3,0)*0.475*44/12</f>
        <v>#N/A</v>
      </c>
      <c r="EY14" s="163" t="str">
        <f t="shared" si="22"/>
        <v>#N/A</v>
      </c>
      <c r="EZ14" s="159">
        <f>('Scénario référence'!$F$8+'Scénario référence'!$F$9+'Scénario référence'!$B$17+'Scénario référence'!$B$9+'Scénario référence'!$B$10)*70+IF((45+25*(1-EXP(-0.0175*A14)))&lt;70,'Scénario référence'!$B$16*(45+25*(1-EXP(-0.0175*A14))),70*'Scénario référence'!$B$16)+IF((32+38*(1-EXP(-0.0175*A14)))&lt;70,'Scénario référence'!$B$18*(32+38*(1-EXP(-0.0175*A14))),70*'Scénario référence'!$B$18)</f>
        <v>70</v>
      </c>
      <c r="FA14" s="151">
        <f>IF(A14&gt;30,10,('Scénario référence'!$B$16+'Scénario référence'!$B$17+'Scénario référence'!$B$18+'Scénario référence'!$B$9+'Scénario référence'!$B$10)*A14*10/30+('Scénario référence'!$F$8+'Scénario référence'!$F$9)*10)</f>
        <v>3.666666667</v>
      </c>
      <c r="FB14" s="151" t="str">
        <f>VLOOKUP(A14,'Données projet'!$A$217:$I$237,2,0)</f>
        <v>#N/A</v>
      </c>
      <c r="FC14" s="151" t="str">
        <f>VLOOKUP(A14,'Données projet'!$A$217:$I$237,9,0)</f>
        <v>#N/A</v>
      </c>
      <c r="FD14" s="151" t="str">
        <f t="array" ref="FD14">INDEX(FC:FC,MIN(IF(ISNUMBER(FC14:FC210),ROW(FC14:FC210),"")))</f>
        <v/>
      </c>
      <c r="FE14" s="151">
        <f>IF('Données projet'!$A$218&gt;35,FE13+FD14-FM13,IF(A14&lt;'Données projet'!$A$218,$FB$205^A14,IF(A14='Données projet'!$A$218,'Données projet'!$B$218,FE13+FD14-FM13)))</f>
        <v>0</v>
      </c>
      <c r="FF14" s="158" t="str">
        <f>FE14*VLOOKUP('Données projet'!$B$16,'Paramètres'!$A$1:$I$88,3,0)*VLOOKUP('Données projet'!$B$16,'Paramètres'!$A$1:$I$88,5,0)</f>
        <v>#N/A</v>
      </c>
      <c r="FG14" s="150" t="str">
        <f t="shared" si="48"/>
        <v>#N/A</v>
      </c>
      <c r="FH14" s="161" t="str">
        <f t="shared" si="23"/>
        <v>#N/A</v>
      </c>
      <c r="FI14" s="153" t="str">
        <f t="shared" si="24"/>
        <v>#N/A</v>
      </c>
      <c r="FJ14" s="153" t="str">
        <f>AVERAGE(OFFSET($FI$3,0,0,'Données projet'!$E$16+1,1))-AVERAGE(OFFSET($H$3,0,0,'Données projet'!$E$16+1,1))</f>
        <v>#N/A</v>
      </c>
      <c r="FK14" s="153" t="str">
        <f t="shared" si="49"/>
        <v>#N/A</v>
      </c>
      <c r="FL14" s="154">
        <f>IF(ISNA(VLOOKUP(A14,'Données projet'!$A$217:$I$237,3,0)),0,VLOOKUP(A14,'Données projet'!$A$217:$I$237,3,0))</f>
        <v>0</v>
      </c>
      <c r="FM14" s="154">
        <f>IF(ISNA(VLOOKUP(A14,'Données projet'!$A$217:$I$237,4,0)),0,VLOOKUP(A14,'Données projet'!$A$217:$I$237,4,0))</f>
        <v>0</v>
      </c>
      <c r="FN14" s="155">
        <f>IF(ISNA(VLOOKUP(A14,'Données projet'!$A$217:$I$237,5,0)),0%,VLOOKUP(A14,'Données projet'!$A$217:$I$237,5,0)*VLOOKUP('Données projet'!$B$16,'Paramètres'!$A$1:$I$88,7,0))</f>
        <v>0</v>
      </c>
      <c r="FO14" s="155">
        <f>IF(ISNA(VLOOKUP(A14,'Données projet'!$A$217:$I$237,6,0)),0%,VLOOKUP(A14,'Données projet'!$A$217:$I$237,6,0)*VLOOKUP('Données projet'!$B$16,'Paramètres'!$A$1:$I$88,7,0))</f>
        <v>0</v>
      </c>
      <c r="FP14" s="155">
        <f>IF(ISNA(VLOOKUP(A14,'Données projet'!$A$217:$I$237,7,0)),0%,VLOOKUP(A14,'Données projet'!$A$217:$I$237,7,0))</f>
        <v>0</v>
      </c>
      <c r="FQ14" s="162" t="str">
        <f>EXP(-LN(2)/35)*FQ13+(1-EXP(-LN(2)/35))/(LN(2)/35)*FM14*FN14*VLOOKUP('Données projet'!$B$16,'Paramètres'!$A$1:$I$88,3,0)*0.475*44/12</f>
        <v>#N/A</v>
      </c>
      <c r="FR14" s="162" t="str">
        <f>EXP(-LN(2)/25)*FR13+(1-EXP(-LN(2)/25))/(LN(2)/25)*Calculateur!FM14*Calculateur!FO14*VLOOKUP('Données projet'!$B$16,'Paramètres'!$A$1:$I$88,3,0)*0.475*44/12</f>
        <v>#N/A</v>
      </c>
      <c r="FS14" s="162" t="str">
        <f>EXP(-LN(2)/2)*FS13+(1-EXP(-LN(2)/2))/(LN(2)/2)*FM14*FP14*VLOOKUP('Données projet'!$B$16,'Paramètres'!$A$1:$I$88,3,0)*0.475*44/12</f>
        <v>#N/A</v>
      </c>
      <c r="FT14" s="163" t="str">
        <f t="shared" si="25"/>
        <v>#N/A</v>
      </c>
      <c r="FU14" s="159">
        <f>('Scénario référence'!$F$8+'Scénario référence'!$F$9+'Scénario référence'!$B$17+'Scénario référence'!$B$9+'Scénario référence'!$B$10)*70+IF((45+25*(1-EXP(-0.0175*A14)))&lt;70,'Scénario référence'!$B$16*(45+25*(1-EXP(-0.0175*A14))),70*'Scénario référence'!$B$16)+IF((32+38*(1-EXP(-0.0175*A14)))&lt;70,'Scénario référence'!$B$18*(32+38*(1-EXP(-0.0175*A14))),70*'Scénario référence'!$B$18)</f>
        <v>70</v>
      </c>
      <c r="FV14" s="151">
        <f>IF(A14&gt;30,10,('Scénario référence'!$B$16+'Scénario référence'!$B$17+'Scénario référence'!$B$18+'Scénario référence'!$B$9+'Scénario référence'!$B$10)*A14*10/30+('Scénario référence'!$F$8+'Scénario référence'!$F$9)*10)</f>
        <v>3.666666667</v>
      </c>
      <c r="FW14" s="151" t="str">
        <f>VLOOKUP(A14,'Données projet'!$A$243:$I$263,2,0)</f>
        <v>#N/A</v>
      </c>
      <c r="FX14" s="151" t="str">
        <f>VLOOKUP(A14,'Données projet'!$A$243:$I$263,9,0)</f>
        <v>#N/A</v>
      </c>
      <c r="FY14" s="151" t="str">
        <f t="array" ref="FY14">INDEX(FX:FX,MIN(IF(ISNUMBER(FX14:FX210),ROW(FX14:FX210),"")))</f>
        <v/>
      </c>
      <c r="FZ14" s="151">
        <f>IF('Données projet'!$A$244&gt;35,FZ13+FY14-GH13,IF(A14&lt;'Données projet'!$A$244,$FW$205^A14,IF(A14='Données projet'!$A$244,'Données projet'!$B$244,FZ13+FY14-GH13)))</f>
        <v>0</v>
      </c>
      <c r="GA14" s="158" t="str">
        <f>FZ14*VLOOKUP('Données projet'!$B$17,'Paramètres'!$A$1:$I$88,3,0)*VLOOKUP('Données projet'!$B$17,'Paramètres'!$A$1:$I$88,5,0)</f>
        <v>#N/A</v>
      </c>
      <c r="GB14" s="150" t="str">
        <f t="shared" si="50"/>
        <v>#N/A</v>
      </c>
      <c r="GC14" s="161" t="str">
        <f t="shared" si="26"/>
        <v>#N/A</v>
      </c>
      <c r="GD14" s="153" t="str">
        <f t="shared" si="27"/>
        <v>#N/A</v>
      </c>
      <c r="GE14" s="153" t="str">
        <f>AVERAGE(OFFSET($GD$3,0,0,'Données projet'!$E$17+1,1))-AVERAGE(OFFSET($H$3,0,0,'Données projet'!$E$17+1,1))</f>
        <v>#N/A</v>
      </c>
      <c r="GF14" s="153" t="str">
        <f t="shared" si="51"/>
        <v>#N/A</v>
      </c>
      <c r="GG14" s="154">
        <f>IF(ISNA(VLOOKUP(A14,'Données projet'!$A$243:$I$263,3,0)),0,VLOOKUP(A14,'Données projet'!$A$243:$I$263,3,0))</f>
        <v>0</v>
      </c>
      <c r="GH14" s="154">
        <f>IF(ISNA(VLOOKUP(A14,'Données projet'!$A$243:$I$263,4,0)),0,VLOOKUP(A14,'Données projet'!$A$243:$I$263,4,0))</f>
        <v>0</v>
      </c>
      <c r="GI14" s="155">
        <f>IF(ISNA(VLOOKUP(A14,'Données projet'!$A$243:$I$263,5,0)),0%,VLOOKUP(A14,'Données projet'!$A$243:$I$263,5,0)*VLOOKUP('Données projet'!$B$17,'Paramètres'!$A$1:$I$88,7,0))</f>
        <v>0</v>
      </c>
      <c r="GJ14" s="155">
        <f>IF(ISNA(VLOOKUP(A14,'Données projet'!$A$243:$I$263,6,0)),0%,VLOOKUP(A14,'Données projet'!$A$243:$I$263,6,0)*VLOOKUP('Données projet'!$B$17,'Paramètres'!$A$1:$I$88,7,0))</f>
        <v>0</v>
      </c>
      <c r="GK14" s="155">
        <f>IF(ISNA(VLOOKUP(A14,'Données projet'!$A$243:$I$263,7,0)),0%,VLOOKUP(A14,'Données projet'!$A$243:$I$263,7,0))</f>
        <v>0</v>
      </c>
      <c r="GL14" s="162" t="str">
        <f>EXP(-LN(2)/35)*GL13+(1-EXP(-LN(2)/35))/(LN(2)/35)*GH14*GI14*VLOOKUP('Données projet'!$B$17,'Paramètres'!$A$1:$I$88,3,0)*0.475*44/12</f>
        <v>#N/A</v>
      </c>
      <c r="GM14" s="162" t="str">
        <f>EXP(-LN(2)/25)*GM13+(1-EXP(-LN(2)/25))/(LN(2)/25)*Calculateur!GH14*Calculateur!GJ14*VLOOKUP('Données projet'!$B$17,'Paramètres'!$A$1:$I$88,3,0)*0.475*44/12</f>
        <v>#N/A</v>
      </c>
      <c r="GN14" s="162" t="str">
        <f>EXP(-LN(2)/2)*GN13+(1-EXP(-LN(2)/2))/(LN(2)/2)*GH14*GK14*VLOOKUP('Données projet'!$B$17,'Paramètres'!$A$1:$I$88,3,0)*0.475*44/12</f>
        <v>#N/A</v>
      </c>
      <c r="GO14" s="162" t="str">
        <f t="shared" si="28"/>
        <v>#N/A</v>
      </c>
      <c r="GP14" s="159">
        <f>('Scénario référence'!$F$8+'Scénario référence'!$F$9+'Scénario référence'!$B$17+'Scénario référence'!$B$9+'Scénario référence'!$B$10)*70+IF((45+25*(1-EXP(-0.0175*A14)))&lt;70,'Scénario référence'!$B$16*(45+25*(1-EXP(-0.0175*A14))),70*'Scénario référence'!$B$16)+IF((32+38*(1-EXP(-0.0175*A14)))&lt;70,'Scénario référence'!$B$18*(32+38*(1-EXP(-0.0175*A14))),70*'Scénario référence'!$B$18)</f>
        <v>70</v>
      </c>
      <c r="GQ14" s="151">
        <f>IF(A14&gt;30,10,('Scénario référence'!$B$16+'Scénario référence'!$B$17+'Scénario référence'!$B$18+'Scénario référence'!$B$9+'Scénario référence'!$B$10)*A14*10/30+('Scénario référence'!$F$8+'Scénario référence'!$F$9)*10)</f>
        <v>3.666666667</v>
      </c>
      <c r="GR14" s="151" t="str">
        <f>VLOOKUP(A14,'Données projet'!$A$269:$I$289,2,0)</f>
        <v>#N/A</v>
      </c>
      <c r="GS14" s="151" t="str">
        <f>VLOOKUP(A14,'Données projet'!$A$269:$I$289,9,0)</f>
        <v>#N/A</v>
      </c>
      <c r="GT14" s="151" t="str">
        <f t="array" ref="GT14">INDEX(GS:GS,MIN(IF(ISNUMBER(GS14:GS210),ROW(GS14:GS210),"")))</f>
        <v/>
      </c>
      <c r="GU14" s="151">
        <f>IF('Données projet'!$A$270&gt;35,GU13+GT14-HC13,IF(A14&lt;'Données projet'!$A$270,$GR$205^A14,IF(A14='Données projet'!$A$270,'Données projet'!$B$270,GU13+GT14-HC13)))</f>
        <v>0</v>
      </c>
      <c r="GV14" s="158" t="str">
        <f>GU14*VLOOKUP('Données projet'!$B$18,'Paramètres'!$A$1:$I$88,3,0)*VLOOKUP('Données projet'!$B$18,'Paramètres'!$A$1:$I$88,5,0)</f>
        <v>#N/A</v>
      </c>
      <c r="GW14" s="150" t="str">
        <f t="shared" si="52"/>
        <v>#N/A</v>
      </c>
      <c r="GX14" s="161" t="str">
        <f t="shared" si="29"/>
        <v>#N/A</v>
      </c>
      <c r="GY14" s="153" t="str">
        <f t="shared" si="30"/>
        <v>#N/A</v>
      </c>
      <c r="GZ14" s="153" t="str">
        <f>AVERAGE(OFFSET($GY$3,0,0,'Données projet'!$E$18+1,1))-AVERAGE(OFFSET($H$3,0,0,'Données projet'!$E$18+1,1))</f>
        <v>#N/A</v>
      </c>
      <c r="HA14" s="153" t="str">
        <f t="shared" si="53"/>
        <v>#N/A</v>
      </c>
      <c r="HB14" s="154">
        <f>IF(ISNA(VLOOKUP(A14,'Données projet'!$A$269:$I$289,3,0)),0,VLOOKUP(A14,'Données projet'!$A$269:$I$289,3,0))</f>
        <v>0</v>
      </c>
      <c r="HC14" s="154">
        <f>IF(ISNA(VLOOKUP(A14,'Données projet'!$A$269:$I$289,4,0)),0,VLOOKUP(A14,'Données projet'!$A$269:$I$289,4,0))</f>
        <v>0</v>
      </c>
      <c r="HD14" s="155">
        <f>IF(ISNA(VLOOKUP(A14,'Données projet'!$A$269:$I$289,5,0)),0%,VLOOKUP(A14,'Données projet'!$A$269:$I$289,5,0)*VLOOKUP('Données projet'!$B$18,'Paramètres'!$A$1:$I$88,7,0))</f>
        <v>0</v>
      </c>
      <c r="HE14" s="155">
        <f>IF(ISNA(VLOOKUP(A14,'Données projet'!$A$269:$I$289,6,0)),0%,VLOOKUP(A14,'Données projet'!$A$269:$I$289,6,0)*VLOOKUP('Données projet'!$B$18,'Paramètres'!$A$1:$I$88,7,0))</f>
        <v>0</v>
      </c>
      <c r="HF14" s="155">
        <f>IF(ISNA(VLOOKUP(A14,'Données projet'!$A$269:$I$289,7,0)),0%,VLOOKUP(A14,'Données projet'!$A$269:$I$289,7,0))</f>
        <v>0</v>
      </c>
      <c r="HG14" s="162" t="str">
        <f>EXP(-LN(2)/35)*HG13+(1-EXP(-LN(2)/35))/(LN(2)/35)*HC14*HD14*VLOOKUP('Données projet'!$B$18,'Paramètres'!$A$1:$I$88,3,0)*0.475*44/12</f>
        <v>#N/A</v>
      </c>
      <c r="HH14" s="162" t="str">
        <f>EXP(-LN(2)/25)*HH13+(1-EXP(-LN(2)/25))/(LN(2)/25)*Calculateur!HC14*Calculateur!HE14*VLOOKUP('Données projet'!$B$18,'Paramètres'!$A$1:$I$88,3,0)*0.475*44/12</f>
        <v>#N/A</v>
      </c>
      <c r="HI14" s="162" t="str">
        <f>EXP(-LN(2)/2)*HI13+(1-EXP(-LN(2)/2))/(LN(2)/2)*HC14*HF14*VLOOKUP('Données projet'!$B$18,'Paramètres'!$A$1:$I$88,3,0)*0.475*44/12</f>
        <v>#N/A</v>
      </c>
      <c r="HJ14" s="163" t="str">
        <f t="shared" si="31"/>
        <v>#N/A</v>
      </c>
    </row>
    <row r="15">
      <c r="A15" s="145">
        <f t="shared" si="32"/>
        <v>12</v>
      </c>
      <c r="B15" s="146">
        <f>'Scénario référence'!$B$16*5+'Scénario référence'!$B$17*0+'Scénario référence'!$B$18*5</f>
        <v>0</v>
      </c>
      <c r="C15" s="160">
        <f>Calculateur!C14+'Scénario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5" s="147">
        <f t="shared" si="33"/>
        <v>0</v>
      </c>
      <c r="E15" s="147">
        <f>'Scénario référence'!$B$16*45+('Scénario référence'!$B$17+'Scénario référence'!$F$8+'Scénario référence'!$F$9+'Scénario référence'!$B$10+'Scénario référence'!$B$9)*70+'Scénario référence'!$B$18*32</f>
        <v>70</v>
      </c>
      <c r="F15" s="147">
        <f>IF(OR('Scénario référence'!$F$8&gt;0,'Scénario référence'!$F$9&gt;0),('Scénario référence'!$F$8+'Scénario référence'!$F$9)*10,0)</f>
        <v>0</v>
      </c>
      <c r="G15" s="147">
        <f>'Scénario référence'!$B$8*B15*44/12+'Scénario référence'!$B$9*(C15+D15)/0.475*44/12+'Scénario référence'!$B$10*(C15+D15)/0.475*44/12+'Scénario référence'!$F$8*(C15+D15)/0.475*44/12+'Scénario référence'!$F$9*(C15+D15)/0.475*44/12</f>
        <v>0</v>
      </c>
      <c r="H15" s="148">
        <f t="shared" si="1"/>
        <v>256.6666667</v>
      </c>
      <c r="I15" s="149">
        <f>('Scénario référence'!$F$8+'Scénario référence'!$F$9+'Scénario référence'!$B$17+'Scénario référence'!$B$9+'Scénario référence'!$B$10)*70+IF((45+25*(1-EXP(-0.0175*A15)))&lt;70,'Scénario référence'!$B$16*(45+25*(1-EXP(-0.0175*A15))),70*'Scénario référence'!$B$16)+IF((32+38*(1-EXP(-0.0175*A15)))&lt;70,'Scénario référence'!$B$18*(32+38*(1-EXP(-0.0175*A15))),70*'Scénario référence'!$B$18)</f>
        <v>70</v>
      </c>
      <c r="J15" s="150">
        <f>IF(A15&gt;30,10,('Scénario référence'!$B$16+'Scénario référence'!$B$17+'Scénario référence'!$B$18+'Scénario référence'!$B$9+'Scénario référence'!$B$10)*A15*10/30+('Scénario référence'!$F$8+'Scénario référence'!$F$9)*10)</f>
        <v>4</v>
      </c>
      <c r="K15" s="151" t="str">
        <f>VLOOKUP(A15,'Données projet'!$A$35:$I$55,2,0)</f>
        <v>#N/A</v>
      </c>
      <c r="L15" s="151" t="str">
        <f>VLOOKUP(A15,'Données projet'!$A$35:$I$55,9,0)</f>
        <v>#N/A</v>
      </c>
      <c r="M15" s="150">
        <f t="array" ref="M15">INDEX(L:L,MIN(IF(ISNUMBER(L15:L211),ROW(L15:L211),"")))</f>
        <v>3.65</v>
      </c>
      <c r="N15" s="150">
        <f>IF('Données projet'!$A$36&gt;35,N14+M15-V14,IF(A15&lt;'Données projet'!$A$36,$K$205^A15,IF(A15='Données projet'!$A$36,'Données projet'!$B$36,N14+M15-V14)))</f>
        <v>13.12180913</v>
      </c>
      <c r="O15" s="150">
        <f>N15*VLOOKUP('Données projet'!$B$9,'Paramètres'!$A$1:$I$88,3,0)*VLOOKUP('Données projet'!$B$9,'Paramètres'!$A$1:$I$88,5,0)</f>
        <v>11.8726129</v>
      </c>
      <c r="P15" s="150">
        <f t="shared" si="34"/>
        <v>4.102241111</v>
      </c>
      <c r="Q15" s="161">
        <f t="shared" si="2"/>
        <v>27.82287073</v>
      </c>
      <c r="R15" s="153">
        <f t="shared" si="3"/>
        <v>299.1562041</v>
      </c>
      <c r="S15" s="153">
        <f>AVERAGE(OFFSET($R$3,0,0,'Données projet'!$E$9+1,1))-AVERAGE(OFFSET($H$3,0,0,'Données projet'!$E$9+1,1))</f>
        <v>439.1985427</v>
      </c>
      <c r="T15" s="153">
        <f t="shared" si="35"/>
        <v>278.2174123</v>
      </c>
      <c r="U15" s="154">
        <f>IF(ISNA(VLOOKUP(A15,'Données projet'!$A$35:$I$55,3,0)),0,VLOOKUP(A15,'Données projet'!$A$35:$I$55,3,0))</f>
        <v>0</v>
      </c>
      <c r="V15" s="154">
        <f>IF(ISNA(VLOOKUP(A15,'Données projet'!$A$35:$I$55,4,0)),0,VLOOKUP(A15,'Données projet'!$A$35:$I$55,4,0))</f>
        <v>0</v>
      </c>
      <c r="W15" s="155">
        <f>IF(ISNA(VLOOKUP(A15,'Données projet'!$A$35:$I$55,5,0)),0%,VLOOKUP(A15,'Données projet'!$A$35:$I$55,5,0)*VLOOKUP('Données projet'!$B$9,'Paramètres'!$A$1:$I$88,7,0))</f>
        <v>0</v>
      </c>
      <c r="X15" s="155">
        <f>IF(ISNA(VLOOKUP(A15,'Données projet'!$A$35:$I$55,6,0)),0%,VLOOKUP(A15,'Données projet'!$A$35:$I$55,6,0)*VLOOKUP('Données projet'!$B$9,'Paramètres'!$A$1:$I$88,7,0))</f>
        <v>0</v>
      </c>
      <c r="Y15" s="155">
        <f>IF(ISNA(VLOOKUP(A15,'Données projet'!$A$35:$I$55,7,0)),0%,VLOOKUP(A15,'Données projet'!$A$35:$I$55,7,0))</f>
        <v>0</v>
      </c>
      <c r="Z15" s="162">
        <f>EXP(-LN(2)/35)*Z14+(1-EXP(-LN(2)/35))/(LN(2)/35)*V15*W15*VLOOKUP('Données projet'!$B$9,'Paramètres'!$A$1:$I$88,3,0)*0.475*44/12</f>
        <v>0</v>
      </c>
      <c r="AA15" s="162">
        <f>EXP(-LN(2)/25)*AA14+(1-EXP(-LN(2)/25))/(LN(2)/25)*Calculateur!V15*Calculateur!X15*VLOOKUP('Données projet'!$B$9,'Paramètres'!$A$1:$I$88,3,0)*0.475*44/12</f>
        <v>0</v>
      </c>
      <c r="AB15" s="162">
        <f>EXP(-LN(2)/2)*AB14+(1-EXP(-LN(2)/2))/(LN(2)/2)*V15*Y15*VLOOKUP('Données projet'!$B$9,'Paramètres'!$A$1:$I$88,3,0)*0.475*44/12</f>
        <v>0</v>
      </c>
      <c r="AC15" s="163">
        <f t="shared" si="4"/>
        <v>0</v>
      </c>
      <c r="AD15" s="150">
        <f>('Scénario référence'!$F$8+'Scénario référence'!$F$9+'Scénario référence'!$B$17+'Scénario référence'!$B$9+'Scénario référence'!$B$10)*70+IF((45+25*(1-EXP(-0.0175*A15)))&lt;70,'Scénario référence'!$B$16*(45+25*(1-EXP(-0.0175*A15))),70*'Scénario référence'!$B$16)+IF((32+38*(1-EXP(-0.0175*A15)))&lt;70,'Scénario référence'!$B$18*(32+38*(1-EXP(-0.0175*A15))),70*'Scénario référence'!$B$18)</f>
        <v>70</v>
      </c>
      <c r="AE15" s="150">
        <f>IF(A15&gt;30,10,('Scénario référence'!$B$16+'Scénario référence'!$B$17+'Scénario référence'!$B$18+'Scénario référence'!$B$9+'Scénario référence'!$B$10)*A15*10/30+('Scénario référence'!$F$8+'Scénario référence'!$F$9)*10)</f>
        <v>4</v>
      </c>
      <c r="AF15" s="151" t="str">
        <f>VLOOKUP(A15,'Données projet'!$A$61:$I$81,2,0)</f>
        <v>#N/A</v>
      </c>
      <c r="AG15" s="151" t="str">
        <f>VLOOKUP(A15,'Données projet'!$A$61:$I$81,9,0)</f>
        <v>#N/A</v>
      </c>
      <c r="AH15" s="150">
        <f t="array" ref="AH15">INDEX(AG:AG,MIN(IF(ISNUMBER(AG15:AG211),ROW(AG15:AG211),"")))</f>
        <v>14.6</v>
      </c>
      <c r="AI15" s="150">
        <f>IF('Données projet'!$A$62&gt;35,AI14+AH15-AQ14,IF(A15&lt;'Données projet'!$A$62,$AF$205^A15,IF(A15='Données projet'!$A$62,'Données projet'!$B$62,AI14+AH15-AQ14)))</f>
        <v>41.2</v>
      </c>
      <c r="AJ15" s="150">
        <f>AI15*VLOOKUP('Données projet'!$B$10,'Paramètres'!$A$1:$I$88,3,0)*VLOOKUP('Données projet'!$B$10,'Paramètres'!$A$1:$I$88,5,0)</f>
        <v>32.77872</v>
      </c>
      <c r="AK15" s="150">
        <f t="shared" si="36"/>
        <v>10.06303881</v>
      </c>
      <c r="AL15" s="161">
        <f t="shared" si="5"/>
        <v>74.61606326</v>
      </c>
      <c r="AM15" s="153">
        <f t="shared" si="6"/>
        <v>345.9493966</v>
      </c>
      <c r="AN15" s="153">
        <f>AVERAGE(OFFSET($AM$3,0,0,'Données projet'!$E$10+1,1))-AVERAGE(OFFSET($H$3,0,0,'Données projet'!$E$10+1,1))</f>
        <v>405.6113614</v>
      </c>
      <c r="AO15" s="153">
        <f t="shared" si="37"/>
        <v>393.0787141</v>
      </c>
      <c r="AP15" s="154">
        <f>IF(ISNA(VLOOKUP(A15,'Données projet'!$A$61:$I$81,3,0)),0,VLOOKUP(A15,'Données projet'!$A$61:$I$81,3,0))</f>
        <v>0</v>
      </c>
      <c r="AQ15" s="154">
        <f>IF(ISNA(VLOOKUP(A15,'Données projet'!$A$61:$I$81,4,0)),0,VLOOKUP(A15,'Données projet'!$A$61:$I$81,4,0))</f>
        <v>0</v>
      </c>
      <c r="AR15" s="155">
        <f>IF(ISNA(VLOOKUP(A15,'Données projet'!$A$61:$I$81,5,0)),0%,VLOOKUP(A15,'Données projet'!$A$61:$I$81,5,0)*VLOOKUP('Données projet'!$B$10,'Paramètres'!$A$1:$I$88,7,0))</f>
        <v>0</v>
      </c>
      <c r="AS15" s="155">
        <f>IF(ISNA(VLOOKUP(A15,'Données projet'!$A$61:$I$81,6,0)),0%,VLOOKUP(A15,'Données projet'!$A$61:$I$81,6,0)*VLOOKUP('Données projet'!$B$10,'Paramètres'!$A$1:$I$88,7,0))</f>
        <v>0</v>
      </c>
      <c r="AT15" s="155">
        <f>IF(ISNA(VLOOKUP(A15,'Données projet'!$A$61:$I$81,7,0)),0%,VLOOKUP(A15,'Données projet'!$A$61:$I$81,7,0))</f>
        <v>0</v>
      </c>
      <c r="AU15" s="162">
        <f>EXP(-LN(2)/35)*AU14+(1-EXP(-LN(2)/35))/(LN(2)/35)*AQ15*AR15*VLOOKUP('Données projet'!$B$10,'Paramètres'!$A$1:$I$88,3,0)*0.475*44/12</f>
        <v>0</v>
      </c>
      <c r="AV15" s="162">
        <f>EXP(-LN(2)/25)*AV14+(1-EXP(-LN(2)/25))/(LN(2)/25)*Calculateur!AQ15*Calculateur!AS15*VLOOKUP('Données projet'!$B$10,'Paramètres'!$A$1:$I$88,3,0)*0.475*44/12</f>
        <v>0</v>
      </c>
      <c r="AW15" s="162">
        <f>EXP(-LN(2)/2)*AW14+(1-EXP(-LN(2)/2))/(LN(2)/2)*AQ15*AT15*VLOOKUP('Données projet'!$B$10,'Paramètres'!$A$1:$I$88,3,0)*0.475*44/12</f>
        <v>0</v>
      </c>
      <c r="AX15" s="162">
        <f t="shared" si="7"/>
        <v>0</v>
      </c>
      <c r="AY15" s="157">
        <f>('Scénario référence'!$F$8+'Scénario référence'!$F$9+'Scénario référence'!$B$17+'Scénario référence'!$B$9+'Scénario référence'!$B$10)*70+IF((45+25*(1-EXP(-0.0175*A15)))&lt;70,'Scénario référence'!$B$16*(45+25*(1-EXP(-0.0175*A15))),70*'Scénario référence'!$B$16)+IF((32+38*(1-EXP(-0.0175*A15)))&lt;70,'Scénario référence'!$B$18*(32+38*(1-EXP(-0.0175*A15))),70*'Scénario référence'!$B$18)</f>
        <v>70</v>
      </c>
      <c r="AZ15" s="151">
        <f>IF(A15&gt;30,10,('Scénario référence'!$B$16+'Scénario référence'!$B$17+'Scénario référence'!$B$18+'Scénario référence'!$B$9+'Scénario référence'!$B$10)*A15*10/30+('Scénario référence'!$F$8+'Scénario référence'!$F$9)*10)</f>
        <v>4</v>
      </c>
      <c r="BA15" s="151" t="str">
        <f>VLOOKUP(A15,'Données projet'!$A$87:$I$107,2,0)</f>
        <v>#N/A</v>
      </c>
      <c r="BB15" s="151" t="str">
        <f>VLOOKUP(A15,'Données projet'!$A$87:$I$107,9,0)</f>
        <v>#N/A</v>
      </c>
      <c r="BC15" s="150" t="str">
        <f t="array" ref="BC15">INDEX(BB:BB,MIN(IF(ISNUMBER(BB15:BB211),ROW(BB15:BB211),"")))</f>
        <v/>
      </c>
      <c r="BD15" s="150">
        <f>IF('Données projet'!$A$88&gt;35,BD14+BC15-BL14,IF(A15&lt;'Données projet'!$A$88,$BA$205^A15,IF(A15='Données projet'!$A$88,'Données projet'!$B$88,BD14+BC15-BL14)))</f>
        <v>0</v>
      </c>
      <c r="BE15" s="150">
        <f>BD15*VLOOKUP('Données projet'!$B$11,'Paramètres'!$A$1:$I$88,3,0)*VLOOKUP('Données projet'!$B$11,'Paramètres'!$A$1:$I$88,5,0)</f>
        <v>0</v>
      </c>
      <c r="BF15" s="150" t="str">
        <f t="shared" si="38"/>
        <v>#NUM!</v>
      </c>
      <c r="BG15" s="161" t="str">
        <f t="shared" si="8"/>
        <v>#NUM!</v>
      </c>
      <c r="BH15" s="153" t="str">
        <f t="shared" si="9"/>
        <v>#NUM!</v>
      </c>
      <c r="BI15" s="153">
        <f>AVERAGE(OFFSET($BH$3,0,0,'Données projet'!$E$11+1,1))-AVERAGE(OFFSET($H$3,0,0,'Données projet'!$E$11+1,1))</f>
        <v>0</v>
      </c>
      <c r="BJ15" s="153">
        <f t="shared" si="39"/>
        <v>0</v>
      </c>
      <c r="BK15" s="154">
        <f>IF(ISNA(VLOOKUP(A15,'Données projet'!$A$87:$I$107,3,0)),0,VLOOKUP(A15,'Données projet'!$A$87:$I$107,3,0))</f>
        <v>0</v>
      </c>
      <c r="BL15" s="154">
        <f>IF(ISNA(VLOOKUP(A15,'Données projet'!$A$87:$I$107,4,0)),0,VLOOKUP(A15,'Données projet'!$A$87:$I$107,4,0))</f>
        <v>0</v>
      </c>
      <c r="BM15" s="155">
        <f>IF(ISNA(VLOOKUP(A15,'Données projet'!$A$87:$I$107,5,0)),0%,VLOOKUP(A15,'Données projet'!$A$87:$I$107,5,0)*VLOOKUP('Données projet'!$B$11,'Paramètres'!$A$1:$I$88,7,0))</f>
        <v>0</v>
      </c>
      <c r="BN15" s="155">
        <f>IF(ISNA(VLOOKUP(A15,'Données projet'!$A$87:$I$107,6,0)),0%,VLOOKUP(A15,'Données projet'!$A$87:$I$107,6,0)*VLOOKUP('Données projet'!$B$11,'Paramètres'!$A$1:$I$88,7,0))</f>
        <v>0</v>
      </c>
      <c r="BO15" s="155">
        <f>IF(ISNA(VLOOKUP(A15,'Données projet'!$A$87:$I$107,7,0)),0%,VLOOKUP(A15,'Données projet'!$A$87:$I$107,7,0))</f>
        <v>0</v>
      </c>
      <c r="BP15" s="162">
        <f>EXP(-LN(2)/35)*BP14+(1-EXP(-LN(2)/35))/(LN(2)/35)*BL15*BM15*VLOOKUP('Données projet'!$B$11,'Paramètres'!$A$1:$I$88,3,0)*0.475*44/12</f>
        <v>0</v>
      </c>
      <c r="BQ15" s="162">
        <f>EXP(-LN(2)/25)*BQ14+(1-EXP(-LN(2)/25))/(LN(2)/25)*Calculateur!BL15*Calculateur!BN15*VLOOKUP('Données projet'!$B$11,'Paramètres'!$A$1:$I$88,3,0)*0.475*44/12</f>
        <v>0</v>
      </c>
      <c r="BR15" s="162">
        <f>EXP(-LN(2)/2)*BR14+(1-EXP(-LN(2)/2))/(LN(2)/2)*BL15*BO15*VLOOKUP('Données projet'!$B$11,'Paramètres'!$A$1:$I$88,3,0)*0.475*44/12</f>
        <v>0</v>
      </c>
      <c r="BS15" s="163">
        <f t="shared" si="10"/>
        <v>0</v>
      </c>
      <c r="BT15" s="159">
        <f>('Scénario référence'!$F$8+'Scénario référence'!$F$9+'Scénario référence'!$B$17+'Scénario référence'!$B$9+'Scénario référence'!$B$10)*70+IF((45+25*(1-EXP(-0.0175*A15)))&lt;70,'Scénario référence'!$B$16*(45+25*(1-EXP(-0.0175*A15))),70*'Scénario référence'!$B$16)+IF((32+38*(1-EXP(-0.0175*A15)))&lt;70,'Scénario référence'!$B$18*(32+38*(1-EXP(-0.0175*A15))),70*'Scénario référence'!$B$18)</f>
        <v>70</v>
      </c>
      <c r="BU15" s="151">
        <f>IF(A15&gt;30,10,('Scénario référence'!$B$16+'Scénario référence'!$B$17+'Scénario référence'!$B$18+'Scénario référence'!$B$9+'Scénario référence'!$B$10)*A15*10/30+('Scénario référence'!$F$8+'Scénario référence'!$F$9)*10)</f>
        <v>4</v>
      </c>
      <c r="BV15" s="151" t="str">
        <f>VLOOKUP(A15,'Données projet'!$A$113:$I$133,2,0)</f>
        <v>#N/A</v>
      </c>
      <c r="BW15" s="151" t="str">
        <f>VLOOKUP(A15,'Données projet'!$A$113:$I$133,9,0)</f>
        <v>#N/A</v>
      </c>
      <c r="BX15" s="150" t="str">
        <f t="array" ref="BX15">INDEX(BW:BW,MIN(IF(ISNUMBER(BW15:BW211),ROW(BW15:BW211),"")))</f>
        <v/>
      </c>
      <c r="BY15" s="150">
        <f>IF('Données projet'!$A$114&gt;35,BY14+BX15-CG14,IF(A15&lt;'Données projet'!$A$114,$BV$205^A15,IF(A15='Données projet'!$A$114,'Données projet'!$B$114,BY14+BX15-CG14)))</f>
        <v>0</v>
      </c>
      <c r="BZ15" s="150" t="str">
        <f>BY15*VLOOKUP('Données projet'!$B$12,'Paramètres'!$A$1:$I$88,3,0)*VLOOKUP('Données projet'!$B$12,'Paramètres'!$A$1:$I$88,5,0)</f>
        <v>#N/A</v>
      </c>
      <c r="CA15" s="150" t="str">
        <f t="shared" si="40"/>
        <v>#N/A</v>
      </c>
      <c r="CB15" s="161" t="str">
        <f t="shared" si="11"/>
        <v>#N/A</v>
      </c>
      <c r="CC15" s="153" t="str">
        <f t="shared" si="12"/>
        <v>#N/A</v>
      </c>
      <c r="CD15" s="153" t="str">
        <f>AVERAGE(OFFSET($CC$3,0,0,'Données projet'!$E$12+1,1))-AVERAGE(OFFSET($H$3,0,0,'Données projet'!$E$12+1,1))</f>
        <v>#N/A</v>
      </c>
      <c r="CE15" s="153" t="str">
        <f t="shared" si="41"/>
        <v>#N/A</v>
      </c>
      <c r="CF15" s="154">
        <f>IF(ISNA(VLOOKUP(A15,'Données projet'!$A$113:$I$133,3,0)),0,VLOOKUP(A15,'Données projet'!$A$113:$I$133,3,0))</f>
        <v>0</v>
      </c>
      <c r="CG15" s="154">
        <f>IF(ISNA(VLOOKUP(A15,'Données projet'!$A$113:$I$133,4,0)),0,VLOOKUP(A15,'Données projet'!$A$113:$I$133,4,0))</f>
        <v>0</v>
      </c>
      <c r="CH15" s="155">
        <f>IF(ISNA(VLOOKUP(A15,'Données projet'!$A$113:$I$133,5,0)),0%,VLOOKUP(A15,'Données projet'!$A$113:$I$133,5,0)*VLOOKUP('Données projet'!$B$12,'Paramètres'!$A$1:$I$88,7,0))</f>
        <v>0</v>
      </c>
      <c r="CI15" s="155">
        <f>IF(ISNA(VLOOKUP(A15,'Données projet'!$A$113:$I$133,6,0)),0%,VLOOKUP(A15,'Données projet'!$A$113:$I$133,6,0)*VLOOKUP('Données projet'!$B$12,'Paramètres'!$A$1:$I$88,7,0))</f>
        <v>0</v>
      </c>
      <c r="CJ15" s="155">
        <f>IF(ISNA(VLOOKUP(A15,'Données projet'!$A$113:$I$133,7,0)),0%,VLOOKUP(A15,'Données projet'!$A$113:$I$133,7,0))</f>
        <v>0</v>
      </c>
      <c r="CK15" s="162" t="str">
        <f>EXP(-LN(2)/35)*CK14+(1-EXP(-LN(2)/35))/(LN(2)/35)*CG15*CH15*VLOOKUP('Données projet'!$B$12,'Paramètres'!$A$1:$I$88,3,0)*0.475*44/12</f>
        <v>#N/A</v>
      </c>
      <c r="CL15" s="162" t="str">
        <f>EXP(-LN(2)/25)*CL14+(1-EXP(-LN(2)/25))/(LN(2)/25)*Calculateur!CG15*Calculateur!CI15*VLOOKUP('Données projet'!$B$12,'Paramètres'!$A$1:$I$88,3,0)*0.475*44/12</f>
        <v>#N/A</v>
      </c>
      <c r="CM15" s="162" t="str">
        <f>EXP(-LN(2)/2)*CM14+(1-EXP(-LN(2)/2))/(LN(2)/2)*CG15*CJ15*VLOOKUP('Données projet'!$B$12,'Paramètres'!$A$1:$I$88,3,0)*0.475*44/12</f>
        <v>#N/A</v>
      </c>
      <c r="CN15" s="163" t="str">
        <f t="shared" si="13"/>
        <v>#N/A</v>
      </c>
      <c r="CO15" s="159">
        <f>('Scénario référence'!$F$8+'Scénario référence'!$F$9+'Scénario référence'!$B$17+'Scénario référence'!$B$9+'Scénario référence'!$B$10)*70+IF((45+25*(1-EXP(-0.0175*A15)))&lt;70,'Scénario référence'!$B$16*(45+25*(1-EXP(-0.0175*A15))),70*'Scénario référence'!$B$16)+IF((32+38*(1-EXP(-0.0175*A15)))&lt;70,'Scénario référence'!$B$18*(32+38*(1-EXP(-0.0175*A15))),70*'Scénario référence'!$B$18)</f>
        <v>70</v>
      </c>
      <c r="CP15" s="151">
        <f>IF(A15&gt;30,10,('Scénario référence'!$B$16+'Scénario référence'!$B$17+'Scénario référence'!$B$18+'Scénario référence'!$B$9+'Scénario référence'!$B$10)*A15*10/30+('Scénario référence'!$F$8+'Scénario référence'!$F$9)*10)</f>
        <v>4</v>
      </c>
      <c r="CQ15" s="151" t="str">
        <f>VLOOKUP(A15,'Données projet'!$A$139:$I$159,2,0)</f>
        <v>#N/A</v>
      </c>
      <c r="CR15" s="151" t="str">
        <f>VLOOKUP(A15,'Données projet'!$A$139:$I$159,9,0)</f>
        <v>#N/A</v>
      </c>
      <c r="CS15" s="151" t="str">
        <f t="array" ref="CS15">INDEX(CR:CR,MIN(IF(ISNUMBER(CR15:CR211),ROW(CR15:CR211),"")))</f>
        <v/>
      </c>
      <c r="CT15" s="151">
        <f>IF('Données projet'!$A$140&gt;35,CT14+CS15-DB14,IF(A15&lt;'Données projet'!$A$140,$CQ$205^A15,IF(A15='Données projet'!$A$140,'Données projet'!$B$140,CT14+CS15-DB14)))</f>
        <v>0</v>
      </c>
      <c r="CU15" s="158" t="str">
        <f>CT15*VLOOKUP('Données projet'!$B$13,'Paramètres'!$A$1:$I$88,3,0)*VLOOKUP('Données projet'!$B$13,'Paramètres'!$A$1:$I$88,5,0)</f>
        <v>#N/A</v>
      </c>
      <c r="CV15" s="150" t="str">
        <f t="shared" si="42"/>
        <v>#N/A</v>
      </c>
      <c r="CW15" s="161" t="str">
        <f t="shared" si="14"/>
        <v>#N/A</v>
      </c>
      <c r="CX15" s="153" t="str">
        <f t="shared" si="15"/>
        <v>#N/A</v>
      </c>
      <c r="CY15" s="153" t="str">
        <f>AVERAGE(OFFSET($CX$3,0,0,'Données projet'!$E$13+1,1))-AVERAGE(OFFSET($H$3,0,0,'Données projet'!$E$13+1,1))</f>
        <v>#N/A</v>
      </c>
      <c r="CZ15" s="153" t="str">
        <f t="shared" si="43"/>
        <v>#N/A</v>
      </c>
      <c r="DA15" s="154">
        <f>IF(ISNA(VLOOKUP(A15,'Données projet'!$A$139:$I$159,3,0)),0,VLOOKUP(A15,'Données projet'!$A$139:$I$159,3,0))</f>
        <v>0</v>
      </c>
      <c r="DB15" s="154">
        <f>IF(ISNA(VLOOKUP(A15,'Données projet'!$A$139:$I$159,4,0)),0,VLOOKUP(A15,'Données projet'!$A$139:$I$159,4,0))</f>
        <v>0</v>
      </c>
      <c r="DC15" s="155">
        <f>IF(ISNA(VLOOKUP(A15,'Données projet'!$A$139:$I$159,5,0)),0%,VLOOKUP(A15,'Données projet'!$A$139:$I$159,5,0)*VLOOKUP('Données projet'!$B$13,'Paramètres'!$A$1:$I$88,7,0))</f>
        <v>0</v>
      </c>
      <c r="DD15" s="155">
        <f>IF(ISNA(VLOOKUP(A15,'Données projet'!$A$139:$I$159,6,0)),0%,VLOOKUP(A15,'Données projet'!$A$139:$I$159,6,0)*VLOOKUP('Données projet'!$B$13,'Paramètres'!$A$1:$I$88,7,0))</f>
        <v>0</v>
      </c>
      <c r="DE15" s="155">
        <f>IF(ISNA(VLOOKUP(A15,'Données projet'!$A$139:$I$159,7,0)),0%,VLOOKUP(A15,'Données projet'!$A$139:$I$159,7,0))</f>
        <v>0</v>
      </c>
      <c r="DF15" s="162" t="str">
        <f>EXP(-LN(2)/35)*DF14+(1-EXP(-LN(2)/35))/(LN(2)/35)*DB15*DC15*VLOOKUP('Données projet'!$B$13,'Paramètres'!$A$1:$I$88,3,0)*0.475*44/12</f>
        <v>#N/A</v>
      </c>
      <c r="DG15" s="162" t="str">
        <f>EXP(-LN(2)/25)*DG14+(1-EXP(-LN(2)/25))/(LN(2)/25)*Calculateur!DB15*Calculateur!DD15*VLOOKUP('Données projet'!$B$13,'Paramètres'!$A$1:$I$88,3,0)*0.475*44/12</f>
        <v>#N/A</v>
      </c>
      <c r="DH15" s="162" t="str">
        <f>EXP(-LN(2)/2)*DH14+(1-EXP(-LN(2)/2))/(LN(2)/2)*DB15*DE15*VLOOKUP('Données projet'!$B$13,'Paramètres'!$A$1:$I$88,3,0)*0.475*44/12</f>
        <v>#N/A</v>
      </c>
      <c r="DI15" s="163" t="str">
        <f t="shared" si="16"/>
        <v>#N/A</v>
      </c>
      <c r="DJ15" s="159">
        <f>('Scénario référence'!$F$8+'Scénario référence'!$F$9+'Scénario référence'!$B$17+'Scénario référence'!$B$9+'Scénario référence'!$B$10)*70+IF((45+25*(1-EXP(-0.0175*A15)))&lt;70,'Scénario référence'!$B$16*(45+25*(1-EXP(-0.0175*A15))),70*'Scénario référence'!$B$16)+IF((32+38*(1-EXP(-0.0175*A15)))&lt;70,'Scénario référence'!$B$18*(32+38*(1-EXP(-0.0175*A15))),70*'Scénario référence'!$B$18)</f>
        <v>70</v>
      </c>
      <c r="DK15" s="151">
        <f>IF(A15&gt;30,10,('Scénario référence'!$B$16+'Scénario référence'!$B$17+'Scénario référence'!$B$18+'Scénario référence'!$B$9+'Scénario référence'!$B$10)*A15*10/30+('Scénario référence'!$F$8+'Scénario référence'!$F$9)*10)</f>
        <v>4</v>
      </c>
      <c r="DL15" s="151" t="str">
        <f>VLOOKUP(A15,'Données projet'!$A$165:$I$185,2,0)</f>
        <v>#N/A</v>
      </c>
      <c r="DM15" s="151" t="str">
        <f>VLOOKUP(A15,'Données projet'!$A$165:$I$185,9,0)</f>
        <v>#N/A</v>
      </c>
      <c r="DN15" s="151" t="str">
        <f t="array" ref="DN15">INDEX(DM:DM,MIN(IF(ISNUMBER(DM15:DM211),ROW(DM15:DM211),"")))</f>
        <v/>
      </c>
      <c r="DO15" s="151">
        <f>IF('Données projet'!$A$166&gt;35,DO14+DN15-DW14,IF(A15&lt;'Données projet'!$A$166,$DL$205^A15,IF(A15='Données projet'!$A$166,'Données projet'!$B$166,DO14+DN15-DW14)))</f>
        <v>0</v>
      </c>
      <c r="DP15" s="158" t="str">
        <f>DO15*VLOOKUP('Données projet'!$B$14,'Paramètres'!$A$1:$I$88,3,0)*VLOOKUP('Données projet'!$B$14,'Paramètres'!$A$1:$I$88,5,0)</f>
        <v>#N/A</v>
      </c>
      <c r="DQ15" s="150" t="str">
        <f t="shared" si="44"/>
        <v>#N/A</v>
      </c>
      <c r="DR15" s="161" t="str">
        <f t="shared" si="17"/>
        <v>#N/A</v>
      </c>
      <c r="DS15" s="153" t="str">
        <f t="shared" si="18"/>
        <v>#N/A</v>
      </c>
      <c r="DT15" s="153" t="str">
        <f>AVERAGE(OFFSET($DS$3,0,0,'Données projet'!$E$14+1,1))-AVERAGE(OFFSET($H$3,0,0,'Données projet'!$E$14+1,1))</f>
        <v>#N/A</v>
      </c>
      <c r="DU15" s="153" t="str">
        <f t="shared" si="45"/>
        <v>#N/A</v>
      </c>
      <c r="DV15" s="154">
        <f>IF(ISNA(VLOOKUP(A15,'Données projet'!$A$165:$I$185,3,0)),0,VLOOKUP(A15,'Données projet'!$A$165:$I$185,3,0))</f>
        <v>0</v>
      </c>
      <c r="DW15" s="154">
        <f>IF(ISNA(VLOOKUP(A15,'Données projet'!$A$165:$I$185,4,0)),0,VLOOKUP(A15,'Données projet'!$A$165:$I$185,4,0))</f>
        <v>0</v>
      </c>
      <c r="DX15" s="155">
        <f>IF(ISNA(VLOOKUP(A15,'Données projet'!$A$165:$I$185,5,0)),0%,VLOOKUP(A15,'Données projet'!$A$165:$I$185,5,0)*VLOOKUP('Données projet'!$B$14,'Paramètres'!$A$1:$I$88,7,0))</f>
        <v>0</v>
      </c>
      <c r="DY15" s="155">
        <f>IF(ISNA(VLOOKUP(A15,'Données projet'!$A$165:$I$185,6,0)),0%,VLOOKUP(A15,'Données projet'!$A$165:$I$185,6,0)*VLOOKUP('Données projet'!$B$14,'Paramètres'!$A$1:$I$88,7,0))</f>
        <v>0</v>
      </c>
      <c r="DZ15" s="155">
        <f>IF(ISNA(VLOOKUP(A15,'Données projet'!$A$165:$I$185,7,0)),0%,VLOOKUP(A15,'Données projet'!$A$165:$I$185,7,0))</f>
        <v>0</v>
      </c>
      <c r="EA15" s="162" t="str">
        <f>EXP(-LN(2)/35)*EA14+(1-EXP(-LN(2)/35))/(LN(2)/35)*DW15*DX15*VLOOKUP('Données projet'!$B$14,'Paramètres'!$A$1:$I$88,3,0)*0.475*44/12</f>
        <v>#N/A</v>
      </c>
      <c r="EB15" s="162" t="str">
        <f>EXP(-LN(2)/25)*EB14+(1-EXP(-LN(2)/25))/(LN(2)/25)*Calculateur!DW15*Calculateur!DY15*VLOOKUP('Données projet'!$B$14,'Paramètres'!$A$1:$I$88,3,0)*0.475*44/12</f>
        <v>#N/A</v>
      </c>
      <c r="EC15" s="162" t="str">
        <f>EXP(-LN(2)/2)*EC14+(1-EXP(-LN(2)/2))/(LN(2)/2)*DW15*DZ15*VLOOKUP('Données projet'!$B$14,'Paramètres'!$A$1:$I$88,3,0)*0.475*44/12</f>
        <v>#N/A</v>
      </c>
      <c r="ED15" s="163" t="str">
        <f t="shared" si="19"/>
        <v>#N/A</v>
      </c>
      <c r="EE15" s="159">
        <f>('Scénario référence'!$F$8+'Scénario référence'!$F$9+'Scénario référence'!$B$17+'Scénario référence'!$B$9+'Scénario référence'!$B$10)*70+IF((45+25*(1-EXP(-0.0175*A15)))&lt;70,'Scénario référence'!$B$16*(45+25*(1-EXP(-0.0175*A15))),70*'Scénario référence'!$B$16)+IF((32+38*(1-EXP(-0.0175*A15)))&lt;70,'Scénario référence'!$B$18*(32+38*(1-EXP(-0.0175*A15))),70*'Scénario référence'!$B$18)</f>
        <v>70</v>
      </c>
      <c r="EF15" s="151">
        <f>IF(A15&gt;30,10,('Scénario référence'!$B$16+'Scénario référence'!$B$17+'Scénario référence'!$B$18+'Scénario référence'!$B$9+'Scénario référence'!$B$10)*A15*10/30+('Scénario référence'!$F$8+'Scénario référence'!$F$9)*10)</f>
        <v>4</v>
      </c>
      <c r="EG15" s="151" t="str">
        <f>VLOOKUP(A15,'Données projet'!$A$191:$I$211,2,0)</f>
        <v>#N/A</v>
      </c>
      <c r="EH15" s="151" t="str">
        <f>VLOOKUP(A15,'Données projet'!$A$191:$I$211,9,0)</f>
        <v>#N/A</v>
      </c>
      <c r="EI15" s="151" t="str">
        <f t="array" ref="EI15">INDEX(EH:EH,MIN(IF(ISNUMBER(EH15:EH211),ROW(EH15:EH211),"")))</f>
        <v/>
      </c>
      <c r="EJ15" s="151">
        <f>IF('Données projet'!$A$192&gt;35,EJ14+EI15-ER14,IF(A15&lt;'Données projet'!$A$192,$EG$205^A15,IF(A15='Données projet'!$A$192,'Données projet'!$B$192,EJ14+EI15-ER14)))</f>
        <v>0</v>
      </c>
      <c r="EK15" s="158" t="str">
        <f>EJ15*VLOOKUP('Données projet'!$B$15,'Paramètres'!$A$1:$I$88,3,0)*VLOOKUP('Données projet'!$B$15,'Paramètres'!$A$1:$I$88,5,0)</f>
        <v>#N/A</v>
      </c>
      <c r="EL15" s="150" t="str">
        <f t="shared" si="46"/>
        <v>#N/A</v>
      </c>
      <c r="EM15" s="161" t="str">
        <f t="shared" si="20"/>
        <v>#N/A</v>
      </c>
      <c r="EN15" s="153" t="str">
        <f t="shared" si="21"/>
        <v>#N/A</v>
      </c>
      <c r="EO15" s="153" t="str">
        <f>AVERAGE(OFFSET($EN$3,0,0,'Données projet'!$E$15+1,1))-AVERAGE(OFFSET($H$3,0,0,'Données projet'!$E$15+1,1))</f>
        <v>#N/A</v>
      </c>
      <c r="EP15" s="153" t="str">
        <f t="shared" si="47"/>
        <v>#N/A</v>
      </c>
      <c r="EQ15" s="154">
        <f>IF(ISNA(VLOOKUP(A15,'Données projet'!$A$191:$I$211,3,0)),0,VLOOKUP(A15,'Données projet'!$A$191:$I$211,3,0))</f>
        <v>0</v>
      </c>
      <c r="ER15" s="154">
        <f>IF(ISNA(VLOOKUP(A15,'Données projet'!$A$191:$I$211,4,0)),0,VLOOKUP(A15,'Données projet'!$A$191:$I$211,4,0))</f>
        <v>0</v>
      </c>
      <c r="ES15" s="155">
        <f>IF(ISNA(VLOOKUP(A15,'Données projet'!$A$191:$I$211,5,0)),0%,VLOOKUP(A15,'Données projet'!$A$191:$I$211,5,0)*VLOOKUP('Données projet'!$B$15,'Paramètres'!$A$1:$I$88,7,0))</f>
        <v>0</v>
      </c>
      <c r="ET15" s="155">
        <f>IF(ISNA(VLOOKUP(A15,'Données projet'!$A$191:$I$211,6,0)),0%,VLOOKUP(A15,'Données projet'!$A$191:$I$211,6,0)*VLOOKUP('Données projet'!$B$15,'Paramètres'!$A$1:$I$88,7,0))</f>
        <v>0</v>
      </c>
      <c r="EU15" s="155">
        <f>IF(ISNA(VLOOKUP(A15,'Données projet'!$A$191:$I$211,7,0)),0%,VLOOKUP(A15,'Données projet'!$A$191:$I$211,7,0))</f>
        <v>0</v>
      </c>
      <c r="EV15" s="162" t="str">
        <f>EXP(-LN(2)/35)*EV14+(1-EXP(-LN(2)/35))/(LN(2)/35)*ER15*ES15*VLOOKUP('Données projet'!$B$15,'Paramètres'!$A$1:$I$88,3,0)*0.475*44/12</f>
        <v>#N/A</v>
      </c>
      <c r="EW15" s="162" t="str">
        <f>EXP(-LN(2)/25)*EW14+(1-EXP(-LN(2)/25))/(LN(2)/25)*Calculateur!ER15*Calculateur!ET15*VLOOKUP('Données projet'!$B$15,'Paramètres'!$A$1:$I$88,3,0)*0.475*44/12</f>
        <v>#N/A</v>
      </c>
      <c r="EX15" s="162" t="str">
        <f>EXP(-LN(2)/2)*EX14+(1-EXP(-LN(2)/2))/(LN(2)/2)*ER15*EU15*VLOOKUP('Données projet'!$B$15,'Paramètres'!$A$1:$I$88,3,0)*0.475*44/12</f>
        <v>#N/A</v>
      </c>
      <c r="EY15" s="163" t="str">
        <f t="shared" si="22"/>
        <v>#N/A</v>
      </c>
      <c r="EZ15" s="159">
        <f>('Scénario référence'!$F$8+'Scénario référence'!$F$9+'Scénario référence'!$B$17+'Scénario référence'!$B$9+'Scénario référence'!$B$10)*70+IF((45+25*(1-EXP(-0.0175*A15)))&lt;70,'Scénario référence'!$B$16*(45+25*(1-EXP(-0.0175*A15))),70*'Scénario référence'!$B$16)+IF((32+38*(1-EXP(-0.0175*A15)))&lt;70,'Scénario référence'!$B$18*(32+38*(1-EXP(-0.0175*A15))),70*'Scénario référence'!$B$18)</f>
        <v>70</v>
      </c>
      <c r="FA15" s="151">
        <f>IF(A15&gt;30,10,('Scénario référence'!$B$16+'Scénario référence'!$B$17+'Scénario référence'!$B$18+'Scénario référence'!$B$9+'Scénario référence'!$B$10)*A15*10/30+('Scénario référence'!$F$8+'Scénario référence'!$F$9)*10)</f>
        <v>4</v>
      </c>
      <c r="FB15" s="151" t="str">
        <f>VLOOKUP(A15,'Données projet'!$A$217:$I$237,2,0)</f>
        <v>#N/A</v>
      </c>
      <c r="FC15" s="151" t="str">
        <f>VLOOKUP(A15,'Données projet'!$A$217:$I$237,9,0)</f>
        <v>#N/A</v>
      </c>
      <c r="FD15" s="151" t="str">
        <f t="array" ref="FD15">INDEX(FC:FC,MIN(IF(ISNUMBER(FC15:FC211),ROW(FC15:FC211),"")))</f>
        <v/>
      </c>
      <c r="FE15" s="151">
        <f>IF('Données projet'!$A$218&gt;35,FE14+FD15-FM14,IF(A15&lt;'Données projet'!$A$218,$FB$205^A15,IF(A15='Données projet'!$A$218,'Données projet'!$B$218,FE14+FD15-FM14)))</f>
        <v>0</v>
      </c>
      <c r="FF15" s="158" t="str">
        <f>FE15*VLOOKUP('Données projet'!$B$16,'Paramètres'!$A$1:$I$88,3,0)*VLOOKUP('Données projet'!$B$16,'Paramètres'!$A$1:$I$88,5,0)</f>
        <v>#N/A</v>
      </c>
      <c r="FG15" s="150" t="str">
        <f t="shared" si="48"/>
        <v>#N/A</v>
      </c>
      <c r="FH15" s="161" t="str">
        <f t="shared" si="23"/>
        <v>#N/A</v>
      </c>
      <c r="FI15" s="153" t="str">
        <f t="shared" si="24"/>
        <v>#N/A</v>
      </c>
      <c r="FJ15" s="153" t="str">
        <f>AVERAGE(OFFSET($FI$3,0,0,'Données projet'!$E$16+1,1))-AVERAGE(OFFSET($H$3,0,0,'Données projet'!$E$16+1,1))</f>
        <v>#N/A</v>
      </c>
      <c r="FK15" s="153" t="str">
        <f t="shared" si="49"/>
        <v>#N/A</v>
      </c>
      <c r="FL15" s="154">
        <f>IF(ISNA(VLOOKUP(A15,'Données projet'!$A$217:$I$237,3,0)),0,VLOOKUP(A15,'Données projet'!$A$217:$I$237,3,0))</f>
        <v>0</v>
      </c>
      <c r="FM15" s="154">
        <f>IF(ISNA(VLOOKUP(A15,'Données projet'!$A$217:$I$237,4,0)),0,VLOOKUP(A15,'Données projet'!$A$217:$I$237,4,0))</f>
        <v>0</v>
      </c>
      <c r="FN15" s="155">
        <f>IF(ISNA(VLOOKUP(A15,'Données projet'!$A$217:$I$237,5,0)),0%,VLOOKUP(A15,'Données projet'!$A$217:$I$237,5,0)*VLOOKUP('Données projet'!$B$16,'Paramètres'!$A$1:$I$88,7,0))</f>
        <v>0</v>
      </c>
      <c r="FO15" s="155">
        <f>IF(ISNA(VLOOKUP(A15,'Données projet'!$A$217:$I$237,6,0)),0%,VLOOKUP(A15,'Données projet'!$A$217:$I$237,6,0)*VLOOKUP('Données projet'!$B$16,'Paramètres'!$A$1:$I$88,7,0))</f>
        <v>0</v>
      </c>
      <c r="FP15" s="155">
        <f>IF(ISNA(VLOOKUP(A15,'Données projet'!$A$217:$I$237,7,0)),0%,VLOOKUP(A15,'Données projet'!$A$217:$I$237,7,0))</f>
        <v>0</v>
      </c>
      <c r="FQ15" s="162" t="str">
        <f>EXP(-LN(2)/35)*FQ14+(1-EXP(-LN(2)/35))/(LN(2)/35)*FM15*FN15*VLOOKUP('Données projet'!$B$16,'Paramètres'!$A$1:$I$88,3,0)*0.475*44/12</f>
        <v>#N/A</v>
      </c>
      <c r="FR15" s="162" t="str">
        <f>EXP(-LN(2)/25)*FR14+(1-EXP(-LN(2)/25))/(LN(2)/25)*Calculateur!FM15*Calculateur!FO15*VLOOKUP('Données projet'!$B$16,'Paramètres'!$A$1:$I$88,3,0)*0.475*44/12</f>
        <v>#N/A</v>
      </c>
      <c r="FS15" s="162" t="str">
        <f>EXP(-LN(2)/2)*FS14+(1-EXP(-LN(2)/2))/(LN(2)/2)*FM15*FP15*VLOOKUP('Données projet'!$B$16,'Paramètres'!$A$1:$I$88,3,0)*0.475*44/12</f>
        <v>#N/A</v>
      </c>
      <c r="FT15" s="163" t="str">
        <f t="shared" si="25"/>
        <v>#N/A</v>
      </c>
      <c r="FU15" s="159">
        <f>('Scénario référence'!$F$8+'Scénario référence'!$F$9+'Scénario référence'!$B$17+'Scénario référence'!$B$9+'Scénario référence'!$B$10)*70+IF((45+25*(1-EXP(-0.0175*A15)))&lt;70,'Scénario référence'!$B$16*(45+25*(1-EXP(-0.0175*A15))),70*'Scénario référence'!$B$16)+IF((32+38*(1-EXP(-0.0175*A15)))&lt;70,'Scénario référence'!$B$18*(32+38*(1-EXP(-0.0175*A15))),70*'Scénario référence'!$B$18)</f>
        <v>70</v>
      </c>
      <c r="FV15" s="151">
        <f>IF(A15&gt;30,10,('Scénario référence'!$B$16+'Scénario référence'!$B$17+'Scénario référence'!$B$18+'Scénario référence'!$B$9+'Scénario référence'!$B$10)*A15*10/30+('Scénario référence'!$F$8+'Scénario référence'!$F$9)*10)</f>
        <v>4</v>
      </c>
      <c r="FW15" s="151" t="str">
        <f>VLOOKUP(A15,'Données projet'!$A$243:$I$263,2,0)</f>
        <v>#N/A</v>
      </c>
      <c r="FX15" s="151" t="str">
        <f>VLOOKUP(A15,'Données projet'!$A$243:$I$263,9,0)</f>
        <v>#N/A</v>
      </c>
      <c r="FY15" s="151" t="str">
        <f t="array" ref="FY15">INDEX(FX:FX,MIN(IF(ISNUMBER(FX15:FX211),ROW(FX15:FX211),"")))</f>
        <v/>
      </c>
      <c r="FZ15" s="151">
        <f>IF('Données projet'!$A$244&gt;35,FZ14+FY15-GH14,IF(A15&lt;'Données projet'!$A$244,$FW$205^A15,IF(A15='Données projet'!$A$244,'Données projet'!$B$244,FZ14+FY15-GH14)))</f>
        <v>0</v>
      </c>
      <c r="GA15" s="158" t="str">
        <f>FZ15*VLOOKUP('Données projet'!$B$17,'Paramètres'!$A$1:$I$88,3,0)*VLOOKUP('Données projet'!$B$17,'Paramètres'!$A$1:$I$88,5,0)</f>
        <v>#N/A</v>
      </c>
      <c r="GB15" s="150" t="str">
        <f t="shared" si="50"/>
        <v>#N/A</v>
      </c>
      <c r="GC15" s="161" t="str">
        <f t="shared" si="26"/>
        <v>#N/A</v>
      </c>
      <c r="GD15" s="153" t="str">
        <f t="shared" si="27"/>
        <v>#N/A</v>
      </c>
      <c r="GE15" s="153" t="str">
        <f>AVERAGE(OFFSET($GD$3,0,0,'Données projet'!$E$17+1,1))-AVERAGE(OFFSET($H$3,0,0,'Données projet'!$E$17+1,1))</f>
        <v>#N/A</v>
      </c>
      <c r="GF15" s="153" t="str">
        <f t="shared" si="51"/>
        <v>#N/A</v>
      </c>
      <c r="GG15" s="154">
        <f>IF(ISNA(VLOOKUP(A15,'Données projet'!$A$243:$I$263,3,0)),0,VLOOKUP(A15,'Données projet'!$A$243:$I$263,3,0))</f>
        <v>0</v>
      </c>
      <c r="GH15" s="154">
        <f>IF(ISNA(VLOOKUP(A15,'Données projet'!$A$243:$I$263,4,0)),0,VLOOKUP(A15,'Données projet'!$A$243:$I$263,4,0))</f>
        <v>0</v>
      </c>
      <c r="GI15" s="155">
        <f>IF(ISNA(VLOOKUP(A15,'Données projet'!$A$243:$I$263,5,0)),0%,VLOOKUP(A15,'Données projet'!$A$243:$I$263,5,0)*VLOOKUP('Données projet'!$B$17,'Paramètres'!$A$1:$I$88,7,0))</f>
        <v>0</v>
      </c>
      <c r="GJ15" s="155">
        <f>IF(ISNA(VLOOKUP(A15,'Données projet'!$A$243:$I$263,6,0)),0%,VLOOKUP(A15,'Données projet'!$A$243:$I$263,6,0)*VLOOKUP('Données projet'!$B$17,'Paramètres'!$A$1:$I$88,7,0))</f>
        <v>0</v>
      </c>
      <c r="GK15" s="155">
        <f>IF(ISNA(VLOOKUP(A15,'Données projet'!$A$243:$I$263,7,0)),0%,VLOOKUP(A15,'Données projet'!$A$243:$I$263,7,0))</f>
        <v>0</v>
      </c>
      <c r="GL15" s="162" t="str">
        <f>EXP(-LN(2)/35)*GL14+(1-EXP(-LN(2)/35))/(LN(2)/35)*GH15*GI15*VLOOKUP('Données projet'!$B$17,'Paramètres'!$A$1:$I$88,3,0)*0.475*44/12</f>
        <v>#N/A</v>
      </c>
      <c r="GM15" s="162" t="str">
        <f>EXP(-LN(2)/25)*GM14+(1-EXP(-LN(2)/25))/(LN(2)/25)*Calculateur!GH15*Calculateur!GJ15*VLOOKUP('Données projet'!$B$17,'Paramètres'!$A$1:$I$88,3,0)*0.475*44/12</f>
        <v>#N/A</v>
      </c>
      <c r="GN15" s="162" t="str">
        <f>EXP(-LN(2)/2)*GN14+(1-EXP(-LN(2)/2))/(LN(2)/2)*GH15*GK15*VLOOKUP('Données projet'!$B$17,'Paramètres'!$A$1:$I$88,3,0)*0.475*44/12</f>
        <v>#N/A</v>
      </c>
      <c r="GO15" s="162" t="str">
        <f t="shared" si="28"/>
        <v>#N/A</v>
      </c>
      <c r="GP15" s="159">
        <f>('Scénario référence'!$F$8+'Scénario référence'!$F$9+'Scénario référence'!$B$17+'Scénario référence'!$B$9+'Scénario référence'!$B$10)*70+IF((45+25*(1-EXP(-0.0175*A15)))&lt;70,'Scénario référence'!$B$16*(45+25*(1-EXP(-0.0175*A15))),70*'Scénario référence'!$B$16)+IF((32+38*(1-EXP(-0.0175*A15)))&lt;70,'Scénario référence'!$B$18*(32+38*(1-EXP(-0.0175*A15))),70*'Scénario référence'!$B$18)</f>
        <v>70</v>
      </c>
      <c r="GQ15" s="151">
        <f>IF(A15&gt;30,10,('Scénario référence'!$B$16+'Scénario référence'!$B$17+'Scénario référence'!$B$18+'Scénario référence'!$B$9+'Scénario référence'!$B$10)*A15*10/30+('Scénario référence'!$F$8+'Scénario référence'!$F$9)*10)</f>
        <v>4</v>
      </c>
      <c r="GR15" s="151" t="str">
        <f>VLOOKUP(A15,'Données projet'!$A$269:$I$289,2,0)</f>
        <v>#N/A</v>
      </c>
      <c r="GS15" s="151" t="str">
        <f>VLOOKUP(A15,'Données projet'!$A$269:$I$289,9,0)</f>
        <v>#N/A</v>
      </c>
      <c r="GT15" s="151" t="str">
        <f t="array" ref="GT15">INDEX(GS:GS,MIN(IF(ISNUMBER(GS15:GS211),ROW(GS15:GS211),"")))</f>
        <v/>
      </c>
      <c r="GU15" s="151">
        <f>IF('Données projet'!$A$270&gt;35,GU14+GT15-HC14,IF(A15&lt;'Données projet'!$A$270,$GR$205^A15,IF(A15='Données projet'!$A$270,'Données projet'!$B$270,GU14+GT15-HC14)))</f>
        <v>0</v>
      </c>
      <c r="GV15" s="158" t="str">
        <f>GU15*VLOOKUP('Données projet'!$B$18,'Paramètres'!$A$1:$I$88,3,0)*VLOOKUP('Données projet'!$B$18,'Paramètres'!$A$1:$I$88,5,0)</f>
        <v>#N/A</v>
      </c>
      <c r="GW15" s="150" t="str">
        <f t="shared" si="52"/>
        <v>#N/A</v>
      </c>
      <c r="GX15" s="161" t="str">
        <f t="shared" si="29"/>
        <v>#N/A</v>
      </c>
      <c r="GY15" s="153" t="str">
        <f t="shared" si="30"/>
        <v>#N/A</v>
      </c>
      <c r="GZ15" s="153" t="str">
        <f>AVERAGE(OFFSET($GY$3,0,0,'Données projet'!$E$18+1,1))-AVERAGE(OFFSET($H$3,0,0,'Données projet'!$E$18+1,1))</f>
        <v>#N/A</v>
      </c>
      <c r="HA15" s="153" t="str">
        <f t="shared" si="53"/>
        <v>#N/A</v>
      </c>
      <c r="HB15" s="154">
        <f>IF(ISNA(VLOOKUP(A15,'Données projet'!$A$269:$I$289,3,0)),0,VLOOKUP(A15,'Données projet'!$A$269:$I$289,3,0))</f>
        <v>0</v>
      </c>
      <c r="HC15" s="154">
        <f>IF(ISNA(VLOOKUP(A15,'Données projet'!$A$269:$I$289,4,0)),0,VLOOKUP(A15,'Données projet'!$A$269:$I$289,4,0))</f>
        <v>0</v>
      </c>
      <c r="HD15" s="155">
        <f>IF(ISNA(VLOOKUP(A15,'Données projet'!$A$269:$I$289,5,0)),0%,VLOOKUP(A15,'Données projet'!$A$269:$I$289,5,0)*VLOOKUP('Données projet'!$B$18,'Paramètres'!$A$1:$I$88,7,0))</f>
        <v>0</v>
      </c>
      <c r="HE15" s="155">
        <f>IF(ISNA(VLOOKUP(A15,'Données projet'!$A$269:$I$289,6,0)),0%,VLOOKUP(A15,'Données projet'!$A$269:$I$289,6,0)*VLOOKUP('Données projet'!$B$18,'Paramètres'!$A$1:$I$88,7,0))</f>
        <v>0</v>
      </c>
      <c r="HF15" s="155">
        <f>IF(ISNA(VLOOKUP(A15,'Données projet'!$A$269:$I$289,7,0)),0%,VLOOKUP(A15,'Données projet'!$A$269:$I$289,7,0))</f>
        <v>0</v>
      </c>
      <c r="HG15" s="162" t="str">
        <f>EXP(-LN(2)/35)*HG14+(1-EXP(-LN(2)/35))/(LN(2)/35)*HC15*HD15*VLOOKUP('Données projet'!$B$18,'Paramètres'!$A$1:$I$88,3,0)*0.475*44/12</f>
        <v>#N/A</v>
      </c>
      <c r="HH15" s="162" t="str">
        <f>EXP(-LN(2)/25)*HH14+(1-EXP(-LN(2)/25))/(LN(2)/25)*Calculateur!HC15*Calculateur!HE15*VLOOKUP('Données projet'!$B$18,'Paramètres'!$A$1:$I$88,3,0)*0.475*44/12</f>
        <v>#N/A</v>
      </c>
      <c r="HI15" s="162" t="str">
        <f>EXP(-LN(2)/2)*HI14+(1-EXP(-LN(2)/2))/(LN(2)/2)*HC15*HF15*VLOOKUP('Données projet'!$B$18,'Paramètres'!$A$1:$I$88,3,0)*0.475*44/12</f>
        <v>#N/A</v>
      </c>
      <c r="HJ15" s="163" t="str">
        <f t="shared" si="31"/>
        <v>#N/A</v>
      </c>
    </row>
    <row r="16">
      <c r="A16" s="145">
        <f t="shared" si="32"/>
        <v>13</v>
      </c>
      <c r="B16" s="146">
        <f>'Scénario référence'!$B$16*5+'Scénario référence'!$B$17*0+'Scénario référence'!$B$18*5</f>
        <v>0</v>
      </c>
      <c r="C16" s="160">
        <f>Calculateur!C15+'Scénario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6" s="147">
        <f t="shared" si="33"/>
        <v>0</v>
      </c>
      <c r="E16" s="147">
        <f>'Scénario référence'!$B$16*45+('Scénario référence'!$B$17+'Scénario référence'!$F$8+'Scénario référence'!$F$9+'Scénario référence'!$B$10+'Scénario référence'!$B$9)*70+'Scénario référence'!$B$18*32</f>
        <v>70</v>
      </c>
      <c r="F16" s="147">
        <f>IF(OR('Scénario référence'!$F$8&gt;0,'Scénario référence'!$F$9&gt;0),('Scénario référence'!$F$8+'Scénario référence'!$F$9)*10,0)</f>
        <v>0</v>
      </c>
      <c r="G16" s="147">
        <f>'Scénario référence'!$B$8*B16*44/12+'Scénario référence'!$B$9*(C16+D16)/0.475*44/12+'Scénario référence'!$B$10*(C16+D16)/0.475*44/12+'Scénario référence'!$F$8*(C16+D16)/0.475*44/12+'Scénario référence'!$F$9*(C16+D16)/0.475*44/12</f>
        <v>0</v>
      </c>
      <c r="H16" s="148">
        <f t="shared" si="1"/>
        <v>256.6666667</v>
      </c>
      <c r="I16" s="149">
        <f>('Scénario référence'!$F$8+'Scénario référence'!$F$9+'Scénario référence'!$B$17+'Scénario référence'!$B$9+'Scénario référence'!$B$10)*70+IF((45+25*(1-EXP(-0.0175*A16)))&lt;70,'Scénario référence'!$B$16*(45+25*(1-EXP(-0.0175*A16))),70*'Scénario référence'!$B$16)+IF((32+38*(1-EXP(-0.0175*A16)))&lt;70,'Scénario référence'!$B$18*(32+38*(1-EXP(-0.0175*A16))),70*'Scénario référence'!$B$18)</f>
        <v>70</v>
      </c>
      <c r="J16" s="150">
        <f>IF(A16&gt;30,10,('Scénario référence'!$B$16+'Scénario référence'!$B$17+'Scénario référence'!$B$18+'Scénario référence'!$B$9+'Scénario référence'!$B$10)*A16*10/30+('Scénario référence'!$F$8+'Scénario référence'!$F$9)*10)</f>
        <v>4.333333333</v>
      </c>
      <c r="K16" s="151" t="str">
        <f>VLOOKUP(A16,'Données projet'!$A$35:$I$55,2,0)</f>
        <v>#N/A</v>
      </c>
      <c r="L16" s="151" t="str">
        <f>VLOOKUP(A16,'Données projet'!$A$35:$I$55,9,0)</f>
        <v>#N/A</v>
      </c>
      <c r="M16" s="150">
        <f t="array" ref="M16">INDEX(L:L,MIN(IF(ISNUMBER(L16:L212),ROW(L16:L212),"")))</f>
        <v>3.65</v>
      </c>
      <c r="N16" s="150">
        <f>IF('Données projet'!$A$36&gt;35,N15+M16-V15,IF(A16&lt;'Données projet'!$A$36,$K$205^A16,IF(A16='Données projet'!$A$36,'Données projet'!$B$36,N15+M16-V15)))</f>
        <v>16.26147213</v>
      </c>
      <c r="O16" s="150">
        <f>N16*VLOOKUP('Données projet'!$B$9,'Paramètres'!$A$1:$I$88,3,0)*VLOOKUP('Données projet'!$B$9,'Paramètres'!$A$1:$I$88,5,0)</f>
        <v>14.71337998</v>
      </c>
      <c r="P16" s="150">
        <f t="shared" si="34"/>
        <v>4.958414017</v>
      </c>
      <c r="Q16" s="161">
        <f t="shared" si="2"/>
        <v>34.26170788</v>
      </c>
      <c r="R16" s="153">
        <f t="shared" si="3"/>
        <v>306.8172634</v>
      </c>
      <c r="S16" s="153">
        <f>AVERAGE(OFFSET($R$3,0,0,'Données projet'!$E$9+1,1))-AVERAGE(OFFSET($H$3,0,0,'Données projet'!$E$9+1,1))</f>
        <v>439.1985427</v>
      </c>
      <c r="T16" s="153">
        <f t="shared" si="35"/>
        <v>278.2174123</v>
      </c>
      <c r="U16" s="154">
        <f>IF(ISNA(VLOOKUP(A16,'Données projet'!$A$35:$I$55,3,0)),0,VLOOKUP(A16,'Données projet'!$A$35:$I$55,3,0))</f>
        <v>0</v>
      </c>
      <c r="V16" s="154">
        <f>IF(ISNA(VLOOKUP(A16,'Données projet'!$A$35:$I$55,4,0)),0,VLOOKUP(A16,'Données projet'!$A$35:$I$55,4,0))</f>
        <v>0</v>
      </c>
      <c r="W16" s="155">
        <f>IF(ISNA(VLOOKUP(A16,'Données projet'!$A$35:$I$55,5,0)),0%,VLOOKUP(A16,'Données projet'!$A$35:$I$55,5,0)*VLOOKUP('Données projet'!$B$9,'Paramètres'!$A$1:$I$88,7,0))</f>
        <v>0</v>
      </c>
      <c r="X16" s="155">
        <f>IF(ISNA(VLOOKUP(A16,'Données projet'!$A$35:$I$55,6,0)),0%,VLOOKUP(A16,'Données projet'!$A$35:$I$55,6,0)*VLOOKUP('Données projet'!$B$9,'Paramètres'!$A$1:$I$88,7,0))</f>
        <v>0</v>
      </c>
      <c r="Y16" s="155">
        <f>IF(ISNA(VLOOKUP(A16,'Données projet'!$A$35:$I$55,7,0)),0%,VLOOKUP(A16,'Données projet'!$A$35:$I$55,7,0))</f>
        <v>0</v>
      </c>
      <c r="Z16" s="162">
        <f>EXP(-LN(2)/35)*Z15+(1-EXP(-LN(2)/35))/(LN(2)/35)*V16*W16*VLOOKUP('Données projet'!$B$9,'Paramètres'!$A$1:$I$88,3,0)*0.475*44/12</f>
        <v>0</v>
      </c>
      <c r="AA16" s="162">
        <f>EXP(-LN(2)/25)*AA15+(1-EXP(-LN(2)/25))/(LN(2)/25)*Calculateur!V16*Calculateur!X16*VLOOKUP('Données projet'!$B$9,'Paramètres'!$A$1:$I$88,3,0)*0.475*44/12</f>
        <v>0</v>
      </c>
      <c r="AB16" s="162">
        <f>EXP(-LN(2)/2)*AB15+(1-EXP(-LN(2)/2))/(LN(2)/2)*V16*Y16*VLOOKUP('Données projet'!$B$9,'Paramètres'!$A$1:$I$88,3,0)*0.475*44/12</f>
        <v>0</v>
      </c>
      <c r="AC16" s="163">
        <f t="shared" si="4"/>
        <v>0</v>
      </c>
      <c r="AD16" s="150">
        <f>('Scénario référence'!$F$8+'Scénario référence'!$F$9+'Scénario référence'!$B$17+'Scénario référence'!$B$9+'Scénario référence'!$B$10)*70+IF((45+25*(1-EXP(-0.0175*A16)))&lt;70,'Scénario référence'!$B$16*(45+25*(1-EXP(-0.0175*A16))),70*'Scénario référence'!$B$16)+IF((32+38*(1-EXP(-0.0175*A16)))&lt;70,'Scénario référence'!$B$18*(32+38*(1-EXP(-0.0175*A16))),70*'Scénario référence'!$B$18)</f>
        <v>70</v>
      </c>
      <c r="AE16" s="150">
        <f>IF(A16&gt;30,10,('Scénario référence'!$B$16+'Scénario référence'!$B$17+'Scénario référence'!$B$18+'Scénario référence'!$B$9+'Scénario référence'!$B$10)*A16*10/30+('Scénario référence'!$F$8+'Scénario référence'!$F$9)*10)</f>
        <v>4.333333333</v>
      </c>
      <c r="AF16" s="151" t="str">
        <f>VLOOKUP(A16,'Données projet'!$A$61:$I$81,2,0)</f>
        <v>#N/A</v>
      </c>
      <c r="AG16" s="151" t="str">
        <f>VLOOKUP(A16,'Données projet'!$A$61:$I$81,9,0)</f>
        <v>#N/A</v>
      </c>
      <c r="AH16" s="150">
        <f t="array" ref="AH16">INDEX(AG:AG,MIN(IF(ISNUMBER(AG16:AG212),ROW(AG16:AG212),"")))</f>
        <v>14.6</v>
      </c>
      <c r="AI16" s="150">
        <f>IF('Données projet'!$A$62&gt;35,AI15+AH16-AQ15,IF(A16&lt;'Données projet'!$A$62,$AF$205^A16,IF(A16='Données projet'!$A$62,'Données projet'!$B$62,AI15+AH16-AQ15)))</f>
        <v>55.8</v>
      </c>
      <c r="AJ16" s="150">
        <f>AI16*VLOOKUP('Données projet'!$B$10,'Paramètres'!$A$1:$I$88,3,0)*VLOOKUP('Données projet'!$B$10,'Paramètres'!$A$1:$I$88,5,0)</f>
        <v>44.39448</v>
      </c>
      <c r="AK16" s="150">
        <f t="shared" si="36"/>
        <v>13.1562448</v>
      </c>
      <c r="AL16" s="161">
        <f t="shared" si="5"/>
        <v>100.234179</v>
      </c>
      <c r="AM16" s="153">
        <f t="shared" si="6"/>
        <v>372.7897346</v>
      </c>
      <c r="AN16" s="153">
        <f>AVERAGE(OFFSET($AM$3,0,0,'Données projet'!$E$10+1,1))-AVERAGE(OFFSET($H$3,0,0,'Données projet'!$E$10+1,1))</f>
        <v>405.6113614</v>
      </c>
      <c r="AO16" s="153">
        <f t="shared" si="37"/>
        <v>393.0787141</v>
      </c>
      <c r="AP16" s="154">
        <f>IF(ISNA(VLOOKUP(A16,'Données projet'!$A$61:$I$81,3,0)),0,VLOOKUP(A16,'Données projet'!$A$61:$I$81,3,0))</f>
        <v>0</v>
      </c>
      <c r="AQ16" s="154">
        <f>IF(ISNA(VLOOKUP(A16,'Données projet'!$A$61:$I$81,4,0)),0,VLOOKUP(A16,'Données projet'!$A$61:$I$81,4,0))</f>
        <v>0</v>
      </c>
      <c r="AR16" s="155">
        <f>IF(ISNA(VLOOKUP(A16,'Données projet'!$A$61:$I$81,5,0)),0%,VLOOKUP(A16,'Données projet'!$A$61:$I$81,5,0)*VLOOKUP('Données projet'!$B$10,'Paramètres'!$A$1:$I$88,7,0))</f>
        <v>0</v>
      </c>
      <c r="AS16" s="155">
        <f>IF(ISNA(VLOOKUP(A16,'Données projet'!$A$61:$I$81,6,0)),0%,VLOOKUP(A16,'Données projet'!$A$61:$I$81,6,0)*VLOOKUP('Données projet'!$B$10,'Paramètres'!$A$1:$I$88,7,0))</f>
        <v>0</v>
      </c>
      <c r="AT16" s="155">
        <f>IF(ISNA(VLOOKUP(A16,'Données projet'!$A$61:$I$81,7,0)),0%,VLOOKUP(A16,'Données projet'!$A$61:$I$81,7,0))</f>
        <v>0</v>
      </c>
      <c r="AU16" s="162">
        <f>EXP(-LN(2)/35)*AU15+(1-EXP(-LN(2)/35))/(LN(2)/35)*AQ16*AR16*VLOOKUP('Données projet'!$B$10,'Paramètres'!$A$1:$I$88,3,0)*0.475*44/12</f>
        <v>0</v>
      </c>
      <c r="AV16" s="162">
        <f>EXP(-LN(2)/25)*AV15+(1-EXP(-LN(2)/25))/(LN(2)/25)*Calculateur!AQ16*Calculateur!AS16*VLOOKUP('Données projet'!$B$10,'Paramètres'!$A$1:$I$88,3,0)*0.475*44/12</f>
        <v>0</v>
      </c>
      <c r="AW16" s="162">
        <f>EXP(-LN(2)/2)*AW15+(1-EXP(-LN(2)/2))/(LN(2)/2)*AQ16*AT16*VLOOKUP('Données projet'!$B$10,'Paramètres'!$A$1:$I$88,3,0)*0.475*44/12</f>
        <v>0</v>
      </c>
      <c r="AX16" s="162">
        <f t="shared" si="7"/>
        <v>0</v>
      </c>
      <c r="AY16" s="157">
        <f>('Scénario référence'!$F$8+'Scénario référence'!$F$9+'Scénario référence'!$B$17+'Scénario référence'!$B$9+'Scénario référence'!$B$10)*70+IF((45+25*(1-EXP(-0.0175*A16)))&lt;70,'Scénario référence'!$B$16*(45+25*(1-EXP(-0.0175*A16))),70*'Scénario référence'!$B$16)+IF((32+38*(1-EXP(-0.0175*A16)))&lt;70,'Scénario référence'!$B$18*(32+38*(1-EXP(-0.0175*A16))),70*'Scénario référence'!$B$18)</f>
        <v>70</v>
      </c>
      <c r="AZ16" s="151">
        <f>IF(A16&gt;30,10,('Scénario référence'!$B$16+'Scénario référence'!$B$17+'Scénario référence'!$B$18+'Scénario référence'!$B$9+'Scénario référence'!$B$10)*A16*10/30+('Scénario référence'!$F$8+'Scénario référence'!$F$9)*10)</f>
        <v>4.333333333</v>
      </c>
      <c r="BA16" s="151" t="str">
        <f>VLOOKUP(A16,'Données projet'!$A$87:$I$107,2,0)</f>
        <v>#N/A</v>
      </c>
      <c r="BB16" s="151" t="str">
        <f>VLOOKUP(A16,'Données projet'!$A$87:$I$107,9,0)</f>
        <v>#N/A</v>
      </c>
      <c r="BC16" s="150" t="str">
        <f t="array" ref="BC16">INDEX(BB:BB,MIN(IF(ISNUMBER(BB16:BB212),ROW(BB16:BB212),"")))</f>
        <v/>
      </c>
      <c r="BD16" s="150">
        <f>IF('Données projet'!$A$88&gt;35,BD15+BC16-BL15,IF(A16&lt;'Données projet'!$A$88,$BA$205^A16,IF(A16='Données projet'!$A$88,'Données projet'!$B$88,BD15+BC16-BL15)))</f>
        <v>0</v>
      </c>
      <c r="BE16" s="150">
        <f>BD16*VLOOKUP('Données projet'!$B$11,'Paramètres'!$A$1:$I$88,3,0)*VLOOKUP('Données projet'!$B$11,'Paramètres'!$A$1:$I$88,5,0)</f>
        <v>0</v>
      </c>
      <c r="BF16" s="150" t="str">
        <f t="shared" si="38"/>
        <v>#NUM!</v>
      </c>
      <c r="BG16" s="161" t="str">
        <f t="shared" si="8"/>
        <v>#NUM!</v>
      </c>
      <c r="BH16" s="153" t="str">
        <f t="shared" si="9"/>
        <v>#NUM!</v>
      </c>
      <c r="BI16" s="153">
        <f>AVERAGE(OFFSET($BH$3,0,0,'Données projet'!$E$11+1,1))-AVERAGE(OFFSET($H$3,0,0,'Données projet'!$E$11+1,1))</f>
        <v>0</v>
      </c>
      <c r="BJ16" s="153">
        <f t="shared" si="39"/>
        <v>0</v>
      </c>
      <c r="BK16" s="154">
        <f>IF(ISNA(VLOOKUP(A16,'Données projet'!$A$87:$I$107,3,0)),0,VLOOKUP(A16,'Données projet'!$A$87:$I$107,3,0))</f>
        <v>0</v>
      </c>
      <c r="BL16" s="154">
        <f>IF(ISNA(VLOOKUP(A16,'Données projet'!$A$87:$I$107,4,0)),0,VLOOKUP(A16,'Données projet'!$A$87:$I$107,4,0))</f>
        <v>0</v>
      </c>
      <c r="BM16" s="155">
        <f>IF(ISNA(VLOOKUP(A16,'Données projet'!$A$87:$I$107,5,0)),0%,VLOOKUP(A16,'Données projet'!$A$87:$I$107,5,0)*VLOOKUP('Données projet'!$B$11,'Paramètres'!$A$1:$I$88,7,0))</f>
        <v>0</v>
      </c>
      <c r="BN16" s="155">
        <f>IF(ISNA(VLOOKUP(A16,'Données projet'!$A$87:$I$107,6,0)),0%,VLOOKUP(A16,'Données projet'!$A$87:$I$107,6,0)*VLOOKUP('Données projet'!$B$11,'Paramètres'!$A$1:$I$88,7,0))</f>
        <v>0</v>
      </c>
      <c r="BO16" s="155">
        <f>IF(ISNA(VLOOKUP(A16,'Données projet'!$A$87:$I$107,7,0)),0%,VLOOKUP(A16,'Données projet'!$A$87:$I$107,7,0))</f>
        <v>0</v>
      </c>
      <c r="BP16" s="162">
        <f>EXP(-LN(2)/35)*BP15+(1-EXP(-LN(2)/35))/(LN(2)/35)*BL16*BM16*VLOOKUP('Données projet'!$B$11,'Paramètres'!$A$1:$I$88,3,0)*0.475*44/12</f>
        <v>0</v>
      </c>
      <c r="BQ16" s="162">
        <f>EXP(-LN(2)/25)*BQ15+(1-EXP(-LN(2)/25))/(LN(2)/25)*Calculateur!BL16*Calculateur!BN16*VLOOKUP('Données projet'!$B$11,'Paramètres'!$A$1:$I$88,3,0)*0.475*44/12</f>
        <v>0</v>
      </c>
      <c r="BR16" s="162">
        <f>EXP(-LN(2)/2)*BR15+(1-EXP(-LN(2)/2))/(LN(2)/2)*BL16*BO16*VLOOKUP('Données projet'!$B$11,'Paramètres'!$A$1:$I$88,3,0)*0.475*44/12</f>
        <v>0</v>
      </c>
      <c r="BS16" s="163">
        <f t="shared" si="10"/>
        <v>0</v>
      </c>
      <c r="BT16" s="159">
        <f>('Scénario référence'!$F$8+'Scénario référence'!$F$9+'Scénario référence'!$B$17+'Scénario référence'!$B$9+'Scénario référence'!$B$10)*70+IF((45+25*(1-EXP(-0.0175*A16)))&lt;70,'Scénario référence'!$B$16*(45+25*(1-EXP(-0.0175*A16))),70*'Scénario référence'!$B$16)+IF((32+38*(1-EXP(-0.0175*A16)))&lt;70,'Scénario référence'!$B$18*(32+38*(1-EXP(-0.0175*A16))),70*'Scénario référence'!$B$18)</f>
        <v>70</v>
      </c>
      <c r="BU16" s="151">
        <f>IF(A16&gt;30,10,('Scénario référence'!$B$16+'Scénario référence'!$B$17+'Scénario référence'!$B$18+'Scénario référence'!$B$9+'Scénario référence'!$B$10)*A16*10/30+('Scénario référence'!$F$8+'Scénario référence'!$F$9)*10)</f>
        <v>4.333333333</v>
      </c>
      <c r="BV16" s="151" t="str">
        <f>VLOOKUP(A16,'Données projet'!$A$113:$I$133,2,0)</f>
        <v>#N/A</v>
      </c>
      <c r="BW16" s="151" t="str">
        <f>VLOOKUP(A16,'Données projet'!$A$113:$I$133,9,0)</f>
        <v>#N/A</v>
      </c>
      <c r="BX16" s="150" t="str">
        <f t="array" ref="BX16">INDEX(BW:BW,MIN(IF(ISNUMBER(BW16:BW212),ROW(BW16:BW212),"")))</f>
        <v/>
      </c>
      <c r="BY16" s="150">
        <f>IF('Données projet'!$A$114&gt;35,BY15+BX16-CG15,IF(A16&lt;'Données projet'!$A$114,$BV$205^A16,IF(A16='Données projet'!$A$114,'Données projet'!$B$114,BY15+BX16-CG15)))</f>
        <v>0</v>
      </c>
      <c r="BZ16" s="150" t="str">
        <f>BY16*VLOOKUP('Données projet'!$B$12,'Paramètres'!$A$1:$I$88,3,0)*VLOOKUP('Données projet'!$B$12,'Paramètres'!$A$1:$I$88,5,0)</f>
        <v>#N/A</v>
      </c>
      <c r="CA16" s="150" t="str">
        <f t="shared" si="40"/>
        <v>#N/A</v>
      </c>
      <c r="CB16" s="161" t="str">
        <f t="shared" si="11"/>
        <v>#N/A</v>
      </c>
      <c r="CC16" s="153" t="str">
        <f t="shared" si="12"/>
        <v>#N/A</v>
      </c>
      <c r="CD16" s="153" t="str">
        <f>AVERAGE(OFFSET($CC$3,0,0,'Données projet'!$E$12+1,1))-AVERAGE(OFFSET($H$3,0,0,'Données projet'!$E$12+1,1))</f>
        <v>#N/A</v>
      </c>
      <c r="CE16" s="153" t="str">
        <f t="shared" si="41"/>
        <v>#N/A</v>
      </c>
      <c r="CF16" s="154">
        <f>IF(ISNA(VLOOKUP(A16,'Données projet'!$A$113:$I$133,3,0)),0,VLOOKUP(A16,'Données projet'!$A$113:$I$133,3,0))</f>
        <v>0</v>
      </c>
      <c r="CG16" s="154">
        <f>IF(ISNA(VLOOKUP(A16,'Données projet'!$A$113:$I$133,4,0)),0,VLOOKUP(A16,'Données projet'!$A$113:$I$133,4,0))</f>
        <v>0</v>
      </c>
      <c r="CH16" s="155">
        <f>IF(ISNA(VLOOKUP(A16,'Données projet'!$A$113:$I$133,5,0)),0%,VLOOKUP(A16,'Données projet'!$A$113:$I$133,5,0)*VLOOKUP('Données projet'!$B$12,'Paramètres'!$A$1:$I$88,7,0))</f>
        <v>0</v>
      </c>
      <c r="CI16" s="155">
        <f>IF(ISNA(VLOOKUP(A16,'Données projet'!$A$113:$I$133,6,0)),0%,VLOOKUP(A16,'Données projet'!$A$113:$I$133,6,0)*VLOOKUP('Données projet'!$B$12,'Paramètres'!$A$1:$I$88,7,0))</f>
        <v>0</v>
      </c>
      <c r="CJ16" s="155">
        <f>IF(ISNA(VLOOKUP(A16,'Données projet'!$A$113:$I$133,7,0)),0%,VLOOKUP(A16,'Données projet'!$A$113:$I$133,7,0))</f>
        <v>0</v>
      </c>
      <c r="CK16" s="162" t="str">
        <f>EXP(-LN(2)/35)*CK15+(1-EXP(-LN(2)/35))/(LN(2)/35)*CG16*CH16*VLOOKUP('Données projet'!$B$12,'Paramètres'!$A$1:$I$88,3,0)*0.475*44/12</f>
        <v>#N/A</v>
      </c>
      <c r="CL16" s="162" t="str">
        <f>EXP(-LN(2)/25)*CL15+(1-EXP(-LN(2)/25))/(LN(2)/25)*Calculateur!CG16*Calculateur!CI16*VLOOKUP('Données projet'!$B$12,'Paramètres'!$A$1:$I$88,3,0)*0.475*44/12</f>
        <v>#N/A</v>
      </c>
      <c r="CM16" s="162" t="str">
        <f>EXP(-LN(2)/2)*CM15+(1-EXP(-LN(2)/2))/(LN(2)/2)*CG16*CJ16*VLOOKUP('Données projet'!$B$12,'Paramètres'!$A$1:$I$88,3,0)*0.475*44/12</f>
        <v>#N/A</v>
      </c>
      <c r="CN16" s="163" t="str">
        <f t="shared" si="13"/>
        <v>#N/A</v>
      </c>
      <c r="CO16" s="159">
        <f>('Scénario référence'!$F$8+'Scénario référence'!$F$9+'Scénario référence'!$B$17+'Scénario référence'!$B$9+'Scénario référence'!$B$10)*70+IF((45+25*(1-EXP(-0.0175*A16)))&lt;70,'Scénario référence'!$B$16*(45+25*(1-EXP(-0.0175*A16))),70*'Scénario référence'!$B$16)+IF((32+38*(1-EXP(-0.0175*A16)))&lt;70,'Scénario référence'!$B$18*(32+38*(1-EXP(-0.0175*A16))),70*'Scénario référence'!$B$18)</f>
        <v>70</v>
      </c>
      <c r="CP16" s="151">
        <f>IF(A16&gt;30,10,('Scénario référence'!$B$16+'Scénario référence'!$B$17+'Scénario référence'!$B$18+'Scénario référence'!$B$9+'Scénario référence'!$B$10)*A16*10/30+('Scénario référence'!$F$8+'Scénario référence'!$F$9)*10)</f>
        <v>4.333333333</v>
      </c>
      <c r="CQ16" s="151" t="str">
        <f>VLOOKUP(A16,'Données projet'!$A$139:$I$159,2,0)</f>
        <v>#N/A</v>
      </c>
      <c r="CR16" s="151" t="str">
        <f>VLOOKUP(A16,'Données projet'!$A$139:$I$159,9,0)</f>
        <v>#N/A</v>
      </c>
      <c r="CS16" s="151" t="str">
        <f t="array" ref="CS16">INDEX(CR:CR,MIN(IF(ISNUMBER(CR16:CR212),ROW(CR16:CR212),"")))</f>
        <v/>
      </c>
      <c r="CT16" s="151">
        <f>IF('Données projet'!$A$140&gt;35,CT15+CS16-DB15,IF(A16&lt;'Données projet'!$A$140,$CQ$205^A16,IF(A16='Données projet'!$A$140,'Données projet'!$B$140,CT15+CS16-DB15)))</f>
        <v>0</v>
      </c>
      <c r="CU16" s="158" t="str">
        <f>CT16*VLOOKUP('Données projet'!$B$13,'Paramètres'!$A$1:$I$88,3,0)*VLOOKUP('Données projet'!$B$13,'Paramètres'!$A$1:$I$88,5,0)</f>
        <v>#N/A</v>
      </c>
      <c r="CV16" s="150" t="str">
        <f t="shared" si="42"/>
        <v>#N/A</v>
      </c>
      <c r="CW16" s="161" t="str">
        <f t="shared" si="14"/>
        <v>#N/A</v>
      </c>
      <c r="CX16" s="153" t="str">
        <f t="shared" si="15"/>
        <v>#N/A</v>
      </c>
      <c r="CY16" s="153" t="str">
        <f>AVERAGE(OFFSET($CX$3,0,0,'Données projet'!$E$13+1,1))-AVERAGE(OFFSET($H$3,0,0,'Données projet'!$E$13+1,1))</f>
        <v>#N/A</v>
      </c>
      <c r="CZ16" s="153" t="str">
        <f t="shared" si="43"/>
        <v>#N/A</v>
      </c>
      <c r="DA16" s="154">
        <f>IF(ISNA(VLOOKUP(A16,'Données projet'!$A$139:$I$159,3,0)),0,VLOOKUP(A16,'Données projet'!$A$139:$I$159,3,0))</f>
        <v>0</v>
      </c>
      <c r="DB16" s="154">
        <f>IF(ISNA(VLOOKUP(A16,'Données projet'!$A$139:$I$159,4,0)),0,VLOOKUP(A16,'Données projet'!$A$139:$I$159,4,0))</f>
        <v>0</v>
      </c>
      <c r="DC16" s="155">
        <f>IF(ISNA(VLOOKUP(A16,'Données projet'!$A$139:$I$159,5,0)),0%,VLOOKUP(A16,'Données projet'!$A$139:$I$159,5,0)*VLOOKUP('Données projet'!$B$13,'Paramètres'!$A$1:$I$88,7,0))</f>
        <v>0</v>
      </c>
      <c r="DD16" s="155">
        <f>IF(ISNA(VLOOKUP(A16,'Données projet'!$A$139:$I$159,6,0)),0%,VLOOKUP(A16,'Données projet'!$A$139:$I$159,6,0)*VLOOKUP('Données projet'!$B$13,'Paramètres'!$A$1:$I$88,7,0))</f>
        <v>0</v>
      </c>
      <c r="DE16" s="155">
        <f>IF(ISNA(VLOOKUP(A16,'Données projet'!$A$139:$I$159,7,0)),0%,VLOOKUP(A16,'Données projet'!$A$139:$I$159,7,0))</f>
        <v>0</v>
      </c>
      <c r="DF16" s="162" t="str">
        <f>EXP(-LN(2)/35)*DF15+(1-EXP(-LN(2)/35))/(LN(2)/35)*DB16*DC16*VLOOKUP('Données projet'!$B$13,'Paramètres'!$A$1:$I$88,3,0)*0.475*44/12</f>
        <v>#N/A</v>
      </c>
      <c r="DG16" s="162" t="str">
        <f>EXP(-LN(2)/25)*DG15+(1-EXP(-LN(2)/25))/(LN(2)/25)*Calculateur!DB16*Calculateur!DD16*VLOOKUP('Données projet'!$B$13,'Paramètres'!$A$1:$I$88,3,0)*0.475*44/12</f>
        <v>#N/A</v>
      </c>
      <c r="DH16" s="162" t="str">
        <f>EXP(-LN(2)/2)*DH15+(1-EXP(-LN(2)/2))/(LN(2)/2)*DB16*DE16*VLOOKUP('Données projet'!$B$13,'Paramètres'!$A$1:$I$88,3,0)*0.475*44/12</f>
        <v>#N/A</v>
      </c>
      <c r="DI16" s="163" t="str">
        <f t="shared" si="16"/>
        <v>#N/A</v>
      </c>
      <c r="DJ16" s="159">
        <f>('Scénario référence'!$F$8+'Scénario référence'!$F$9+'Scénario référence'!$B$17+'Scénario référence'!$B$9+'Scénario référence'!$B$10)*70+IF((45+25*(1-EXP(-0.0175*A16)))&lt;70,'Scénario référence'!$B$16*(45+25*(1-EXP(-0.0175*A16))),70*'Scénario référence'!$B$16)+IF((32+38*(1-EXP(-0.0175*A16)))&lt;70,'Scénario référence'!$B$18*(32+38*(1-EXP(-0.0175*A16))),70*'Scénario référence'!$B$18)</f>
        <v>70</v>
      </c>
      <c r="DK16" s="151">
        <f>IF(A16&gt;30,10,('Scénario référence'!$B$16+'Scénario référence'!$B$17+'Scénario référence'!$B$18+'Scénario référence'!$B$9+'Scénario référence'!$B$10)*A16*10/30+('Scénario référence'!$F$8+'Scénario référence'!$F$9)*10)</f>
        <v>4.333333333</v>
      </c>
      <c r="DL16" s="151" t="str">
        <f>VLOOKUP(A16,'Données projet'!$A$165:$I$185,2,0)</f>
        <v>#N/A</v>
      </c>
      <c r="DM16" s="151" t="str">
        <f>VLOOKUP(A16,'Données projet'!$A$165:$I$185,9,0)</f>
        <v>#N/A</v>
      </c>
      <c r="DN16" s="151" t="str">
        <f t="array" ref="DN16">INDEX(DM:DM,MIN(IF(ISNUMBER(DM16:DM212),ROW(DM16:DM212),"")))</f>
        <v/>
      </c>
      <c r="DO16" s="151">
        <f>IF('Données projet'!$A$166&gt;35,DO15+DN16-DW15,IF(A16&lt;'Données projet'!$A$166,$DL$205^A16,IF(A16='Données projet'!$A$166,'Données projet'!$B$166,DO15+DN16-DW15)))</f>
        <v>0</v>
      </c>
      <c r="DP16" s="158" t="str">
        <f>DO16*VLOOKUP('Données projet'!$B$14,'Paramètres'!$A$1:$I$88,3,0)*VLOOKUP('Données projet'!$B$14,'Paramètres'!$A$1:$I$88,5,0)</f>
        <v>#N/A</v>
      </c>
      <c r="DQ16" s="150" t="str">
        <f t="shared" si="44"/>
        <v>#N/A</v>
      </c>
      <c r="DR16" s="161" t="str">
        <f t="shared" si="17"/>
        <v>#N/A</v>
      </c>
      <c r="DS16" s="153" t="str">
        <f t="shared" si="18"/>
        <v>#N/A</v>
      </c>
      <c r="DT16" s="153" t="str">
        <f>AVERAGE(OFFSET($DS$3,0,0,'Données projet'!$E$14+1,1))-AVERAGE(OFFSET($H$3,0,0,'Données projet'!$E$14+1,1))</f>
        <v>#N/A</v>
      </c>
      <c r="DU16" s="153" t="str">
        <f t="shared" si="45"/>
        <v>#N/A</v>
      </c>
      <c r="DV16" s="154">
        <f>IF(ISNA(VLOOKUP(A16,'Données projet'!$A$165:$I$185,3,0)),0,VLOOKUP(A16,'Données projet'!$A$165:$I$185,3,0))</f>
        <v>0</v>
      </c>
      <c r="DW16" s="154">
        <f>IF(ISNA(VLOOKUP(A16,'Données projet'!$A$165:$I$185,4,0)),0,VLOOKUP(A16,'Données projet'!$A$165:$I$185,4,0))</f>
        <v>0</v>
      </c>
      <c r="DX16" s="155">
        <f>IF(ISNA(VLOOKUP(A16,'Données projet'!$A$165:$I$185,5,0)),0%,VLOOKUP(A16,'Données projet'!$A$165:$I$185,5,0)*VLOOKUP('Données projet'!$B$14,'Paramètres'!$A$1:$I$88,7,0))</f>
        <v>0</v>
      </c>
      <c r="DY16" s="155">
        <f>IF(ISNA(VLOOKUP(A16,'Données projet'!$A$165:$I$185,6,0)),0%,VLOOKUP(A16,'Données projet'!$A$165:$I$185,6,0)*VLOOKUP('Données projet'!$B$14,'Paramètres'!$A$1:$I$88,7,0))</f>
        <v>0</v>
      </c>
      <c r="DZ16" s="155">
        <f>IF(ISNA(VLOOKUP(A16,'Données projet'!$A$165:$I$185,7,0)),0%,VLOOKUP(A16,'Données projet'!$A$165:$I$185,7,0))</f>
        <v>0</v>
      </c>
      <c r="EA16" s="162" t="str">
        <f>EXP(-LN(2)/35)*EA15+(1-EXP(-LN(2)/35))/(LN(2)/35)*DW16*DX16*VLOOKUP('Données projet'!$B$14,'Paramètres'!$A$1:$I$88,3,0)*0.475*44/12</f>
        <v>#N/A</v>
      </c>
      <c r="EB16" s="162" t="str">
        <f>EXP(-LN(2)/25)*EB15+(1-EXP(-LN(2)/25))/(LN(2)/25)*Calculateur!DW16*Calculateur!DY16*VLOOKUP('Données projet'!$B$14,'Paramètres'!$A$1:$I$88,3,0)*0.475*44/12</f>
        <v>#N/A</v>
      </c>
      <c r="EC16" s="162" t="str">
        <f>EXP(-LN(2)/2)*EC15+(1-EXP(-LN(2)/2))/(LN(2)/2)*DW16*DZ16*VLOOKUP('Données projet'!$B$14,'Paramètres'!$A$1:$I$88,3,0)*0.475*44/12</f>
        <v>#N/A</v>
      </c>
      <c r="ED16" s="163" t="str">
        <f t="shared" si="19"/>
        <v>#N/A</v>
      </c>
      <c r="EE16" s="159">
        <f>('Scénario référence'!$F$8+'Scénario référence'!$F$9+'Scénario référence'!$B$17+'Scénario référence'!$B$9+'Scénario référence'!$B$10)*70+IF((45+25*(1-EXP(-0.0175*A16)))&lt;70,'Scénario référence'!$B$16*(45+25*(1-EXP(-0.0175*A16))),70*'Scénario référence'!$B$16)+IF((32+38*(1-EXP(-0.0175*A16)))&lt;70,'Scénario référence'!$B$18*(32+38*(1-EXP(-0.0175*A16))),70*'Scénario référence'!$B$18)</f>
        <v>70</v>
      </c>
      <c r="EF16" s="151">
        <f>IF(A16&gt;30,10,('Scénario référence'!$B$16+'Scénario référence'!$B$17+'Scénario référence'!$B$18+'Scénario référence'!$B$9+'Scénario référence'!$B$10)*A16*10/30+('Scénario référence'!$F$8+'Scénario référence'!$F$9)*10)</f>
        <v>4.333333333</v>
      </c>
      <c r="EG16" s="151" t="str">
        <f>VLOOKUP(A16,'Données projet'!$A$191:$I$211,2,0)</f>
        <v>#N/A</v>
      </c>
      <c r="EH16" s="151" t="str">
        <f>VLOOKUP(A16,'Données projet'!$A$191:$I$211,9,0)</f>
        <v>#N/A</v>
      </c>
      <c r="EI16" s="151" t="str">
        <f t="array" ref="EI16">INDEX(EH:EH,MIN(IF(ISNUMBER(EH16:EH212),ROW(EH16:EH212),"")))</f>
        <v/>
      </c>
      <c r="EJ16" s="151">
        <f>IF('Données projet'!$A$192&gt;35,EJ15+EI16-ER15,IF(A16&lt;'Données projet'!$A$192,$EG$205^A16,IF(A16='Données projet'!$A$192,'Données projet'!$B$192,EJ15+EI16-ER15)))</f>
        <v>0</v>
      </c>
      <c r="EK16" s="158" t="str">
        <f>EJ16*VLOOKUP('Données projet'!$B$15,'Paramètres'!$A$1:$I$88,3,0)*VLOOKUP('Données projet'!$B$15,'Paramètres'!$A$1:$I$88,5,0)</f>
        <v>#N/A</v>
      </c>
      <c r="EL16" s="150" t="str">
        <f t="shared" si="46"/>
        <v>#N/A</v>
      </c>
      <c r="EM16" s="161" t="str">
        <f t="shared" si="20"/>
        <v>#N/A</v>
      </c>
      <c r="EN16" s="153" t="str">
        <f t="shared" si="21"/>
        <v>#N/A</v>
      </c>
      <c r="EO16" s="153" t="str">
        <f>AVERAGE(OFFSET($EN$3,0,0,'Données projet'!$E$15+1,1))-AVERAGE(OFFSET($H$3,0,0,'Données projet'!$E$15+1,1))</f>
        <v>#N/A</v>
      </c>
      <c r="EP16" s="153" t="str">
        <f t="shared" si="47"/>
        <v>#N/A</v>
      </c>
      <c r="EQ16" s="154">
        <f>IF(ISNA(VLOOKUP(A16,'Données projet'!$A$191:$I$211,3,0)),0,VLOOKUP(A16,'Données projet'!$A$191:$I$211,3,0))</f>
        <v>0</v>
      </c>
      <c r="ER16" s="154">
        <f>IF(ISNA(VLOOKUP(A16,'Données projet'!$A$191:$I$211,4,0)),0,VLOOKUP(A16,'Données projet'!$A$191:$I$211,4,0))</f>
        <v>0</v>
      </c>
      <c r="ES16" s="155">
        <f>IF(ISNA(VLOOKUP(A16,'Données projet'!$A$191:$I$211,5,0)),0%,VLOOKUP(A16,'Données projet'!$A$191:$I$211,5,0)*VLOOKUP('Données projet'!$B$15,'Paramètres'!$A$1:$I$88,7,0))</f>
        <v>0</v>
      </c>
      <c r="ET16" s="155">
        <f>IF(ISNA(VLOOKUP(A16,'Données projet'!$A$191:$I$211,6,0)),0%,VLOOKUP(A16,'Données projet'!$A$191:$I$211,6,0)*VLOOKUP('Données projet'!$B$15,'Paramètres'!$A$1:$I$88,7,0))</f>
        <v>0</v>
      </c>
      <c r="EU16" s="155">
        <f>IF(ISNA(VLOOKUP(A16,'Données projet'!$A$191:$I$211,7,0)),0%,VLOOKUP(A16,'Données projet'!$A$191:$I$211,7,0))</f>
        <v>0</v>
      </c>
      <c r="EV16" s="162" t="str">
        <f>EXP(-LN(2)/35)*EV15+(1-EXP(-LN(2)/35))/(LN(2)/35)*ER16*ES16*VLOOKUP('Données projet'!$B$15,'Paramètres'!$A$1:$I$88,3,0)*0.475*44/12</f>
        <v>#N/A</v>
      </c>
      <c r="EW16" s="162" t="str">
        <f>EXP(-LN(2)/25)*EW15+(1-EXP(-LN(2)/25))/(LN(2)/25)*Calculateur!ER16*Calculateur!ET16*VLOOKUP('Données projet'!$B$15,'Paramètres'!$A$1:$I$88,3,0)*0.475*44/12</f>
        <v>#N/A</v>
      </c>
      <c r="EX16" s="162" t="str">
        <f>EXP(-LN(2)/2)*EX15+(1-EXP(-LN(2)/2))/(LN(2)/2)*ER16*EU16*VLOOKUP('Données projet'!$B$15,'Paramètres'!$A$1:$I$88,3,0)*0.475*44/12</f>
        <v>#N/A</v>
      </c>
      <c r="EY16" s="163" t="str">
        <f t="shared" si="22"/>
        <v>#N/A</v>
      </c>
      <c r="EZ16" s="159">
        <f>('Scénario référence'!$F$8+'Scénario référence'!$F$9+'Scénario référence'!$B$17+'Scénario référence'!$B$9+'Scénario référence'!$B$10)*70+IF((45+25*(1-EXP(-0.0175*A16)))&lt;70,'Scénario référence'!$B$16*(45+25*(1-EXP(-0.0175*A16))),70*'Scénario référence'!$B$16)+IF((32+38*(1-EXP(-0.0175*A16)))&lt;70,'Scénario référence'!$B$18*(32+38*(1-EXP(-0.0175*A16))),70*'Scénario référence'!$B$18)</f>
        <v>70</v>
      </c>
      <c r="FA16" s="151">
        <f>IF(A16&gt;30,10,('Scénario référence'!$B$16+'Scénario référence'!$B$17+'Scénario référence'!$B$18+'Scénario référence'!$B$9+'Scénario référence'!$B$10)*A16*10/30+('Scénario référence'!$F$8+'Scénario référence'!$F$9)*10)</f>
        <v>4.333333333</v>
      </c>
      <c r="FB16" s="151" t="str">
        <f>VLOOKUP(A16,'Données projet'!$A$217:$I$237,2,0)</f>
        <v>#N/A</v>
      </c>
      <c r="FC16" s="151" t="str">
        <f>VLOOKUP(A16,'Données projet'!$A$217:$I$237,9,0)</f>
        <v>#N/A</v>
      </c>
      <c r="FD16" s="151" t="str">
        <f t="array" ref="FD16">INDEX(FC:FC,MIN(IF(ISNUMBER(FC16:FC212),ROW(FC16:FC212),"")))</f>
        <v/>
      </c>
      <c r="FE16" s="151">
        <f>IF('Données projet'!$A$218&gt;35,FE15+FD16-FM15,IF(A16&lt;'Données projet'!$A$218,$FB$205^A16,IF(A16='Données projet'!$A$218,'Données projet'!$B$218,FE15+FD16-FM15)))</f>
        <v>0</v>
      </c>
      <c r="FF16" s="158" t="str">
        <f>FE16*VLOOKUP('Données projet'!$B$16,'Paramètres'!$A$1:$I$88,3,0)*VLOOKUP('Données projet'!$B$16,'Paramètres'!$A$1:$I$88,5,0)</f>
        <v>#N/A</v>
      </c>
      <c r="FG16" s="150" t="str">
        <f t="shared" si="48"/>
        <v>#N/A</v>
      </c>
      <c r="FH16" s="161" t="str">
        <f t="shared" si="23"/>
        <v>#N/A</v>
      </c>
      <c r="FI16" s="153" t="str">
        <f t="shared" si="24"/>
        <v>#N/A</v>
      </c>
      <c r="FJ16" s="153" t="str">
        <f>AVERAGE(OFFSET($FI$3,0,0,'Données projet'!$E$16+1,1))-AVERAGE(OFFSET($H$3,0,0,'Données projet'!$E$16+1,1))</f>
        <v>#N/A</v>
      </c>
      <c r="FK16" s="153" t="str">
        <f t="shared" si="49"/>
        <v>#N/A</v>
      </c>
      <c r="FL16" s="154">
        <f>IF(ISNA(VLOOKUP(A16,'Données projet'!$A$217:$I$237,3,0)),0,VLOOKUP(A16,'Données projet'!$A$217:$I$237,3,0))</f>
        <v>0</v>
      </c>
      <c r="FM16" s="154">
        <f>IF(ISNA(VLOOKUP(A16,'Données projet'!$A$217:$I$237,4,0)),0,VLOOKUP(A16,'Données projet'!$A$217:$I$237,4,0))</f>
        <v>0</v>
      </c>
      <c r="FN16" s="155">
        <f>IF(ISNA(VLOOKUP(A16,'Données projet'!$A$217:$I$237,5,0)),0%,VLOOKUP(A16,'Données projet'!$A$217:$I$237,5,0)*VLOOKUP('Données projet'!$B$16,'Paramètres'!$A$1:$I$88,7,0))</f>
        <v>0</v>
      </c>
      <c r="FO16" s="155">
        <f>IF(ISNA(VLOOKUP(A16,'Données projet'!$A$217:$I$237,6,0)),0%,VLOOKUP(A16,'Données projet'!$A$217:$I$237,6,0)*VLOOKUP('Données projet'!$B$16,'Paramètres'!$A$1:$I$88,7,0))</f>
        <v>0</v>
      </c>
      <c r="FP16" s="155">
        <f>IF(ISNA(VLOOKUP(A16,'Données projet'!$A$217:$I$237,7,0)),0%,VLOOKUP(A16,'Données projet'!$A$217:$I$237,7,0))</f>
        <v>0</v>
      </c>
      <c r="FQ16" s="162" t="str">
        <f>EXP(-LN(2)/35)*FQ15+(1-EXP(-LN(2)/35))/(LN(2)/35)*FM16*FN16*VLOOKUP('Données projet'!$B$16,'Paramètres'!$A$1:$I$88,3,0)*0.475*44/12</f>
        <v>#N/A</v>
      </c>
      <c r="FR16" s="162" t="str">
        <f>EXP(-LN(2)/25)*FR15+(1-EXP(-LN(2)/25))/(LN(2)/25)*Calculateur!FM16*Calculateur!FO16*VLOOKUP('Données projet'!$B$16,'Paramètres'!$A$1:$I$88,3,0)*0.475*44/12</f>
        <v>#N/A</v>
      </c>
      <c r="FS16" s="162" t="str">
        <f>EXP(-LN(2)/2)*FS15+(1-EXP(-LN(2)/2))/(LN(2)/2)*FM16*FP16*VLOOKUP('Données projet'!$B$16,'Paramètres'!$A$1:$I$88,3,0)*0.475*44/12</f>
        <v>#N/A</v>
      </c>
      <c r="FT16" s="163" t="str">
        <f t="shared" si="25"/>
        <v>#N/A</v>
      </c>
      <c r="FU16" s="159">
        <f>('Scénario référence'!$F$8+'Scénario référence'!$F$9+'Scénario référence'!$B$17+'Scénario référence'!$B$9+'Scénario référence'!$B$10)*70+IF((45+25*(1-EXP(-0.0175*A16)))&lt;70,'Scénario référence'!$B$16*(45+25*(1-EXP(-0.0175*A16))),70*'Scénario référence'!$B$16)+IF((32+38*(1-EXP(-0.0175*A16)))&lt;70,'Scénario référence'!$B$18*(32+38*(1-EXP(-0.0175*A16))),70*'Scénario référence'!$B$18)</f>
        <v>70</v>
      </c>
      <c r="FV16" s="151">
        <f>IF(A16&gt;30,10,('Scénario référence'!$B$16+'Scénario référence'!$B$17+'Scénario référence'!$B$18+'Scénario référence'!$B$9+'Scénario référence'!$B$10)*A16*10/30+('Scénario référence'!$F$8+'Scénario référence'!$F$9)*10)</f>
        <v>4.333333333</v>
      </c>
      <c r="FW16" s="151" t="str">
        <f>VLOOKUP(A16,'Données projet'!$A$243:$I$263,2,0)</f>
        <v>#N/A</v>
      </c>
      <c r="FX16" s="151" t="str">
        <f>VLOOKUP(A16,'Données projet'!$A$243:$I$263,9,0)</f>
        <v>#N/A</v>
      </c>
      <c r="FY16" s="151" t="str">
        <f t="array" ref="FY16">INDEX(FX:FX,MIN(IF(ISNUMBER(FX16:FX212),ROW(FX16:FX212),"")))</f>
        <v/>
      </c>
      <c r="FZ16" s="151">
        <f>IF('Données projet'!$A$244&gt;35,FZ15+FY16-GH15,IF(A16&lt;'Données projet'!$A$244,$FW$205^A16,IF(A16='Données projet'!$A$244,'Données projet'!$B$244,FZ15+FY16-GH15)))</f>
        <v>0</v>
      </c>
      <c r="GA16" s="158" t="str">
        <f>FZ16*VLOOKUP('Données projet'!$B$17,'Paramètres'!$A$1:$I$88,3,0)*VLOOKUP('Données projet'!$B$17,'Paramètres'!$A$1:$I$88,5,0)</f>
        <v>#N/A</v>
      </c>
      <c r="GB16" s="150" t="str">
        <f t="shared" si="50"/>
        <v>#N/A</v>
      </c>
      <c r="GC16" s="161" t="str">
        <f t="shared" si="26"/>
        <v>#N/A</v>
      </c>
      <c r="GD16" s="153" t="str">
        <f t="shared" si="27"/>
        <v>#N/A</v>
      </c>
      <c r="GE16" s="153" t="str">
        <f>AVERAGE(OFFSET($GD$3,0,0,'Données projet'!$E$17+1,1))-AVERAGE(OFFSET($H$3,0,0,'Données projet'!$E$17+1,1))</f>
        <v>#N/A</v>
      </c>
      <c r="GF16" s="153" t="str">
        <f t="shared" si="51"/>
        <v>#N/A</v>
      </c>
      <c r="GG16" s="154">
        <f>IF(ISNA(VLOOKUP(A16,'Données projet'!$A$243:$I$263,3,0)),0,VLOOKUP(A16,'Données projet'!$A$243:$I$263,3,0))</f>
        <v>0</v>
      </c>
      <c r="GH16" s="154">
        <f>IF(ISNA(VLOOKUP(A16,'Données projet'!$A$243:$I$263,4,0)),0,VLOOKUP(A16,'Données projet'!$A$243:$I$263,4,0))</f>
        <v>0</v>
      </c>
      <c r="GI16" s="155">
        <f>IF(ISNA(VLOOKUP(A16,'Données projet'!$A$243:$I$263,5,0)),0%,VLOOKUP(A16,'Données projet'!$A$243:$I$263,5,0)*VLOOKUP('Données projet'!$B$17,'Paramètres'!$A$1:$I$88,7,0))</f>
        <v>0</v>
      </c>
      <c r="GJ16" s="155">
        <f>IF(ISNA(VLOOKUP(A16,'Données projet'!$A$243:$I$263,6,0)),0%,VLOOKUP(A16,'Données projet'!$A$243:$I$263,6,0)*VLOOKUP('Données projet'!$B$17,'Paramètres'!$A$1:$I$88,7,0))</f>
        <v>0</v>
      </c>
      <c r="GK16" s="155">
        <f>IF(ISNA(VLOOKUP(A16,'Données projet'!$A$243:$I$263,7,0)),0%,VLOOKUP(A16,'Données projet'!$A$243:$I$263,7,0))</f>
        <v>0</v>
      </c>
      <c r="GL16" s="162" t="str">
        <f>EXP(-LN(2)/35)*GL15+(1-EXP(-LN(2)/35))/(LN(2)/35)*GH16*GI16*VLOOKUP('Données projet'!$B$17,'Paramètres'!$A$1:$I$88,3,0)*0.475*44/12</f>
        <v>#N/A</v>
      </c>
      <c r="GM16" s="162" t="str">
        <f>EXP(-LN(2)/25)*GM15+(1-EXP(-LN(2)/25))/(LN(2)/25)*Calculateur!GH16*Calculateur!GJ16*VLOOKUP('Données projet'!$B$17,'Paramètres'!$A$1:$I$88,3,0)*0.475*44/12</f>
        <v>#N/A</v>
      </c>
      <c r="GN16" s="162" t="str">
        <f>EXP(-LN(2)/2)*GN15+(1-EXP(-LN(2)/2))/(LN(2)/2)*GH16*GK16*VLOOKUP('Données projet'!$B$17,'Paramètres'!$A$1:$I$88,3,0)*0.475*44/12</f>
        <v>#N/A</v>
      </c>
      <c r="GO16" s="162" t="str">
        <f t="shared" si="28"/>
        <v>#N/A</v>
      </c>
      <c r="GP16" s="159">
        <f>('Scénario référence'!$F$8+'Scénario référence'!$F$9+'Scénario référence'!$B$17+'Scénario référence'!$B$9+'Scénario référence'!$B$10)*70+IF((45+25*(1-EXP(-0.0175*A16)))&lt;70,'Scénario référence'!$B$16*(45+25*(1-EXP(-0.0175*A16))),70*'Scénario référence'!$B$16)+IF((32+38*(1-EXP(-0.0175*A16)))&lt;70,'Scénario référence'!$B$18*(32+38*(1-EXP(-0.0175*A16))),70*'Scénario référence'!$B$18)</f>
        <v>70</v>
      </c>
      <c r="GQ16" s="151">
        <f>IF(A16&gt;30,10,('Scénario référence'!$B$16+'Scénario référence'!$B$17+'Scénario référence'!$B$18+'Scénario référence'!$B$9+'Scénario référence'!$B$10)*A16*10/30+('Scénario référence'!$F$8+'Scénario référence'!$F$9)*10)</f>
        <v>4.333333333</v>
      </c>
      <c r="GR16" s="151" t="str">
        <f>VLOOKUP(A16,'Données projet'!$A$269:$I$289,2,0)</f>
        <v>#N/A</v>
      </c>
      <c r="GS16" s="151" t="str">
        <f>VLOOKUP(A16,'Données projet'!$A$269:$I$289,9,0)</f>
        <v>#N/A</v>
      </c>
      <c r="GT16" s="151" t="str">
        <f t="array" ref="GT16">INDEX(GS:GS,MIN(IF(ISNUMBER(GS16:GS212),ROW(GS16:GS212),"")))</f>
        <v/>
      </c>
      <c r="GU16" s="151">
        <f>IF('Données projet'!$A$270&gt;35,GU15+GT16-HC15,IF(A16&lt;'Données projet'!$A$270,$GR$205^A16,IF(A16='Données projet'!$A$270,'Données projet'!$B$270,GU15+GT16-HC15)))</f>
        <v>0</v>
      </c>
      <c r="GV16" s="158" t="str">
        <f>GU16*VLOOKUP('Données projet'!$B$18,'Paramètres'!$A$1:$I$88,3,0)*VLOOKUP('Données projet'!$B$18,'Paramètres'!$A$1:$I$88,5,0)</f>
        <v>#N/A</v>
      </c>
      <c r="GW16" s="150" t="str">
        <f t="shared" si="52"/>
        <v>#N/A</v>
      </c>
      <c r="GX16" s="161" t="str">
        <f t="shared" si="29"/>
        <v>#N/A</v>
      </c>
      <c r="GY16" s="153" t="str">
        <f t="shared" si="30"/>
        <v>#N/A</v>
      </c>
      <c r="GZ16" s="153" t="str">
        <f>AVERAGE(OFFSET($GY$3,0,0,'Données projet'!$E$18+1,1))-AVERAGE(OFFSET($H$3,0,0,'Données projet'!$E$18+1,1))</f>
        <v>#N/A</v>
      </c>
      <c r="HA16" s="153" t="str">
        <f t="shared" si="53"/>
        <v>#N/A</v>
      </c>
      <c r="HB16" s="154">
        <f>IF(ISNA(VLOOKUP(A16,'Données projet'!$A$269:$I$289,3,0)),0,VLOOKUP(A16,'Données projet'!$A$269:$I$289,3,0))</f>
        <v>0</v>
      </c>
      <c r="HC16" s="154">
        <f>IF(ISNA(VLOOKUP(A16,'Données projet'!$A$269:$I$289,4,0)),0,VLOOKUP(A16,'Données projet'!$A$269:$I$289,4,0))</f>
        <v>0</v>
      </c>
      <c r="HD16" s="155">
        <f>IF(ISNA(VLOOKUP(A16,'Données projet'!$A$269:$I$289,5,0)),0%,VLOOKUP(A16,'Données projet'!$A$269:$I$289,5,0)*VLOOKUP('Données projet'!$B$18,'Paramètres'!$A$1:$I$88,7,0))</f>
        <v>0</v>
      </c>
      <c r="HE16" s="155">
        <f>IF(ISNA(VLOOKUP(A16,'Données projet'!$A$269:$I$289,6,0)),0%,VLOOKUP(A16,'Données projet'!$A$269:$I$289,6,0)*VLOOKUP('Données projet'!$B$18,'Paramètres'!$A$1:$I$88,7,0))</f>
        <v>0</v>
      </c>
      <c r="HF16" s="155">
        <f>IF(ISNA(VLOOKUP(A16,'Données projet'!$A$269:$I$289,7,0)),0%,VLOOKUP(A16,'Données projet'!$A$269:$I$289,7,0))</f>
        <v>0</v>
      </c>
      <c r="HG16" s="162" t="str">
        <f>EXP(-LN(2)/35)*HG15+(1-EXP(-LN(2)/35))/(LN(2)/35)*HC16*HD16*VLOOKUP('Données projet'!$B$18,'Paramètres'!$A$1:$I$88,3,0)*0.475*44/12</f>
        <v>#N/A</v>
      </c>
      <c r="HH16" s="162" t="str">
        <f>EXP(-LN(2)/25)*HH15+(1-EXP(-LN(2)/25))/(LN(2)/25)*Calculateur!HC16*Calculateur!HE16*VLOOKUP('Données projet'!$B$18,'Paramètres'!$A$1:$I$88,3,0)*0.475*44/12</f>
        <v>#N/A</v>
      </c>
      <c r="HI16" s="162" t="str">
        <f>EXP(-LN(2)/2)*HI15+(1-EXP(-LN(2)/2))/(LN(2)/2)*HC16*HF16*VLOOKUP('Données projet'!$B$18,'Paramètres'!$A$1:$I$88,3,0)*0.475*44/12</f>
        <v>#N/A</v>
      </c>
      <c r="HJ16" s="163" t="str">
        <f t="shared" si="31"/>
        <v>#N/A</v>
      </c>
    </row>
    <row r="17">
      <c r="A17" s="145">
        <f t="shared" si="32"/>
        <v>14</v>
      </c>
      <c r="B17" s="146">
        <f>'Scénario référence'!$B$16*5+'Scénario référence'!$B$17*0+'Scénario référence'!$B$18*5</f>
        <v>0</v>
      </c>
      <c r="C17" s="160">
        <f>Calculateur!C16+'Scénario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7" s="147">
        <f t="shared" si="33"/>
        <v>0</v>
      </c>
      <c r="E17" s="147">
        <f>'Scénario référence'!$B$16*45+('Scénario référence'!$B$17+'Scénario référence'!$F$8+'Scénario référence'!$F$9+'Scénario référence'!$B$10+'Scénario référence'!$B$9)*70+'Scénario référence'!$B$18*32</f>
        <v>70</v>
      </c>
      <c r="F17" s="147">
        <f>IF(OR('Scénario référence'!$F$8&gt;0,'Scénario référence'!$F$9&gt;0),('Scénario référence'!$F$8+'Scénario référence'!$F$9)*10,0)</f>
        <v>0</v>
      </c>
      <c r="G17" s="147">
        <f>'Scénario référence'!$B$8*B17*44/12+'Scénario référence'!$B$9*(C17+D17)/0.475*44/12+'Scénario référence'!$B$10*(C17+D17)/0.475*44/12+'Scénario référence'!$F$8*(C17+D17)/0.475*44/12+'Scénario référence'!$F$9*(C17+D17)/0.475*44/12</f>
        <v>0</v>
      </c>
      <c r="H17" s="148">
        <f t="shared" si="1"/>
        <v>256.6666667</v>
      </c>
      <c r="I17" s="149">
        <f>('Scénario référence'!$F$8+'Scénario référence'!$F$9+'Scénario référence'!$B$17+'Scénario référence'!$B$9+'Scénario référence'!$B$10)*70+IF((45+25*(1-EXP(-0.0175*A17)))&lt;70,'Scénario référence'!$B$16*(45+25*(1-EXP(-0.0175*A17))),70*'Scénario référence'!$B$16)+IF((32+38*(1-EXP(-0.0175*A17)))&lt;70,'Scénario référence'!$B$18*(32+38*(1-EXP(-0.0175*A17))),70*'Scénario référence'!$B$18)</f>
        <v>70</v>
      </c>
      <c r="J17" s="150">
        <f>IF(A17&gt;30,10,('Scénario référence'!$B$16+'Scénario référence'!$B$17+'Scénario référence'!$B$18+'Scénario référence'!$B$9+'Scénario référence'!$B$10)*A17*10/30+('Scénario référence'!$F$8+'Scénario référence'!$F$9)*10)</f>
        <v>4.666666667</v>
      </c>
      <c r="K17" s="151" t="str">
        <f>VLOOKUP(A17,'Données projet'!$A$35:$I$55,2,0)</f>
        <v>#N/A</v>
      </c>
      <c r="L17" s="151" t="str">
        <f>VLOOKUP(A17,'Données projet'!$A$35:$I$55,9,0)</f>
        <v>#N/A</v>
      </c>
      <c r="M17" s="150">
        <f t="array" ref="M17">INDEX(L:L,MIN(IF(ISNUMBER(L17:L213),ROW(L17:L213),"")))</f>
        <v>3.65</v>
      </c>
      <c r="N17" s="150">
        <f>IF('Données projet'!$A$36&gt;35,N16+M17-V16,IF(A17&lt;'Données projet'!$A$36,$K$205^A17,IF(A17='Données projet'!$A$36,'Données projet'!$B$36,N16+M17-V16)))</f>
        <v>20.15236414</v>
      </c>
      <c r="O17" s="150">
        <f>N17*VLOOKUP('Données projet'!$B$9,'Paramètres'!$A$1:$I$88,3,0)*VLOOKUP('Données projet'!$B$9,'Paramètres'!$A$1:$I$88,5,0)</f>
        <v>18.23385908</v>
      </c>
      <c r="P17" s="150">
        <f t="shared" si="34"/>
        <v>5.993277551</v>
      </c>
      <c r="Q17" s="161">
        <f t="shared" si="2"/>
        <v>42.1955963</v>
      </c>
      <c r="R17" s="153">
        <f t="shared" si="3"/>
        <v>315.9733741</v>
      </c>
      <c r="S17" s="153">
        <f>AVERAGE(OFFSET($R$3,0,0,'Données projet'!$E$9+1,1))-AVERAGE(OFFSET($H$3,0,0,'Données projet'!$E$9+1,1))</f>
        <v>439.1985427</v>
      </c>
      <c r="T17" s="153">
        <f t="shared" si="35"/>
        <v>278.2174123</v>
      </c>
      <c r="U17" s="154">
        <f>IF(ISNA(VLOOKUP(A17,'Données projet'!$A$35:$I$55,3,0)),0,VLOOKUP(A17,'Données projet'!$A$35:$I$55,3,0))</f>
        <v>0</v>
      </c>
      <c r="V17" s="154">
        <f>IF(ISNA(VLOOKUP(A17,'Données projet'!$A$35:$I$55,4,0)),0,VLOOKUP(A17,'Données projet'!$A$35:$I$55,4,0))</f>
        <v>0</v>
      </c>
      <c r="W17" s="155">
        <f>IF(ISNA(VLOOKUP(A17,'Données projet'!$A$35:$I$55,5,0)),0%,VLOOKUP(A17,'Données projet'!$A$35:$I$55,5,0)*VLOOKUP('Données projet'!$B$9,'Paramètres'!$A$1:$I$88,7,0))</f>
        <v>0</v>
      </c>
      <c r="X17" s="155">
        <f>IF(ISNA(VLOOKUP(A17,'Données projet'!$A$35:$I$55,6,0)),0%,VLOOKUP(A17,'Données projet'!$A$35:$I$55,6,0)*VLOOKUP('Données projet'!$B$9,'Paramètres'!$A$1:$I$88,7,0))</f>
        <v>0</v>
      </c>
      <c r="Y17" s="155">
        <f>IF(ISNA(VLOOKUP(A17,'Données projet'!$A$35:$I$55,7,0)),0%,VLOOKUP(A17,'Données projet'!$A$35:$I$55,7,0))</f>
        <v>0</v>
      </c>
      <c r="Z17" s="162">
        <f>EXP(-LN(2)/35)*Z16+(1-EXP(-LN(2)/35))/(LN(2)/35)*V17*W17*VLOOKUP('Données projet'!$B$9,'Paramètres'!$A$1:$I$88,3,0)*0.475*44/12</f>
        <v>0</v>
      </c>
      <c r="AA17" s="162">
        <f>EXP(-LN(2)/25)*AA16+(1-EXP(-LN(2)/25))/(LN(2)/25)*Calculateur!V17*Calculateur!X17*VLOOKUP('Données projet'!$B$9,'Paramètres'!$A$1:$I$88,3,0)*0.475*44/12</f>
        <v>0</v>
      </c>
      <c r="AB17" s="162">
        <f>EXP(-LN(2)/2)*AB16+(1-EXP(-LN(2)/2))/(LN(2)/2)*V17*Y17*VLOOKUP('Données projet'!$B$9,'Paramètres'!$A$1:$I$88,3,0)*0.475*44/12</f>
        <v>0</v>
      </c>
      <c r="AC17" s="163">
        <f t="shared" si="4"/>
        <v>0</v>
      </c>
      <c r="AD17" s="150">
        <f>('Scénario référence'!$F$8+'Scénario référence'!$F$9+'Scénario référence'!$B$17+'Scénario référence'!$B$9+'Scénario référence'!$B$10)*70+IF((45+25*(1-EXP(-0.0175*A17)))&lt;70,'Scénario référence'!$B$16*(45+25*(1-EXP(-0.0175*A17))),70*'Scénario référence'!$B$16)+IF((32+38*(1-EXP(-0.0175*A17)))&lt;70,'Scénario référence'!$B$18*(32+38*(1-EXP(-0.0175*A17))),70*'Scénario référence'!$B$18)</f>
        <v>70</v>
      </c>
      <c r="AE17" s="150">
        <f>IF(A17&gt;30,10,('Scénario référence'!$B$16+'Scénario référence'!$B$17+'Scénario référence'!$B$18+'Scénario référence'!$B$9+'Scénario référence'!$B$10)*A17*10/30+('Scénario référence'!$F$8+'Scénario référence'!$F$9)*10)</f>
        <v>4.666666667</v>
      </c>
      <c r="AF17" s="151" t="str">
        <f>VLOOKUP(A17,'Données projet'!$A$61:$I$81,2,0)</f>
        <v>#N/A</v>
      </c>
      <c r="AG17" s="151" t="str">
        <f>VLOOKUP(A17,'Données projet'!$A$61:$I$81,9,0)</f>
        <v>#N/A</v>
      </c>
      <c r="AH17" s="150">
        <f t="array" ref="AH17">INDEX(AG:AG,MIN(IF(ISNUMBER(AG17:AG213),ROW(AG17:AG213),"")))</f>
        <v>14.6</v>
      </c>
      <c r="AI17" s="150">
        <f>IF('Données projet'!$A$62&gt;35,AI16+AH17-AQ16,IF(A17&lt;'Données projet'!$A$62,$AF$205^A17,IF(A17='Données projet'!$A$62,'Données projet'!$B$62,AI16+AH17-AQ16)))</f>
        <v>70.4</v>
      </c>
      <c r="AJ17" s="150">
        <f>AI17*VLOOKUP('Données projet'!$B$10,'Paramètres'!$A$1:$I$88,3,0)*VLOOKUP('Données projet'!$B$10,'Paramètres'!$A$1:$I$88,5,0)</f>
        <v>56.01024</v>
      </c>
      <c r="AK17" s="150">
        <f t="shared" si="36"/>
        <v>16.15552848</v>
      </c>
      <c r="AL17" s="161">
        <f t="shared" si="5"/>
        <v>125.6887134</v>
      </c>
      <c r="AM17" s="153">
        <f t="shared" si="6"/>
        <v>399.4664912</v>
      </c>
      <c r="AN17" s="153">
        <f>AVERAGE(OFFSET($AM$3,0,0,'Données projet'!$E$10+1,1))-AVERAGE(OFFSET($H$3,0,0,'Données projet'!$E$10+1,1))</f>
        <v>405.6113614</v>
      </c>
      <c r="AO17" s="153">
        <f t="shared" si="37"/>
        <v>393.0787141</v>
      </c>
      <c r="AP17" s="154">
        <f>IF(ISNA(VLOOKUP(A17,'Données projet'!$A$61:$I$81,3,0)),0,VLOOKUP(A17,'Données projet'!$A$61:$I$81,3,0))</f>
        <v>0</v>
      </c>
      <c r="AQ17" s="154">
        <f>IF(ISNA(VLOOKUP(A17,'Données projet'!$A$61:$I$81,4,0)),0,VLOOKUP(A17,'Données projet'!$A$61:$I$81,4,0))</f>
        <v>0</v>
      </c>
      <c r="AR17" s="155">
        <f>IF(ISNA(VLOOKUP(A17,'Données projet'!$A$61:$I$81,5,0)),0%,VLOOKUP(A17,'Données projet'!$A$61:$I$81,5,0)*VLOOKUP('Données projet'!$B$10,'Paramètres'!$A$1:$I$88,7,0))</f>
        <v>0</v>
      </c>
      <c r="AS17" s="155">
        <f>IF(ISNA(VLOOKUP(A17,'Données projet'!$A$61:$I$81,6,0)),0%,VLOOKUP(A17,'Données projet'!$A$61:$I$81,6,0)*VLOOKUP('Données projet'!$B$10,'Paramètres'!$A$1:$I$88,7,0))</f>
        <v>0</v>
      </c>
      <c r="AT17" s="155">
        <f>IF(ISNA(VLOOKUP(A17,'Données projet'!$A$61:$I$81,7,0)),0%,VLOOKUP(A17,'Données projet'!$A$61:$I$81,7,0))</f>
        <v>0</v>
      </c>
      <c r="AU17" s="162">
        <f>EXP(-LN(2)/35)*AU16+(1-EXP(-LN(2)/35))/(LN(2)/35)*AQ17*AR17*VLOOKUP('Données projet'!$B$10,'Paramètres'!$A$1:$I$88,3,0)*0.475*44/12</f>
        <v>0</v>
      </c>
      <c r="AV17" s="162">
        <f>EXP(-LN(2)/25)*AV16+(1-EXP(-LN(2)/25))/(LN(2)/25)*Calculateur!AQ17*Calculateur!AS17*VLOOKUP('Données projet'!$B$10,'Paramètres'!$A$1:$I$88,3,0)*0.475*44/12</f>
        <v>0</v>
      </c>
      <c r="AW17" s="162">
        <f>EXP(-LN(2)/2)*AW16+(1-EXP(-LN(2)/2))/(LN(2)/2)*AQ17*AT17*VLOOKUP('Données projet'!$B$10,'Paramètres'!$A$1:$I$88,3,0)*0.475*44/12</f>
        <v>0</v>
      </c>
      <c r="AX17" s="162">
        <f t="shared" si="7"/>
        <v>0</v>
      </c>
      <c r="AY17" s="157">
        <f>('Scénario référence'!$F$8+'Scénario référence'!$F$9+'Scénario référence'!$B$17+'Scénario référence'!$B$9+'Scénario référence'!$B$10)*70+IF((45+25*(1-EXP(-0.0175*A17)))&lt;70,'Scénario référence'!$B$16*(45+25*(1-EXP(-0.0175*A17))),70*'Scénario référence'!$B$16)+IF((32+38*(1-EXP(-0.0175*A17)))&lt;70,'Scénario référence'!$B$18*(32+38*(1-EXP(-0.0175*A17))),70*'Scénario référence'!$B$18)</f>
        <v>70</v>
      </c>
      <c r="AZ17" s="151">
        <f>IF(A17&gt;30,10,('Scénario référence'!$B$16+'Scénario référence'!$B$17+'Scénario référence'!$B$18+'Scénario référence'!$B$9+'Scénario référence'!$B$10)*A17*10/30+('Scénario référence'!$F$8+'Scénario référence'!$F$9)*10)</f>
        <v>4.666666667</v>
      </c>
      <c r="BA17" s="151" t="str">
        <f>VLOOKUP(A17,'Données projet'!$A$87:$I$107,2,0)</f>
        <v>#N/A</v>
      </c>
      <c r="BB17" s="151" t="str">
        <f>VLOOKUP(A17,'Données projet'!$A$87:$I$107,9,0)</f>
        <v>#N/A</v>
      </c>
      <c r="BC17" s="150" t="str">
        <f t="array" ref="BC17">INDEX(BB:BB,MIN(IF(ISNUMBER(BB17:BB213),ROW(BB17:BB213),"")))</f>
        <v/>
      </c>
      <c r="BD17" s="150">
        <f>IF('Données projet'!$A$88&gt;35,BD16+BC17-BL16,IF(A17&lt;'Données projet'!$A$88,$BA$205^A17,IF(A17='Données projet'!$A$88,'Données projet'!$B$88,BD16+BC17-BL16)))</f>
        <v>0</v>
      </c>
      <c r="BE17" s="150">
        <f>BD17*VLOOKUP('Données projet'!$B$11,'Paramètres'!$A$1:$I$88,3,0)*VLOOKUP('Données projet'!$B$11,'Paramètres'!$A$1:$I$88,5,0)</f>
        <v>0</v>
      </c>
      <c r="BF17" s="150" t="str">
        <f t="shared" si="38"/>
        <v>#NUM!</v>
      </c>
      <c r="BG17" s="161" t="str">
        <f t="shared" si="8"/>
        <v>#NUM!</v>
      </c>
      <c r="BH17" s="153" t="str">
        <f t="shared" si="9"/>
        <v>#NUM!</v>
      </c>
      <c r="BI17" s="153">
        <f>AVERAGE(OFFSET($BH$3,0,0,'Données projet'!$E$11+1,1))-AVERAGE(OFFSET($H$3,0,0,'Données projet'!$E$11+1,1))</f>
        <v>0</v>
      </c>
      <c r="BJ17" s="153">
        <f t="shared" si="39"/>
        <v>0</v>
      </c>
      <c r="BK17" s="154">
        <f>IF(ISNA(VLOOKUP(A17,'Données projet'!$A$87:$I$107,3,0)),0,VLOOKUP(A17,'Données projet'!$A$87:$I$107,3,0))</f>
        <v>0</v>
      </c>
      <c r="BL17" s="154">
        <f>IF(ISNA(VLOOKUP(A17,'Données projet'!$A$87:$I$107,4,0)),0,VLOOKUP(A17,'Données projet'!$A$87:$I$107,4,0))</f>
        <v>0</v>
      </c>
      <c r="BM17" s="155">
        <f>IF(ISNA(VLOOKUP(A17,'Données projet'!$A$87:$I$107,5,0)),0%,VLOOKUP(A17,'Données projet'!$A$87:$I$107,5,0)*VLOOKUP('Données projet'!$B$11,'Paramètres'!$A$1:$I$88,7,0))</f>
        <v>0</v>
      </c>
      <c r="BN17" s="155">
        <f>IF(ISNA(VLOOKUP(A17,'Données projet'!$A$87:$I$107,6,0)),0%,VLOOKUP(A17,'Données projet'!$A$87:$I$107,6,0)*VLOOKUP('Données projet'!$B$11,'Paramètres'!$A$1:$I$88,7,0))</f>
        <v>0</v>
      </c>
      <c r="BO17" s="155">
        <f>IF(ISNA(VLOOKUP(A17,'Données projet'!$A$87:$I$107,7,0)),0%,VLOOKUP(A17,'Données projet'!$A$87:$I$107,7,0))</f>
        <v>0</v>
      </c>
      <c r="BP17" s="162">
        <f>EXP(-LN(2)/35)*BP16+(1-EXP(-LN(2)/35))/(LN(2)/35)*BL17*BM17*VLOOKUP('Données projet'!$B$11,'Paramètres'!$A$1:$I$88,3,0)*0.475*44/12</f>
        <v>0</v>
      </c>
      <c r="BQ17" s="162">
        <f>EXP(-LN(2)/25)*BQ16+(1-EXP(-LN(2)/25))/(LN(2)/25)*Calculateur!BL17*Calculateur!BN17*VLOOKUP('Données projet'!$B$11,'Paramètres'!$A$1:$I$88,3,0)*0.475*44/12</f>
        <v>0</v>
      </c>
      <c r="BR17" s="162">
        <f>EXP(-LN(2)/2)*BR16+(1-EXP(-LN(2)/2))/(LN(2)/2)*BL17*BO17*VLOOKUP('Données projet'!$B$11,'Paramètres'!$A$1:$I$88,3,0)*0.475*44/12</f>
        <v>0</v>
      </c>
      <c r="BS17" s="163">
        <f t="shared" si="10"/>
        <v>0</v>
      </c>
      <c r="BT17" s="159">
        <f>('Scénario référence'!$F$8+'Scénario référence'!$F$9+'Scénario référence'!$B$17+'Scénario référence'!$B$9+'Scénario référence'!$B$10)*70+IF((45+25*(1-EXP(-0.0175*A17)))&lt;70,'Scénario référence'!$B$16*(45+25*(1-EXP(-0.0175*A17))),70*'Scénario référence'!$B$16)+IF((32+38*(1-EXP(-0.0175*A17)))&lt;70,'Scénario référence'!$B$18*(32+38*(1-EXP(-0.0175*A17))),70*'Scénario référence'!$B$18)</f>
        <v>70</v>
      </c>
      <c r="BU17" s="151">
        <f>IF(A17&gt;30,10,('Scénario référence'!$B$16+'Scénario référence'!$B$17+'Scénario référence'!$B$18+'Scénario référence'!$B$9+'Scénario référence'!$B$10)*A17*10/30+('Scénario référence'!$F$8+'Scénario référence'!$F$9)*10)</f>
        <v>4.666666667</v>
      </c>
      <c r="BV17" s="151" t="str">
        <f>VLOOKUP(A17,'Données projet'!$A$113:$I$133,2,0)</f>
        <v>#N/A</v>
      </c>
      <c r="BW17" s="151" t="str">
        <f>VLOOKUP(A17,'Données projet'!$A$113:$I$133,9,0)</f>
        <v>#N/A</v>
      </c>
      <c r="BX17" s="150" t="str">
        <f t="array" ref="BX17">INDEX(BW:BW,MIN(IF(ISNUMBER(BW17:BW213),ROW(BW17:BW213),"")))</f>
        <v/>
      </c>
      <c r="BY17" s="150">
        <f>IF('Données projet'!$A$114&gt;35,BY16+BX17-CG16,IF(A17&lt;'Données projet'!$A$114,$BV$205^A17,IF(A17='Données projet'!$A$114,'Données projet'!$B$114,BY16+BX17-CG16)))</f>
        <v>0</v>
      </c>
      <c r="BZ17" s="150" t="str">
        <f>BY17*VLOOKUP('Données projet'!$B$12,'Paramètres'!$A$1:$I$88,3,0)*VLOOKUP('Données projet'!$B$12,'Paramètres'!$A$1:$I$88,5,0)</f>
        <v>#N/A</v>
      </c>
      <c r="CA17" s="150" t="str">
        <f t="shared" si="40"/>
        <v>#N/A</v>
      </c>
      <c r="CB17" s="161" t="str">
        <f t="shared" si="11"/>
        <v>#N/A</v>
      </c>
      <c r="CC17" s="153" t="str">
        <f t="shared" si="12"/>
        <v>#N/A</v>
      </c>
      <c r="CD17" s="153" t="str">
        <f>AVERAGE(OFFSET($CC$3,0,0,'Données projet'!$E$12+1,1))-AVERAGE(OFFSET($H$3,0,0,'Données projet'!$E$12+1,1))</f>
        <v>#N/A</v>
      </c>
      <c r="CE17" s="153" t="str">
        <f t="shared" si="41"/>
        <v>#N/A</v>
      </c>
      <c r="CF17" s="154">
        <f>IF(ISNA(VLOOKUP(A17,'Données projet'!$A$113:$I$133,3,0)),0,VLOOKUP(A17,'Données projet'!$A$113:$I$133,3,0))</f>
        <v>0</v>
      </c>
      <c r="CG17" s="154">
        <f>IF(ISNA(VLOOKUP(A17,'Données projet'!$A$113:$I$133,4,0)),0,VLOOKUP(A17,'Données projet'!$A$113:$I$133,4,0))</f>
        <v>0</v>
      </c>
      <c r="CH17" s="155">
        <f>IF(ISNA(VLOOKUP(A17,'Données projet'!$A$113:$I$133,5,0)),0%,VLOOKUP(A17,'Données projet'!$A$113:$I$133,5,0)*VLOOKUP('Données projet'!$B$12,'Paramètres'!$A$1:$I$88,7,0))</f>
        <v>0</v>
      </c>
      <c r="CI17" s="155">
        <f>IF(ISNA(VLOOKUP(A17,'Données projet'!$A$113:$I$133,6,0)),0%,VLOOKUP(A17,'Données projet'!$A$113:$I$133,6,0)*VLOOKUP('Données projet'!$B$12,'Paramètres'!$A$1:$I$88,7,0))</f>
        <v>0</v>
      </c>
      <c r="CJ17" s="155">
        <f>IF(ISNA(VLOOKUP(A17,'Données projet'!$A$113:$I$133,7,0)),0%,VLOOKUP(A17,'Données projet'!$A$113:$I$133,7,0))</f>
        <v>0</v>
      </c>
      <c r="CK17" s="162" t="str">
        <f>EXP(-LN(2)/35)*CK16+(1-EXP(-LN(2)/35))/(LN(2)/35)*CG17*CH17*VLOOKUP('Données projet'!$B$12,'Paramètres'!$A$1:$I$88,3,0)*0.475*44/12</f>
        <v>#N/A</v>
      </c>
      <c r="CL17" s="162" t="str">
        <f>EXP(-LN(2)/25)*CL16+(1-EXP(-LN(2)/25))/(LN(2)/25)*Calculateur!CG17*Calculateur!CI17*VLOOKUP('Données projet'!$B$12,'Paramètres'!$A$1:$I$88,3,0)*0.475*44/12</f>
        <v>#N/A</v>
      </c>
      <c r="CM17" s="162" t="str">
        <f>EXP(-LN(2)/2)*CM16+(1-EXP(-LN(2)/2))/(LN(2)/2)*CG17*CJ17*VLOOKUP('Données projet'!$B$12,'Paramètres'!$A$1:$I$88,3,0)*0.475*44/12</f>
        <v>#N/A</v>
      </c>
      <c r="CN17" s="163" t="str">
        <f t="shared" si="13"/>
        <v>#N/A</v>
      </c>
      <c r="CO17" s="159">
        <f>('Scénario référence'!$F$8+'Scénario référence'!$F$9+'Scénario référence'!$B$17+'Scénario référence'!$B$9+'Scénario référence'!$B$10)*70+IF((45+25*(1-EXP(-0.0175*A17)))&lt;70,'Scénario référence'!$B$16*(45+25*(1-EXP(-0.0175*A17))),70*'Scénario référence'!$B$16)+IF((32+38*(1-EXP(-0.0175*A17)))&lt;70,'Scénario référence'!$B$18*(32+38*(1-EXP(-0.0175*A17))),70*'Scénario référence'!$B$18)</f>
        <v>70</v>
      </c>
      <c r="CP17" s="151">
        <f>IF(A17&gt;30,10,('Scénario référence'!$B$16+'Scénario référence'!$B$17+'Scénario référence'!$B$18+'Scénario référence'!$B$9+'Scénario référence'!$B$10)*A17*10/30+('Scénario référence'!$F$8+'Scénario référence'!$F$9)*10)</f>
        <v>4.666666667</v>
      </c>
      <c r="CQ17" s="151" t="str">
        <f>VLOOKUP(A17,'Données projet'!$A$139:$I$159,2,0)</f>
        <v>#N/A</v>
      </c>
      <c r="CR17" s="151" t="str">
        <f>VLOOKUP(A17,'Données projet'!$A$139:$I$159,9,0)</f>
        <v>#N/A</v>
      </c>
      <c r="CS17" s="151" t="str">
        <f t="array" ref="CS17">INDEX(CR:CR,MIN(IF(ISNUMBER(CR17:CR213),ROW(CR17:CR213),"")))</f>
        <v/>
      </c>
      <c r="CT17" s="151">
        <f>IF('Données projet'!$A$140&gt;35,CT16+CS17-DB16,IF(A17&lt;'Données projet'!$A$140,$CQ$205^A17,IF(A17='Données projet'!$A$140,'Données projet'!$B$140,CT16+CS17-DB16)))</f>
        <v>0</v>
      </c>
      <c r="CU17" s="158" t="str">
        <f>CT17*VLOOKUP('Données projet'!$B$13,'Paramètres'!$A$1:$I$88,3,0)*VLOOKUP('Données projet'!$B$13,'Paramètres'!$A$1:$I$88,5,0)</f>
        <v>#N/A</v>
      </c>
      <c r="CV17" s="150" t="str">
        <f t="shared" si="42"/>
        <v>#N/A</v>
      </c>
      <c r="CW17" s="161" t="str">
        <f t="shared" si="14"/>
        <v>#N/A</v>
      </c>
      <c r="CX17" s="153" t="str">
        <f t="shared" si="15"/>
        <v>#N/A</v>
      </c>
      <c r="CY17" s="153" t="str">
        <f>AVERAGE(OFFSET($CX$3,0,0,'Données projet'!$E$13+1,1))-AVERAGE(OFFSET($H$3,0,0,'Données projet'!$E$13+1,1))</f>
        <v>#N/A</v>
      </c>
      <c r="CZ17" s="153" t="str">
        <f t="shared" si="43"/>
        <v>#N/A</v>
      </c>
      <c r="DA17" s="154">
        <f>IF(ISNA(VLOOKUP(A17,'Données projet'!$A$139:$I$159,3,0)),0,VLOOKUP(A17,'Données projet'!$A$139:$I$159,3,0))</f>
        <v>0</v>
      </c>
      <c r="DB17" s="154">
        <f>IF(ISNA(VLOOKUP(A17,'Données projet'!$A$139:$I$159,4,0)),0,VLOOKUP(A17,'Données projet'!$A$139:$I$159,4,0))</f>
        <v>0</v>
      </c>
      <c r="DC17" s="155">
        <f>IF(ISNA(VLOOKUP(A17,'Données projet'!$A$139:$I$159,5,0)),0%,VLOOKUP(A17,'Données projet'!$A$139:$I$159,5,0)*VLOOKUP('Données projet'!$B$13,'Paramètres'!$A$1:$I$88,7,0))</f>
        <v>0</v>
      </c>
      <c r="DD17" s="155">
        <f>IF(ISNA(VLOOKUP(A17,'Données projet'!$A$139:$I$159,6,0)),0%,VLOOKUP(A17,'Données projet'!$A$139:$I$159,6,0)*VLOOKUP('Données projet'!$B$13,'Paramètres'!$A$1:$I$88,7,0))</f>
        <v>0</v>
      </c>
      <c r="DE17" s="155">
        <f>IF(ISNA(VLOOKUP(A17,'Données projet'!$A$139:$I$159,7,0)),0%,VLOOKUP(A17,'Données projet'!$A$139:$I$159,7,0))</f>
        <v>0</v>
      </c>
      <c r="DF17" s="162" t="str">
        <f>EXP(-LN(2)/35)*DF16+(1-EXP(-LN(2)/35))/(LN(2)/35)*DB17*DC17*VLOOKUP('Données projet'!$B$13,'Paramètres'!$A$1:$I$88,3,0)*0.475*44/12</f>
        <v>#N/A</v>
      </c>
      <c r="DG17" s="162" t="str">
        <f>EXP(-LN(2)/25)*DG16+(1-EXP(-LN(2)/25))/(LN(2)/25)*Calculateur!DB17*Calculateur!DD17*VLOOKUP('Données projet'!$B$13,'Paramètres'!$A$1:$I$88,3,0)*0.475*44/12</f>
        <v>#N/A</v>
      </c>
      <c r="DH17" s="162" t="str">
        <f>EXP(-LN(2)/2)*DH16+(1-EXP(-LN(2)/2))/(LN(2)/2)*DB17*DE17*VLOOKUP('Données projet'!$B$13,'Paramètres'!$A$1:$I$88,3,0)*0.475*44/12</f>
        <v>#N/A</v>
      </c>
      <c r="DI17" s="163" t="str">
        <f t="shared" si="16"/>
        <v>#N/A</v>
      </c>
      <c r="DJ17" s="159">
        <f>('Scénario référence'!$F$8+'Scénario référence'!$F$9+'Scénario référence'!$B$17+'Scénario référence'!$B$9+'Scénario référence'!$B$10)*70+IF((45+25*(1-EXP(-0.0175*A17)))&lt;70,'Scénario référence'!$B$16*(45+25*(1-EXP(-0.0175*A17))),70*'Scénario référence'!$B$16)+IF((32+38*(1-EXP(-0.0175*A17)))&lt;70,'Scénario référence'!$B$18*(32+38*(1-EXP(-0.0175*A17))),70*'Scénario référence'!$B$18)</f>
        <v>70</v>
      </c>
      <c r="DK17" s="151">
        <f>IF(A17&gt;30,10,('Scénario référence'!$B$16+'Scénario référence'!$B$17+'Scénario référence'!$B$18+'Scénario référence'!$B$9+'Scénario référence'!$B$10)*A17*10/30+('Scénario référence'!$F$8+'Scénario référence'!$F$9)*10)</f>
        <v>4.666666667</v>
      </c>
      <c r="DL17" s="151" t="str">
        <f>VLOOKUP(A17,'Données projet'!$A$165:$I$185,2,0)</f>
        <v>#N/A</v>
      </c>
      <c r="DM17" s="151" t="str">
        <f>VLOOKUP(A17,'Données projet'!$A$165:$I$185,9,0)</f>
        <v>#N/A</v>
      </c>
      <c r="DN17" s="151" t="str">
        <f t="array" ref="DN17">INDEX(DM:DM,MIN(IF(ISNUMBER(DM17:DM213),ROW(DM17:DM213),"")))</f>
        <v/>
      </c>
      <c r="DO17" s="151">
        <f>IF('Données projet'!$A$166&gt;35,DO16+DN17-DW16,IF(A17&lt;'Données projet'!$A$166,$DL$205^A17,IF(A17='Données projet'!$A$166,'Données projet'!$B$166,DO16+DN17-DW16)))</f>
        <v>0</v>
      </c>
      <c r="DP17" s="158" t="str">
        <f>DO17*VLOOKUP('Données projet'!$B$14,'Paramètres'!$A$1:$I$88,3,0)*VLOOKUP('Données projet'!$B$14,'Paramètres'!$A$1:$I$88,5,0)</f>
        <v>#N/A</v>
      </c>
      <c r="DQ17" s="150" t="str">
        <f t="shared" si="44"/>
        <v>#N/A</v>
      </c>
      <c r="DR17" s="161" t="str">
        <f t="shared" si="17"/>
        <v>#N/A</v>
      </c>
      <c r="DS17" s="153" t="str">
        <f t="shared" si="18"/>
        <v>#N/A</v>
      </c>
      <c r="DT17" s="153" t="str">
        <f>AVERAGE(OFFSET($DS$3,0,0,'Données projet'!$E$14+1,1))-AVERAGE(OFFSET($H$3,0,0,'Données projet'!$E$14+1,1))</f>
        <v>#N/A</v>
      </c>
      <c r="DU17" s="153" t="str">
        <f t="shared" si="45"/>
        <v>#N/A</v>
      </c>
      <c r="DV17" s="154">
        <f>IF(ISNA(VLOOKUP(A17,'Données projet'!$A$165:$I$185,3,0)),0,VLOOKUP(A17,'Données projet'!$A$165:$I$185,3,0))</f>
        <v>0</v>
      </c>
      <c r="DW17" s="154">
        <f>IF(ISNA(VLOOKUP(A17,'Données projet'!$A$165:$I$185,4,0)),0,VLOOKUP(A17,'Données projet'!$A$165:$I$185,4,0))</f>
        <v>0</v>
      </c>
      <c r="DX17" s="155">
        <f>IF(ISNA(VLOOKUP(A17,'Données projet'!$A$165:$I$185,5,0)),0%,VLOOKUP(A17,'Données projet'!$A$165:$I$185,5,0)*VLOOKUP('Données projet'!$B$14,'Paramètres'!$A$1:$I$88,7,0))</f>
        <v>0</v>
      </c>
      <c r="DY17" s="155">
        <f>IF(ISNA(VLOOKUP(A17,'Données projet'!$A$165:$I$185,6,0)),0%,VLOOKUP(A17,'Données projet'!$A$165:$I$185,6,0)*VLOOKUP('Données projet'!$B$14,'Paramètres'!$A$1:$I$88,7,0))</f>
        <v>0</v>
      </c>
      <c r="DZ17" s="155">
        <f>IF(ISNA(VLOOKUP(A17,'Données projet'!$A$165:$I$185,7,0)),0%,VLOOKUP(A17,'Données projet'!$A$165:$I$185,7,0))</f>
        <v>0</v>
      </c>
      <c r="EA17" s="162" t="str">
        <f>EXP(-LN(2)/35)*EA16+(1-EXP(-LN(2)/35))/(LN(2)/35)*DW17*DX17*VLOOKUP('Données projet'!$B$14,'Paramètres'!$A$1:$I$88,3,0)*0.475*44/12</f>
        <v>#N/A</v>
      </c>
      <c r="EB17" s="162" t="str">
        <f>EXP(-LN(2)/25)*EB16+(1-EXP(-LN(2)/25))/(LN(2)/25)*Calculateur!DW17*Calculateur!DY17*VLOOKUP('Données projet'!$B$14,'Paramètres'!$A$1:$I$88,3,0)*0.475*44/12</f>
        <v>#N/A</v>
      </c>
      <c r="EC17" s="162" t="str">
        <f>EXP(-LN(2)/2)*EC16+(1-EXP(-LN(2)/2))/(LN(2)/2)*DW17*DZ17*VLOOKUP('Données projet'!$B$14,'Paramètres'!$A$1:$I$88,3,0)*0.475*44/12</f>
        <v>#N/A</v>
      </c>
      <c r="ED17" s="163" t="str">
        <f t="shared" si="19"/>
        <v>#N/A</v>
      </c>
      <c r="EE17" s="159">
        <f>('Scénario référence'!$F$8+'Scénario référence'!$F$9+'Scénario référence'!$B$17+'Scénario référence'!$B$9+'Scénario référence'!$B$10)*70+IF((45+25*(1-EXP(-0.0175*A17)))&lt;70,'Scénario référence'!$B$16*(45+25*(1-EXP(-0.0175*A17))),70*'Scénario référence'!$B$16)+IF((32+38*(1-EXP(-0.0175*A17)))&lt;70,'Scénario référence'!$B$18*(32+38*(1-EXP(-0.0175*A17))),70*'Scénario référence'!$B$18)</f>
        <v>70</v>
      </c>
      <c r="EF17" s="151">
        <f>IF(A17&gt;30,10,('Scénario référence'!$B$16+'Scénario référence'!$B$17+'Scénario référence'!$B$18+'Scénario référence'!$B$9+'Scénario référence'!$B$10)*A17*10/30+('Scénario référence'!$F$8+'Scénario référence'!$F$9)*10)</f>
        <v>4.666666667</v>
      </c>
      <c r="EG17" s="151" t="str">
        <f>VLOOKUP(A17,'Données projet'!$A$191:$I$211,2,0)</f>
        <v>#N/A</v>
      </c>
      <c r="EH17" s="151" t="str">
        <f>VLOOKUP(A17,'Données projet'!$A$191:$I$211,9,0)</f>
        <v>#N/A</v>
      </c>
      <c r="EI17" s="151" t="str">
        <f t="array" ref="EI17">INDEX(EH:EH,MIN(IF(ISNUMBER(EH17:EH213),ROW(EH17:EH213),"")))</f>
        <v/>
      </c>
      <c r="EJ17" s="151">
        <f>IF('Données projet'!$A$192&gt;35,EJ16+EI17-ER16,IF(A17&lt;'Données projet'!$A$192,$EG$205^A17,IF(A17='Données projet'!$A$192,'Données projet'!$B$192,EJ16+EI17-ER16)))</f>
        <v>0</v>
      </c>
      <c r="EK17" s="158" t="str">
        <f>EJ17*VLOOKUP('Données projet'!$B$15,'Paramètres'!$A$1:$I$88,3,0)*VLOOKUP('Données projet'!$B$15,'Paramètres'!$A$1:$I$88,5,0)</f>
        <v>#N/A</v>
      </c>
      <c r="EL17" s="150" t="str">
        <f t="shared" si="46"/>
        <v>#N/A</v>
      </c>
      <c r="EM17" s="161" t="str">
        <f t="shared" si="20"/>
        <v>#N/A</v>
      </c>
      <c r="EN17" s="153" t="str">
        <f t="shared" si="21"/>
        <v>#N/A</v>
      </c>
      <c r="EO17" s="153" t="str">
        <f>AVERAGE(OFFSET($EN$3,0,0,'Données projet'!$E$15+1,1))-AVERAGE(OFFSET($H$3,0,0,'Données projet'!$E$15+1,1))</f>
        <v>#N/A</v>
      </c>
      <c r="EP17" s="153" t="str">
        <f t="shared" si="47"/>
        <v>#N/A</v>
      </c>
      <c r="EQ17" s="154">
        <f>IF(ISNA(VLOOKUP(A17,'Données projet'!$A$191:$I$211,3,0)),0,VLOOKUP(A17,'Données projet'!$A$191:$I$211,3,0))</f>
        <v>0</v>
      </c>
      <c r="ER17" s="154">
        <f>IF(ISNA(VLOOKUP(A17,'Données projet'!$A$191:$I$211,4,0)),0,VLOOKUP(A17,'Données projet'!$A$191:$I$211,4,0))</f>
        <v>0</v>
      </c>
      <c r="ES17" s="155">
        <f>IF(ISNA(VLOOKUP(A17,'Données projet'!$A$191:$I$211,5,0)),0%,VLOOKUP(A17,'Données projet'!$A$191:$I$211,5,0)*VLOOKUP('Données projet'!$B$15,'Paramètres'!$A$1:$I$88,7,0))</f>
        <v>0</v>
      </c>
      <c r="ET17" s="155">
        <f>IF(ISNA(VLOOKUP(A17,'Données projet'!$A$191:$I$211,6,0)),0%,VLOOKUP(A17,'Données projet'!$A$191:$I$211,6,0)*VLOOKUP('Données projet'!$B$15,'Paramètres'!$A$1:$I$88,7,0))</f>
        <v>0</v>
      </c>
      <c r="EU17" s="155">
        <f>IF(ISNA(VLOOKUP(A17,'Données projet'!$A$191:$I$211,7,0)),0%,VLOOKUP(A17,'Données projet'!$A$191:$I$211,7,0))</f>
        <v>0</v>
      </c>
      <c r="EV17" s="162" t="str">
        <f>EXP(-LN(2)/35)*EV16+(1-EXP(-LN(2)/35))/(LN(2)/35)*ER17*ES17*VLOOKUP('Données projet'!$B$15,'Paramètres'!$A$1:$I$88,3,0)*0.475*44/12</f>
        <v>#N/A</v>
      </c>
      <c r="EW17" s="162" t="str">
        <f>EXP(-LN(2)/25)*EW16+(1-EXP(-LN(2)/25))/(LN(2)/25)*Calculateur!ER17*Calculateur!ET17*VLOOKUP('Données projet'!$B$15,'Paramètres'!$A$1:$I$88,3,0)*0.475*44/12</f>
        <v>#N/A</v>
      </c>
      <c r="EX17" s="162" t="str">
        <f>EXP(-LN(2)/2)*EX16+(1-EXP(-LN(2)/2))/(LN(2)/2)*ER17*EU17*VLOOKUP('Données projet'!$B$15,'Paramètres'!$A$1:$I$88,3,0)*0.475*44/12</f>
        <v>#N/A</v>
      </c>
      <c r="EY17" s="163" t="str">
        <f t="shared" si="22"/>
        <v>#N/A</v>
      </c>
      <c r="EZ17" s="159">
        <f>('Scénario référence'!$F$8+'Scénario référence'!$F$9+'Scénario référence'!$B$17+'Scénario référence'!$B$9+'Scénario référence'!$B$10)*70+IF((45+25*(1-EXP(-0.0175*A17)))&lt;70,'Scénario référence'!$B$16*(45+25*(1-EXP(-0.0175*A17))),70*'Scénario référence'!$B$16)+IF((32+38*(1-EXP(-0.0175*A17)))&lt;70,'Scénario référence'!$B$18*(32+38*(1-EXP(-0.0175*A17))),70*'Scénario référence'!$B$18)</f>
        <v>70</v>
      </c>
      <c r="FA17" s="151">
        <f>IF(A17&gt;30,10,('Scénario référence'!$B$16+'Scénario référence'!$B$17+'Scénario référence'!$B$18+'Scénario référence'!$B$9+'Scénario référence'!$B$10)*A17*10/30+('Scénario référence'!$F$8+'Scénario référence'!$F$9)*10)</f>
        <v>4.666666667</v>
      </c>
      <c r="FB17" s="151" t="str">
        <f>VLOOKUP(A17,'Données projet'!$A$217:$I$237,2,0)</f>
        <v>#N/A</v>
      </c>
      <c r="FC17" s="151" t="str">
        <f>VLOOKUP(A17,'Données projet'!$A$217:$I$237,9,0)</f>
        <v>#N/A</v>
      </c>
      <c r="FD17" s="151" t="str">
        <f t="array" ref="FD17">INDEX(FC:FC,MIN(IF(ISNUMBER(FC17:FC213),ROW(FC17:FC213),"")))</f>
        <v/>
      </c>
      <c r="FE17" s="151">
        <f>IF('Données projet'!$A$218&gt;35,FE16+FD17-FM16,IF(A17&lt;'Données projet'!$A$218,$FB$205^A17,IF(A17='Données projet'!$A$218,'Données projet'!$B$218,FE16+FD17-FM16)))</f>
        <v>0</v>
      </c>
      <c r="FF17" s="158" t="str">
        <f>FE17*VLOOKUP('Données projet'!$B$16,'Paramètres'!$A$1:$I$88,3,0)*VLOOKUP('Données projet'!$B$16,'Paramètres'!$A$1:$I$88,5,0)</f>
        <v>#N/A</v>
      </c>
      <c r="FG17" s="150" t="str">
        <f t="shared" si="48"/>
        <v>#N/A</v>
      </c>
      <c r="FH17" s="161" t="str">
        <f t="shared" si="23"/>
        <v>#N/A</v>
      </c>
      <c r="FI17" s="153" t="str">
        <f t="shared" si="24"/>
        <v>#N/A</v>
      </c>
      <c r="FJ17" s="153" t="str">
        <f>AVERAGE(OFFSET($FI$3,0,0,'Données projet'!$E$16+1,1))-AVERAGE(OFFSET($H$3,0,0,'Données projet'!$E$16+1,1))</f>
        <v>#N/A</v>
      </c>
      <c r="FK17" s="153" t="str">
        <f t="shared" si="49"/>
        <v>#N/A</v>
      </c>
      <c r="FL17" s="154">
        <f>IF(ISNA(VLOOKUP(A17,'Données projet'!$A$217:$I$237,3,0)),0,VLOOKUP(A17,'Données projet'!$A$217:$I$237,3,0))</f>
        <v>0</v>
      </c>
      <c r="FM17" s="154">
        <f>IF(ISNA(VLOOKUP(A17,'Données projet'!$A$217:$I$237,4,0)),0,VLOOKUP(A17,'Données projet'!$A$217:$I$237,4,0))</f>
        <v>0</v>
      </c>
      <c r="FN17" s="155">
        <f>IF(ISNA(VLOOKUP(A17,'Données projet'!$A$217:$I$237,5,0)),0%,VLOOKUP(A17,'Données projet'!$A$217:$I$237,5,0)*VLOOKUP('Données projet'!$B$16,'Paramètres'!$A$1:$I$88,7,0))</f>
        <v>0</v>
      </c>
      <c r="FO17" s="155">
        <f>IF(ISNA(VLOOKUP(A17,'Données projet'!$A$217:$I$237,6,0)),0%,VLOOKUP(A17,'Données projet'!$A$217:$I$237,6,0)*VLOOKUP('Données projet'!$B$16,'Paramètres'!$A$1:$I$88,7,0))</f>
        <v>0</v>
      </c>
      <c r="FP17" s="155">
        <f>IF(ISNA(VLOOKUP(A17,'Données projet'!$A$217:$I$237,7,0)),0%,VLOOKUP(A17,'Données projet'!$A$217:$I$237,7,0))</f>
        <v>0</v>
      </c>
      <c r="FQ17" s="162" t="str">
        <f>EXP(-LN(2)/35)*FQ16+(1-EXP(-LN(2)/35))/(LN(2)/35)*FM17*FN17*VLOOKUP('Données projet'!$B$16,'Paramètres'!$A$1:$I$88,3,0)*0.475*44/12</f>
        <v>#N/A</v>
      </c>
      <c r="FR17" s="162" t="str">
        <f>EXP(-LN(2)/25)*FR16+(1-EXP(-LN(2)/25))/(LN(2)/25)*Calculateur!FM17*Calculateur!FO17*VLOOKUP('Données projet'!$B$16,'Paramètres'!$A$1:$I$88,3,0)*0.475*44/12</f>
        <v>#N/A</v>
      </c>
      <c r="FS17" s="162" t="str">
        <f>EXP(-LN(2)/2)*FS16+(1-EXP(-LN(2)/2))/(LN(2)/2)*FM17*FP17*VLOOKUP('Données projet'!$B$16,'Paramètres'!$A$1:$I$88,3,0)*0.475*44/12</f>
        <v>#N/A</v>
      </c>
      <c r="FT17" s="163" t="str">
        <f t="shared" si="25"/>
        <v>#N/A</v>
      </c>
      <c r="FU17" s="159">
        <f>('Scénario référence'!$F$8+'Scénario référence'!$F$9+'Scénario référence'!$B$17+'Scénario référence'!$B$9+'Scénario référence'!$B$10)*70+IF((45+25*(1-EXP(-0.0175*A17)))&lt;70,'Scénario référence'!$B$16*(45+25*(1-EXP(-0.0175*A17))),70*'Scénario référence'!$B$16)+IF((32+38*(1-EXP(-0.0175*A17)))&lt;70,'Scénario référence'!$B$18*(32+38*(1-EXP(-0.0175*A17))),70*'Scénario référence'!$B$18)</f>
        <v>70</v>
      </c>
      <c r="FV17" s="151">
        <f>IF(A17&gt;30,10,('Scénario référence'!$B$16+'Scénario référence'!$B$17+'Scénario référence'!$B$18+'Scénario référence'!$B$9+'Scénario référence'!$B$10)*A17*10/30+('Scénario référence'!$F$8+'Scénario référence'!$F$9)*10)</f>
        <v>4.666666667</v>
      </c>
      <c r="FW17" s="151" t="str">
        <f>VLOOKUP(A17,'Données projet'!$A$243:$I$263,2,0)</f>
        <v>#N/A</v>
      </c>
      <c r="FX17" s="151" t="str">
        <f>VLOOKUP(A17,'Données projet'!$A$243:$I$263,9,0)</f>
        <v>#N/A</v>
      </c>
      <c r="FY17" s="151" t="str">
        <f t="array" ref="FY17">INDEX(FX:FX,MIN(IF(ISNUMBER(FX17:FX213),ROW(FX17:FX213),"")))</f>
        <v/>
      </c>
      <c r="FZ17" s="151">
        <f>IF('Données projet'!$A$244&gt;35,FZ16+FY17-GH16,IF(A17&lt;'Données projet'!$A$244,$FW$205^A17,IF(A17='Données projet'!$A$244,'Données projet'!$B$244,FZ16+FY17-GH16)))</f>
        <v>0</v>
      </c>
      <c r="GA17" s="158" t="str">
        <f>FZ17*VLOOKUP('Données projet'!$B$17,'Paramètres'!$A$1:$I$88,3,0)*VLOOKUP('Données projet'!$B$17,'Paramètres'!$A$1:$I$88,5,0)</f>
        <v>#N/A</v>
      </c>
      <c r="GB17" s="150" t="str">
        <f t="shared" si="50"/>
        <v>#N/A</v>
      </c>
      <c r="GC17" s="161" t="str">
        <f t="shared" si="26"/>
        <v>#N/A</v>
      </c>
      <c r="GD17" s="153" t="str">
        <f t="shared" si="27"/>
        <v>#N/A</v>
      </c>
      <c r="GE17" s="153" t="str">
        <f>AVERAGE(OFFSET($GD$3,0,0,'Données projet'!$E$17+1,1))-AVERAGE(OFFSET($H$3,0,0,'Données projet'!$E$17+1,1))</f>
        <v>#N/A</v>
      </c>
      <c r="GF17" s="153" t="str">
        <f t="shared" si="51"/>
        <v>#N/A</v>
      </c>
      <c r="GG17" s="154">
        <f>IF(ISNA(VLOOKUP(A17,'Données projet'!$A$243:$I$263,3,0)),0,VLOOKUP(A17,'Données projet'!$A$243:$I$263,3,0))</f>
        <v>0</v>
      </c>
      <c r="GH17" s="154">
        <f>IF(ISNA(VLOOKUP(A17,'Données projet'!$A$243:$I$263,4,0)),0,VLOOKUP(A17,'Données projet'!$A$243:$I$263,4,0))</f>
        <v>0</v>
      </c>
      <c r="GI17" s="155">
        <f>IF(ISNA(VLOOKUP(A17,'Données projet'!$A$243:$I$263,5,0)),0%,VLOOKUP(A17,'Données projet'!$A$243:$I$263,5,0)*VLOOKUP('Données projet'!$B$17,'Paramètres'!$A$1:$I$88,7,0))</f>
        <v>0</v>
      </c>
      <c r="GJ17" s="155">
        <f>IF(ISNA(VLOOKUP(A17,'Données projet'!$A$243:$I$263,6,0)),0%,VLOOKUP(A17,'Données projet'!$A$243:$I$263,6,0)*VLOOKUP('Données projet'!$B$17,'Paramètres'!$A$1:$I$88,7,0))</f>
        <v>0</v>
      </c>
      <c r="GK17" s="155">
        <f>IF(ISNA(VLOOKUP(A17,'Données projet'!$A$243:$I$263,7,0)),0%,VLOOKUP(A17,'Données projet'!$A$243:$I$263,7,0))</f>
        <v>0</v>
      </c>
      <c r="GL17" s="162" t="str">
        <f>EXP(-LN(2)/35)*GL16+(1-EXP(-LN(2)/35))/(LN(2)/35)*GH17*GI17*VLOOKUP('Données projet'!$B$17,'Paramètres'!$A$1:$I$88,3,0)*0.475*44/12</f>
        <v>#N/A</v>
      </c>
      <c r="GM17" s="162" t="str">
        <f>EXP(-LN(2)/25)*GM16+(1-EXP(-LN(2)/25))/(LN(2)/25)*Calculateur!GH17*Calculateur!GJ17*VLOOKUP('Données projet'!$B$17,'Paramètres'!$A$1:$I$88,3,0)*0.475*44/12</f>
        <v>#N/A</v>
      </c>
      <c r="GN17" s="162" t="str">
        <f>EXP(-LN(2)/2)*GN16+(1-EXP(-LN(2)/2))/(LN(2)/2)*GH17*GK17*VLOOKUP('Données projet'!$B$17,'Paramètres'!$A$1:$I$88,3,0)*0.475*44/12</f>
        <v>#N/A</v>
      </c>
      <c r="GO17" s="162" t="str">
        <f t="shared" si="28"/>
        <v>#N/A</v>
      </c>
      <c r="GP17" s="159">
        <f>('Scénario référence'!$F$8+'Scénario référence'!$F$9+'Scénario référence'!$B$17+'Scénario référence'!$B$9+'Scénario référence'!$B$10)*70+IF((45+25*(1-EXP(-0.0175*A17)))&lt;70,'Scénario référence'!$B$16*(45+25*(1-EXP(-0.0175*A17))),70*'Scénario référence'!$B$16)+IF((32+38*(1-EXP(-0.0175*A17)))&lt;70,'Scénario référence'!$B$18*(32+38*(1-EXP(-0.0175*A17))),70*'Scénario référence'!$B$18)</f>
        <v>70</v>
      </c>
      <c r="GQ17" s="151">
        <f>IF(A17&gt;30,10,('Scénario référence'!$B$16+'Scénario référence'!$B$17+'Scénario référence'!$B$18+'Scénario référence'!$B$9+'Scénario référence'!$B$10)*A17*10/30+('Scénario référence'!$F$8+'Scénario référence'!$F$9)*10)</f>
        <v>4.666666667</v>
      </c>
      <c r="GR17" s="151" t="str">
        <f>VLOOKUP(A17,'Données projet'!$A$269:$I$289,2,0)</f>
        <v>#N/A</v>
      </c>
      <c r="GS17" s="151" t="str">
        <f>VLOOKUP(A17,'Données projet'!$A$269:$I$289,9,0)</f>
        <v>#N/A</v>
      </c>
      <c r="GT17" s="151" t="str">
        <f t="array" ref="GT17">INDEX(GS:GS,MIN(IF(ISNUMBER(GS17:GS213),ROW(GS17:GS213),"")))</f>
        <v/>
      </c>
      <c r="GU17" s="151">
        <f>IF('Données projet'!$A$270&gt;35,GU16+GT17-HC16,IF(A17&lt;'Données projet'!$A$270,$GR$205^A17,IF(A17='Données projet'!$A$270,'Données projet'!$B$270,GU16+GT17-HC16)))</f>
        <v>0</v>
      </c>
      <c r="GV17" s="158" t="str">
        <f>GU17*VLOOKUP('Données projet'!$B$18,'Paramètres'!$A$1:$I$88,3,0)*VLOOKUP('Données projet'!$B$18,'Paramètres'!$A$1:$I$88,5,0)</f>
        <v>#N/A</v>
      </c>
      <c r="GW17" s="150" t="str">
        <f t="shared" si="52"/>
        <v>#N/A</v>
      </c>
      <c r="GX17" s="161" t="str">
        <f t="shared" si="29"/>
        <v>#N/A</v>
      </c>
      <c r="GY17" s="153" t="str">
        <f t="shared" si="30"/>
        <v>#N/A</v>
      </c>
      <c r="GZ17" s="153" t="str">
        <f>AVERAGE(OFFSET($GY$3,0,0,'Données projet'!$E$18+1,1))-AVERAGE(OFFSET($H$3,0,0,'Données projet'!$E$18+1,1))</f>
        <v>#N/A</v>
      </c>
      <c r="HA17" s="153" t="str">
        <f t="shared" si="53"/>
        <v>#N/A</v>
      </c>
      <c r="HB17" s="154">
        <f>IF(ISNA(VLOOKUP(A17,'Données projet'!$A$269:$I$289,3,0)),0,VLOOKUP(A17,'Données projet'!$A$269:$I$289,3,0))</f>
        <v>0</v>
      </c>
      <c r="HC17" s="154">
        <f>IF(ISNA(VLOOKUP(A17,'Données projet'!$A$269:$I$289,4,0)),0,VLOOKUP(A17,'Données projet'!$A$269:$I$289,4,0))</f>
        <v>0</v>
      </c>
      <c r="HD17" s="155">
        <f>IF(ISNA(VLOOKUP(A17,'Données projet'!$A$269:$I$289,5,0)),0%,VLOOKUP(A17,'Données projet'!$A$269:$I$289,5,0)*VLOOKUP('Données projet'!$B$18,'Paramètres'!$A$1:$I$88,7,0))</f>
        <v>0</v>
      </c>
      <c r="HE17" s="155">
        <f>IF(ISNA(VLOOKUP(A17,'Données projet'!$A$269:$I$289,6,0)),0%,VLOOKUP(A17,'Données projet'!$A$269:$I$289,6,0)*VLOOKUP('Données projet'!$B$18,'Paramètres'!$A$1:$I$88,7,0))</f>
        <v>0</v>
      </c>
      <c r="HF17" s="155">
        <f>IF(ISNA(VLOOKUP(A17,'Données projet'!$A$269:$I$289,7,0)),0%,VLOOKUP(A17,'Données projet'!$A$269:$I$289,7,0))</f>
        <v>0</v>
      </c>
      <c r="HG17" s="162" t="str">
        <f>EXP(-LN(2)/35)*HG16+(1-EXP(-LN(2)/35))/(LN(2)/35)*HC17*HD17*VLOOKUP('Données projet'!$B$18,'Paramètres'!$A$1:$I$88,3,0)*0.475*44/12</f>
        <v>#N/A</v>
      </c>
      <c r="HH17" s="162" t="str">
        <f>EXP(-LN(2)/25)*HH16+(1-EXP(-LN(2)/25))/(LN(2)/25)*Calculateur!HC17*Calculateur!HE17*VLOOKUP('Données projet'!$B$18,'Paramètres'!$A$1:$I$88,3,0)*0.475*44/12</f>
        <v>#N/A</v>
      </c>
      <c r="HI17" s="162" t="str">
        <f>EXP(-LN(2)/2)*HI16+(1-EXP(-LN(2)/2))/(LN(2)/2)*HC17*HF17*VLOOKUP('Données projet'!$B$18,'Paramètres'!$A$1:$I$88,3,0)*0.475*44/12</f>
        <v>#N/A</v>
      </c>
      <c r="HJ17" s="163" t="str">
        <f t="shared" si="31"/>
        <v>#N/A</v>
      </c>
    </row>
    <row r="18">
      <c r="A18" s="145">
        <f t="shared" si="32"/>
        <v>15</v>
      </c>
      <c r="B18" s="146">
        <f>'Scénario référence'!$B$16*5+'Scénario référence'!$B$17*0+'Scénario référence'!$B$18*5</f>
        <v>0</v>
      </c>
      <c r="C18" s="160">
        <f>Calculateur!C17+'Scénario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8" s="147">
        <f t="shared" si="33"/>
        <v>0</v>
      </c>
      <c r="E18" s="147">
        <f>'Scénario référence'!$B$16*45+('Scénario référence'!$B$17+'Scénario référence'!$F$8+'Scénario référence'!$F$9+'Scénario référence'!$B$10+'Scénario référence'!$B$9)*70+'Scénario référence'!$B$18*32</f>
        <v>70</v>
      </c>
      <c r="F18" s="147">
        <f>IF(OR('Scénario référence'!$F$8&gt;0,'Scénario référence'!$F$9&gt;0),('Scénario référence'!$F$8+'Scénario référence'!$F$9)*10,0)</f>
        <v>0</v>
      </c>
      <c r="G18" s="147">
        <f>'Scénario référence'!$B$8*B18*44/12+'Scénario référence'!$B$9*(C18+D18)/0.475*44/12+'Scénario référence'!$B$10*(C18+D18)/0.475*44/12+'Scénario référence'!$F$8*(C18+D18)/0.475*44/12+'Scénario référence'!$F$9*(C18+D18)/0.475*44/12</f>
        <v>0</v>
      </c>
      <c r="H18" s="148">
        <f t="shared" si="1"/>
        <v>256.6666667</v>
      </c>
      <c r="I18" s="149">
        <f>('Scénario référence'!$F$8+'Scénario référence'!$F$9+'Scénario référence'!$B$17+'Scénario référence'!$B$9+'Scénario référence'!$B$10)*70+IF((45+25*(1-EXP(-0.0175*A18)))&lt;70,'Scénario référence'!$B$16*(45+25*(1-EXP(-0.0175*A18))),70*'Scénario référence'!$B$16)+IF((32+38*(1-EXP(-0.0175*A18)))&lt;70,'Scénario référence'!$B$18*(32+38*(1-EXP(-0.0175*A18))),70*'Scénario référence'!$B$18)</f>
        <v>70</v>
      </c>
      <c r="J18" s="150">
        <f>IF(A18&gt;30,10,('Scénario référence'!$B$16+'Scénario référence'!$B$17+'Scénario référence'!$B$18+'Scénario référence'!$B$9+'Scénario référence'!$B$10)*A18*10/30+('Scénario référence'!$F$8+'Scénario référence'!$F$9)*10)</f>
        <v>5</v>
      </c>
      <c r="K18" s="151" t="str">
        <f>VLOOKUP(A18,'Données projet'!$A$35:$I$55,2,0)</f>
        <v>#N/A</v>
      </c>
      <c r="L18" s="150" t="str">
        <f>VLOOKUP(A18,'Données projet'!$A$35:$I$55,9,0)</f>
        <v>#N/A</v>
      </c>
      <c r="M18" s="150">
        <f t="array" ref="M18">INDEX(L:L,MIN(IF(ISNUMBER(L18:L214),ROW(L18:L214),"")))</f>
        <v>3.65</v>
      </c>
      <c r="N18" s="150">
        <f>IF('Données projet'!$A$36&gt;35,N17+M18-V17,IF(A18&lt;'Données projet'!$A$36,$K$205^A18,IF(A18='Données projet'!$A$36,'Données projet'!$B$36,N17+M18-V17)))</f>
        <v>24.97423219</v>
      </c>
      <c r="O18" s="150">
        <f>N18*VLOOKUP('Données projet'!$B$9,'Paramètres'!$A$1:$I$88,3,0)*VLOOKUP('Données projet'!$B$9,'Paramètres'!$A$1:$I$88,5,0)</f>
        <v>22.59668528</v>
      </c>
      <c r="P18" s="150">
        <f t="shared" si="34"/>
        <v>7.244125982</v>
      </c>
      <c r="Q18" s="161">
        <f t="shared" si="2"/>
        <v>51.97274629</v>
      </c>
      <c r="R18" s="153">
        <f t="shared" si="3"/>
        <v>326.9727463</v>
      </c>
      <c r="S18" s="153">
        <f>AVERAGE(OFFSET($R$3,0,0,'Données projet'!$E$9+1,1))-AVERAGE(OFFSET($H$3,0,0,'Données projet'!$E$9+1,1))</f>
        <v>439.1985427</v>
      </c>
      <c r="T18" s="153">
        <f t="shared" si="35"/>
        <v>278.2174123</v>
      </c>
      <c r="U18" s="154">
        <f>IF(ISNA(VLOOKUP(A18,'Données projet'!$A$35:$I$55,3,0)),0,VLOOKUP(A18,'Données projet'!$A$35:$I$55,3,0))</f>
        <v>0</v>
      </c>
      <c r="V18" s="154">
        <f>IF(ISNA(VLOOKUP(A18,'Données projet'!$A$35:$I$55,4,0)),0,VLOOKUP(A18,'Données projet'!$A$35:$I$55,4,0))</f>
        <v>0</v>
      </c>
      <c r="W18" s="155">
        <f>IF(ISNA(VLOOKUP(A18,'Données projet'!$A$35:$I$55,5,0)),0%,VLOOKUP(A18,'Données projet'!$A$35:$I$55,5,0)*VLOOKUP('Données projet'!$B$9,'Paramètres'!$A$1:$I$88,7,0))</f>
        <v>0</v>
      </c>
      <c r="X18" s="155">
        <f>IF(ISNA(VLOOKUP(A18,'Données projet'!$A$35:$I$55,6,0)),0%,VLOOKUP(A18,'Données projet'!$A$35:$I$55,6,0)*VLOOKUP('Données projet'!$B$9,'Paramètres'!$A$1:$I$88,7,0))</f>
        <v>0</v>
      </c>
      <c r="Y18" s="155">
        <f>IF(ISNA(VLOOKUP(A18,'Données projet'!$A$35:$I$55,7,0)),0%,VLOOKUP(A18,'Données projet'!$A$35:$I$55,7,0))</f>
        <v>0</v>
      </c>
      <c r="Z18" s="162">
        <f>EXP(-LN(2)/35)*Z17+(1-EXP(-LN(2)/35))/(LN(2)/35)*V18*W18*VLOOKUP('Données projet'!$B$9,'Paramètres'!$A$1:$I$88,3,0)*0.475*44/12</f>
        <v>0</v>
      </c>
      <c r="AA18" s="162">
        <f>EXP(-LN(2)/25)*AA17+(1-EXP(-LN(2)/25))/(LN(2)/25)*Calculateur!V18*Calculateur!X18*VLOOKUP('Données projet'!$B$9,'Paramètres'!$A$1:$I$88,3,0)*0.475*44/12</f>
        <v>0</v>
      </c>
      <c r="AB18" s="162">
        <f>EXP(-LN(2)/2)*AB17+(1-EXP(-LN(2)/2))/(LN(2)/2)*V18*Y18*VLOOKUP('Données projet'!$B$9,'Paramètres'!$A$1:$I$88,3,0)*0.475*44/12</f>
        <v>0</v>
      </c>
      <c r="AC18" s="163">
        <f t="shared" si="4"/>
        <v>0</v>
      </c>
      <c r="AD18" s="150">
        <f>('Scénario référence'!$F$8+'Scénario référence'!$F$9+'Scénario référence'!$B$17+'Scénario référence'!$B$9+'Scénario référence'!$B$10)*70+IF((45+25*(1-EXP(-0.0175*A18)))&lt;70,'Scénario référence'!$B$16*(45+25*(1-EXP(-0.0175*A18))),70*'Scénario référence'!$B$16)+IF((32+38*(1-EXP(-0.0175*A18)))&lt;70,'Scénario référence'!$B$18*(32+38*(1-EXP(-0.0175*A18))),70*'Scénario référence'!$B$18)</f>
        <v>70</v>
      </c>
      <c r="AE18" s="150">
        <f>IF(A18&gt;30,10,('Scénario référence'!$B$16+'Scénario référence'!$B$17+'Scénario référence'!$B$18+'Scénario référence'!$B$9+'Scénario référence'!$B$10)*A18*10/30+('Scénario référence'!$F$8+'Scénario référence'!$F$9)*10)</f>
        <v>5</v>
      </c>
      <c r="AF18" s="151">
        <f>VLOOKUP(A18,'Données projet'!$A$61:$I$81,2,0)</f>
        <v>85</v>
      </c>
      <c r="AG18" s="150">
        <f>VLOOKUP(A18,'Données projet'!$A$61:$I$81,9,0)</f>
        <v>14.6</v>
      </c>
      <c r="AH18" s="150">
        <f t="array" ref="AH18">INDEX(AG:AG,MIN(IF(ISNUMBER(AG18:AG214),ROW(AG18:AG214),"")))</f>
        <v>14.6</v>
      </c>
      <c r="AI18" s="150">
        <f>IF('Données projet'!$A$62&gt;35,AI17+AH18-AQ17,IF(A18&lt;'Données projet'!$A$62,$AF$205^A18,IF(A18='Données projet'!$A$62,'Données projet'!$B$62,AI17+AH18-AQ17)))</f>
        <v>85</v>
      </c>
      <c r="AJ18" s="150">
        <f>AI18*VLOOKUP('Données projet'!$B$10,'Paramètres'!$A$1:$I$88,3,0)*VLOOKUP('Données projet'!$B$10,'Paramètres'!$A$1:$I$88,5,0)</f>
        <v>67.626</v>
      </c>
      <c r="AK18" s="150">
        <f t="shared" si="36"/>
        <v>19.08273109</v>
      </c>
      <c r="AL18" s="161">
        <f t="shared" si="5"/>
        <v>151.0177066</v>
      </c>
      <c r="AM18" s="153">
        <f t="shared" si="6"/>
        <v>426.0177066</v>
      </c>
      <c r="AN18" s="153">
        <f>AVERAGE(OFFSET($AM$3,0,0,'Données projet'!$E$10+1,1))-AVERAGE(OFFSET($H$3,0,0,'Données projet'!$E$10+1,1))</f>
        <v>405.6113614</v>
      </c>
      <c r="AO18" s="153">
        <f t="shared" si="37"/>
        <v>393.0787141</v>
      </c>
      <c r="AP18" s="154">
        <f>IF(ISNA(VLOOKUP(A18,'Données projet'!$A$61:$I$81,3,0)),0,VLOOKUP(A18,'Données projet'!$A$61:$I$81,3,0))</f>
        <v>2</v>
      </c>
      <c r="AQ18" s="164">
        <f>IF(ISNA(VLOOKUP(A18,'Données projet'!$A$61:$I$81,4,0)),0,VLOOKUP(A18,'Données projet'!$A$61:$I$81,4,0))</f>
        <v>42</v>
      </c>
      <c r="AR18" s="155">
        <f>IF(ISNA(VLOOKUP(A18,'Données projet'!$A$61:$I$81,5,0)),0%,VLOOKUP(A18,'Données projet'!$A$61:$I$81,5,0)*VLOOKUP('Données projet'!$B$10,'Paramètres'!$A$1:$I$88,7,0))</f>
        <v>0</v>
      </c>
      <c r="AS18" s="155">
        <f>IF(ISNA(VLOOKUP(A18,'Données projet'!$A$61:$I$81,6,0)),0%,VLOOKUP(A18,'Données projet'!$A$61:$I$81,6,0)*VLOOKUP('Données projet'!$B$10,'Paramètres'!$A$1:$I$88,7,0))</f>
        <v>0</v>
      </c>
      <c r="AT18" s="155">
        <f>IF(ISNA(VLOOKUP(A18,'Données projet'!$A$61:$I$81,7,0)),0%,VLOOKUP(A18,'Données projet'!$A$61:$I$81,7,0))</f>
        <v>0.5</v>
      </c>
      <c r="AU18" s="162">
        <f>EXP(-LN(2)/35)*AU17+(1-EXP(-LN(2)/35))/(LN(2)/35)*AQ18*AR18*VLOOKUP('Données projet'!$B$10,'Paramètres'!$A$1:$I$88,3,0)*0.475*44/12</f>
        <v>0</v>
      </c>
      <c r="AV18" s="162">
        <f>EXP(-LN(2)/25)*AV17+(1-EXP(-LN(2)/25))/(LN(2)/25)*Calculateur!AQ18*Calculateur!AS18*VLOOKUP('Données projet'!$B$10,'Paramètres'!$A$1:$I$88,3,0)*0.475*44/12</f>
        <v>0</v>
      </c>
      <c r="AW18" s="162">
        <f>EXP(-LN(2)/2)*AW17+(1-EXP(-LN(2)/2))/(LN(2)/2)*AQ18*AT18*VLOOKUP('Données projet'!$B$10,'Paramètres'!$A$1:$I$88,3,0)*0.475*44/12</f>
        <v>15.76407028</v>
      </c>
      <c r="AX18" s="162">
        <f t="shared" si="7"/>
        <v>15.76407028</v>
      </c>
      <c r="AY18" s="157">
        <f>('Scénario référence'!$F$8+'Scénario référence'!$F$9+'Scénario référence'!$B$17+'Scénario référence'!$B$9+'Scénario référence'!$B$10)*70+IF((45+25*(1-EXP(-0.0175*A18)))&lt;70,'Scénario référence'!$B$16*(45+25*(1-EXP(-0.0175*A18))),70*'Scénario référence'!$B$16)+IF((32+38*(1-EXP(-0.0175*A18)))&lt;70,'Scénario référence'!$B$18*(32+38*(1-EXP(-0.0175*A18))),70*'Scénario référence'!$B$18)</f>
        <v>70</v>
      </c>
      <c r="AZ18" s="151">
        <f>IF(A18&gt;30,10,('Scénario référence'!$B$16+'Scénario référence'!$B$17+'Scénario référence'!$B$18+'Scénario référence'!$B$9+'Scénario référence'!$B$10)*A18*10/30+('Scénario référence'!$F$8+'Scénario référence'!$F$9)*10)</f>
        <v>5</v>
      </c>
      <c r="BA18" s="151" t="str">
        <f>VLOOKUP(A18,'Données projet'!$A$87:$I$107,2,0)</f>
        <v>#N/A</v>
      </c>
      <c r="BB18" s="150" t="str">
        <f>VLOOKUP(A18,'Données projet'!$A$87:$I$107,9,0)</f>
        <v>#N/A</v>
      </c>
      <c r="BC18" s="150" t="str">
        <f t="array" ref="BC18">INDEX(BB:BB,MIN(IF(ISNUMBER(BB18:BB214),ROW(BB18:BB214),"")))</f>
        <v/>
      </c>
      <c r="BD18" s="150">
        <f>IF('Données projet'!$A$88&gt;35,BD17+BC18-BL17,IF(A18&lt;'Données projet'!$A$88,$BA$205^A18,IF(A18='Données projet'!$A$88,'Données projet'!$B$88,BD17+BC18-BL17)))</f>
        <v>0</v>
      </c>
      <c r="BE18" s="150">
        <f>BD18*VLOOKUP('Données projet'!$B$11,'Paramètres'!$A$1:$I$88,3,0)*VLOOKUP('Données projet'!$B$11,'Paramètres'!$A$1:$I$88,5,0)</f>
        <v>0</v>
      </c>
      <c r="BF18" s="150" t="str">
        <f t="shared" si="38"/>
        <v>#NUM!</v>
      </c>
      <c r="BG18" s="161" t="str">
        <f t="shared" si="8"/>
        <v>#NUM!</v>
      </c>
      <c r="BH18" s="153" t="str">
        <f t="shared" si="9"/>
        <v>#NUM!</v>
      </c>
      <c r="BI18" s="153">
        <f>AVERAGE(OFFSET($BH$3,0,0,'Données projet'!$E$11+1,1))-AVERAGE(OFFSET($H$3,0,0,'Données projet'!$E$11+1,1))</f>
        <v>0</v>
      </c>
      <c r="BJ18" s="153">
        <f t="shared" si="39"/>
        <v>0</v>
      </c>
      <c r="BK18" s="154">
        <f>IF(ISNA(VLOOKUP(A18,'Données projet'!$A$87:$I$107,3,0)),0,VLOOKUP(A18,'Données projet'!$A$87:$I$107,3,0))</f>
        <v>0</v>
      </c>
      <c r="BL18" s="154">
        <f>IF(ISNA(VLOOKUP(A18,'Données projet'!$A$87:$I$107,4,0)),0,VLOOKUP(A18,'Données projet'!$A$87:$I$107,4,0))</f>
        <v>0</v>
      </c>
      <c r="BM18" s="155">
        <f>IF(ISNA(VLOOKUP(A18,'Données projet'!$A$87:$I$107,5,0)),0%,VLOOKUP(A18,'Données projet'!$A$87:$I$107,5,0)*VLOOKUP('Données projet'!$B$11,'Paramètres'!$A$1:$I$88,7,0))</f>
        <v>0</v>
      </c>
      <c r="BN18" s="155">
        <f>IF(ISNA(VLOOKUP(A18,'Données projet'!$A$87:$I$107,6,0)),0%,VLOOKUP(A18,'Données projet'!$A$87:$I$107,6,0)*VLOOKUP('Données projet'!$B$11,'Paramètres'!$A$1:$I$88,7,0))</f>
        <v>0</v>
      </c>
      <c r="BO18" s="155">
        <f>IF(ISNA(VLOOKUP(A18,'Données projet'!$A$87:$I$107,7,0)),0%,VLOOKUP(A18,'Données projet'!$A$87:$I$107,7,0))</f>
        <v>0</v>
      </c>
      <c r="BP18" s="162">
        <f>EXP(-LN(2)/35)*BP17+(1-EXP(-LN(2)/35))/(LN(2)/35)*BL18*BM18*VLOOKUP('Données projet'!$B$11,'Paramètres'!$A$1:$I$88,3,0)*0.475*44/12</f>
        <v>0</v>
      </c>
      <c r="BQ18" s="162">
        <f>EXP(-LN(2)/25)*BQ17+(1-EXP(-LN(2)/25))/(LN(2)/25)*Calculateur!BL18*Calculateur!BN18*VLOOKUP('Données projet'!$B$11,'Paramètres'!$A$1:$I$88,3,0)*0.475*44/12</f>
        <v>0</v>
      </c>
      <c r="BR18" s="162">
        <f>EXP(-LN(2)/2)*BR17+(1-EXP(-LN(2)/2))/(LN(2)/2)*BL18*BO18*VLOOKUP('Données projet'!$B$11,'Paramètres'!$A$1:$I$88,3,0)*0.475*44/12</f>
        <v>0</v>
      </c>
      <c r="BS18" s="163">
        <f t="shared" si="10"/>
        <v>0</v>
      </c>
      <c r="BT18" s="159">
        <f>('Scénario référence'!$F$8+'Scénario référence'!$F$9+'Scénario référence'!$B$17+'Scénario référence'!$B$9+'Scénario référence'!$B$10)*70+IF((45+25*(1-EXP(-0.0175*A18)))&lt;70,'Scénario référence'!$B$16*(45+25*(1-EXP(-0.0175*A18))),70*'Scénario référence'!$B$16)+IF((32+38*(1-EXP(-0.0175*A18)))&lt;70,'Scénario référence'!$B$18*(32+38*(1-EXP(-0.0175*A18))),70*'Scénario référence'!$B$18)</f>
        <v>70</v>
      </c>
      <c r="BU18" s="151">
        <f>IF(A18&gt;30,10,('Scénario référence'!$B$16+'Scénario référence'!$B$17+'Scénario référence'!$B$18+'Scénario référence'!$B$9+'Scénario référence'!$B$10)*A18*10/30+('Scénario référence'!$F$8+'Scénario référence'!$F$9)*10)</f>
        <v>5</v>
      </c>
      <c r="BV18" s="151" t="str">
        <f>VLOOKUP(A18,'Données projet'!$A$113:$I$133,2,0)</f>
        <v>#N/A</v>
      </c>
      <c r="BW18" s="150" t="str">
        <f>VLOOKUP(A18,'Données projet'!$A$113:$I$133,9,0)</f>
        <v>#N/A</v>
      </c>
      <c r="BX18" s="150" t="str">
        <f t="array" ref="BX18">INDEX(BW:BW,MIN(IF(ISNUMBER(BW18:BW214),ROW(BW18:BW214),"")))</f>
        <v/>
      </c>
      <c r="BY18" s="150">
        <f>IF('Données projet'!$A$114&gt;35,BY17+BX18-CG17,IF(A18&lt;'Données projet'!$A$114,$BV$205^A18,IF(A18='Données projet'!$A$114,'Données projet'!$B$114,BY17+BX18-CG17)))</f>
        <v>0</v>
      </c>
      <c r="BZ18" s="150" t="str">
        <f>BY18*VLOOKUP('Données projet'!$B$12,'Paramètres'!$A$1:$I$88,3,0)*VLOOKUP('Données projet'!$B$12,'Paramètres'!$A$1:$I$88,5,0)</f>
        <v>#N/A</v>
      </c>
      <c r="CA18" s="150" t="str">
        <f t="shared" si="40"/>
        <v>#N/A</v>
      </c>
      <c r="CB18" s="161" t="str">
        <f t="shared" si="11"/>
        <v>#N/A</v>
      </c>
      <c r="CC18" s="153" t="str">
        <f t="shared" si="12"/>
        <v>#N/A</v>
      </c>
      <c r="CD18" s="153" t="str">
        <f>AVERAGE(OFFSET($CC$3,0,0,'Données projet'!$E$12+1,1))-AVERAGE(OFFSET($H$3,0,0,'Données projet'!$E$12+1,1))</f>
        <v>#N/A</v>
      </c>
      <c r="CE18" s="153" t="str">
        <f t="shared" si="41"/>
        <v>#N/A</v>
      </c>
      <c r="CF18" s="154">
        <f>IF(ISNA(VLOOKUP(A18,'Données projet'!$A$113:$I$133,3,0)),0,VLOOKUP(A18,'Données projet'!$A$113:$I$133,3,0))</f>
        <v>0</v>
      </c>
      <c r="CG18" s="154">
        <f>IF(ISNA(VLOOKUP(A18,'Données projet'!$A$113:$I$133,4,0)),0,VLOOKUP(A18,'Données projet'!$A$113:$I$133,4,0))</f>
        <v>0</v>
      </c>
      <c r="CH18" s="155">
        <f>IF(ISNA(VLOOKUP(A18,'Données projet'!$A$113:$I$133,5,0)),0%,VLOOKUP(A18,'Données projet'!$A$113:$I$133,5,0)*VLOOKUP('Données projet'!$B$12,'Paramètres'!$A$1:$I$88,7,0))</f>
        <v>0</v>
      </c>
      <c r="CI18" s="155">
        <f>IF(ISNA(VLOOKUP(A18,'Données projet'!$A$113:$I$133,6,0)),0%,VLOOKUP(A18,'Données projet'!$A$113:$I$133,6,0)*VLOOKUP('Données projet'!$B$12,'Paramètres'!$A$1:$I$88,7,0))</f>
        <v>0</v>
      </c>
      <c r="CJ18" s="155">
        <f>IF(ISNA(VLOOKUP(A18,'Données projet'!$A$113:$I$133,7,0)),0%,VLOOKUP(A18,'Données projet'!$A$113:$I$133,7,0))</f>
        <v>0</v>
      </c>
      <c r="CK18" s="162" t="str">
        <f>EXP(-LN(2)/35)*CK17+(1-EXP(-LN(2)/35))/(LN(2)/35)*CG18*CH18*VLOOKUP('Données projet'!$B$12,'Paramètres'!$A$1:$I$88,3,0)*0.475*44/12</f>
        <v>#N/A</v>
      </c>
      <c r="CL18" s="162" t="str">
        <f>EXP(-LN(2)/25)*CL17+(1-EXP(-LN(2)/25))/(LN(2)/25)*Calculateur!CG18*Calculateur!CI18*VLOOKUP('Données projet'!$B$12,'Paramètres'!$A$1:$I$88,3,0)*0.475*44/12</f>
        <v>#N/A</v>
      </c>
      <c r="CM18" s="162" t="str">
        <f>EXP(-LN(2)/2)*CM17+(1-EXP(-LN(2)/2))/(LN(2)/2)*CG18*CJ18*VLOOKUP('Données projet'!$B$12,'Paramètres'!$A$1:$I$88,3,0)*0.475*44/12</f>
        <v>#N/A</v>
      </c>
      <c r="CN18" s="163" t="str">
        <f t="shared" si="13"/>
        <v>#N/A</v>
      </c>
      <c r="CO18" s="159">
        <f>('Scénario référence'!$F$8+'Scénario référence'!$F$9+'Scénario référence'!$B$17+'Scénario référence'!$B$9+'Scénario référence'!$B$10)*70+IF((45+25*(1-EXP(-0.0175*A18)))&lt;70,'Scénario référence'!$B$16*(45+25*(1-EXP(-0.0175*A18))),70*'Scénario référence'!$B$16)+IF((32+38*(1-EXP(-0.0175*A18)))&lt;70,'Scénario référence'!$B$18*(32+38*(1-EXP(-0.0175*A18))),70*'Scénario référence'!$B$18)</f>
        <v>70</v>
      </c>
      <c r="CP18" s="151">
        <f>IF(A18&gt;30,10,('Scénario référence'!$B$16+'Scénario référence'!$B$17+'Scénario référence'!$B$18+'Scénario référence'!$B$9+'Scénario référence'!$B$10)*A18*10/30+('Scénario référence'!$F$8+'Scénario référence'!$F$9)*10)</f>
        <v>5</v>
      </c>
      <c r="CQ18" s="151" t="str">
        <f>VLOOKUP(A18,'Données projet'!$A$139:$I$159,2,0)</f>
        <v>#N/A</v>
      </c>
      <c r="CR18" s="151" t="str">
        <f>VLOOKUP(A18,'Données projet'!$A$139:$I$159,9,0)</f>
        <v>#N/A</v>
      </c>
      <c r="CS18" s="151" t="str">
        <f t="array" ref="CS18">INDEX(CR:CR,MIN(IF(ISNUMBER(CR18:CR214),ROW(CR18:CR214),"")))</f>
        <v/>
      </c>
      <c r="CT18" s="151">
        <f>IF('Données projet'!$A$140&gt;35,CT17+CS18-DB17,IF(A18&lt;'Données projet'!$A$140,$CQ$205^A18,IF(A18='Données projet'!$A$140,'Données projet'!$B$140,CT17+CS18-DB17)))</f>
        <v>0</v>
      </c>
      <c r="CU18" s="158" t="str">
        <f>CT18*VLOOKUP('Données projet'!$B$13,'Paramètres'!$A$1:$I$88,3,0)*VLOOKUP('Données projet'!$B$13,'Paramètres'!$A$1:$I$88,5,0)</f>
        <v>#N/A</v>
      </c>
      <c r="CV18" s="150" t="str">
        <f t="shared" si="42"/>
        <v>#N/A</v>
      </c>
      <c r="CW18" s="161" t="str">
        <f t="shared" si="14"/>
        <v>#N/A</v>
      </c>
      <c r="CX18" s="153" t="str">
        <f t="shared" si="15"/>
        <v>#N/A</v>
      </c>
      <c r="CY18" s="153" t="str">
        <f>AVERAGE(OFFSET($CX$3,0,0,'Données projet'!$E$13+1,1))-AVERAGE(OFFSET($H$3,0,0,'Données projet'!$E$13+1,1))</f>
        <v>#N/A</v>
      </c>
      <c r="CZ18" s="153" t="str">
        <f t="shared" si="43"/>
        <v>#N/A</v>
      </c>
      <c r="DA18" s="154">
        <f>IF(ISNA(VLOOKUP(A18,'Données projet'!$A$139:$I$159,3,0)),0,VLOOKUP(A18,'Données projet'!$A$139:$I$159,3,0))</f>
        <v>0</v>
      </c>
      <c r="DB18" s="154">
        <f>IF(ISNA(VLOOKUP(A18,'Données projet'!$A$139:$I$159,4,0)),0,VLOOKUP(A18,'Données projet'!$A$139:$I$159,4,0))</f>
        <v>0</v>
      </c>
      <c r="DC18" s="155">
        <f>IF(ISNA(VLOOKUP(A18,'Données projet'!$A$139:$I$159,5,0)),0%,VLOOKUP(A18,'Données projet'!$A$139:$I$159,5,0)*VLOOKUP('Données projet'!$B$13,'Paramètres'!$A$1:$I$88,7,0))</f>
        <v>0</v>
      </c>
      <c r="DD18" s="155">
        <f>IF(ISNA(VLOOKUP(A18,'Données projet'!$A$139:$I$159,6,0)),0%,VLOOKUP(A18,'Données projet'!$A$139:$I$159,6,0)*VLOOKUP('Données projet'!$B$13,'Paramètres'!$A$1:$I$88,7,0))</f>
        <v>0</v>
      </c>
      <c r="DE18" s="155">
        <f>IF(ISNA(VLOOKUP(A18,'Données projet'!$A$139:$I$159,7,0)),0%,VLOOKUP(A18,'Données projet'!$A$139:$I$159,7,0))</f>
        <v>0</v>
      </c>
      <c r="DF18" s="162" t="str">
        <f>EXP(-LN(2)/35)*DF17+(1-EXP(-LN(2)/35))/(LN(2)/35)*DB18*DC18*VLOOKUP('Données projet'!$B$13,'Paramètres'!$A$1:$I$88,3,0)*0.475*44/12</f>
        <v>#N/A</v>
      </c>
      <c r="DG18" s="162" t="str">
        <f>EXP(-LN(2)/25)*DG17+(1-EXP(-LN(2)/25))/(LN(2)/25)*Calculateur!DB18*Calculateur!DD18*VLOOKUP('Données projet'!$B$13,'Paramètres'!$A$1:$I$88,3,0)*0.475*44/12</f>
        <v>#N/A</v>
      </c>
      <c r="DH18" s="162" t="str">
        <f>EXP(-LN(2)/2)*DH17+(1-EXP(-LN(2)/2))/(LN(2)/2)*DB18*DE18*VLOOKUP('Données projet'!$B$13,'Paramètres'!$A$1:$I$88,3,0)*0.475*44/12</f>
        <v>#N/A</v>
      </c>
      <c r="DI18" s="163" t="str">
        <f t="shared" si="16"/>
        <v>#N/A</v>
      </c>
      <c r="DJ18" s="159">
        <f>('Scénario référence'!$F$8+'Scénario référence'!$F$9+'Scénario référence'!$B$17+'Scénario référence'!$B$9+'Scénario référence'!$B$10)*70+IF((45+25*(1-EXP(-0.0175*A18)))&lt;70,'Scénario référence'!$B$16*(45+25*(1-EXP(-0.0175*A18))),70*'Scénario référence'!$B$16)+IF((32+38*(1-EXP(-0.0175*A18)))&lt;70,'Scénario référence'!$B$18*(32+38*(1-EXP(-0.0175*A18))),70*'Scénario référence'!$B$18)</f>
        <v>70</v>
      </c>
      <c r="DK18" s="151">
        <f>IF(A18&gt;30,10,('Scénario référence'!$B$16+'Scénario référence'!$B$17+'Scénario référence'!$B$18+'Scénario référence'!$B$9+'Scénario référence'!$B$10)*A18*10/30+('Scénario référence'!$F$8+'Scénario référence'!$F$9)*10)</f>
        <v>5</v>
      </c>
      <c r="DL18" s="151" t="str">
        <f>VLOOKUP(A18,'Données projet'!$A$165:$I$185,2,0)</f>
        <v>#N/A</v>
      </c>
      <c r="DM18" s="151" t="str">
        <f>VLOOKUP(A18,'Données projet'!$A$165:$I$185,9,0)</f>
        <v>#N/A</v>
      </c>
      <c r="DN18" s="151" t="str">
        <f t="array" ref="DN18">INDEX(DM:DM,MIN(IF(ISNUMBER(DM18:DM214),ROW(DM18:DM214),"")))</f>
        <v/>
      </c>
      <c r="DO18" s="151">
        <f>IF('Données projet'!$A$166&gt;35,DO17+DN18-DW17,IF(A18&lt;'Données projet'!$A$166,$DL$205^A18,IF(A18='Données projet'!$A$166,'Données projet'!$B$166,DO17+DN18-DW17)))</f>
        <v>0</v>
      </c>
      <c r="DP18" s="158" t="str">
        <f>DO18*VLOOKUP('Données projet'!$B$14,'Paramètres'!$A$1:$I$88,3,0)*VLOOKUP('Données projet'!$B$14,'Paramètres'!$A$1:$I$88,5,0)</f>
        <v>#N/A</v>
      </c>
      <c r="DQ18" s="150" t="str">
        <f t="shared" si="44"/>
        <v>#N/A</v>
      </c>
      <c r="DR18" s="161" t="str">
        <f t="shared" si="17"/>
        <v>#N/A</v>
      </c>
      <c r="DS18" s="153" t="str">
        <f t="shared" si="18"/>
        <v>#N/A</v>
      </c>
      <c r="DT18" s="153" t="str">
        <f>AVERAGE(OFFSET($DS$3,0,0,'Données projet'!$E$14+1,1))-AVERAGE(OFFSET($H$3,0,0,'Données projet'!$E$14+1,1))</f>
        <v>#N/A</v>
      </c>
      <c r="DU18" s="153" t="str">
        <f t="shared" si="45"/>
        <v>#N/A</v>
      </c>
      <c r="DV18" s="154">
        <f>IF(ISNA(VLOOKUP(A18,'Données projet'!$A$165:$I$185,3,0)),0,VLOOKUP(A18,'Données projet'!$A$165:$I$185,3,0))</f>
        <v>0</v>
      </c>
      <c r="DW18" s="154">
        <f>IF(ISNA(VLOOKUP(A18,'Données projet'!$A$165:$I$185,4,0)),0,VLOOKUP(A18,'Données projet'!$A$165:$I$185,4,0))</f>
        <v>0</v>
      </c>
      <c r="DX18" s="155">
        <f>IF(ISNA(VLOOKUP(A18,'Données projet'!$A$165:$I$185,5,0)),0%,VLOOKUP(A18,'Données projet'!$A$165:$I$185,5,0)*VLOOKUP('Données projet'!$B$14,'Paramètres'!$A$1:$I$88,7,0))</f>
        <v>0</v>
      </c>
      <c r="DY18" s="155">
        <f>IF(ISNA(VLOOKUP(A18,'Données projet'!$A$165:$I$185,6,0)),0%,VLOOKUP(A18,'Données projet'!$A$165:$I$185,6,0)*VLOOKUP('Données projet'!$B$14,'Paramètres'!$A$1:$I$88,7,0))</f>
        <v>0</v>
      </c>
      <c r="DZ18" s="155">
        <f>IF(ISNA(VLOOKUP(A18,'Données projet'!$A$165:$I$185,7,0)),0%,VLOOKUP(A18,'Données projet'!$A$165:$I$185,7,0))</f>
        <v>0</v>
      </c>
      <c r="EA18" s="162" t="str">
        <f>EXP(-LN(2)/35)*EA17+(1-EXP(-LN(2)/35))/(LN(2)/35)*DW18*DX18*VLOOKUP('Données projet'!$B$14,'Paramètres'!$A$1:$I$88,3,0)*0.475*44/12</f>
        <v>#N/A</v>
      </c>
      <c r="EB18" s="162" t="str">
        <f>EXP(-LN(2)/25)*EB17+(1-EXP(-LN(2)/25))/(LN(2)/25)*Calculateur!DW18*Calculateur!DY18*VLOOKUP('Données projet'!$B$14,'Paramètres'!$A$1:$I$88,3,0)*0.475*44/12</f>
        <v>#N/A</v>
      </c>
      <c r="EC18" s="162" t="str">
        <f>EXP(-LN(2)/2)*EC17+(1-EXP(-LN(2)/2))/(LN(2)/2)*DW18*DZ18*VLOOKUP('Données projet'!$B$14,'Paramètres'!$A$1:$I$88,3,0)*0.475*44/12</f>
        <v>#N/A</v>
      </c>
      <c r="ED18" s="163" t="str">
        <f t="shared" si="19"/>
        <v>#N/A</v>
      </c>
      <c r="EE18" s="159">
        <f>('Scénario référence'!$F$8+'Scénario référence'!$F$9+'Scénario référence'!$B$17+'Scénario référence'!$B$9+'Scénario référence'!$B$10)*70+IF((45+25*(1-EXP(-0.0175*A18)))&lt;70,'Scénario référence'!$B$16*(45+25*(1-EXP(-0.0175*A18))),70*'Scénario référence'!$B$16)+IF((32+38*(1-EXP(-0.0175*A18)))&lt;70,'Scénario référence'!$B$18*(32+38*(1-EXP(-0.0175*A18))),70*'Scénario référence'!$B$18)</f>
        <v>70</v>
      </c>
      <c r="EF18" s="151">
        <f>IF(A18&gt;30,10,('Scénario référence'!$B$16+'Scénario référence'!$B$17+'Scénario référence'!$B$18+'Scénario référence'!$B$9+'Scénario référence'!$B$10)*A18*10/30+('Scénario référence'!$F$8+'Scénario référence'!$F$9)*10)</f>
        <v>5</v>
      </c>
      <c r="EG18" s="151" t="str">
        <f>VLOOKUP(A18,'Données projet'!$A$191:$I$211,2,0)</f>
        <v>#N/A</v>
      </c>
      <c r="EH18" s="151" t="str">
        <f>VLOOKUP(A18,'Données projet'!$A$191:$I$211,9,0)</f>
        <v>#N/A</v>
      </c>
      <c r="EI18" s="151" t="str">
        <f t="array" ref="EI18">INDEX(EH:EH,MIN(IF(ISNUMBER(EH18:EH214),ROW(EH18:EH214),"")))</f>
        <v/>
      </c>
      <c r="EJ18" s="151">
        <f>IF('Données projet'!$A$192&gt;35,EJ17+EI18-ER17,IF(A18&lt;'Données projet'!$A$192,$EG$205^A18,IF(A18='Données projet'!$A$192,'Données projet'!$B$192,EJ17+EI18-ER17)))</f>
        <v>0</v>
      </c>
      <c r="EK18" s="158" t="str">
        <f>EJ18*VLOOKUP('Données projet'!$B$15,'Paramètres'!$A$1:$I$88,3,0)*VLOOKUP('Données projet'!$B$15,'Paramètres'!$A$1:$I$88,5,0)</f>
        <v>#N/A</v>
      </c>
      <c r="EL18" s="150" t="str">
        <f t="shared" si="46"/>
        <v>#N/A</v>
      </c>
      <c r="EM18" s="161" t="str">
        <f t="shared" si="20"/>
        <v>#N/A</v>
      </c>
      <c r="EN18" s="153" t="str">
        <f t="shared" si="21"/>
        <v>#N/A</v>
      </c>
      <c r="EO18" s="153" t="str">
        <f>AVERAGE(OFFSET($EN$3,0,0,'Données projet'!$E$15+1,1))-AVERAGE(OFFSET($H$3,0,0,'Données projet'!$E$15+1,1))</f>
        <v>#N/A</v>
      </c>
      <c r="EP18" s="153" t="str">
        <f t="shared" si="47"/>
        <v>#N/A</v>
      </c>
      <c r="EQ18" s="154">
        <f>IF(ISNA(VLOOKUP(A18,'Données projet'!$A$191:$I$211,3,0)),0,VLOOKUP(A18,'Données projet'!$A$191:$I$211,3,0))</f>
        <v>0</v>
      </c>
      <c r="ER18" s="154">
        <f>IF(ISNA(VLOOKUP(A18,'Données projet'!$A$191:$I$211,4,0)),0,VLOOKUP(A18,'Données projet'!$A$191:$I$211,4,0))</f>
        <v>0</v>
      </c>
      <c r="ES18" s="155">
        <f>IF(ISNA(VLOOKUP(A18,'Données projet'!$A$191:$I$211,5,0)),0%,VLOOKUP(A18,'Données projet'!$A$191:$I$211,5,0)*VLOOKUP('Données projet'!$B$15,'Paramètres'!$A$1:$I$88,7,0))</f>
        <v>0</v>
      </c>
      <c r="ET18" s="155">
        <f>IF(ISNA(VLOOKUP(A18,'Données projet'!$A$191:$I$211,6,0)),0%,VLOOKUP(A18,'Données projet'!$A$191:$I$211,6,0)*VLOOKUP('Données projet'!$B$15,'Paramètres'!$A$1:$I$88,7,0))</f>
        <v>0</v>
      </c>
      <c r="EU18" s="155">
        <f>IF(ISNA(VLOOKUP(A18,'Données projet'!$A$191:$I$211,7,0)),0%,VLOOKUP(A18,'Données projet'!$A$191:$I$211,7,0))</f>
        <v>0</v>
      </c>
      <c r="EV18" s="162" t="str">
        <f>EXP(-LN(2)/35)*EV17+(1-EXP(-LN(2)/35))/(LN(2)/35)*ER18*ES18*VLOOKUP('Données projet'!$B$15,'Paramètres'!$A$1:$I$88,3,0)*0.475*44/12</f>
        <v>#N/A</v>
      </c>
      <c r="EW18" s="162" t="str">
        <f>EXP(-LN(2)/25)*EW17+(1-EXP(-LN(2)/25))/(LN(2)/25)*Calculateur!ER18*Calculateur!ET18*VLOOKUP('Données projet'!$B$15,'Paramètres'!$A$1:$I$88,3,0)*0.475*44/12</f>
        <v>#N/A</v>
      </c>
      <c r="EX18" s="162" t="str">
        <f>EXP(-LN(2)/2)*EX17+(1-EXP(-LN(2)/2))/(LN(2)/2)*ER18*EU18*VLOOKUP('Données projet'!$B$15,'Paramètres'!$A$1:$I$88,3,0)*0.475*44/12</f>
        <v>#N/A</v>
      </c>
      <c r="EY18" s="163" t="str">
        <f t="shared" si="22"/>
        <v>#N/A</v>
      </c>
      <c r="EZ18" s="159">
        <f>('Scénario référence'!$F$8+'Scénario référence'!$F$9+'Scénario référence'!$B$17+'Scénario référence'!$B$9+'Scénario référence'!$B$10)*70+IF((45+25*(1-EXP(-0.0175*A18)))&lt;70,'Scénario référence'!$B$16*(45+25*(1-EXP(-0.0175*A18))),70*'Scénario référence'!$B$16)+IF((32+38*(1-EXP(-0.0175*A18)))&lt;70,'Scénario référence'!$B$18*(32+38*(1-EXP(-0.0175*A18))),70*'Scénario référence'!$B$18)</f>
        <v>70</v>
      </c>
      <c r="FA18" s="151">
        <f>IF(A18&gt;30,10,('Scénario référence'!$B$16+'Scénario référence'!$B$17+'Scénario référence'!$B$18+'Scénario référence'!$B$9+'Scénario référence'!$B$10)*A18*10/30+('Scénario référence'!$F$8+'Scénario référence'!$F$9)*10)</f>
        <v>5</v>
      </c>
      <c r="FB18" s="151" t="str">
        <f>VLOOKUP(A18,'Données projet'!$A$217:$I$237,2,0)</f>
        <v>#N/A</v>
      </c>
      <c r="FC18" s="151" t="str">
        <f>VLOOKUP(A18,'Données projet'!$A$217:$I$237,9,0)</f>
        <v>#N/A</v>
      </c>
      <c r="FD18" s="151" t="str">
        <f t="array" ref="FD18">INDEX(FC:FC,MIN(IF(ISNUMBER(FC18:FC214),ROW(FC18:FC214),"")))</f>
        <v/>
      </c>
      <c r="FE18" s="151">
        <f>IF('Données projet'!$A$218&gt;35,FE17+FD18-FM17,IF(A18&lt;'Données projet'!$A$218,$FB$205^A18,IF(A18='Données projet'!$A$218,'Données projet'!$B$218,FE17+FD18-FM17)))</f>
        <v>0</v>
      </c>
      <c r="FF18" s="158" t="str">
        <f>FE18*VLOOKUP('Données projet'!$B$16,'Paramètres'!$A$1:$I$88,3,0)*VLOOKUP('Données projet'!$B$16,'Paramètres'!$A$1:$I$88,5,0)</f>
        <v>#N/A</v>
      </c>
      <c r="FG18" s="150" t="str">
        <f t="shared" si="48"/>
        <v>#N/A</v>
      </c>
      <c r="FH18" s="161" t="str">
        <f t="shared" si="23"/>
        <v>#N/A</v>
      </c>
      <c r="FI18" s="153" t="str">
        <f t="shared" si="24"/>
        <v>#N/A</v>
      </c>
      <c r="FJ18" s="153" t="str">
        <f>AVERAGE(OFFSET($FI$3,0,0,'Données projet'!$E$16+1,1))-AVERAGE(OFFSET($H$3,0,0,'Données projet'!$E$16+1,1))</f>
        <v>#N/A</v>
      </c>
      <c r="FK18" s="153" t="str">
        <f t="shared" si="49"/>
        <v>#N/A</v>
      </c>
      <c r="FL18" s="154">
        <f>IF(ISNA(VLOOKUP(A18,'Données projet'!$A$217:$I$237,3,0)),0,VLOOKUP(A18,'Données projet'!$A$217:$I$237,3,0))</f>
        <v>0</v>
      </c>
      <c r="FM18" s="154">
        <f>IF(ISNA(VLOOKUP(A18,'Données projet'!$A$217:$I$237,4,0)),0,VLOOKUP(A18,'Données projet'!$A$217:$I$237,4,0))</f>
        <v>0</v>
      </c>
      <c r="FN18" s="155">
        <f>IF(ISNA(VLOOKUP(A18,'Données projet'!$A$217:$I$237,5,0)),0%,VLOOKUP(A18,'Données projet'!$A$217:$I$237,5,0)*VLOOKUP('Données projet'!$B$16,'Paramètres'!$A$1:$I$88,7,0))</f>
        <v>0</v>
      </c>
      <c r="FO18" s="155">
        <f>IF(ISNA(VLOOKUP(A18,'Données projet'!$A$217:$I$237,6,0)),0%,VLOOKUP(A18,'Données projet'!$A$217:$I$237,6,0)*VLOOKUP('Données projet'!$B$16,'Paramètres'!$A$1:$I$88,7,0))</f>
        <v>0</v>
      </c>
      <c r="FP18" s="155">
        <f>IF(ISNA(VLOOKUP(A18,'Données projet'!$A$217:$I$237,7,0)),0%,VLOOKUP(A18,'Données projet'!$A$217:$I$237,7,0))</f>
        <v>0</v>
      </c>
      <c r="FQ18" s="162" t="str">
        <f>EXP(-LN(2)/35)*FQ17+(1-EXP(-LN(2)/35))/(LN(2)/35)*FM18*FN18*VLOOKUP('Données projet'!$B$16,'Paramètres'!$A$1:$I$88,3,0)*0.475*44/12</f>
        <v>#N/A</v>
      </c>
      <c r="FR18" s="162" t="str">
        <f>EXP(-LN(2)/25)*FR17+(1-EXP(-LN(2)/25))/(LN(2)/25)*Calculateur!FM18*Calculateur!FO18*VLOOKUP('Données projet'!$B$16,'Paramètres'!$A$1:$I$88,3,0)*0.475*44/12</f>
        <v>#N/A</v>
      </c>
      <c r="FS18" s="162" t="str">
        <f>EXP(-LN(2)/2)*FS17+(1-EXP(-LN(2)/2))/(LN(2)/2)*FM18*FP18*VLOOKUP('Données projet'!$B$16,'Paramètres'!$A$1:$I$88,3,0)*0.475*44/12</f>
        <v>#N/A</v>
      </c>
      <c r="FT18" s="163" t="str">
        <f t="shared" si="25"/>
        <v>#N/A</v>
      </c>
      <c r="FU18" s="159">
        <f>('Scénario référence'!$F$8+'Scénario référence'!$F$9+'Scénario référence'!$B$17+'Scénario référence'!$B$9+'Scénario référence'!$B$10)*70+IF((45+25*(1-EXP(-0.0175*A18)))&lt;70,'Scénario référence'!$B$16*(45+25*(1-EXP(-0.0175*A18))),70*'Scénario référence'!$B$16)+IF((32+38*(1-EXP(-0.0175*A18)))&lt;70,'Scénario référence'!$B$18*(32+38*(1-EXP(-0.0175*A18))),70*'Scénario référence'!$B$18)</f>
        <v>70</v>
      </c>
      <c r="FV18" s="151">
        <f>IF(A18&gt;30,10,('Scénario référence'!$B$16+'Scénario référence'!$B$17+'Scénario référence'!$B$18+'Scénario référence'!$B$9+'Scénario référence'!$B$10)*A18*10/30+('Scénario référence'!$F$8+'Scénario référence'!$F$9)*10)</f>
        <v>5</v>
      </c>
      <c r="FW18" s="151" t="str">
        <f>VLOOKUP(A18,'Données projet'!$A$243:$I$263,2,0)</f>
        <v>#N/A</v>
      </c>
      <c r="FX18" s="151" t="str">
        <f>VLOOKUP(A18,'Données projet'!$A$243:$I$263,9,0)</f>
        <v>#N/A</v>
      </c>
      <c r="FY18" s="151" t="str">
        <f t="array" ref="FY18">INDEX(FX:FX,MIN(IF(ISNUMBER(FX18:FX214),ROW(FX18:FX214),"")))</f>
        <v/>
      </c>
      <c r="FZ18" s="151">
        <f>IF('Données projet'!$A$244&gt;35,FZ17+FY18-GH17,IF(A18&lt;'Données projet'!$A$244,$FW$205^A18,IF(A18='Données projet'!$A$244,'Données projet'!$B$244,FZ17+FY18-GH17)))</f>
        <v>0</v>
      </c>
      <c r="GA18" s="158" t="str">
        <f>FZ18*VLOOKUP('Données projet'!$B$17,'Paramètres'!$A$1:$I$88,3,0)*VLOOKUP('Données projet'!$B$17,'Paramètres'!$A$1:$I$88,5,0)</f>
        <v>#N/A</v>
      </c>
      <c r="GB18" s="150" t="str">
        <f t="shared" si="50"/>
        <v>#N/A</v>
      </c>
      <c r="GC18" s="161" t="str">
        <f t="shared" si="26"/>
        <v>#N/A</v>
      </c>
      <c r="GD18" s="153" t="str">
        <f t="shared" si="27"/>
        <v>#N/A</v>
      </c>
      <c r="GE18" s="153" t="str">
        <f>AVERAGE(OFFSET($GD$3,0,0,'Données projet'!$E$17+1,1))-AVERAGE(OFFSET($H$3,0,0,'Données projet'!$E$17+1,1))</f>
        <v>#N/A</v>
      </c>
      <c r="GF18" s="153" t="str">
        <f t="shared" si="51"/>
        <v>#N/A</v>
      </c>
      <c r="GG18" s="154">
        <f>IF(ISNA(VLOOKUP(A18,'Données projet'!$A$243:$I$263,3,0)),0,VLOOKUP(A18,'Données projet'!$A$243:$I$263,3,0))</f>
        <v>0</v>
      </c>
      <c r="GH18" s="154">
        <f>IF(ISNA(VLOOKUP(A18,'Données projet'!$A$243:$I$263,4,0)),0,VLOOKUP(A18,'Données projet'!$A$243:$I$263,4,0))</f>
        <v>0</v>
      </c>
      <c r="GI18" s="155">
        <f>IF(ISNA(VLOOKUP(A18,'Données projet'!$A$243:$I$263,5,0)),0%,VLOOKUP(A18,'Données projet'!$A$243:$I$263,5,0)*VLOOKUP('Données projet'!$B$17,'Paramètres'!$A$1:$I$88,7,0))</f>
        <v>0</v>
      </c>
      <c r="GJ18" s="155">
        <f>IF(ISNA(VLOOKUP(A18,'Données projet'!$A$243:$I$263,6,0)),0%,VLOOKUP(A18,'Données projet'!$A$243:$I$263,6,0)*VLOOKUP('Données projet'!$B$17,'Paramètres'!$A$1:$I$88,7,0))</f>
        <v>0</v>
      </c>
      <c r="GK18" s="155">
        <f>IF(ISNA(VLOOKUP(A18,'Données projet'!$A$243:$I$263,7,0)),0%,VLOOKUP(A18,'Données projet'!$A$243:$I$263,7,0))</f>
        <v>0</v>
      </c>
      <c r="GL18" s="162" t="str">
        <f>EXP(-LN(2)/35)*GL17+(1-EXP(-LN(2)/35))/(LN(2)/35)*GH18*GI18*VLOOKUP('Données projet'!$B$17,'Paramètres'!$A$1:$I$88,3,0)*0.475*44/12</f>
        <v>#N/A</v>
      </c>
      <c r="GM18" s="162" t="str">
        <f>EXP(-LN(2)/25)*GM17+(1-EXP(-LN(2)/25))/(LN(2)/25)*Calculateur!GH18*Calculateur!GJ18*VLOOKUP('Données projet'!$B$17,'Paramètres'!$A$1:$I$88,3,0)*0.475*44/12</f>
        <v>#N/A</v>
      </c>
      <c r="GN18" s="162" t="str">
        <f>EXP(-LN(2)/2)*GN17+(1-EXP(-LN(2)/2))/(LN(2)/2)*GH18*GK18*VLOOKUP('Données projet'!$B$17,'Paramètres'!$A$1:$I$88,3,0)*0.475*44/12</f>
        <v>#N/A</v>
      </c>
      <c r="GO18" s="162" t="str">
        <f t="shared" si="28"/>
        <v>#N/A</v>
      </c>
      <c r="GP18" s="159">
        <f>('Scénario référence'!$F$8+'Scénario référence'!$F$9+'Scénario référence'!$B$17+'Scénario référence'!$B$9+'Scénario référence'!$B$10)*70+IF((45+25*(1-EXP(-0.0175*A18)))&lt;70,'Scénario référence'!$B$16*(45+25*(1-EXP(-0.0175*A18))),70*'Scénario référence'!$B$16)+IF((32+38*(1-EXP(-0.0175*A18)))&lt;70,'Scénario référence'!$B$18*(32+38*(1-EXP(-0.0175*A18))),70*'Scénario référence'!$B$18)</f>
        <v>70</v>
      </c>
      <c r="GQ18" s="151">
        <f>IF(A18&gt;30,10,('Scénario référence'!$B$16+'Scénario référence'!$B$17+'Scénario référence'!$B$18+'Scénario référence'!$B$9+'Scénario référence'!$B$10)*A18*10/30+('Scénario référence'!$F$8+'Scénario référence'!$F$9)*10)</f>
        <v>5</v>
      </c>
      <c r="GR18" s="151" t="str">
        <f>VLOOKUP(A18,'Données projet'!$A$269:$I$289,2,0)</f>
        <v>#N/A</v>
      </c>
      <c r="GS18" s="151" t="str">
        <f>VLOOKUP(A18,'Données projet'!$A$269:$I$289,9,0)</f>
        <v>#N/A</v>
      </c>
      <c r="GT18" s="151" t="str">
        <f t="array" ref="GT18">INDEX(GS:GS,MIN(IF(ISNUMBER(GS18:GS214),ROW(GS18:GS214),"")))</f>
        <v/>
      </c>
      <c r="GU18" s="151">
        <f>IF('Données projet'!$A$270&gt;35,GU17+GT18-HC17,IF(A18&lt;'Données projet'!$A$270,$GR$205^A18,IF(A18='Données projet'!$A$270,'Données projet'!$B$270,GU17+GT18-HC17)))</f>
        <v>0</v>
      </c>
      <c r="GV18" s="158" t="str">
        <f>GU18*VLOOKUP('Données projet'!$B$18,'Paramètres'!$A$1:$I$88,3,0)*VLOOKUP('Données projet'!$B$18,'Paramètres'!$A$1:$I$88,5,0)</f>
        <v>#N/A</v>
      </c>
      <c r="GW18" s="150" t="str">
        <f t="shared" si="52"/>
        <v>#N/A</v>
      </c>
      <c r="GX18" s="161" t="str">
        <f t="shared" si="29"/>
        <v>#N/A</v>
      </c>
      <c r="GY18" s="153" t="str">
        <f t="shared" si="30"/>
        <v>#N/A</v>
      </c>
      <c r="GZ18" s="153" t="str">
        <f>AVERAGE(OFFSET($GY$3,0,0,'Données projet'!$E$18+1,1))-AVERAGE(OFFSET($H$3,0,0,'Données projet'!$E$18+1,1))</f>
        <v>#N/A</v>
      </c>
      <c r="HA18" s="153" t="str">
        <f t="shared" si="53"/>
        <v>#N/A</v>
      </c>
      <c r="HB18" s="154">
        <f>IF(ISNA(VLOOKUP(A18,'Données projet'!$A$269:$I$289,3,0)),0,VLOOKUP(A18,'Données projet'!$A$269:$I$289,3,0))</f>
        <v>0</v>
      </c>
      <c r="HC18" s="154">
        <f>IF(ISNA(VLOOKUP(A18,'Données projet'!$A$269:$I$289,4,0)),0,VLOOKUP(A18,'Données projet'!$A$269:$I$289,4,0))</f>
        <v>0</v>
      </c>
      <c r="HD18" s="155">
        <f>IF(ISNA(VLOOKUP(A18,'Données projet'!$A$269:$I$289,5,0)),0%,VLOOKUP(A18,'Données projet'!$A$269:$I$289,5,0)*VLOOKUP('Données projet'!$B$18,'Paramètres'!$A$1:$I$88,7,0))</f>
        <v>0</v>
      </c>
      <c r="HE18" s="155">
        <f>IF(ISNA(VLOOKUP(A18,'Données projet'!$A$269:$I$289,6,0)),0%,VLOOKUP(A18,'Données projet'!$A$269:$I$289,6,0)*VLOOKUP('Données projet'!$B$18,'Paramètres'!$A$1:$I$88,7,0))</f>
        <v>0</v>
      </c>
      <c r="HF18" s="155">
        <f>IF(ISNA(VLOOKUP(A18,'Données projet'!$A$269:$I$289,7,0)),0%,VLOOKUP(A18,'Données projet'!$A$269:$I$289,7,0))</f>
        <v>0</v>
      </c>
      <c r="HG18" s="162" t="str">
        <f>EXP(-LN(2)/35)*HG17+(1-EXP(-LN(2)/35))/(LN(2)/35)*HC18*HD18*VLOOKUP('Données projet'!$B$18,'Paramètres'!$A$1:$I$88,3,0)*0.475*44/12</f>
        <v>#N/A</v>
      </c>
      <c r="HH18" s="162" t="str">
        <f>EXP(-LN(2)/25)*HH17+(1-EXP(-LN(2)/25))/(LN(2)/25)*Calculateur!HC18*Calculateur!HE18*VLOOKUP('Données projet'!$B$18,'Paramètres'!$A$1:$I$88,3,0)*0.475*44/12</f>
        <v>#N/A</v>
      </c>
      <c r="HI18" s="162" t="str">
        <f>EXP(-LN(2)/2)*HI17+(1-EXP(-LN(2)/2))/(LN(2)/2)*HC18*HF18*VLOOKUP('Données projet'!$B$18,'Paramètres'!$A$1:$I$88,3,0)*0.475*44/12</f>
        <v>#N/A</v>
      </c>
      <c r="HJ18" s="163" t="str">
        <f t="shared" si="31"/>
        <v>#N/A</v>
      </c>
    </row>
    <row r="19">
      <c r="A19" s="145">
        <f t="shared" si="32"/>
        <v>16</v>
      </c>
      <c r="B19" s="146">
        <f>'Scénario référence'!$B$16*5+'Scénario référence'!$B$17*0+'Scénario référence'!$B$18*5</f>
        <v>0</v>
      </c>
      <c r="C19" s="160">
        <f>Calculateur!C18+'Scénario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9" s="147">
        <f t="shared" si="33"/>
        <v>0</v>
      </c>
      <c r="E19" s="147">
        <f>'Scénario référence'!$B$16*45+('Scénario référence'!$B$17+'Scénario référence'!$F$8+'Scénario référence'!$F$9+'Scénario référence'!$B$10+'Scénario référence'!$B$9)*70+'Scénario référence'!$B$18*32</f>
        <v>70</v>
      </c>
      <c r="F19" s="147">
        <f>IF(OR('Scénario référence'!$F$8&gt;0,'Scénario référence'!$F$9&gt;0),('Scénario référence'!$F$8+'Scénario référence'!$F$9)*10,0)</f>
        <v>0</v>
      </c>
      <c r="G19" s="147">
        <f>'Scénario référence'!$B$8*B19*44/12+'Scénario référence'!$B$9*(C19+D19)/0.475*44/12+'Scénario référence'!$B$10*(C19+D19)/0.475*44/12+'Scénario référence'!$F$8*(C19+D19)/0.475*44/12+'Scénario référence'!$F$9*(C19+D19)/0.475*44/12</f>
        <v>0</v>
      </c>
      <c r="H19" s="148">
        <f t="shared" si="1"/>
        <v>256.6666667</v>
      </c>
      <c r="I19" s="149">
        <f>('Scénario référence'!$F$8+'Scénario référence'!$F$9+'Scénario référence'!$B$17+'Scénario référence'!$B$9+'Scénario référence'!$B$10)*70+IF((45+25*(1-EXP(-0.0175*A19)))&lt;70,'Scénario référence'!$B$16*(45+25*(1-EXP(-0.0175*A19))),70*'Scénario référence'!$B$16)+IF((32+38*(1-EXP(-0.0175*A19)))&lt;70,'Scénario référence'!$B$18*(32+38*(1-EXP(-0.0175*A19))),70*'Scénario référence'!$B$18)</f>
        <v>70</v>
      </c>
      <c r="J19" s="150">
        <f>IF(A19&gt;30,10,('Scénario référence'!$B$16+'Scénario référence'!$B$17+'Scénario référence'!$B$18+'Scénario référence'!$B$9+'Scénario référence'!$B$10)*A19*10/30+('Scénario référence'!$F$8+'Scénario référence'!$F$9)*10)</f>
        <v>5.333333333</v>
      </c>
      <c r="K19" s="151" t="str">
        <f>VLOOKUP(A19,'Données projet'!$A$35:$I$55,2,0)</f>
        <v>#N/A</v>
      </c>
      <c r="L19" s="151" t="str">
        <f>VLOOKUP(A19,'Données projet'!$A$35:$I$55,9,0)</f>
        <v>#N/A</v>
      </c>
      <c r="M19" s="150">
        <f t="array" ref="M19">INDEX(L:L,MIN(IF(ISNUMBER(L19:L215),ROW(L19:L215),"")))</f>
        <v>3.65</v>
      </c>
      <c r="N19" s="150">
        <f>IF('Données projet'!$A$36&gt;35,N18+M19-V18,IF(A19&lt;'Données projet'!$A$36,$K$205^A19,IF(A19='Données projet'!$A$36,'Données projet'!$B$36,N18+M19-V18)))</f>
        <v>30.94983144</v>
      </c>
      <c r="O19" s="150">
        <f>N19*VLOOKUP('Données projet'!$B$9,'Paramètres'!$A$1:$I$88,3,0)*VLOOKUP('Données projet'!$B$9,'Paramètres'!$A$1:$I$88,5,0)</f>
        <v>28.00340749</v>
      </c>
      <c r="P19" s="150">
        <f t="shared" si="34"/>
        <v>8.756037209</v>
      </c>
      <c r="Q19" s="161">
        <f t="shared" si="2"/>
        <v>64.02269951</v>
      </c>
      <c r="R19" s="153">
        <f t="shared" si="3"/>
        <v>340.2449217</v>
      </c>
      <c r="S19" s="153">
        <f>AVERAGE(OFFSET($R$3,0,0,'Données projet'!$E$9+1,1))-AVERAGE(OFFSET($H$3,0,0,'Données projet'!$E$9+1,1))</f>
        <v>439.1985427</v>
      </c>
      <c r="T19" s="153">
        <f t="shared" si="35"/>
        <v>278.2174123</v>
      </c>
      <c r="U19" s="154">
        <f>IF(ISNA(VLOOKUP(A19,'Données projet'!$A$35:$I$55,3,0)),0,VLOOKUP(A19,'Données projet'!$A$35:$I$55,3,0))</f>
        <v>0</v>
      </c>
      <c r="V19" s="154">
        <f>IF(ISNA(VLOOKUP(A19,'Données projet'!$A$35:$I$55,4,0)),0,VLOOKUP(A19,'Données projet'!$A$35:$I$55,4,0))</f>
        <v>0</v>
      </c>
      <c r="W19" s="155">
        <f>IF(ISNA(VLOOKUP(A19,'Données projet'!$A$35:$I$55,5,0)),0%,VLOOKUP(A19,'Données projet'!$A$35:$I$55,5,0)*VLOOKUP('Données projet'!$B$9,'Paramètres'!$A$1:$I$88,7,0))</f>
        <v>0</v>
      </c>
      <c r="X19" s="155">
        <f>IF(ISNA(VLOOKUP(A19,'Données projet'!$A$35:$I$55,6,0)),0%,VLOOKUP(A19,'Données projet'!$A$35:$I$55,6,0)*VLOOKUP('Données projet'!$B$9,'Paramètres'!$A$1:$I$88,7,0))</f>
        <v>0</v>
      </c>
      <c r="Y19" s="155">
        <f>IF(ISNA(VLOOKUP(A19,'Données projet'!$A$35:$I$55,7,0)),0%,VLOOKUP(A19,'Données projet'!$A$35:$I$55,7,0))</f>
        <v>0</v>
      </c>
      <c r="Z19" s="162">
        <f>EXP(-LN(2)/35)*Z18+(1-EXP(-LN(2)/35))/(LN(2)/35)*V19*W19*VLOOKUP('Données projet'!$B$9,'Paramètres'!$A$1:$I$88,3,0)*0.475*44/12</f>
        <v>0</v>
      </c>
      <c r="AA19" s="162">
        <f>EXP(-LN(2)/25)*AA18+(1-EXP(-LN(2)/25))/(LN(2)/25)*Calculateur!V19*Calculateur!X19*VLOOKUP('Données projet'!$B$9,'Paramètres'!$A$1:$I$88,3,0)*0.475*44/12</f>
        <v>0</v>
      </c>
      <c r="AB19" s="162">
        <f>EXP(-LN(2)/2)*AB18+(1-EXP(-LN(2)/2))/(LN(2)/2)*V19*Y19*VLOOKUP('Données projet'!$B$9,'Paramètres'!$A$1:$I$88,3,0)*0.475*44/12</f>
        <v>0</v>
      </c>
      <c r="AC19" s="163">
        <f t="shared" si="4"/>
        <v>0</v>
      </c>
      <c r="AD19" s="150">
        <f>('Scénario référence'!$F$8+'Scénario référence'!$F$9+'Scénario référence'!$B$17+'Scénario référence'!$B$9+'Scénario référence'!$B$10)*70+IF((45+25*(1-EXP(-0.0175*A19)))&lt;70,'Scénario référence'!$B$16*(45+25*(1-EXP(-0.0175*A19))),70*'Scénario référence'!$B$16)+IF((32+38*(1-EXP(-0.0175*A19)))&lt;70,'Scénario référence'!$B$18*(32+38*(1-EXP(-0.0175*A19))),70*'Scénario référence'!$B$18)</f>
        <v>70</v>
      </c>
      <c r="AE19" s="150">
        <f>IF(A19&gt;30,10,('Scénario référence'!$B$16+'Scénario référence'!$B$17+'Scénario référence'!$B$18+'Scénario référence'!$B$9+'Scénario référence'!$B$10)*A19*10/30+('Scénario référence'!$F$8+'Scénario référence'!$F$9)*10)</f>
        <v>5.333333333</v>
      </c>
      <c r="AF19" s="151" t="str">
        <f>VLOOKUP(A19,'Données projet'!$A$61:$I$81,2,0)</f>
        <v>#N/A</v>
      </c>
      <c r="AG19" s="151" t="str">
        <f>VLOOKUP(A19,'Données projet'!$A$61:$I$81,9,0)</f>
        <v>#N/A</v>
      </c>
      <c r="AH19" s="150">
        <f t="array" ref="AH19">INDEX(AG:AG,MIN(IF(ISNUMBER(AG19:AG215),ROW(AG19:AG215),"")))</f>
        <v>16</v>
      </c>
      <c r="AI19" s="150">
        <f>IF('Données projet'!$A$62&gt;35,AI18+AH19-AQ18,IF(A19&lt;'Données projet'!$A$62,$AF$205^A19,IF(A19='Données projet'!$A$62,'Données projet'!$B$62,AI18+AH19-AQ18)))</f>
        <v>59</v>
      </c>
      <c r="AJ19" s="150">
        <f>AI19*VLOOKUP('Données projet'!$B$10,'Paramètres'!$A$1:$I$88,3,0)*VLOOKUP('Données projet'!$B$10,'Paramètres'!$A$1:$I$88,5,0)</f>
        <v>46.9404</v>
      </c>
      <c r="AK19" s="150">
        <f t="shared" si="36"/>
        <v>13.82072435</v>
      </c>
      <c r="AL19" s="161">
        <f t="shared" si="5"/>
        <v>105.8256249</v>
      </c>
      <c r="AM19" s="153">
        <f t="shared" si="6"/>
        <v>382.0478471</v>
      </c>
      <c r="AN19" s="153">
        <f>AVERAGE(OFFSET($AM$3,0,0,'Données projet'!$E$10+1,1))-AVERAGE(OFFSET($H$3,0,0,'Données projet'!$E$10+1,1))</f>
        <v>405.6113614</v>
      </c>
      <c r="AO19" s="153">
        <f t="shared" si="37"/>
        <v>393.0787141</v>
      </c>
      <c r="AP19" s="154">
        <f>IF(ISNA(VLOOKUP(A19,'Données projet'!$A$61:$I$81,3,0)),0,VLOOKUP(A19,'Données projet'!$A$61:$I$81,3,0))</f>
        <v>0</v>
      </c>
      <c r="AQ19" s="154">
        <f>IF(ISNA(VLOOKUP(A19,'Données projet'!$A$61:$I$81,4,0)),0,VLOOKUP(A19,'Données projet'!$A$61:$I$81,4,0))</f>
        <v>0</v>
      </c>
      <c r="AR19" s="155">
        <f>IF(ISNA(VLOOKUP(A19,'Données projet'!$A$61:$I$81,5,0)),0%,VLOOKUP(A19,'Données projet'!$A$61:$I$81,5,0)*VLOOKUP('Données projet'!$B$10,'Paramètres'!$A$1:$I$88,7,0))</f>
        <v>0</v>
      </c>
      <c r="AS19" s="155">
        <f>IF(ISNA(VLOOKUP(A19,'Données projet'!$A$61:$I$81,6,0)),0%,VLOOKUP(A19,'Données projet'!$A$61:$I$81,6,0)*VLOOKUP('Données projet'!$B$10,'Paramètres'!$A$1:$I$88,7,0))</f>
        <v>0</v>
      </c>
      <c r="AT19" s="155">
        <f>IF(ISNA(VLOOKUP(A19,'Données projet'!$A$61:$I$81,7,0)),0%,VLOOKUP(A19,'Données projet'!$A$61:$I$81,7,0))</f>
        <v>0</v>
      </c>
      <c r="AU19" s="162">
        <f>EXP(-LN(2)/35)*AU18+(1-EXP(-LN(2)/35))/(LN(2)/35)*AQ19*AR19*VLOOKUP('Données projet'!$B$10,'Paramètres'!$A$1:$I$88,3,0)*0.475*44/12</f>
        <v>0</v>
      </c>
      <c r="AV19" s="162">
        <f>EXP(-LN(2)/25)*AV18+(1-EXP(-LN(2)/25))/(LN(2)/25)*Calculateur!AQ19*Calculateur!AS19*VLOOKUP('Données projet'!$B$10,'Paramètres'!$A$1:$I$88,3,0)*0.475*44/12</f>
        <v>0</v>
      </c>
      <c r="AW19" s="162">
        <f>EXP(-LN(2)/2)*AW18+(1-EXP(-LN(2)/2))/(LN(2)/2)*AQ19*AT19*VLOOKUP('Données projet'!$B$10,'Paramètres'!$A$1:$I$88,3,0)*0.475*44/12</f>
        <v>11.14688099</v>
      </c>
      <c r="AX19" s="162">
        <f t="shared" si="7"/>
        <v>11.14688099</v>
      </c>
      <c r="AY19" s="157">
        <f>('Scénario référence'!$F$8+'Scénario référence'!$F$9+'Scénario référence'!$B$17+'Scénario référence'!$B$9+'Scénario référence'!$B$10)*70+IF((45+25*(1-EXP(-0.0175*A19)))&lt;70,'Scénario référence'!$B$16*(45+25*(1-EXP(-0.0175*A19))),70*'Scénario référence'!$B$16)+IF((32+38*(1-EXP(-0.0175*A19)))&lt;70,'Scénario référence'!$B$18*(32+38*(1-EXP(-0.0175*A19))),70*'Scénario référence'!$B$18)</f>
        <v>70</v>
      </c>
      <c r="AZ19" s="151">
        <f>IF(A19&gt;30,10,('Scénario référence'!$B$16+'Scénario référence'!$B$17+'Scénario référence'!$B$18+'Scénario référence'!$B$9+'Scénario référence'!$B$10)*A19*10/30+('Scénario référence'!$F$8+'Scénario référence'!$F$9)*10)</f>
        <v>5.333333333</v>
      </c>
      <c r="BA19" s="151" t="str">
        <f>VLOOKUP(A19,'Données projet'!$A$87:$I$107,2,0)</f>
        <v>#N/A</v>
      </c>
      <c r="BB19" s="151" t="str">
        <f>VLOOKUP(A19,'Données projet'!$A$87:$I$107,9,0)</f>
        <v>#N/A</v>
      </c>
      <c r="BC19" s="150" t="str">
        <f t="array" ref="BC19">INDEX(BB:BB,MIN(IF(ISNUMBER(BB19:BB215),ROW(BB19:BB215),"")))</f>
        <v/>
      </c>
      <c r="BD19" s="150">
        <f>IF('Données projet'!$A$88&gt;35,BD18+BC19-BL18,IF(A19&lt;'Données projet'!$A$88,$BA$205^A19,IF(A19='Données projet'!$A$88,'Données projet'!$B$88,BD18+BC19-BL18)))</f>
        <v>0</v>
      </c>
      <c r="BE19" s="150">
        <f>BD19*VLOOKUP('Données projet'!$B$11,'Paramètres'!$A$1:$I$88,3,0)*VLOOKUP('Données projet'!$B$11,'Paramètres'!$A$1:$I$88,5,0)</f>
        <v>0</v>
      </c>
      <c r="BF19" s="150" t="str">
        <f t="shared" si="38"/>
        <v>#NUM!</v>
      </c>
      <c r="BG19" s="161" t="str">
        <f t="shared" si="8"/>
        <v>#NUM!</v>
      </c>
      <c r="BH19" s="153" t="str">
        <f t="shared" si="9"/>
        <v>#NUM!</v>
      </c>
      <c r="BI19" s="153">
        <f>AVERAGE(OFFSET($BH$3,0,0,'Données projet'!$E$11+1,1))-AVERAGE(OFFSET($H$3,0,0,'Données projet'!$E$11+1,1))</f>
        <v>0</v>
      </c>
      <c r="BJ19" s="153">
        <f t="shared" si="39"/>
        <v>0</v>
      </c>
      <c r="BK19" s="154">
        <f>IF(ISNA(VLOOKUP(A19,'Données projet'!$A$87:$I$107,3,0)),0,VLOOKUP(A19,'Données projet'!$A$87:$I$107,3,0))</f>
        <v>0</v>
      </c>
      <c r="BL19" s="154">
        <f>IF(ISNA(VLOOKUP(A19,'Données projet'!$A$87:$I$107,4,0)),0,VLOOKUP(A19,'Données projet'!$A$87:$I$107,4,0))</f>
        <v>0</v>
      </c>
      <c r="BM19" s="155">
        <f>IF(ISNA(VLOOKUP(A19,'Données projet'!$A$87:$I$107,5,0)),0%,VLOOKUP(A19,'Données projet'!$A$87:$I$107,5,0)*VLOOKUP('Données projet'!$B$11,'Paramètres'!$A$1:$I$88,7,0))</f>
        <v>0</v>
      </c>
      <c r="BN19" s="155">
        <f>IF(ISNA(VLOOKUP(A19,'Données projet'!$A$87:$I$107,6,0)),0%,VLOOKUP(A19,'Données projet'!$A$87:$I$107,6,0)*VLOOKUP('Données projet'!$B$11,'Paramètres'!$A$1:$I$88,7,0))</f>
        <v>0</v>
      </c>
      <c r="BO19" s="155">
        <f>IF(ISNA(VLOOKUP(A19,'Données projet'!$A$87:$I$107,7,0)),0%,VLOOKUP(A19,'Données projet'!$A$87:$I$107,7,0))</f>
        <v>0</v>
      </c>
      <c r="BP19" s="162">
        <f>EXP(-LN(2)/35)*BP18+(1-EXP(-LN(2)/35))/(LN(2)/35)*BL19*BM19*VLOOKUP('Données projet'!$B$11,'Paramètres'!$A$1:$I$88,3,0)*0.475*44/12</f>
        <v>0</v>
      </c>
      <c r="BQ19" s="162">
        <f>EXP(-LN(2)/25)*BQ18+(1-EXP(-LN(2)/25))/(LN(2)/25)*Calculateur!BL19*Calculateur!BN19*VLOOKUP('Données projet'!$B$11,'Paramètres'!$A$1:$I$88,3,0)*0.475*44/12</f>
        <v>0</v>
      </c>
      <c r="BR19" s="162">
        <f>EXP(-LN(2)/2)*BR18+(1-EXP(-LN(2)/2))/(LN(2)/2)*BL19*BO19*VLOOKUP('Données projet'!$B$11,'Paramètres'!$A$1:$I$88,3,0)*0.475*44/12</f>
        <v>0</v>
      </c>
      <c r="BS19" s="163">
        <f t="shared" si="10"/>
        <v>0</v>
      </c>
      <c r="BT19" s="159">
        <f>('Scénario référence'!$F$8+'Scénario référence'!$F$9+'Scénario référence'!$B$17+'Scénario référence'!$B$9+'Scénario référence'!$B$10)*70+IF((45+25*(1-EXP(-0.0175*A19)))&lt;70,'Scénario référence'!$B$16*(45+25*(1-EXP(-0.0175*A19))),70*'Scénario référence'!$B$16)+IF((32+38*(1-EXP(-0.0175*A19)))&lt;70,'Scénario référence'!$B$18*(32+38*(1-EXP(-0.0175*A19))),70*'Scénario référence'!$B$18)</f>
        <v>70</v>
      </c>
      <c r="BU19" s="151">
        <f>IF(A19&gt;30,10,('Scénario référence'!$B$16+'Scénario référence'!$B$17+'Scénario référence'!$B$18+'Scénario référence'!$B$9+'Scénario référence'!$B$10)*A19*10/30+('Scénario référence'!$F$8+'Scénario référence'!$F$9)*10)</f>
        <v>5.333333333</v>
      </c>
      <c r="BV19" s="151" t="str">
        <f>VLOOKUP(A19,'Données projet'!$A$113:$I$133,2,0)</f>
        <v>#N/A</v>
      </c>
      <c r="BW19" s="151" t="str">
        <f>VLOOKUP(A19,'Données projet'!$A$113:$I$133,9,0)</f>
        <v>#N/A</v>
      </c>
      <c r="BX19" s="150" t="str">
        <f t="array" ref="BX19">INDEX(BW:BW,MIN(IF(ISNUMBER(BW19:BW215),ROW(BW19:BW215),"")))</f>
        <v/>
      </c>
      <c r="BY19" s="150">
        <f>IF('Données projet'!$A$114&gt;35,BY18+BX19-CG18,IF(A19&lt;'Données projet'!$A$114,$BV$205^A19,IF(A19='Données projet'!$A$114,'Données projet'!$B$114,BY18+BX19-CG18)))</f>
        <v>0</v>
      </c>
      <c r="BZ19" s="150" t="str">
        <f>BY19*VLOOKUP('Données projet'!$B$12,'Paramètres'!$A$1:$I$88,3,0)*VLOOKUP('Données projet'!$B$12,'Paramètres'!$A$1:$I$88,5,0)</f>
        <v>#N/A</v>
      </c>
      <c r="CA19" s="150" t="str">
        <f t="shared" si="40"/>
        <v>#N/A</v>
      </c>
      <c r="CB19" s="161" t="str">
        <f t="shared" si="11"/>
        <v>#N/A</v>
      </c>
      <c r="CC19" s="153" t="str">
        <f t="shared" si="12"/>
        <v>#N/A</v>
      </c>
      <c r="CD19" s="153" t="str">
        <f>AVERAGE(OFFSET($CC$3,0,0,'Données projet'!$E$12+1,1))-AVERAGE(OFFSET($H$3,0,0,'Données projet'!$E$12+1,1))</f>
        <v>#N/A</v>
      </c>
      <c r="CE19" s="153" t="str">
        <f t="shared" si="41"/>
        <v>#N/A</v>
      </c>
      <c r="CF19" s="154">
        <f>IF(ISNA(VLOOKUP(A19,'Données projet'!$A$113:$I$133,3,0)),0,VLOOKUP(A19,'Données projet'!$A$113:$I$133,3,0))</f>
        <v>0</v>
      </c>
      <c r="CG19" s="154">
        <f>IF(ISNA(VLOOKUP(A19,'Données projet'!$A$113:$I$133,4,0)),0,VLOOKUP(A19,'Données projet'!$A$113:$I$133,4,0))</f>
        <v>0</v>
      </c>
      <c r="CH19" s="155">
        <f>IF(ISNA(VLOOKUP(A19,'Données projet'!$A$113:$I$133,5,0)),0%,VLOOKUP(A19,'Données projet'!$A$113:$I$133,5,0)*VLOOKUP('Données projet'!$B$12,'Paramètres'!$A$1:$I$88,7,0))</f>
        <v>0</v>
      </c>
      <c r="CI19" s="155">
        <f>IF(ISNA(VLOOKUP(A19,'Données projet'!$A$113:$I$133,6,0)),0%,VLOOKUP(A19,'Données projet'!$A$113:$I$133,6,0)*VLOOKUP('Données projet'!$B$12,'Paramètres'!$A$1:$I$88,7,0))</f>
        <v>0</v>
      </c>
      <c r="CJ19" s="155">
        <f>IF(ISNA(VLOOKUP(A19,'Données projet'!$A$113:$I$133,7,0)),0%,VLOOKUP(A19,'Données projet'!$A$113:$I$133,7,0))</f>
        <v>0</v>
      </c>
      <c r="CK19" s="162" t="str">
        <f>EXP(-LN(2)/35)*CK18+(1-EXP(-LN(2)/35))/(LN(2)/35)*CG19*CH19*VLOOKUP('Données projet'!$B$12,'Paramètres'!$A$1:$I$88,3,0)*0.475*44/12</f>
        <v>#N/A</v>
      </c>
      <c r="CL19" s="162" t="str">
        <f>EXP(-LN(2)/25)*CL18+(1-EXP(-LN(2)/25))/(LN(2)/25)*Calculateur!CG19*Calculateur!CI19*VLOOKUP('Données projet'!$B$12,'Paramètres'!$A$1:$I$88,3,0)*0.475*44/12</f>
        <v>#N/A</v>
      </c>
      <c r="CM19" s="162" t="str">
        <f>EXP(-LN(2)/2)*CM18+(1-EXP(-LN(2)/2))/(LN(2)/2)*CG19*CJ19*VLOOKUP('Données projet'!$B$12,'Paramètres'!$A$1:$I$88,3,0)*0.475*44/12</f>
        <v>#N/A</v>
      </c>
      <c r="CN19" s="163" t="str">
        <f t="shared" si="13"/>
        <v>#N/A</v>
      </c>
      <c r="CO19" s="159">
        <f>('Scénario référence'!$F$8+'Scénario référence'!$F$9+'Scénario référence'!$B$17+'Scénario référence'!$B$9+'Scénario référence'!$B$10)*70+IF((45+25*(1-EXP(-0.0175*A19)))&lt;70,'Scénario référence'!$B$16*(45+25*(1-EXP(-0.0175*A19))),70*'Scénario référence'!$B$16)+IF((32+38*(1-EXP(-0.0175*A19)))&lt;70,'Scénario référence'!$B$18*(32+38*(1-EXP(-0.0175*A19))),70*'Scénario référence'!$B$18)</f>
        <v>70</v>
      </c>
      <c r="CP19" s="151">
        <f>IF(A19&gt;30,10,('Scénario référence'!$B$16+'Scénario référence'!$B$17+'Scénario référence'!$B$18+'Scénario référence'!$B$9+'Scénario référence'!$B$10)*A19*10/30+('Scénario référence'!$F$8+'Scénario référence'!$F$9)*10)</f>
        <v>5.333333333</v>
      </c>
      <c r="CQ19" s="151" t="str">
        <f>VLOOKUP(A19,'Données projet'!$A$139:$I$159,2,0)</f>
        <v>#N/A</v>
      </c>
      <c r="CR19" s="151" t="str">
        <f>VLOOKUP(A19,'Données projet'!$A$139:$I$159,9,0)</f>
        <v>#N/A</v>
      </c>
      <c r="CS19" s="151" t="str">
        <f t="array" ref="CS19">INDEX(CR:CR,MIN(IF(ISNUMBER(CR19:CR215),ROW(CR19:CR215),"")))</f>
        <v/>
      </c>
      <c r="CT19" s="151">
        <f>IF('Données projet'!$A$140&gt;35,CT18+CS19-DB18,IF(A19&lt;'Données projet'!$A$140,$CQ$205^A19,IF(A19='Données projet'!$A$140,'Données projet'!$B$140,CT18+CS19-DB18)))</f>
        <v>0</v>
      </c>
      <c r="CU19" s="158" t="str">
        <f>CT19*VLOOKUP('Données projet'!$B$13,'Paramètres'!$A$1:$I$88,3,0)*VLOOKUP('Données projet'!$B$13,'Paramètres'!$A$1:$I$88,5,0)</f>
        <v>#N/A</v>
      </c>
      <c r="CV19" s="150" t="str">
        <f t="shared" si="42"/>
        <v>#N/A</v>
      </c>
      <c r="CW19" s="161" t="str">
        <f t="shared" si="14"/>
        <v>#N/A</v>
      </c>
      <c r="CX19" s="153" t="str">
        <f t="shared" si="15"/>
        <v>#N/A</v>
      </c>
      <c r="CY19" s="153" t="str">
        <f>AVERAGE(OFFSET($CX$3,0,0,'Données projet'!$E$13+1,1))-AVERAGE(OFFSET($H$3,0,0,'Données projet'!$E$13+1,1))</f>
        <v>#N/A</v>
      </c>
      <c r="CZ19" s="153" t="str">
        <f t="shared" si="43"/>
        <v>#N/A</v>
      </c>
      <c r="DA19" s="154">
        <f>IF(ISNA(VLOOKUP(A19,'Données projet'!$A$139:$I$159,3,0)),0,VLOOKUP(A19,'Données projet'!$A$139:$I$159,3,0))</f>
        <v>0</v>
      </c>
      <c r="DB19" s="154">
        <f>IF(ISNA(VLOOKUP(A19,'Données projet'!$A$139:$I$159,4,0)),0,VLOOKUP(A19,'Données projet'!$A$139:$I$159,4,0))</f>
        <v>0</v>
      </c>
      <c r="DC19" s="155">
        <f>IF(ISNA(VLOOKUP(A19,'Données projet'!$A$139:$I$159,5,0)),0%,VLOOKUP(A19,'Données projet'!$A$139:$I$159,5,0)*VLOOKUP('Données projet'!$B$13,'Paramètres'!$A$1:$I$88,7,0))</f>
        <v>0</v>
      </c>
      <c r="DD19" s="155">
        <f>IF(ISNA(VLOOKUP(A19,'Données projet'!$A$139:$I$159,6,0)),0%,VLOOKUP(A19,'Données projet'!$A$139:$I$159,6,0)*VLOOKUP('Données projet'!$B$13,'Paramètres'!$A$1:$I$88,7,0))</f>
        <v>0</v>
      </c>
      <c r="DE19" s="155">
        <f>IF(ISNA(VLOOKUP(A19,'Données projet'!$A$139:$I$159,7,0)),0%,VLOOKUP(A19,'Données projet'!$A$139:$I$159,7,0))</f>
        <v>0</v>
      </c>
      <c r="DF19" s="162" t="str">
        <f>EXP(-LN(2)/35)*DF18+(1-EXP(-LN(2)/35))/(LN(2)/35)*DB19*DC19*VLOOKUP('Données projet'!$B$13,'Paramètres'!$A$1:$I$88,3,0)*0.475*44/12</f>
        <v>#N/A</v>
      </c>
      <c r="DG19" s="162" t="str">
        <f>EXP(-LN(2)/25)*DG18+(1-EXP(-LN(2)/25))/(LN(2)/25)*Calculateur!DB19*Calculateur!DD19*VLOOKUP('Données projet'!$B$13,'Paramètres'!$A$1:$I$88,3,0)*0.475*44/12</f>
        <v>#N/A</v>
      </c>
      <c r="DH19" s="162" t="str">
        <f>EXP(-LN(2)/2)*DH18+(1-EXP(-LN(2)/2))/(LN(2)/2)*DB19*DE19*VLOOKUP('Données projet'!$B$13,'Paramètres'!$A$1:$I$88,3,0)*0.475*44/12</f>
        <v>#N/A</v>
      </c>
      <c r="DI19" s="163" t="str">
        <f t="shared" si="16"/>
        <v>#N/A</v>
      </c>
      <c r="DJ19" s="159">
        <f>('Scénario référence'!$F$8+'Scénario référence'!$F$9+'Scénario référence'!$B$17+'Scénario référence'!$B$9+'Scénario référence'!$B$10)*70+IF((45+25*(1-EXP(-0.0175*A19)))&lt;70,'Scénario référence'!$B$16*(45+25*(1-EXP(-0.0175*A19))),70*'Scénario référence'!$B$16)+IF((32+38*(1-EXP(-0.0175*A19)))&lt;70,'Scénario référence'!$B$18*(32+38*(1-EXP(-0.0175*A19))),70*'Scénario référence'!$B$18)</f>
        <v>70</v>
      </c>
      <c r="DK19" s="151">
        <f>IF(A19&gt;30,10,('Scénario référence'!$B$16+'Scénario référence'!$B$17+'Scénario référence'!$B$18+'Scénario référence'!$B$9+'Scénario référence'!$B$10)*A19*10/30+('Scénario référence'!$F$8+'Scénario référence'!$F$9)*10)</f>
        <v>5.333333333</v>
      </c>
      <c r="DL19" s="151" t="str">
        <f>VLOOKUP(A19,'Données projet'!$A$165:$I$185,2,0)</f>
        <v>#N/A</v>
      </c>
      <c r="DM19" s="151" t="str">
        <f>VLOOKUP(A19,'Données projet'!$A$165:$I$185,9,0)</f>
        <v>#N/A</v>
      </c>
      <c r="DN19" s="151" t="str">
        <f t="array" ref="DN19">INDEX(DM:DM,MIN(IF(ISNUMBER(DM19:DM215),ROW(DM19:DM215),"")))</f>
        <v/>
      </c>
      <c r="DO19" s="151">
        <f>IF('Données projet'!$A$166&gt;35,DO18+DN19-DW18,IF(A19&lt;'Données projet'!$A$166,$DL$205^A19,IF(A19='Données projet'!$A$166,'Données projet'!$B$166,DO18+DN19-DW18)))</f>
        <v>0</v>
      </c>
      <c r="DP19" s="158" t="str">
        <f>DO19*VLOOKUP('Données projet'!$B$14,'Paramètres'!$A$1:$I$88,3,0)*VLOOKUP('Données projet'!$B$14,'Paramètres'!$A$1:$I$88,5,0)</f>
        <v>#N/A</v>
      </c>
      <c r="DQ19" s="150" t="str">
        <f t="shared" si="44"/>
        <v>#N/A</v>
      </c>
      <c r="DR19" s="161" t="str">
        <f t="shared" si="17"/>
        <v>#N/A</v>
      </c>
      <c r="DS19" s="153" t="str">
        <f t="shared" si="18"/>
        <v>#N/A</v>
      </c>
      <c r="DT19" s="153" t="str">
        <f>AVERAGE(OFFSET($DS$3,0,0,'Données projet'!$E$14+1,1))-AVERAGE(OFFSET($H$3,0,0,'Données projet'!$E$14+1,1))</f>
        <v>#N/A</v>
      </c>
      <c r="DU19" s="153" t="str">
        <f t="shared" si="45"/>
        <v>#N/A</v>
      </c>
      <c r="DV19" s="154">
        <f>IF(ISNA(VLOOKUP(A19,'Données projet'!$A$165:$I$185,3,0)),0,VLOOKUP(A19,'Données projet'!$A$165:$I$185,3,0))</f>
        <v>0</v>
      </c>
      <c r="DW19" s="154">
        <f>IF(ISNA(VLOOKUP(A19,'Données projet'!$A$165:$I$185,4,0)),0,VLOOKUP(A19,'Données projet'!$A$165:$I$185,4,0))</f>
        <v>0</v>
      </c>
      <c r="DX19" s="155">
        <f>IF(ISNA(VLOOKUP(A19,'Données projet'!$A$165:$I$185,5,0)),0%,VLOOKUP(A19,'Données projet'!$A$165:$I$185,5,0)*VLOOKUP('Données projet'!$B$14,'Paramètres'!$A$1:$I$88,7,0))</f>
        <v>0</v>
      </c>
      <c r="DY19" s="155">
        <f>IF(ISNA(VLOOKUP(A19,'Données projet'!$A$165:$I$185,6,0)),0%,VLOOKUP(A19,'Données projet'!$A$165:$I$185,6,0)*VLOOKUP('Données projet'!$B$14,'Paramètres'!$A$1:$I$88,7,0))</f>
        <v>0</v>
      </c>
      <c r="DZ19" s="155">
        <f>IF(ISNA(VLOOKUP(A19,'Données projet'!$A$165:$I$185,7,0)),0%,VLOOKUP(A19,'Données projet'!$A$165:$I$185,7,0))</f>
        <v>0</v>
      </c>
      <c r="EA19" s="162" t="str">
        <f>EXP(-LN(2)/35)*EA18+(1-EXP(-LN(2)/35))/(LN(2)/35)*DW19*DX19*VLOOKUP('Données projet'!$B$14,'Paramètres'!$A$1:$I$88,3,0)*0.475*44/12</f>
        <v>#N/A</v>
      </c>
      <c r="EB19" s="162" t="str">
        <f>EXP(-LN(2)/25)*EB18+(1-EXP(-LN(2)/25))/(LN(2)/25)*Calculateur!DW19*Calculateur!DY19*VLOOKUP('Données projet'!$B$14,'Paramètres'!$A$1:$I$88,3,0)*0.475*44/12</f>
        <v>#N/A</v>
      </c>
      <c r="EC19" s="162" t="str">
        <f>EXP(-LN(2)/2)*EC18+(1-EXP(-LN(2)/2))/(LN(2)/2)*DW19*DZ19*VLOOKUP('Données projet'!$B$14,'Paramètres'!$A$1:$I$88,3,0)*0.475*44/12</f>
        <v>#N/A</v>
      </c>
      <c r="ED19" s="163" t="str">
        <f t="shared" si="19"/>
        <v>#N/A</v>
      </c>
      <c r="EE19" s="159">
        <f>('Scénario référence'!$F$8+'Scénario référence'!$F$9+'Scénario référence'!$B$17+'Scénario référence'!$B$9+'Scénario référence'!$B$10)*70+IF((45+25*(1-EXP(-0.0175*A19)))&lt;70,'Scénario référence'!$B$16*(45+25*(1-EXP(-0.0175*A19))),70*'Scénario référence'!$B$16)+IF((32+38*(1-EXP(-0.0175*A19)))&lt;70,'Scénario référence'!$B$18*(32+38*(1-EXP(-0.0175*A19))),70*'Scénario référence'!$B$18)</f>
        <v>70</v>
      </c>
      <c r="EF19" s="151">
        <f>IF(A19&gt;30,10,('Scénario référence'!$B$16+'Scénario référence'!$B$17+'Scénario référence'!$B$18+'Scénario référence'!$B$9+'Scénario référence'!$B$10)*A19*10/30+('Scénario référence'!$F$8+'Scénario référence'!$F$9)*10)</f>
        <v>5.333333333</v>
      </c>
      <c r="EG19" s="151" t="str">
        <f>VLOOKUP(A19,'Données projet'!$A$191:$I$211,2,0)</f>
        <v>#N/A</v>
      </c>
      <c r="EH19" s="151" t="str">
        <f>VLOOKUP(A19,'Données projet'!$A$191:$I$211,9,0)</f>
        <v>#N/A</v>
      </c>
      <c r="EI19" s="151" t="str">
        <f t="array" ref="EI19">INDEX(EH:EH,MIN(IF(ISNUMBER(EH19:EH215),ROW(EH19:EH215),"")))</f>
        <v/>
      </c>
      <c r="EJ19" s="151">
        <f>IF('Données projet'!$A$192&gt;35,EJ18+EI19-ER18,IF(A19&lt;'Données projet'!$A$192,$EG$205^A19,IF(A19='Données projet'!$A$192,'Données projet'!$B$192,EJ18+EI19-ER18)))</f>
        <v>0</v>
      </c>
      <c r="EK19" s="158" t="str">
        <f>EJ19*VLOOKUP('Données projet'!$B$15,'Paramètres'!$A$1:$I$88,3,0)*VLOOKUP('Données projet'!$B$15,'Paramètres'!$A$1:$I$88,5,0)</f>
        <v>#N/A</v>
      </c>
      <c r="EL19" s="150" t="str">
        <f t="shared" si="46"/>
        <v>#N/A</v>
      </c>
      <c r="EM19" s="161" t="str">
        <f t="shared" si="20"/>
        <v>#N/A</v>
      </c>
      <c r="EN19" s="153" t="str">
        <f t="shared" si="21"/>
        <v>#N/A</v>
      </c>
      <c r="EO19" s="153" t="str">
        <f>AVERAGE(OFFSET($EN$3,0,0,'Données projet'!$E$15+1,1))-AVERAGE(OFFSET($H$3,0,0,'Données projet'!$E$15+1,1))</f>
        <v>#N/A</v>
      </c>
      <c r="EP19" s="153" t="str">
        <f t="shared" si="47"/>
        <v>#N/A</v>
      </c>
      <c r="EQ19" s="154">
        <f>IF(ISNA(VLOOKUP(A19,'Données projet'!$A$191:$I$211,3,0)),0,VLOOKUP(A19,'Données projet'!$A$191:$I$211,3,0))</f>
        <v>0</v>
      </c>
      <c r="ER19" s="154">
        <f>IF(ISNA(VLOOKUP(A19,'Données projet'!$A$191:$I$211,4,0)),0,VLOOKUP(A19,'Données projet'!$A$191:$I$211,4,0))</f>
        <v>0</v>
      </c>
      <c r="ES19" s="155">
        <f>IF(ISNA(VLOOKUP(A19,'Données projet'!$A$191:$I$211,5,0)),0%,VLOOKUP(A19,'Données projet'!$A$191:$I$211,5,0)*VLOOKUP('Données projet'!$B$15,'Paramètres'!$A$1:$I$88,7,0))</f>
        <v>0</v>
      </c>
      <c r="ET19" s="155">
        <f>IF(ISNA(VLOOKUP(A19,'Données projet'!$A$191:$I$211,6,0)),0%,VLOOKUP(A19,'Données projet'!$A$191:$I$211,6,0)*VLOOKUP('Données projet'!$B$15,'Paramètres'!$A$1:$I$88,7,0))</f>
        <v>0</v>
      </c>
      <c r="EU19" s="155">
        <f>IF(ISNA(VLOOKUP(A19,'Données projet'!$A$191:$I$211,7,0)),0%,VLOOKUP(A19,'Données projet'!$A$191:$I$211,7,0))</f>
        <v>0</v>
      </c>
      <c r="EV19" s="162" t="str">
        <f>EXP(-LN(2)/35)*EV18+(1-EXP(-LN(2)/35))/(LN(2)/35)*ER19*ES19*VLOOKUP('Données projet'!$B$15,'Paramètres'!$A$1:$I$88,3,0)*0.475*44/12</f>
        <v>#N/A</v>
      </c>
      <c r="EW19" s="162" t="str">
        <f>EXP(-LN(2)/25)*EW18+(1-EXP(-LN(2)/25))/(LN(2)/25)*Calculateur!ER19*Calculateur!ET19*VLOOKUP('Données projet'!$B$15,'Paramètres'!$A$1:$I$88,3,0)*0.475*44/12</f>
        <v>#N/A</v>
      </c>
      <c r="EX19" s="162" t="str">
        <f>EXP(-LN(2)/2)*EX18+(1-EXP(-LN(2)/2))/(LN(2)/2)*ER19*EU19*VLOOKUP('Données projet'!$B$15,'Paramètres'!$A$1:$I$88,3,0)*0.475*44/12</f>
        <v>#N/A</v>
      </c>
      <c r="EY19" s="163" t="str">
        <f t="shared" si="22"/>
        <v>#N/A</v>
      </c>
      <c r="EZ19" s="159">
        <f>('Scénario référence'!$F$8+'Scénario référence'!$F$9+'Scénario référence'!$B$17+'Scénario référence'!$B$9+'Scénario référence'!$B$10)*70+IF((45+25*(1-EXP(-0.0175*A19)))&lt;70,'Scénario référence'!$B$16*(45+25*(1-EXP(-0.0175*A19))),70*'Scénario référence'!$B$16)+IF((32+38*(1-EXP(-0.0175*A19)))&lt;70,'Scénario référence'!$B$18*(32+38*(1-EXP(-0.0175*A19))),70*'Scénario référence'!$B$18)</f>
        <v>70</v>
      </c>
      <c r="FA19" s="151">
        <f>IF(A19&gt;30,10,('Scénario référence'!$B$16+'Scénario référence'!$B$17+'Scénario référence'!$B$18+'Scénario référence'!$B$9+'Scénario référence'!$B$10)*A19*10/30+('Scénario référence'!$F$8+'Scénario référence'!$F$9)*10)</f>
        <v>5.333333333</v>
      </c>
      <c r="FB19" s="151" t="str">
        <f>VLOOKUP(A19,'Données projet'!$A$217:$I$237,2,0)</f>
        <v>#N/A</v>
      </c>
      <c r="FC19" s="151" t="str">
        <f>VLOOKUP(A19,'Données projet'!$A$217:$I$237,9,0)</f>
        <v>#N/A</v>
      </c>
      <c r="FD19" s="151" t="str">
        <f t="array" ref="FD19">INDEX(FC:FC,MIN(IF(ISNUMBER(FC19:FC215),ROW(FC19:FC215),"")))</f>
        <v/>
      </c>
      <c r="FE19" s="151">
        <f>IF('Données projet'!$A$218&gt;35,FE18+FD19-FM18,IF(A19&lt;'Données projet'!$A$218,$FB$205^A19,IF(A19='Données projet'!$A$218,'Données projet'!$B$218,FE18+FD19-FM18)))</f>
        <v>0</v>
      </c>
      <c r="FF19" s="158" t="str">
        <f>FE19*VLOOKUP('Données projet'!$B$16,'Paramètres'!$A$1:$I$88,3,0)*VLOOKUP('Données projet'!$B$16,'Paramètres'!$A$1:$I$88,5,0)</f>
        <v>#N/A</v>
      </c>
      <c r="FG19" s="150" t="str">
        <f t="shared" si="48"/>
        <v>#N/A</v>
      </c>
      <c r="FH19" s="161" t="str">
        <f t="shared" si="23"/>
        <v>#N/A</v>
      </c>
      <c r="FI19" s="153" t="str">
        <f t="shared" si="24"/>
        <v>#N/A</v>
      </c>
      <c r="FJ19" s="153" t="str">
        <f>AVERAGE(OFFSET($FI$3,0,0,'Données projet'!$E$16+1,1))-AVERAGE(OFFSET($H$3,0,0,'Données projet'!$E$16+1,1))</f>
        <v>#N/A</v>
      </c>
      <c r="FK19" s="153" t="str">
        <f t="shared" si="49"/>
        <v>#N/A</v>
      </c>
      <c r="FL19" s="154">
        <f>IF(ISNA(VLOOKUP(A19,'Données projet'!$A$217:$I$237,3,0)),0,VLOOKUP(A19,'Données projet'!$A$217:$I$237,3,0))</f>
        <v>0</v>
      </c>
      <c r="FM19" s="154">
        <f>IF(ISNA(VLOOKUP(A19,'Données projet'!$A$217:$I$237,4,0)),0,VLOOKUP(A19,'Données projet'!$A$217:$I$237,4,0))</f>
        <v>0</v>
      </c>
      <c r="FN19" s="155">
        <f>IF(ISNA(VLOOKUP(A19,'Données projet'!$A$217:$I$237,5,0)),0%,VLOOKUP(A19,'Données projet'!$A$217:$I$237,5,0)*VLOOKUP('Données projet'!$B$16,'Paramètres'!$A$1:$I$88,7,0))</f>
        <v>0</v>
      </c>
      <c r="FO19" s="155">
        <f>IF(ISNA(VLOOKUP(A19,'Données projet'!$A$217:$I$237,6,0)),0%,VLOOKUP(A19,'Données projet'!$A$217:$I$237,6,0)*VLOOKUP('Données projet'!$B$16,'Paramètres'!$A$1:$I$88,7,0))</f>
        <v>0</v>
      </c>
      <c r="FP19" s="155">
        <f>IF(ISNA(VLOOKUP(A19,'Données projet'!$A$217:$I$237,7,0)),0%,VLOOKUP(A19,'Données projet'!$A$217:$I$237,7,0))</f>
        <v>0</v>
      </c>
      <c r="FQ19" s="162" t="str">
        <f>EXP(-LN(2)/35)*FQ18+(1-EXP(-LN(2)/35))/(LN(2)/35)*FM19*FN19*VLOOKUP('Données projet'!$B$16,'Paramètres'!$A$1:$I$88,3,0)*0.475*44/12</f>
        <v>#N/A</v>
      </c>
      <c r="FR19" s="162" t="str">
        <f>EXP(-LN(2)/25)*FR18+(1-EXP(-LN(2)/25))/(LN(2)/25)*Calculateur!FM19*Calculateur!FO19*VLOOKUP('Données projet'!$B$16,'Paramètres'!$A$1:$I$88,3,0)*0.475*44/12</f>
        <v>#N/A</v>
      </c>
      <c r="FS19" s="162" t="str">
        <f>EXP(-LN(2)/2)*FS18+(1-EXP(-LN(2)/2))/(LN(2)/2)*FM19*FP19*VLOOKUP('Données projet'!$B$16,'Paramètres'!$A$1:$I$88,3,0)*0.475*44/12</f>
        <v>#N/A</v>
      </c>
      <c r="FT19" s="163" t="str">
        <f t="shared" si="25"/>
        <v>#N/A</v>
      </c>
      <c r="FU19" s="159">
        <f>('Scénario référence'!$F$8+'Scénario référence'!$F$9+'Scénario référence'!$B$17+'Scénario référence'!$B$9+'Scénario référence'!$B$10)*70+IF((45+25*(1-EXP(-0.0175*A19)))&lt;70,'Scénario référence'!$B$16*(45+25*(1-EXP(-0.0175*A19))),70*'Scénario référence'!$B$16)+IF((32+38*(1-EXP(-0.0175*A19)))&lt;70,'Scénario référence'!$B$18*(32+38*(1-EXP(-0.0175*A19))),70*'Scénario référence'!$B$18)</f>
        <v>70</v>
      </c>
      <c r="FV19" s="151">
        <f>IF(A19&gt;30,10,('Scénario référence'!$B$16+'Scénario référence'!$B$17+'Scénario référence'!$B$18+'Scénario référence'!$B$9+'Scénario référence'!$B$10)*A19*10/30+('Scénario référence'!$F$8+'Scénario référence'!$F$9)*10)</f>
        <v>5.333333333</v>
      </c>
      <c r="FW19" s="151" t="str">
        <f>VLOOKUP(A19,'Données projet'!$A$243:$I$263,2,0)</f>
        <v>#N/A</v>
      </c>
      <c r="FX19" s="151" t="str">
        <f>VLOOKUP(A19,'Données projet'!$A$243:$I$263,9,0)</f>
        <v>#N/A</v>
      </c>
      <c r="FY19" s="151" t="str">
        <f t="array" ref="FY19">INDEX(FX:FX,MIN(IF(ISNUMBER(FX19:FX215),ROW(FX19:FX215),"")))</f>
        <v/>
      </c>
      <c r="FZ19" s="151">
        <f>IF('Données projet'!$A$244&gt;35,FZ18+FY19-GH18,IF(A19&lt;'Données projet'!$A$244,$FW$205^A19,IF(A19='Données projet'!$A$244,'Données projet'!$B$244,FZ18+FY19-GH18)))</f>
        <v>0</v>
      </c>
      <c r="GA19" s="158" t="str">
        <f>FZ19*VLOOKUP('Données projet'!$B$17,'Paramètres'!$A$1:$I$88,3,0)*VLOOKUP('Données projet'!$B$17,'Paramètres'!$A$1:$I$88,5,0)</f>
        <v>#N/A</v>
      </c>
      <c r="GB19" s="150" t="str">
        <f t="shared" si="50"/>
        <v>#N/A</v>
      </c>
      <c r="GC19" s="161" t="str">
        <f t="shared" si="26"/>
        <v>#N/A</v>
      </c>
      <c r="GD19" s="153" t="str">
        <f t="shared" si="27"/>
        <v>#N/A</v>
      </c>
      <c r="GE19" s="153" t="str">
        <f>AVERAGE(OFFSET($GD$3,0,0,'Données projet'!$E$17+1,1))-AVERAGE(OFFSET($H$3,0,0,'Données projet'!$E$17+1,1))</f>
        <v>#N/A</v>
      </c>
      <c r="GF19" s="153" t="str">
        <f t="shared" si="51"/>
        <v>#N/A</v>
      </c>
      <c r="GG19" s="154">
        <f>IF(ISNA(VLOOKUP(A19,'Données projet'!$A$243:$I$263,3,0)),0,VLOOKUP(A19,'Données projet'!$A$243:$I$263,3,0))</f>
        <v>0</v>
      </c>
      <c r="GH19" s="154">
        <f>IF(ISNA(VLOOKUP(A19,'Données projet'!$A$243:$I$263,4,0)),0,VLOOKUP(A19,'Données projet'!$A$243:$I$263,4,0))</f>
        <v>0</v>
      </c>
      <c r="GI19" s="155">
        <f>IF(ISNA(VLOOKUP(A19,'Données projet'!$A$243:$I$263,5,0)),0%,VLOOKUP(A19,'Données projet'!$A$243:$I$263,5,0)*VLOOKUP('Données projet'!$B$17,'Paramètres'!$A$1:$I$88,7,0))</f>
        <v>0</v>
      </c>
      <c r="GJ19" s="155">
        <f>IF(ISNA(VLOOKUP(A19,'Données projet'!$A$243:$I$263,6,0)),0%,VLOOKUP(A19,'Données projet'!$A$243:$I$263,6,0)*VLOOKUP('Données projet'!$B$17,'Paramètres'!$A$1:$I$88,7,0))</f>
        <v>0</v>
      </c>
      <c r="GK19" s="155">
        <f>IF(ISNA(VLOOKUP(A19,'Données projet'!$A$243:$I$263,7,0)),0%,VLOOKUP(A19,'Données projet'!$A$243:$I$263,7,0))</f>
        <v>0</v>
      </c>
      <c r="GL19" s="162" t="str">
        <f>EXP(-LN(2)/35)*GL18+(1-EXP(-LN(2)/35))/(LN(2)/35)*GH19*GI19*VLOOKUP('Données projet'!$B$17,'Paramètres'!$A$1:$I$88,3,0)*0.475*44/12</f>
        <v>#N/A</v>
      </c>
      <c r="GM19" s="162" t="str">
        <f>EXP(-LN(2)/25)*GM18+(1-EXP(-LN(2)/25))/(LN(2)/25)*Calculateur!GH19*Calculateur!GJ19*VLOOKUP('Données projet'!$B$17,'Paramètres'!$A$1:$I$88,3,0)*0.475*44/12</f>
        <v>#N/A</v>
      </c>
      <c r="GN19" s="162" t="str">
        <f>EXP(-LN(2)/2)*GN18+(1-EXP(-LN(2)/2))/(LN(2)/2)*GH19*GK19*VLOOKUP('Données projet'!$B$17,'Paramètres'!$A$1:$I$88,3,0)*0.475*44/12</f>
        <v>#N/A</v>
      </c>
      <c r="GO19" s="162" t="str">
        <f t="shared" si="28"/>
        <v>#N/A</v>
      </c>
      <c r="GP19" s="159">
        <f>('Scénario référence'!$F$8+'Scénario référence'!$F$9+'Scénario référence'!$B$17+'Scénario référence'!$B$9+'Scénario référence'!$B$10)*70+IF((45+25*(1-EXP(-0.0175*A19)))&lt;70,'Scénario référence'!$B$16*(45+25*(1-EXP(-0.0175*A19))),70*'Scénario référence'!$B$16)+IF((32+38*(1-EXP(-0.0175*A19)))&lt;70,'Scénario référence'!$B$18*(32+38*(1-EXP(-0.0175*A19))),70*'Scénario référence'!$B$18)</f>
        <v>70</v>
      </c>
      <c r="GQ19" s="151">
        <f>IF(A19&gt;30,10,('Scénario référence'!$B$16+'Scénario référence'!$B$17+'Scénario référence'!$B$18+'Scénario référence'!$B$9+'Scénario référence'!$B$10)*A19*10/30+('Scénario référence'!$F$8+'Scénario référence'!$F$9)*10)</f>
        <v>5.333333333</v>
      </c>
      <c r="GR19" s="151" t="str">
        <f>VLOOKUP(A19,'Données projet'!$A$269:$I$289,2,0)</f>
        <v>#N/A</v>
      </c>
      <c r="GS19" s="151" t="str">
        <f>VLOOKUP(A19,'Données projet'!$A$269:$I$289,9,0)</f>
        <v>#N/A</v>
      </c>
      <c r="GT19" s="151" t="str">
        <f t="array" ref="GT19">INDEX(GS:GS,MIN(IF(ISNUMBER(GS19:GS215),ROW(GS19:GS215),"")))</f>
        <v/>
      </c>
      <c r="GU19" s="151">
        <f>IF('Données projet'!$A$270&gt;35,GU18+GT19-HC18,IF(A19&lt;'Données projet'!$A$270,$GR$205^A19,IF(A19='Données projet'!$A$270,'Données projet'!$B$270,GU18+GT19-HC18)))</f>
        <v>0</v>
      </c>
      <c r="GV19" s="158" t="str">
        <f>GU19*VLOOKUP('Données projet'!$B$18,'Paramètres'!$A$1:$I$88,3,0)*VLOOKUP('Données projet'!$B$18,'Paramètres'!$A$1:$I$88,5,0)</f>
        <v>#N/A</v>
      </c>
      <c r="GW19" s="150" t="str">
        <f t="shared" si="52"/>
        <v>#N/A</v>
      </c>
      <c r="GX19" s="161" t="str">
        <f t="shared" si="29"/>
        <v>#N/A</v>
      </c>
      <c r="GY19" s="153" t="str">
        <f t="shared" si="30"/>
        <v>#N/A</v>
      </c>
      <c r="GZ19" s="153" t="str">
        <f>AVERAGE(OFFSET($GY$3,0,0,'Données projet'!$E$18+1,1))-AVERAGE(OFFSET($H$3,0,0,'Données projet'!$E$18+1,1))</f>
        <v>#N/A</v>
      </c>
      <c r="HA19" s="153" t="str">
        <f t="shared" si="53"/>
        <v>#N/A</v>
      </c>
      <c r="HB19" s="154">
        <f>IF(ISNA(VLOOKUP(A19,'Données projet'!$A$269:$I$289,3,0)),0,VLOOKUP(A19,'Données projet'!$A$269:$I$289,3,0))</f>
        <v>0</v>
      </c>
      <c r="HC19" s="154">
        <f>IF(ISNA(VLOOKUP(A19,'Données projet'!$A$269:$I$289,4,0)),0,VLOOKUP(A19,'Données projet'!$A$269:$I$289,4,0))</f>
        <v>0</v>
      </c>
      <c r="HD19" s="155">
        <f>IF(ISNA(VLOOKUP(A19,'Données projet'!$A$269:$I$289,5,0)),0%,VLOOKUP(A19,'Données projet'!$A$269:$I$289,5,0)*VLOOKUP('Données projet'!$B$18,'Paramètres'!$A$1:$I$88,7,0))</f>
        <v>0</v>
      </c>
      <c r="HE19" s="155">
        <f>IF(ISNA(VLOOKUP(A19,'Données projet'!$A$269:$I$289,6,0)),0%,VLOOKUP(A19,'Données projet'!$A$269:$I$289,6,0)*VLOOKUP('Données projet'!$B$18,'Paramètres'!$A$1:$I$88,7,0))</f>
        <v>0</v>
      </c>
      <c r="HF19" s="155">
        <f>IF(ISNA(VLOOKUP(A19,'Données projet'!$A$269:$I$289,7,0)),0%,VLOOKUP(A19,'Données projet'!$A$269:$I$289,7,0))</f>
        <v>0</v>
      </c>
      <c r="HG19" s="162" t="str">
        <f>EXP(-LN(2)/35)*HG18+(1-EXP(-LN(2)/35))/(LN(2)/35)*HC19*HD19*VLOOKUP('Données projet'!$B$18,'Paramètres'!$A$1:$I$88,3,0)*0.475*44/12</f>
        <v>#N/A</v>
      </c>
      <c r="HH19" s="162" t="str">
        <f>EXP(-LN(2)/25)*HH18+(1-EXP(-LN(2)/25))/(LN(2)/25)*Calculateur!HC19*Calculateur!HE19*VLOOKUP('Données projet'!$B$18,'Paramètres'!$A$1:$I$88,3,0)*0.475*44/12</f>
        <v>#N/A</v>
      </c>
      <c r="HI19" s="162" t="str">
        <f>EXP(-LN(2)/2)*HI18+(1-EXP(-LN(2)/2))/(LN(2)/2)*HC19*HF19*VLOOKUP('Données projet'!$B$18,'Paramètres'!$A$1:$I$88,3,0)*0.475*44/12</f>
        <v>#N/A</v>
      </c>
      <c r="HJ19" s="163" t="str">
        <f t="shared" si="31"/>
        <v>#N/A</v>
      </c>
    </row>
    <row r="20">
      <c r="A20" s="145">
        <f t="shared" si="32"/>
        <v>17</v>
      </c>
      <c r="B20" s="146">
        <f>'Scénario référence'!$B$16*5+'Scénario référence'!$B$17*0+'Scénario référence'!$B$18*5</f>
        <v>0</v>
      </c>
      <c r="C20" s="160">
        <f>Calculateur!C19+'Scénario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20" s="147">
        <f t="shared" si="33"/>
        <v>0</v>
      </c>
      <c r="E20" s="147">
        <f>'Scénario référence'!$B$16*45+('Scénario référence'!$B$17+'Scénario référence'!$F$8+'Scénario référence'!$F$9+'Scénario référence'!$B$10+'Scénario référence'!$B$9)*70+'Scénario référence'!$B$18*32</f>
        <v>70</v>
      </c>
      <c r="F20" s="147">
        <f>IF(OR('Scénario référence'!$F$8&gt;0,'Scénario référence'!$F$9&gt;0),('Scénario référence'!$F$8+'Scénario référence'!$F$9)*10,0)</f>
        <v>0</v>
      </c>
      <c r="G20" s="147">
        <f>'Scénario référence'!$B$8*B20*44/12+'Scénario référence'!$B$9*(C20+D20)/0.475*44/12+'Scénario référence'!$B$10*(C20+D20)/0.475*44/12+'Scénario référence'!$F$8*(C20+D20)/0.475*44/12+'Scénario référence'!$F$9*(C20+D20)/0.475*44/12</f>
        <v>0</v>
      </c>
      <c r="H20" s="148">
        <f t="shared" si="1"/>
        <v>256.6666667</v>
      </c>
      <c r="I20" s="149">
        <f>('Scénario référence'!$F$8+'Scénario référence'!$F$9+'Scénario référence'!$B$17+'Scénario référence'!$B$9+'Scénario référence'!$B$10)*70+IF((45+25*(1-EXP(-0.0175*A20)))&lt;70,'Scénario référence'!$B$16*(45+25*(1-EXP(-0.0175*A20))),70*'Scénario référence'!$B$16)+IF((32+38*(1-EXP(-0.0175*A20)))&lt;70,'Scénario référence'!$B$18*(32+38*(1-EXP(-0.0175*A20))),70*'Scénario référence'!$B$18)</f>
        <v>70</v>
      </c>
      <c r="J20" s="150">
        <f>IF(A20&gt;30,10,('Scénario référence'!$B$16+'Scénario référence'!$B$17+'Scénario référence'!$B$18+'Scénario référence'!$B$9+'Scénario référence'!$B$10)*A20*10/30+('Scénario référence'!$F$8+'Scénario référence'!$F$9)*10)</f>
        <v>5.666666667</v>
      </c>
      <c r="K20" s="151" t="str">
        <f>VLOOKUP(A20,'Données projet'!$A$35:$I$55,2,0)</f>
        <v>#N/A</v>
      </c>
      <c r="L20" s="151" t="str">
        <f>VLOOKUP(A20,'Données projet'!$A$35:$I$55,9,0)</f>
        <v>#N/A</v>
      </c>
      <c r="M20" s="150">
        <f t="array" ref="M20">INDEX(L:L,MIN(IF(ISNUMBER(L20:L216),ROW(L20:L216),"")))</f>
        <v>3.65</v>
      </c>
      <c r="N20" s="150">
        <f>IF('Données projet'!$A$36&gt;35,N19+M20-V19,IF(A20&lt;'Données projet'!$A$36,$K$205^A20,IF(A20='Données projet'!$A$36,'Données projet'!$B$36,N19+M20-V19)))</f>
        <v>38.35521585</v>
      </c>
      <c r="O20" s="150">
        <f>N20*VLOOKUP('Données projet'!$B$9,'Paramètres'!$A$1:$I$88,3,0)*VLOOKUP('Données projet'!$B$9,'Paramètres'!$A$1:$I$88,5,0)</f>
        <v>34.7037993</v>
      </c>
      <c r="P20" s="150">
        <f t="shared" si="34"/>
        <v>10.58349728</v>
      </c>
      <c r="Q20" s="161">
        <f t="shared" si="2"/>
        <v>78.87537487</v>
      </c>
      <c r="R20" s="153">
        <f t="shared" si="3"/>
        <v>356.3198193</v>
      </c>
      <c r="S20" s="153">
        <f>AVERAGE(OFFSET($R$3,0,0,'Données projet'!$E$9+1,1))-AVERAGE(OFFSET($H$3,0,0,'Données projet'!$E$9+1,1))</f>
        <v>439.1985427</v>
      </c>
      <c r="T20" s="153">
        <f t="shared" si="35"/>
        <v>278.2174123</v>
      </c>
      <c r="U20" s="154">
        <f>IF(ISNA(VLOOKUP(A20,'Données projet'!$A$35:$I$55,3,0)),0,VLOOKUP(A20,'Données projet'!$A$35:$I$55,3,0))</f>
        <v>0</v>
      </c>
      <c r="V20" s="154">
        <f>IF(ISNA(VLOOKUP(A20,'Données projet'!$A$35:$I$55,4,0)),0,VLOOKUP(A20,'Données projet'!$A$35:$I$55,4,0))</f>
        <v>0</v>
      </c>
      <c r="W20" s="155">
        <f>IF(ISNA(VLOOKUP(A20,'Données projet'!$A$35:$I$55,5,0)),0%,VLOOKUP(A20,'Données projet'!$A$35:$I$55,5,0)*VLOOKUP('Données projet'!$B$9,'Paramètres'!$A$1:$I$88,7,0))</f>
        <v>0</v>
      </c>
      <c r="X20" s="155">
        <f>IF(ISNA(VLOOKUP(A20,'Données projet'!$A$35:$I$55,6,0)),0%,VLOOKUP(A20,'Données projet'!$A$35:$I$55,6,0)*VLOOKUP('Données projet'!$B$9,'Paramètres'!$A$1:$I$88,7,0))</f>
        <v>0</v>
      </c>
      <c r="Y20" s="155">
        <f>IF(ISNA(VLOOKUP(A20,'Données projet'!$A$35:$I$55,7,0)),0%,VLOOKUP(A20,'Données projet'!$A$35:$I$55,7,0))</f>
        <v>0</v>
      </c>
      <c r="Z20" s="162">
        <f>EXP(-LN(2)/35)*Z19+(1-EXP(-LN(2)/35))/(LN(2)/35)*V20*W20*VLOOKUP('Données projet'!$B$9,'Paramètres'!$A$1:$I$88,3,0)*0.475*44/12</f>
        <v>0</v>
      </c>
      <c r="AA20" s="162">
        <f>EXP(-LN(2)/25)*AA19+(1-EXP(-LN(2)/25))/(LN(2)/25)*Calculateur!V20*Calculateur!X20*VLOOKUP('Données projet'!$B$9,'Paramètres'!$A$1:$I$88,3,0)*0.475*44/12</f>
        <v>0</v>
      </c>
      <c r="AB20" s="162">
        <f>EXP(-LN(2)/2)*AB19+(1-EXP(-LN(2)/2))/(LN(2)/2)*V20*Y20*VLOOKUP('Données projet'!$B$9,'Paramètres'!$A$1:$I$88,3,0)*0.475*44/12</f>
        <v>0</v>
      </c>
      <c r="AC20" s="163">
        <f t="shared" si="4"/>
        <v>0</v>
      </c>
      <c r="AD20" s="150">
        <f>('Scénario référence'!$F$8+'Scénario référence'!$F$9+'Scénario référence'!$B$17+'Scénario référence'!$B$9+'Scénario référence'!$B$10)*70+IF((45+25*(1-EXP(-0.0175*A20)))&lt;70,'Scénario référence'!$B$16*(45+25*(1-EXP(-0.0175*A20))),70*'Scénario référence'!$B$16)+IF((32+38*(1-EXP(-0.0175*A20)))&lt;70,'Scénario référence'!$B$18*(32+38*(1-EXP(-0.0175*A20))),70*'Scénario référence'!$B$18)</f>
        <v>70</v>
      </c>
      <c r="AE20" s="150">
        <f>IF(A20&gt;30,10,('Scénario référence'!$B$16+'Scénario référence'!$B$17+'Scénario référence'!$B$18+'Scénario référence'!$B$9+'Scénario référence'!$B$10)*A20*10/30+('Scénario référence'!$F$8+'Scénario référence'!$F$9)*10)</f>
        <v>5.666666667</v>
      </c>
      <c r="AF20" s="151" t="str">
        <f>VLOOKUP(A20,'Données projet'!$A$61:$I$81,2,0)</f>
        <v>#N/A</v>
      </c>
      <c r="AG20" s="151" t="str">
        <f>VLOOKUP(A20,'Données projet'!$A$61:$I$81,9,0)</f>
        <v>#N/A</v>
      </c>
      <c r="AH20" s="150">
        <f t="array" ref="AH20">INDEX(AG:AG,MIN(IF(ISNUMBER(AG20:AG216),ROW(AG20:AG216),"")))</f>
        <v>16</v>
      </c>
      <c r="AI20" s="150">
        <f>IF('Données projet'!$A$62&gt;35,AI19+AH20-AQ19,IF(A20&lt;'Données projet'!$A$62,$AF$205^A20,IF(A20='Données projet'!$A$62,'Données projet'!$B$62,AI19+AH20-AQ19)))</f>
        <v>75</v>
      </c>
      <c r="AJ20" s="150">
        <f>AI20*VLOOKUP('Données projet'!$B$10,'Paramètres'!$A$1:$I$88,3,0)*VLOOKUP('Données projet'!$B$10,'Paramètres'!$A$1:$I$88,5,0)</f>
        <v>59.67</v>
      </c>
      <c r="AK20" s="150">
        <f t="shared" si="36"/>
        <v>17.0848079</v>
      </c>
      <c r="AL20" s="161">
        <f t="shared" si="5"/>
        <v>133.6812904</v>
      </c>
      <c r="AM20" s="153">
        <f t="shared" si="6"/>
        <v>411.1257349</v>
      </c>
      <c r="AN20" s="153">
        <f>AVERAGE(OFFSET($AM$3,0,0,'Données projet'!$E$10+1,1))-AVERAGE(OFFSET($H$3,0,0,'Données projet'!$E$10+1,1))</f>
        <v>405.6113614</v>
      </c>
      <c r="AO20" s="153">
        <f t="shared" si="37"/>
        <v>393.0787141</v>
      </c>
      <c r="AP20" s="154">
        <f>IF(ISNA(VLOOKUP(A20,'Données projet'!$A$61:$I$81,3,0)),0,VLOOKUP(A20,'Données projet'!$A$61:$I$81,3,0))</f>
        <v>0</v>
      </c>
      <c r="AQ20" s="154">
        <f>IF(ISNA(VLOOKUP(A20,'Données projet'!$A$61:$I$81,4,0)),0,VLOOKUP(A20,'Données projet'!$A$61:$I$81,4,0))</f>
        <v>0</v>
      </c>
      <c r="AR20" s="155">
        <f>IF(ISNA(VLOOKUP(A20,'Données projet'!$A$61:$I$81,5,0)),0%,VLOOKUP(A20,'Données projet'!$A$61:$I$81,5,0)*VLOOKUP('Données projet'!$B$10,'Paramètres'!$A$1:$I$88,7,0))</f>
        <v>0</v>
      </c>
      <c r="AS20" s="155">
        <f>IF(ISNA(VLOOKUP(A20,'Données projet'!$A$61:$I$81,6,0)),0%,VLOOKUP(A20,'Données projet'!$A$61:$I$81,6,0)*VLOOKUP('Données projet'!$B$10,'Paramètres'!$A$1:$I$88,7,0))</f>
        <v>0</v>
      </c>
      <c r="AT20" s="155">
        <f>IF(ISNA(VLOOKUP(A20,'Données projet'!$A$61:$I$81,7,0)),0%,VLOOKUP(A20,'Données projet'!$A$61:$I$81,7,0))</f>
        <v>0</v>
      </c>
      <c r="AU20" s="162">
        <f>EXP(-LN(2)/35)*AU19+(1-EXP(-LN(2)/35))/(LN(2)/35)*AQ20*AR20*VLOOKUP('Données projet'!$B$10,'Paramètres'!$A$1:$I$88,3,0)*0.475*44/12</f>
        <v>0</v>
      </c>
      <c r="AV20" s="162">
        <f>EXP(-LN(2)/25)*AV19+(1-EXP(-LN(2)/25))/(LN(2)/25)*Calculateur!AQ20*Calculateur!AS20*VLOOKUP('Données projet'!$B$10,'Paramètres'!$A$1:$I$88,3,0)*0.475*44/12</f>
        <v>0</v>
      </c>
      <c r="AW20" s="162">
        <f>EXP(-LN(2)/2)*AW19+(1-EXP(-LN(2)/2))/(LN(2)/2)*AQ20*AT20*VLOOKUP('Données projet'!$B$10,'Paramètres'!$A$1:$I$88,3,0)*0.475*44/12</f>
        <v>7.882035139</v>
      </c>
      <c r="AX20" s="162">
        <f t="shared" si="7"/>
        <v>7.882035139</v>
      </c>
      <c r="AY20" s="157">
        <f>('Scénario référence'!$F$8+'Scénario référence'!$F$9+'Scénario référence'!$B$17+'Scénario référence'!$B$9+'Scénario référence'!$B$10)*70+IF((45+25*(1-EXP(-0.0175*A20)))&lt;70,'Scénario référence'!$B$16*(45+25*(1-EXP(-0.0175*A20))),70*'Scénario référence'!$B$16)+IF((32+38*(1-EXP(-0.0175*A20)))&lt;70,'Scénario référence'!$B$18*(32+38*(1-EXP(-0.0175*A20))),70*'Scénario référence'!$B$18)</f>
        <v>70</v>
      </c>
      <c r="AZ20" s="151">
        <f>IF(A20&gt;30,10,('Scénario référence'!$B$16+'Scénario référence'!$B$17+'Scénario référence'!$B$18+'Scénario référence'!$B$9+'Scénario référence'!$B$10)*A20*10/30+('Scénario référence'!$F$8+'Scénario référence'!$F$9)*10)</f>
        <v>5.666666667</v>
      </c>
      <c r="BA20" s="151" t="str">
        <f>VLOOKUP(A20,'Données projet'!$A$87:$I$107,2,0)</f>
        <v>#N/A</v>
      </c>
      <c r="BB20" s="151" t="str">
        <f>VLOOKUP(A20,'Données projet'!$A$87:$I$107,9,0)</f>
        <v>#N/A</v>
      </c>
      <c r="BC20" s="150" t="str">
        <f t="array" ref="BC20">INDEX(BB:BB,MIN(IF(ISNUMBER(BB20:BB216),ROW(BB20:BB216),"")))</f>
        <v/>
      </c>
      <c r="BD20" s="150">
        <f>IF('Données projet'!$A$88&gt;35,BD19+BC20-BL19,IF(A20&lt;'Données projet'!$A$88,$BA$205^A20,IF(A20='Données projet'!$A$88,'Données projet'!$B$88,BD19+BC20-BL19)))</f>
        <v>0</v>
      </c>
      <c r="BE20" s="150">
        <f>BD20*VLOOKUP('Données projet'!$B$11,'Paramètres'!$A$1:$I$88,3,0)*VLOOKUP('Données projet'!$B$11,'Paramètres'!$A$1:$I$88,5,0)</f>
        <v>0</v>
      </c>
      <c r="BF20" s="150" t="str">
        <f t="shared" si="38"/>
        <v>#NUM!</v>
      </c>
      <c r="BG20" s="161" t="str">
        <f t="shared" si="8"/>
        <v>#NUM!</v>
      </c>
      <c r="BH20" s="153" t="str">
        <f t="shared" si="9"/>
        <v>#NUM!</v>
      </c>
      <c r="BI20" s="153">
        <f>AVERAGE(OFFSET($BH$3,0,0,'Données projet'!$E$11+1,1))-AVERAGE(OFFSET($H$3,0,0,'Données projet'!$E$11+1,1))</f>
        <v>0</v>
      </c>
      <c r="BJ20" s="153">
        <f t="shared" si="39"/>
        <v>0</v>
      </c>
      <c r="BK20" s="154">
        <f>IF(ISNA(VLOOKUP(A20,'Données projet'!$A$87:$I$107,3,0)),0,VLOOKUP(A20,'Données projet'!$A$87:$I$107,3,0))</f>
        <v>0</v>
      </c>
      <c r="BL20" s="154">
        <f>IF(ISNA(VLOOKUP(A20,'Données projet'!$A$87:$I$107,4,0)),0,VLOOKUP(A20,'Données projet'!$A$87:$I$107,4,0))</f>
        <v>0</v>
      </c>
      <c r="BM20" s="155">
        <f>IF(ISNA(VLOOKUP(A20,'Données projet'!$A$87:$I$107,5,0)),0%,VLOOKUP(A20,'Données projet'!$A$87:$I$107,5,0)*VLOOKUP('Données projet'!$B$11,'Paramètres'!$A$1:$I$88,7,0))</f>
        <v>0</v>
      </c>
      <c r="BN20" s="155">
        <f>IF(ISNA(VLOOKUP(A20,'Données projet'!$A$87:$I$107,6,0)),0%,VLOOKUP(A20,'Données projet'!$A$87:$I$107,6,0)*VLOOKUP('Données projet'!$B$11,'Paramètres'!$A$1:$I$88,7,0))</f>
        <v>0</v>
      </c>
      <c r="BO20" s="155">
        <f>IF(ISNA(VLOOKUP(A20,'Données projet'!$A$87:$I$107,7,0)),0%,VLOOKUP(A20,'Données projet'!$A$87:$I$107,7,0))</f>
        <v>0</v>
      </c>
      <c r="BP20" s="162">
        <f>EXP(-LN(2)/35)*BP19+(1-EXP(-LN(2)/35))/(LN(2)/35)*BL20*BM20*VLOOKUP('Données projet'!$B$11,'Paramètres'!$A$1:$I$88,3,0)*0.475*44/12</f>
        <v>0</v>
      </c>
      <c r="BQ20" s="162">
        <f>EXP(-LN(2)/25)*BQ19+(1-EXP(-LN(2)/25))/(LN(2)/25)*Calculateur!BL20*Calculateur!BN20*VLOOKUP('Données projet'!$B$11,'Paramètres'!$A$1:$I$88,3,0)*0.475*44/12</f>
        <v>0</v>
      </c>
      <c r="BR20" s="162">
        <f>EXP(-LN(2)/2)*BR19+(1-EXP(-LN(2)/2))/(LN(2)/2)*BL20*BO20*VLOOKUP('Données projet'!$B$11,'Paramètres'!$A$1:$I$88,3,0)*0.475*44/12</f>
        <v>0</v>
      </c>
      <c r="BS20" s="163">
        <f t="shared" si="10"/>
        <v>0</v>
      </c>
      <c r="BT20" s="159">
        <f>('Scénario référence'!$F$8+'Scénario référence'!$F$9+'Scénario référence'!$B$17+'Scénario référence'!$B$9+'Scénario référence'!$B$10)*70+IF((45+25*(1-EXP(-0.0175*A20)))&lt;70,'Scénario référence'!$B$16*(45+25*(1-EXP(-0.0175*A20))),70*'Scénario référence'!$B$16)+IF((32+38*(1-EXP(-0.0175*A20)))&lt;70,'Scénario référence'!$B$18*(32+38*(1-EXP(-0.0175*A20))),70*'Scénario référence'!$B$18)</f>
        <v>70</v>
      </c>
      <c r="BU20" s="151">
        <f>IF(A20&gt;30,10,('Scénario référence'!$B$16+'Scénario référence'!$B$17+'Scénario référence'!$B$18+'Scénario référence'!$B$9+'Scénario référence'!$B$10)*A20*10/30+('Scénario référence'!$F$8+'Scénario référence'!$F$9)*10)</f>
        <v>5.666666667</v>
      </c>
      <c r="BV20" s="151" t="str">
        <f>VLOOKUP(A20,'Données projet'!$A$113:$I$133,2,0)</f>
        <v>#N/A</v>
      </c>
      <c r="BW20" s="151" t="str">
        <f>VLOOKUP(A20,'Données projet'!$A$113:$I$133,9,0)</f>
        <v>#N/A</v>
      </c>
      <c r="BX20" s="150" t="str">
        <f t="array" ref="BX20">INDEX(BW:BW,MIN(IF(ISNUMBER(BW20:BW216),ROW(BW20:BW216),"")))</f>
        <v/>
      </c>
      <c r="BY20" s="150">
        <f>IF('Données projet'!$A$114&gt;35,BY19+BX20-CG19,IF(A20&lt;'Données projet'!$A$114,$BV$205^A20,IF(A20='Données projet'!$A$114,'Données projet'!$B$114,BY19+BX20-CG19)))</f>
        <v>0</v>
      </c>
      <c r="BZ20" s="150" t="str">
        <f>BY20*VLOOKUP('Données projet'!$B$12,'Paramètres'!$A$1:$I$88,3,0)*VLOOKUP('Données projet'!$B$12,'Paramètres'!$A$1:$I$88,5,0)</f>
        <v>#N/A</v>
      </c>
      <c r="CA20" s="150" t="str">
        <f t="shared" si="40"/>
        <v>#N/A</v>
      </c>
      <c r="CB20" s="161" t="str">
        <f t="shared" si="11"/>
        <v>#N/A</v>
      </c>
      <c r="CC20" s="153" t="str">
        <f t="shared" si="12"/>
        <v>#N/A</v>
      </c>
      <c r="CD20" s="153" t="str">
        <f>AVERAGE(OFFSET($CC$3,0,0,'Données projet'!$E$12+1,1))-AVERAGE(OFFSET($H$3,0,0,'Données projet'!$E$12+1,1))</f>
        <v>#N/A</v>
      </c>
      <c r="CE20" s="153" t="str">
        <f t="shared" si="41"/>
        <v>#N/A</v>
      </c>
      <c r="CF20" s="154">
        <f>IF(ISNA(VLOOKUP(A20,'Données projet'!$A$113:$I$133,3,0)),0,VLOOKUP(A20,'Données projet'!$A$113:$I$133,3,0))</f>
        <v>0</v>
      </c>
      <c r="CG20" s="154">
        <f>IF(ISNA(VLOOKUP(A20,'Données projet'!$A$113:$I$133,4,0)),0,VLOOKUP(A20,'Données projet'!$A$113:$I$133,4,0))</f>
        <v>0</v>
      </c>
      <c r="CH20" s="155">
        <f>IF(ISNA(VLOOKUP(A20,'Données projet'!$A$113:$I$133,5,0)),0%,VLOOKUP(A20,'Données projet'!$A$113:$I$133,5,0)*VLOOKUP('Données projet'!$B$12,'Paramètres'!$A$1:$I$88,7,0))</f>
        <v>0</v>
      </c>
      <c r="CI20" s="155">
        <f>IF(ISNA(VLOOKUP(A20,'Données projet'!$A$113:$I$133,6,0)),0%,VLOOKUP(A20,'Données projet'!$A$113:$I$133,6,0)*VLOOKUP('Données projet'!$B$12,'Paramètres'!$A$1:$I$88,7,0))</f>
        <v>0</v>
      </c>
      <c r="CJ20" s="155">
        <f>IF(ISNA(VLOOKUP(A20,'Données projet'!$A$113:$I$133,7,0)),0%,VLOOKUP(A20,'Données projet'!$A$113:$I$133,7,0))</f>
        <v>0</v>
      </c>
      <c r="CK20" s="162" t="str">
        <f>EXP(-LN(2)/35)*CK19+(1-EXP(-LN(2)/35))/(LN(2)/35)*CG20*CH20*VLOOKUP('Données projet'!$B$12,'Paramètres'!$A$1:$I$88,3,0)*0.475*44/12</f>
        <v>#N/A</v>
      </c>
      <c r="CL20" s="162" t="str">
        <f>EXP(-LN(2)/25)*CL19+(1-EXP(-LN(2)/25))/(LN(2)/25)*Calculateur!CG20*Calculateur!CI20*VLOOKUP('Données projet'!$B$12,'Paramètres'!$A$1:$I$88,3,0)*0.475*44/12</f>
        <v>#N/A</v>
      </c>
      <c r="CM20" s="162" t="str">
        <f>EXP(-LN(2)/2)*CM19+(1-EXP(-LN(2)/2))/(LN(2)/2)*CG20*CJ20*VLOOKUP('Données projet'!$B$12,'Paramètres'!$A$1:$I$88,3,0)*0.475*44/12</f>
        <v>#N/A</v>
      </c>
      <c r="CN20" s="163" t="str">
        <f t="shared" si="13"/>
        <v>#N/A</v>
      </c>
      <c r="CO20" s="159">
        <f>('Scénario référence'!$F$8+'Scénario référence'!$F$9+'Scénario référence'!$B$17+'Scénario référence'!$B$9+'Scénario référence'!$B$10)*70+IF((45+25*(1-EXP(-0.0175*A20)))&lt;70,'Scénario référence'!$B$16*(45+25*(1-EXP(-0.0175*A20))),70*'Scénario référence'!$B$16)+IF((32+38*(1-EXP(-0.0175*A20)))&lt;70,'Scénario référence'!$B$18*(32+38*(1-EXP(-0.0175*A20))),70*'Scénario référence'!$B$18)</f>
        <v>70</v>
      </c>
      <c r="CP20" s="151">
        <f>IF(A20&gt;30,10,('Scénario référence'!$B$16+'Scénario référence'!$B$17+'Scénario référence'!$B$18+'Scénario référence'!$B$9+'Scénario référence'!$B$10)*A20*10/30+('Scénario référence'!$F$8+'Scénario référence'!$F$9)*10)</f>
        <v>5.666666667</v>
      </c>
      <c r="CQ20" s="151" t="str">
        <f>VLOOKUP(A20,'Données projet'!$A$139:$I$159,2,0)</f>
        <v>#N/A</v>
      </c>
      <c r="CR20" s="151" t="str">
        <f>VLOOKUP(A20,'Données projet'!$A$139:$I$159,9,0)</f>
        <v>#N/A</v>
      </c>
      <c r="CS20" s="151" t="str">
        <f t="array" ref="CS20">INDEX(CR:CR,MIN(IF(ISNUMBER(CR20:CR216),ROW(CR20:CR216),"")))</f>
        <v/>
      </c>
      <c r="CT20" s="151">
        <f>IF('Données projet'!$A$140&gt;35,CT19+CS20-DB19,IF(A20&lt;'Données projet'!$A$140,$CQ$205^A20,IF(A20='Données projet'!$A$140,'Données projet'!$B$140,CT19+CS20-DB19)))</f>
        <v>0</v>
      </c>
      <c r="CU20" s="158" t="str">
        <f>CT20*VLOOKUP('Données projet'!$B$13,'Paramètres'!$A$1:$I$88,3,0)*VLOOKUP('Données projet'!$B$13,'Paramètres'!$A$1:$I$88,5,0)</f>
        <v>#N/A</v>
      </c>
      <c r="CV20" s="150" t="str">
        <f t="shared" si="42"/>
        <v>#N/A</v>
      </c>
      <c r="CW20" s="161" t="str">
        <f t="shared" si="14"/>
        <v>#N/A</v>
      </c>
      <c r="CX20" s="153" t="str">
        <f t="shared" si="15"/>
        <v>#N/A</v>
      </c>
      <c r="CY20" s="153" t="str">
        <f>AVERAGE(OFFSET($CX$3,0,0,'Données projet'!$E$13+1,1))-AVERAGE(OFFSET($H$3,0,0,'Données projet'!$E$13+1,1))</f>
        <v>#N/A</v>
      </c>
      <c r="CZ20" s="153" t="str">
        <f t="shared" si="43"/>
        <v>#N/A</v>
      </c>
      <c r="DA20" s="154">
        <f>IF(ISNA(VLOOKUP(A20,'Données projet'!$A$139:$I$159,3,0)),0,VLOOKUP(A20,'Données projet'!$A$139:$I$159,3,0))</f>
        <v>0</v>
      </c>
      <c r="DB20" s="154">
        <f>IF(ISNA(VLOOKUP(A20,'Données projet'!$A$139:$I$159,4,0)),0,VLOOKUP(A20,'Données projet'!$A$139:$I$159,4,0))</f>
        <v>0</v>
      </c>
      <c r="DC20" s="155">
        <f>IF(ISNA(VLOOKUP(A20,'Données projet'!$A$139:$I$159,5,0)),0%,VLOOKUP(A20,'Données projet'!$A$139:$I$159,5,0)*VLOOKUP('Données projet'!$B$13,'Paramètres'!$A$1:$I$88,7,0))</f>
        <v>0</v>
      </c>
      <c r="DD20" s="155">
        <f>IF(ISNA(VLOOKUP(A20,'Données projet'!$A$139:$I$159,6,0)),0%,VLOOKUP(A20,'Données projet'!$A$139:$I$159,6,0)*VLOOKUP('Données projet'!$B$13,'Paramètres'!$A$1:$I$88,7,0))</f>
        <v>0</v>
      </c>
      <c r="DE20" s="155">
        <f>IF(ISNA(VLOOKUP(A20,'Données projet'!$A$139:$I$159,7,0)),0%,VLOOKUP(A20,'Données projet'!$A$139:$I$159,7,0))</f>
        <v>0</v>
      </c>
      <c r="DF20" s="162" t="str">
        <f>EXP(-LN(2)/35)*DF19+(1-EXP(-LN(2)/35))/(LN(2)/35)*DB20*DC20*VLOOKUP('Données projet'!$B$13,'Paramètres'!$A$1:$I$88,3,0)*0.475*44/12</f>
        <v>#N/A</v>
      </c>
      <c r="DG20" s="162" t="str">
        <f>EXP(-LN(2)/25)*DG19+(1-EXP(-LN(2)/25))/(LN(2)/25)*Calculateur!DB20*Calculateur!DD20*VLOOKUP('Données projet'!$B$13,'Paramètres'!$A$1:$I$88,3,0)*0.475*44/12</f>
        <v>#N/A</v>
      </c>
      <c r="DH20" s="162" t="str">
        <f>EXP(-LN(2)/2)*DH19+(1-EXP(-LN(2)/2))/(LN(2)/2)*DB20*DE20*VLOOKUP('Données projet'!$B$13,'Paramètres'!$A$1:$I$88,3,0)*0.475*44/12</f>
        <v>#N/A</v>
      </c>
      <c r="DI20" s="163" t="str">
        <f t="shared" si="16"/>
        <v>#N/A</v>
      </c>
      <c r="DJ20" s="159">
        <f>('Scénario référence'!$F$8+'Scénario référence'!$F$9+'Scénario référence'!$B$17+'Scénario référence'!$B$9+'Scénario référence'!$B$10)*70+IF((45+25*(1-EXP(-0.0175*A20)))&lt;70,'Scénario référence'!$B$16*(45+25*(1-EXP(-0.0175*A20))),70*'Scénario référence'!$B$16)+IF((32+38*(1-EXP(-0.0175*A20)))&lt;70,'Scénario référence'!$B$18*(32+38*(1-EXP(-0.0175*A20))),70*'Scénario référence'!$B$18)</f>
        <v>70</v>
      </c>
      <c r="DK20" s="151">
        <f>IF(A20&gt;30,10,('Scénario référence'!$B$16+'Scénario référence'!$B$17+'Scénario référence'!$B$18+'Scénario référence'!$B$9+'Scénario référence'!$B$10)*A20*10/30+('Scénario référence'!$F$8+'Scénario référence'!$F$9)*10)</f>
        <v>5.666666667</v>
      </c>
      <c r="DL20" s="151" t="str">
        <f>VLOOKUP(A20,'Données projet'!$A$165:$I$185,2,0)</f>
        <v>#N/A</v>
      </c>
      <c r="DM20" s="151" t="str">
        <f>VLOOKUP(A20,'Données projet'!$A$165:$I$185,9,0)</f>
        <v>#N/A</v>
      </c>
      <c r="DN20" s="151" t="str">
        <f t="array" ref="DN20">INDEX(DM:DM,MIN(IF(ISNUMBER(DM20:DM216),ROW(DM20:DM216),"")))</f>
        <v/>
      </c>
      <c r="DO20" s="151">
        <f>IF('Données projet'!$A$166&gt;35,DO19+DN20-DW19,IF(A20&lt;'Données projet'!$A$166,$DL$205^A20,IF(A20='Données projet'!$A$166,'Données projet'!$B$166,DO19+DN20-DW19)))</f>
        <v>0</v>
      </c>
      <c r="DP20" s="158" t="str">
        <f>DO20*VLOOKUP('Données projet'!$B$14,'Paramètres'!$A$1:$I$88,3,0)*VLOOKUP('Données projet'!$B$14,'Paramètres'!$A$1:$I$88,5,0)</f>
        <v>#N/A</v>
      </c>
      <c r="DQ20" s="150" t="str">
        <f t="shared" si="44"/>
        <v>#N/A</v>
      </c>
      <c r="DR20" s="161" t="str">
        <f t="shared" si="17"/>
        <v>#N/A</v>
      </c>
      <c r="DS20" s="153" t="str">
        <f t="shared" si="18"/>
        <v>#N/A</v>
      </c>
      <c r="DT20" s="153" t="str">
        <f>AVERAGE(OFFSET($DS$3,0,0,'Données projet'!$E$14+1,1))-AVERAGE(OFFSET($H$3,0,0,'Données projet'!$E$14+1,1))</f>
        <v>#N/A</v>
      </c>
      <c r="DU20" s="153" t="str">
        <f t="shared" si="45"/>
        <v>#N/A</v>
      </c>
      <c r="DV20" s="154">
        <f>IF(ISNA(VLOOKUP(A20,'Données projet'!$A$165:$I$185,3,0)),0,VLOOKUP(A20,'Données projet'!$A$165:$I$185,3,0))</f>
        <v>0</v>
      </c>
      <c r="DW20" s="154">
        <f>IF(ISNA(VLOOKUP(A20,'Données projet'!$A$165:$I$185,4,0)),0,VLOOKUP(A20,'Données projet'!$A$165:$I$185,4,0))</f>
        <v>0</v>
      </c>
      <c r="DX20" s="155">
        <f>IF(ISNA(VLOOKUP(A20,'Données projet'!$A$165:$I$185,5,0)),0%,VLOOKUP(A20,'Données projet'!$A$165:$I$185,5,0)*VLOOKUP('Données projet'!$B$14,'Paramètres'!$A$1:$I$88,7,0))</f>
        <v>0</v>
      </c>
      <c r="DY20" s="155">
        <f>IF(ISNA(VLOOKUP(A20,'Données projet'!$A$165:$I$185,6,0)),0%,VLOOKUP(A20,'Données projet'!$A$165:$I$185,6,0)*VLOOKUP('Données projet'!$B$14,'Paramètres'!$A$1:$I$88,7,0))</f>
        <v>0</v>
      </c>
      <c r="DZ20" s="155">
        <f>IF(ISNA(VLOOKUP(A20,'Données projet'!$A$165:$I$185,7,0)),0%,VLOOKUP(A20,'Données projet'!$A$165:$I$185,7,0))</f>
        <v>0</v>
      </c>
      <c r="EA20" s="162" t="str">
        <f>EXP(-LN(2)/35)*EA19+(1-EXP(-LN(2)/35))/(LN(2)/35)*DW20*DX20*VLOOKUP('Données projet'!$B$14,'Paramètres'!$A$1:$I$88,3,0)*0.475*44/12</f>
        <v>#N/A</v>
      </c>
      <c r="EB20" s="162" t="str">
        <f>EXP(-LN(2)/25)*EB19+(1-EXP(-LN(2)/25))/(LN(2)/25)*Calculateur!DW20*Calculateur!DY20*VLOOKUP('Données projet'!$B$14,'Paramètres'!$A$1:$I$88,3,0)*0.475*44/12</f>
        <v>#N/A</v>
      </c>
      <c r="EC20" s="162" t="str">
        <f>EXP(-LN(2)/2)*EC19+(1-EXP(-LN(2)/2))/(LN(2)/2)*DW20*DZ20*VLOOKUP('Données projet'!$B$14,'Paramètres'!$A$1:$I$88,3,0)*0.475*44/12</f>
        <v>#N/A</v>
      </c>
      <c r="ED20" s="163" t="str">
        <f t="shared" si="19"/>
        <v>#N/A</v>
      </c>
      <c r="EE20" s="159">
        <f>('Scénario référence'!$F$8+'Scénario référence'!$F$9+'Scénario référence'!$B$17+'Scénario référence'!$B$9+'Scénario référence'!$B$10)*70+IF((45+25*(1-EXP(-0.0175*A20)))&lt;70,'Scénario référence'!$B$16*(45+25*(1-EXP(-0.0175*A20))),70*'Scénario référence'!$B$16)+IF((32+38*(1-EXP(-0.0175*A20)))&lt;70,'Scénario référence'!$B$18*(32+38*(1-EXP(-0.0175*A20))),70*'Scénario référence'!$B$18)</f>
        <v>70</v>
      </c>
      <c r="EF20" s="151">
        <f>IF(A20&gt;30,10,('Scénario référence'!$B$16+'Scénario référence'!$B$17+'Scénario référence'!$B$18+'Scénario référence'!$B$9+'Scénario référence'!$B$10)*A20*10/30+('Scénario référence'!$F$8+'Scénario référence'!$F$9)*10)</f>
        <v>5.666666667</v>
      </c>
      <c r="EG20" s="151" t="str">
        <f>VLOOKUP(A20,'Données projet'!$A$191:$I$211,2,0)</f>
        <v>#N/A</v>
      </c>
      <c r="EH20" s="151" t="str">
        <f>VLOOKUP(A20,'Données projet'!$A$191:$I$211,9,0)</f>
        <v>#N/A</v>
      </c>
      <c r="EI20" s="151" t="str">
        <f t="array" ref="EI20">INDEX(EH:EH,MIN(IF(ISNUMBER(EH20:EH216),ROW(EH20:EH216),"")))</f>
        <v/>
      </c>
      <c r="EJ20" s="151">
        <f>IF('Données projet'!$A$192&gt;35,EJ19+EI20-ER19,IF(A20&lt;'Données projet'!$A$192,$EG$205^A20,IF(A20='Données projet'!$A$192,'Données projet'!$B$192,EJ19+EI20-ER19)))</f>
        <v>0</v>
      </c>
      <c r="EK20" s="158" t="str">
        <f>EJ20*VLOOKUP('Données projet'!$B$15,'Paramètres'!$A$1:$I$88,3,0)*VLOOKUP('Données projet'!$B$15,'Paramètres'!$A$1:$I$88,5,0)</f>
        <v>#N/A</v>
      </c>
      <c r="EL20" s="150" t="str">
        <f t="shared" si="46"/>
        <v>#N/A</v>
      </c>
      <c r="EM20" s="161" t="str">
        <f t="shared" si="20"/>
        <v>#N/A</v>
      </c>
      <c r="EN20" s="153" t="str">
        <f t="shared" si="21"/>
        <v>#N/A</v>
      </c>
      <c r="EO20" s="153" t="str">
        <f>AVERAGE(OFFSET($EN$3,0,0,'Données projet'!$E$15+1,1))-AVERAGE(OFFSET($H$3,0,0,'Données projet'!$E$15+1,1))</f>
        <v>#N/A</v>
      </c>
      <c r="EP20" s="153" t="str">
        <f t="shared" si="47"/>
        <v>#N/A</v>
      </c>
      <c r="EQ20" s="154">
        <f>IF(ISNA(VLOOKUP(A20,'Données projet'!$A$191:$I$211,3,0)),0,VLOOKUP(A20,'Données projet'!$A$191:$I$211,3,0))</f>
        <v>0</v>
      </c>
      <c r="ER20" s="154">
        <f>IF(ISNA(VLOOKUP(A20,'Données projet'!$A$191:$I$211,4,0)),0,VLOOKUP(A20,'Données projet'!$A$191:$I$211,4,0))</f>
        <v>0</v>
      </c>
      <c r="ES20" s="155">
        <f>IF(ISNA(VLOOKUP(A20,'Données projet'!$A$191:$I$211,5,0)),0%,VLOOKUP(A20,'Données projet'!$A$191:$I$211,5,0)*VLOOKUP('Données projet'!$B$15,'Paramètres'!$A$1:$I$88,7,0))</f>
        <v>0</v>
      </c>
      <c r="ET20" s="155">
        <f>IF(ISNA(VLOOKUP(A20,'Données projet'!$A$191:$I$211,6,0)),0%,VLOOKUP(A20,'Données projet'!$A$191:$I$211,6,0)*VLOOKUP('Données projet'!$B$15,'Paramètres'!$A$1:$I$88,7,0))</f>
        <v>0</v>
      </c>
      <c r="EU20" s="155">
        <f>IF(ISNA(VLOOKUP(A20,'Données projet'!$A$191:$I$211,7,0)),0%,VLOOKUP(A20,'Données projet'!$A$191:$I$211,7,0))</f>
        <v>0</v>
      </c>
      <c r="EV20" s="162" t="str">
        <f>EXP(-LN(2)/35)*EV19+(1-EXP(-LN(2)/35))/(LN(2)/35)*ER20*ES20*VLOOKUP('Données projet'!$B$15,'Paramètres'!$A$1:$I$88,3,0)*0.475*44/12</f>
        <v>#N/A</v>
      </c>
      <c r="EW20" s="162" t="str">
        <f>EXP(-LN(2)/25)*EW19+(1-EXP(-LN(2)/25))/(LN(2)/25)*Calculateur!ER20*Calculateur!ET20*VLOOKUP('Données projet'!$B$15,'Paramètres'!$A$1:$I$88,3,0)*0.475*44/12</f>
        <v>#N/A</v>
      </c>
      <c r="EX20" s="162" t="str">
        <f>EXP(-LN(2)/2)*EX19+(1-EXP(-LN(2)/2))/(LN(2)/2)*ER20*EU20*VLOOKUP('Données projet'!$B$15,'Paramètres'!$A$1:$I$88,3,0)*0.475*44/12</f>
        <v>#N/A</v>
      </c>
      <c r="EY20" s="163" t="str">
        <f t="shared" si="22"/>
        <v>#N/A</v>
      </c>
      <c r="EZ20" s="159">
        <f>('Scénario référence'!$F$8+'Scénario référence'!$F$9+'Scénario référence'!$B$17+'Scénario référence'!$B$9+'Scénario référence'!$B$10)*70+IF((45+25*(1-EXP(-0.0175*A20)))&lt;70,'Scénario référence'!$B$16*(45+25*(1-EXP(-0.0175*A20))),70*'Scénario référence'!$B$16)+IF((32+38*(1-EXP(-0.0175*A20)))&lt;70,'Scénario référence'!$B$18*(32+38*(1-EXP(-0.0175*A20))),70*'Scénario référence'!$B$18)</f>
        <v>70</v>
      </c>
      <c r="FA20" s="151">
        <f>IF(A20&gt;30,10,('Scénario référence'!$B$16+'Scénario référence'!$B$17+'Scénario référence'!$B$18+'Scénario référence'!$B$9+'Scénario référence'!$B$10)*A20*10/30+('Scénario référence'!$F$8+'Scénario référence'!$F$9)*10)</f>
        <v>5.666666667</v>
      </c>
      <c r="FB20" s="151" t="str">
        <f>VLOOKUP(A20,'Données projet'!$A$217:$I$237,2,0)</f>
        <v>#N/A</v>
      </c>
      <c r="FC20" s="151" t="str">
        <f>VLOOKUP(A20,'Données projet'!$A$217:$I$237,9,0)</f>
        <v>#N/A</v>
      </c>
      <c r="FD20" s="151" t="str">
        <f t="array" ref="FD20">INDEX(FC:FC,MIN(IF(ISNUMBER(FC20:FC216),ROW(FC20:FC216),"")))</f>
        <v/>
      </c>
      <c r="FE20" s="151">
        <f>IF('Données projet'!$A$218&gt;35,FE19+FD20-FM19,IF(A20&lt;'Données projet'!$A$218,$FB$205^A20,IF(A20='Données projet'!$A$218,'Données projet'!$B$218,FE19+FD20-FM19)))</f>
        <v>0</v>
      </c>
      <c r="FF20" s="158" t="str">
        <f>FE20*VLOOKUP('Données projet'!$B$16,'Paramètres'!$A$1:$I$88,3,0)*VLOOKUP('Données projet'!$B$16,'Paramètres'!$A$1:$I$88,5,0)</f>
        <v>#N/A</v>
      </c>
      <c r="FG20" s="150" t="str">
        <f t="shared" si="48"/>
        <v>#N/A</v>
      </c>
      <c r="FH20" s="161" t="str">
        <f t="shared" si="23"/>
        <v>#N/A</v>
      </c>
      <c r="FI20" s="153" t="str">
        <f t="shared" si="24"/>
        <v>#N/A</v>
      </c>
      <c r="FJ20" s="153" t="str">
        <f>AVERAGE(OFFSET($FI$3,0,0,'Données projet'!$E$16+1,1))-AVERAGE(OFFSET($H$3,0,0,'Données projet'!$E$16+1,1))</f>
        <v>#N/A</v>
      </c>
      <c r="FK20" s="153" t="str">
        <f t="shared" si="49"/>
        <v>#N/A</v>
      </c>
      <c r="FL20" s="154">
        <f>IF(ISNA(VLOOKUP(A20,'Données projet'!$A$217:$I$237,3,0)),0,VLOOKUP(A20,'Données projet'!$A$217:$I$237,3,0))</f>
        <v>0</v>
      </c>
      <c r="FM20" s="154">
        <f>IF(ISNA(VLOOKUP(A20,'Données projet'!$A$217:$I$237,4,0)),0,VLOOKUP(A20,'Données projet'!$A$217:$I$237,4,0))</f>
        <v>0</v>
      </c>
      <c r="FN20" s="155">
        <f>IF(ISNA(VLOOKUP(A20,'Données projet'!$A$217:$I$237,5,0)),0%,VLOOKUP(A20,'Données projet'!$A$217:$I$237,5,0)*VLOOKUP('Données projet'!$B$16,'Paramètres'!$A$1:$I$88,7,0))</f>
        <v>0</v>
      </c>
      <c r="FO20" s="155">
        <f>IF(ISNA(VLOOKUP(A20,'Données projet'!$A$217:$I$237,6,0)),0%,VLOOKUP(A20,'Données projet'!$A$217:$I$237,6,0)*VLOOKUP('Données projet'!$B$16,'Paramètres'!$A$1:$I$88,7,0))</f>
        <v>0</v>
      </c>
      <c r="FP20" s="155">
        <f>IF(ISNA(VLOOKUP(A20,'Données projet'!$A$217:$I$237,7,0)),0%,VLOOKUP(A20,'Données projet'!$A$217:$I$237,7,0))</f>
        <v>0</v>
      </c>
      <c r="FQ20" s="162" t="str">
        <f>EXP(-LN(2)/35)*FQ19+(1-EXP(-LN(2)/35))/(LN(2)/35)*FM20*FN20*VLOOKUP('Données projet'!$B$16,'Paramètres'!$A$1:$I$88,3,0)*0.475*44/12</f>
        <v>#N/A</v>
      </c>
      <c r="FR20" s="162" t="str">
        <f>EXP(-LN(2)/25)*FR19+(1-EXP(-LN(2)/25))/(LN(2)/25)*Calculateur!FM20*Calculateur!FO20*VLOOKUP('Données projet'!$B$16,'Paramètres'!$A$1:$I$88,3,0)*0.475*44/12</f>
        <v>#N/A</v>
      </c>
      <c r="FS20" s="162" t="str">
        <f>EXP(-LN(2)/2)*FS19+(1-EXP(-LN(2)/2))/(LN(2)/2)*FM20*FP20*VLOOKUP('Données projet'!$B$16,'Paramètres'!$A$1:$I$88,3,0)*0.475*44/12</f>
        <v>#N/A</v>
      </c>
      <c r="FT20" s="163" t="str">
        <f t="shared" si="25"/>
        <v>#N/A</v>
      </c>
      <c r="FU20" s="159">
        <f>('Scénario référence'!$F$8+'Scénario référence'!$F$9+'Scénario référence'!$B$17+'Scénario référence'!$B$9+'Scénario référence'!$B$10)*70+IF((45+25*(1-EXP(-0.0175*A20)))&lt;70,'Scénario référence'!$B$16*(45+25*(1-EXP(-0.0175*A20))),70*'Scénario référence'!$B$16)+IF((32+38*(1-EXP(-0.0175*A20)))&lt;70,'Scénario référence'!$B$18*(32+38*(1-EXP(-0.0175*A20))),70*'Scénario référence'!$B$18)</f>
        <v>70</v>
      </c>
      <c r="FV20" s="151">
        <f>IF(A20&gt;30,10,('Scénario référence'!$B$16+'Scénario référence'!$B$17+'Scénario référence'!$B$18+'Scénario référence'!$B$9+'Scénario référence'!$B$10)*A20*10/30+('Scénario référence'!$F$8+'Scénario référence'!$F$9)*10)</f>
        <v>5.666666667</v>
      </c>
      <c r="FW20" s="151" t="str">
        <f>VLOOKUP(A20,'Données projet'!$A$243:$I$263,2,0)</f>
        <v>#N/A</v>
      </c>
      <c r="FX20" s="151" t="str">
        <f>VLOOKUP(A20,'Données projet'!$A$243:$I$263,9,0)</f>
        <v>#N/A</v>
      </c>
      <c r="FY20" s="151" t="str">
        <f t="array" ref="FY20">INDEX(FX:FX,MIN(IF(ISNUMBER(FX20:FX216),ROW(FX20:FX216),"")))</f>
        <v/>
      </c>
      <c r="FZ20" s="151">
        <f>IF('Données projet'!$A$244&gt;35,FZ19+FY20-GH19,IF(A20&lt;'Données projet'!$A$244,$FW$205^A20,IF(A20='Données projet'!$A$244,'Données projet'!$B$244,FZ19+FY20-GH19)))</f>
        <v>0</v>
      </c>
      <c r="GA20" s="158" t="str">
        <f>FZ20*VLOOKUP('Données projet'!$B$17,'Paramètres'!$A$1:$I$88,3,0)*VLOOKUP('Données projet'!$B$17,'Paramètres'!$A$1:$I$88,5,0)</f>
        <v>#N/A</v>
      </c>
      <c r="GB20" s="150" t="str">
        <f t="shared" si="50"/>
        <v>#N/A</v>
      </c>
      <c r="GC20" s="161" t="str">
        <f t="shared" si="26"/>
        <v>#N/A</v>
      </c>
      <c r="GD20" s="153" t="str">
        <f t="shared" si="27"/>
        <v>#N/A</v>
      </c>
      <c r="GE20" s="153" t="str">
        <f>AVERAGE(OFFSET($GD$3,0,0,'Données projet'!$E$17+1,1))-AVERAGE(OFFSET($H$3,0,0,'Données projet'!$E$17+1,1))</f>
        <v>#N/A</v>
      </c>
      <c r="GF20" s="153" t="str">
        <f t="shared" si="51"/>
        <v>#N/A</v>
      </c>
      <c r="GG20" s="154">
        <f>IF(ISNA(VLOOKUP(A20,'Données projet'!$A$243:$I$263,3,0)),0,VLOOKUP(A20,'Données projet'!$A$243:$I$263,3,0))</f>
        <v>0</v>
      </c>
      <c r="GH20" s="154">
        <f>IF(ISNA(VLOOKUP(A20,'Données projet'!$A$243:$I$263,4,0)),0,VLOOKUP(A20,'Données projet'!$A$243:$I$263,4,0))</f>
        <v>0</v>
      </c>
      <c r="GI20" s="155">
        <f>IF(ISNA(VLOOKUP(A20,'Données projet'!$A$243:$I$263,5,0)),0%,VLOOKUP(A20,'Données projet'!$A$243:$I$263,5,0)*VLOOKUP('Données projet'!$B$17,'Paramètres'!$A$1:$I$88,7,0))</f>
        <v>0</v>
      </c>
      <c r="GJ20" s="155">
        <f>IF(ISNA(VLOOKUP(A20,'Données projet'!$A$243:$I$263,6,0)),0%,VLOOKUP(A20,'Données projet'!$A$243:$I$263,6,0)*VLOOKUP('Données projet'!$B$17,'Paramètres'!$A$1:$I$88,7,0))</f>
        <v>0</v>
      </c>
      <c r="GK20" s="155">
        <f>IF(ISNA(VLOOKUP(A20,'Données projet'!$A$243:$I$263,7,0)),0%,VLOOKUP(A20,'Données projet'!$A$243:$I$263,7,0))</f>
        <v>0</v>
      </c>
      <c r="GL20" s="162" t="str">
        <f>EXP(-LN(2)/35)*GL19+(1-EXP(-LN(2)/35))/(LN(2)/35)*GH20*GI20*VLOOKUP('Données projet'!$B$17,'Paramètres'!$A$1:$I$88,3,0)*0.475*44/12</f>
        <v>#N/A</v>
      </c>
      <c r="GM20" s="162" t="str">
        <f>EXP(-LN(2)/25)*GM19+(1-EXP(-LN(2)/25))/(LN(2)/25)*Calculateur!GH20*Calculateur!GJ20*VLOOKUP('Données projet'!$B$17,'Paramètres'!$A$1:$I$88,3,0)*0.475*44/12</f>
        <v>#N/A</v>
      </c>
      <c r="GN20" s="162" t="str">
        <f>EXP(-LN(2)/2)*GN19+(1-EXP(-LN(2)/2))/(LN(2)/2)*GH20*GK20*VLOOKUP('Données projet'!$B$17,'Paramètres'!$A$1:$I$88,3,0)*0.475*44/12</f>
        <v>#N/A</v>
      </c>
      <c r="GO20" s="162" t="str">
        <f t="shared" si="28"/>
        <v>#N/A</v>
      </c>
      <c r="GP20" s="159">
        <f>('Scénario référence'!$F$8+'Scénario référence'!$F$9+'Scénario référence'!$B$17+'Scénario référence'!$B$9+'Scénario référence'!$B$10)*70+IF((45+25*(1-EXP(-0.0175*A20)))&lt;70,'Scénario référence'!$B$16*(45+25*(1-EXP(-0.0175*A20))),70*'Scénario référence'!$B$16)+IF((32+38*(1-EXP(-0.0175*A20)))&lt;70,'Scénario référence'!$B$18*(32+38*(1-EXP(-0.0175*A20))),70*'Scénario référence'!$B$18)</f>
        <v>70</v>
      </c>
      <c r="GQ20" s="151">
        <f>IF(A20&gt;30,10,('Scénario référence'!$B$16+'Scénario référence'!$B$17+'Scénario référence'!$B$18+'Scénario référence'!$B$9+'Scénario référence'!$B$10)*A20*10/30+('Scénario référence'!$F$8+'Scénario référence'!$F$9)*10)</f>
        <v>5.666666667</v>
      </c>
      <c r="GR20" s="151" t="str">
        <f>VLOOKUP(A20,'Données projet'!$A$269:$I$289,2,0)</f>
        <v>#N/A</v>
      </c>
      <c r="GS20" s="151" t="str">
        <f>VLOOKUP(A20,'Données projet'!$A$269:$I$289,9,0)</f>
        <v>#N/A</v>
      </c>
      <c r="GT20" s="151" t="str">
        <f t="array" ref="GT20">INDEX(GS:GS,MIN(IF(ISNUMBER(GS20:GS216),ROW(GS20:GS216),"")))</f>
        <v/>
      </c>
      <c r="GU20" s="151">
        <f>IF('Données projet'!$A$270&gt;35,GU19+GT20-HC19,IF(A20&lt;'Données projet'!$A$270,$GR$205^A20,IF(A20='Données projet'!$A$270,'Données projet'!$B$270,GU19+GT20-HC19)))</f>
        <v>0</v>
      </c>
      <c r="GV20" s="158" t="str">
        <f>GU20*VLOOKUP('Données projet'!$B$18,'Paramètres'!$A$1:$I$88,3,0)*VLOOKUP('Données projet'!$B$18,'Paramètres'!$A$1:$I$88,5,0)</f>
        <v>#N/A</v>
      </c>
      <c r="GW20" s="150" t="str">
        <f t="shared" si="52"/>
        <v>#N/A</v>
      </c>
      <c r="GX20" s="161" t="str">
        <f t="shared" si="29"/>
        <v>#N/A</v>
      </c>
      <c r="GY20" s="153" t="str">
        <f t="shared" si="30"/>
        <v>#N/A</v>
      </c>
      <c r="GZ20" s="153" t="str">
        <f>AVERAGE(OFFSET($GY$3,0,0,'Données projet'!$E$18+1,1))-AVERAGE(OFFSET($H$3,0,0,'Données projet'!$E$18+1,1))</f>
        <v>#N/A</v>
      </c>
      <c r="HA20" s="153" t="str">
        <f t="shared" si="53"/>
        <v>#N/A</v>
      </c>
      <c r="HB20" s="154">
        <f>IF(ISNA(VLOOKUP(A20,'Données projet'!$A$269:$I$289,3,0)),0,VLOOKUP(A20,'Données projet'!$A$269:$I$289,3,0))</f>
        <v>0</v>
      </c>
      <c r="HC20" s="154">
        <f>IF(ISNA(VLOOKUP(A20,'Données projet'!$A$269:$I$289,4,0)),0,VLOOKUP(A20,'Données projet'!$A$269:$I$289,4,0))</f>
        <v>0</v>
      </c>
      <c r="HD20" s="155">
        <f>IF(ISNA(VLOOKUP(A20,'Données projet'!$A$269:$I$289,5,0)),0%,VLOOKUP(A20,'Données projet'!$A$269:$I$289,5,0)*VLOOKUP('Données projet'!$B$18,'Paramètres'!$A$1:$I$88,7,0))</f>
        <v>0</v>
      </c>
      <c r="HE20" s="155">
        <f>IF(ISNA(VLOOKUP(A20,'Données projet'!$A$269:$I$289,6,0)),0%,VLOOKUP(A20,'Données projet'!$A$269:$I$289,6,0)*VLOOKUP('Données projet'!$B$18,'Paramètres'!$A$1:$I$88,7,0))</f>
        <v>0</v>
      </c>
      <c r="HF20" s="155">
        <f>IF(ISNA(VLOOKUP(A20,'Données projet'!$A$269:$I$289,7,0)),0%,VLOOKUP(A20,'Données projet'!$A$269:$I$289,7,0))</f>
        <v>0</v>
      </c>
      <c r="HG20" s="162" t="str">
        <f>EXP(-LN(2)/35)*HG19+(1-EXP(-LN(2)/35))/(LN(2)/35)*HC20*HD20*VLOOKUP('Données projet'!$B$18,'Paramètres'!$A$1:$I$88,3,0)*0.475*44/12</f>
        <v>#N/A</v>
      </c>
      <c r="HH20" s="162" t="str">
        <f>EXP(-LN(2)/25)*HH19+(1-EXP(-LN(2)/25))/(LN(2)/25)*Calculateur!HC20*Calculateur!HE20*VLOOKUP('Données projet'!$B$18,'Paramètres'!$A$1:$I$88,3,0)*0.475*44/12</f>
        <v>#N/A</v>
      </c>
      <c r="HI20" s="162" t="str">
        <f>EXP(-LN(2)/2)*HI19+(1-EXP(-LN(2)/2))/(LN(2)/2)*HC20*HF20*VLOOKUP('Données projet'!$B$18,'Paramètres'!$A$1:$I$88,3,0)*0.475*44/12</f>
        <v>#N/A</v>
      </c>
      <c r="HJ20" s="163" t="str">
        <f t="shared" si="31"/>
        <v>#N/A</v>
      </c>
    </row>
    <row r="21" ht="15.75" customHeight="1">
      <c r="A21" s="145">
        <f t="shared" si="32"/>
        <v>18</v>
      </c>
      <c r="B21" s="146">
        <f>'Scénario référence'!$B$16*5+'Scénario référence'!$B$17*0+'Scénario référence'!$B$18*5</f>
        <v>0</v>
      </c>
      <c r="C21" s="160">
        <f>Calculateur!C20+'Scénario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21" s="147">
        <f t="shared" si="33"/>
        <v>0</v>
      </c>
      <c r="E21" s="147">
        <f>'Scénario référence'!$B$16*45+('Scénario référence'!$B$17+'Scénario référence'!$F$8+'Scénario référence'!$F$9+'Scénario référence'!$B$10+'Scénario référence'!$B$9)*70+'Scénario référence'!$B$18*32</f>
        <v>70</v>
      </c>
      <c r="F21" s="147">
        <f>IF(OR('Scénario référence'!$F$8&gt;0,'Scénario référence'!$F$9&gt;0),('Scénario référence'!$F$8+'Scénario référence'!$F$9)*10,0)</f>
        <v>0</v>
      </c>
      <c r="G21" s="147">
        <f>'Scénario référence'!$B$8*B21*44/12+'Scénario référence'!$B$9*(C21+D21)/0.475*44/12+'Scénario référence'!$B$10*(C21+D21)/0.475*44/12+'Scénario référence'!$F$8*(C21+D21)/0.475*44/12+'Scénario référence'!$F$9*(C21+D21)/0.475*44/12</f>
        <v>0</v>
      </c>
      <c r="H21" s="148">
        <f t="shared" si="1"/>
        <v>256.6666667</v>
      </c>
      <c r="I21" s="149">
        <f>('Scénario référence'!$F$8+'Scénario référence'!$F$9+'Scénario référence'!$B$17+'Scénario référence'!$B$9+'Scénario référence'!$B$10)*70+IF((45+25*(1-EXP(-0.0175*A21)))&lt;70,'Scénario référence'!$B$16*(45+25*(1-EXP(-0.0175*A21))),70*'Scénario référence'!$B$16)+IF((32+38*(1-EXP(-0.0175*A21)))&lt;70,'Scénario référence'!$B$18*(32+38*(1-EXP(-0.0175*A21))),70*'Scénario référence'!$B$18)</f>
        <v>70</v>
      </c>
      <c r="J21" s="150">
        <f>IF(A21&gt;30,10,('Scénario référence'!$B$16+'Scénario référence'!$B$17+'Scénario référence'!$B$18+'Scénario référence'!$B$9+'Scénario référence'!$B$10)*A21*10/30+('Scénario référence'!$F$8+'Scénario référence'!$F$9)*10)</f>
        <v>6</v>
      </c>
      <c r="K21" s="151" t="str">
        <f>VLOOKUP(A21,'Données projet'!$A$35:$I$55,2,0)</f>
        <v>#N/A</v>
      </c>
      <c r="L21" s="151" t="str">
        <f>VLOOKUP(A21,'Données projet'!$A$35:$I$55,9,0)</f>
        <v>#N/A</v>
      </c>
      <c r="M21" s="150">
        <f t="array" ref="M21">INDEX(L:L,MIN(IF(ISNUMBER(L21:L217),ROW(L21:L217),"")))</f>
        <v>3.65</v>
      </c>
      <c r="N21" s="150">
        <f>IF('Données projet'!$A$36&gt;35,N20+M21-V20,IF(A21&lt;'Données projet'!$A$36,$K$205^A21,IF(A21='Données projet'!$A$36,'Données projet'!$B$36,N20+M21-V20)))</f>
        <v>47.53249094</v>
      </c>
      <c r="O21" s="150">
        <f>N21*VLOOKUP('Données projet'!$B$9,'Paramètres'!$A$1:$I$88,3,0)*VLOOKUP('Données projet'!$B$9,'Paramètres'!$A$1:$I$88,5,0)</f>
        <v>43.0073978</v>
      </c>
      <c r="P21" s="150">
        <f t="shared" si="34"/>
        <v>12.79236394</v>
      </c>
      <c r="Q21" s="161">
        <f t="shared" si="2"/>
        <v>97.18458503</v>
      </c>
      <c r="R21" s="153">
        <f t="shared" si="3"/>
        <v>375.8512517</v>
      </c>
      <c r="S21" s="153">
        <f>AVERAGE(OFFSET($R$3,0,0,'Données projet'!$E$9+1,1))-AVERAGE(OFFSET($H$3,0,0,'Données projet'!$E$9+1,1))</f>
        <v>439.1985427</v>
      </c>
      <c r="T21" s="153">
        <f t="shared" si="35"/>
        <v>278.2174123</v>
      </c>
      <c r="U21" s="154">
        <f>IF(ISNA(VLOOKUP(A21,'Données projet'!$A$35:$I$55,3,0)),0,VLOOKUP(A21,'Données projet'!$A$35:$I$55,3,0))</f>
        <v>0</v>
      </c>
      <c r="V21" s="154">
        <f>IF(ISNA(VLOOKUP(A21,'Données projet'!$A$35:$I$55,4,0)),0,VLOOKUP(A21,'Données projet'!$A$35:$I$55,4,0))</f>
        <v>0</v>
      </c>
      <c r="W21" s="155">
        <f>IF(ISNA(VLOOKUP(A21,'Données projet'!$A$35:$I$55,5,0)),0%,VLOOKUP(A21,'Données projet'!$A$35:$I$55,5,0)*VLOOKUP('Données projet'!$B$9,'Paramètres'!$A$1:$I$88,7,0))</f>
        <v>0</v>
      </c>
      <c r="X21" s="155">
        <f>IF(ISNA(VLOOKUP(A21,'Données projet'!$A$35:$I$55,6,0)),0%,VLOOKUP(A21,'Données projet'!$A$35:$I$55,6,0)*VLOOKUP('Données projet'!$B$9,'Paramètres'!$A$1:$I$88,7,0))</f>
        <v>0</v>
      </c>
      <c r="Y21" s="155">
        <f>IF(ISNA(VLOOKUP(A21,'Données projet'!$A$35:$I$55,7,0)),0%,VLOOKUP(A21,'Données projet'!$A$35:$I$55,7,0))</f>
        <v>0</v>
      </c>
      <c r="Z21" s="162">
        <f>EXP(-LN(2)/35)*Z20+(1-EXP(-LN(2)/35))/(LN(2)/35)*V21*W21*VLOOKUP('Données projet'!$B$9,'Paramètres'!$A$1:$I$88,3,0)*0.475*44/12</f>
        <v>0</v>
      </c>
      <c r="AA21" s="162">
        <f>EXP(-LN(2)/25)*AA20+(1-EXP(-LN(2)/25))/(LN(2)/25)*Calculateur!V21*Calculateur!X21*VLOOKUP('Données projet'!$B$9,'Paramètres'!$A$1:$I$88,3,0)*0.475*44/12</f>
        <v>0</v>
      </c>
      <c r="AB21" s="162">
        <f>EXP(-LN(2)/2)*AB20+(1-EXP(-LN(2)/2))/(LN(2)/2)*V21*Y21*VLOOKUP('Données projet'!$B$9,'Paramètres'!$A$1:$I$88,3,0)*0.475*44/12</f>
        <v>0</v>
      </c>
      <c r="AC21" s="163">
        <f t="shared" si="4"/>
        <v>0</v>
      </c>
      <c r="AD21" s="150">
        <f>('Scénario référence'!$F$8+'Scénario référence'!$F$9+'Scénario référence'!$B$17+'Scénario référence'!$B$9+'Scénario référence'!$B$10)*70+IF((45+25*(1-EXP(-0.0175*A21)))&lt;70,'Scénario référence'!$B$16*(45+25*(1-EXP(-0.0175*A21))),70*'Scénario référence'!$B$16)+IF((32+38*(1-EXP(-0.0175*A21)))&lt;70,'Scénario référence'!$B$18*(32+38*(1-EXP(-0.0175*A21))),70*'Scénario référence'!$B$18)</f>
        <v>70</v>
      </c>
      <c r="AE21" s="150">
        <f>IF(A21&gt;30,10,('Scénario référence'!$B$16+'Scénario référence'!$B$17+'Scénario référence'!$B$18+'Scénario référence'!$B$9+'Scénario référence'!$B$10)*A21*10/30+('Scénario référence'!$F$8+'Scénario référence'!$F$9)*10)</f>
        <v>6</v>
      </c>
      <c r="AF21" s="151" t="str">
        <f>VLOOKUP(A21,'Données projet'!$A$61:$I$81,2,0)</f>
        <v>#N/A</v>
      </c>
      <c r="AG21" s="151" t="str">
        <f>VLOOKUP(A21,'Données projet'!$A$61:$I$81,9,0)</f>
        <v>#N/A</v>
      </c>
      <c r="AH21" s="150">
        <f t="array" ref="AH21">INDEX(AG:AG,MIN(IF(ISNUMBER(AG21:AG217),ROW(AG21:AG217),"")))</f>
        <v>16</v>
      </c>
      <c r="AI21" s="150">
        <f>IF('Données projet'!$A$62&gt;35,AI20+AH21-AQ20,IF(A21&lt;'Données projet'!$A$62,$AF$205^A21,IF(A21='Données projet'!$A$62,'Données projet'!$B$62,AI20+AH21-AQ20)))</f>
        <v>91</v>
      </c>
      <c r="AJ21" s="150">
        <f>AI21*VLOOKUP('Données projet'!$B$10,'Paramètres'!$A$1:$I$88,3,0)*VLOOKUP('Données projet'!$B$10,'Paramètres'!$A$1:$I$88,5,0)</f>
        <v>72.3996</v>
      </c>
      <c r="AK21" s="150">
        <f t="shared" si="36"/>
        <v>20.26818883</v>
      </c>
      <c r="AL21" s="161">
        <f t="shared" si="5"/>
        <v>161.3963989</v>
      </c>
      <c r="AM21" s="153">
        <f t="shared" si="6"/>
        <v>440.0630656</v>
      </c>
      <c r="AN21" s="153">
        <f>AVERAGE(OFFSET($AM$3,0,0,'Données projet'!$E$10+1,1))-AVERAGE(OFFSET($H$3,0,0,'Données projet'!$E$10+1,1))</f>
        <v>405.6113614</v>
      </c>
      <c r="AO21" s="153">
        <f t="shared" si="37"/>
        <v>393.0787141</v>
      </c>
      <c r="AP21" s="154">
        <f>IF(ISNA(VLOOKUP(A21,'Données projet'!$A$61:$I$81,3,0)),0,VLOOKUP(A21,'Données projet'!$A$61:$I$81,3,0))</f>
        <v>0</v>
      </c>
      <c r="AQ21" s="154">
        <f>IF(ISNA(VLOOKUP(A21,'Données projet'!$A$61:$I$81,4,0)),0,VLOOKUP(A21,'Données projet'!$A$61:$I$81,4,0))</f>
        <v>0</v>
      </c>
      <c r="AR21" s="155">
        <f>IF(ISNA(VLOOKUP(A21,'Données projet'!$A$61:$I$81,5,0)),0%,VLOOKUP(A21,'Données projet'!$A$61:$I$81,5,0)*VLOOKUP('Données projet'!$B$10,'Paramètres'!$A$1:$I$88,7,0))</f>
        <v>0</v>
      </c>
      <c r="AS21" s="155">
        <f>IF(ISNA(VLOOKUP(A21,'Données projet'!$A$61:$I$81,6,0)),0%,VLOOKUP(A21,'Données projet'!$A$61:$I$81,6,0)*VLOOKUP('Données projet'!$B$10,'Paramètres'!$A$1:$I$88,7,0))</f>
        <v>0</v>
      </c>
      <c r="AT21" s="155">
        <f>IF(ISNA(VLOOKUP(A21,'Données projet'!$A$61:$I$81,7,0)),0%,VLOOKUP(A21,'Données projet'!$A$61:$I$81,7,0))</f>
        <v>0</v>
      </c>
      <c r="AU21" s="162">
        <f>EXP(-LN(2)/35)*AU20+(1-EXP(-LN(2)/35))/(LN(2)/35)*AQ21*AR21*VLOOKUP('Données projet'!$B$10,'Paramètres'!$A$1:$I$88,3,0)*0.475*44/12</f>
        <v>0</v>
      </c>
      <c r="AV21" s="162">
        <f>EXP(-LN(2)/25)*AV20+(1-EXP(-LN(2)/25))/(LN(2)/25)*Calculateur!AQ21*Calculateur!AS21*VLOOKUP('Données projet'!$B$10,'Paramètres'!$A$1:$I$88,3,0)*0.475*44/12</f>
        <v>0</v>
      </c>
      <c r="AW21" s="162">
        <f>EXP(-LN(2)/2)*AW20+(1-EXP(-LN(2)/2))/(LN(2)/2)*AQ21*AT21*VLOOKUP('Données projet'!$B$10,'Paramètres'!$A$1:$I$88,3,0)*0.475*44/12</f>
        <v>5.573440497</v>
      </c>
      <c r="AX21" s="162">
        <f t="shared" si="7"/>
        <v>5.573440497</v>
      </c>
      <c r="AY21" s="157">
        <f>('Scénario référence'!$F$8+'Scénario référence'!$F$9+'Scénario référence'!$B$17+'Scénario référence'!$B$9+'Scénario référence'!$B$10)*70+IF((45+25*(1-EXP(-0.0175*A21)))&lt;70,'Scénario référence'!$B$16*(45+25*(1-EXP(-0.0175*A21))),70*'Scénario référence'!$B$16)+IF((32+38*(1-EXP(-0.0175*A21)))&lt;70,'Scénario référence'!$B$18*(32+38*(1-EXP(-0.0175*A21))),70*'Scénario référence'!$B$18)</f>
        <v>70</v>
      </c>
      <c r="AZ21" s="151">
        <f>IF(A21&gt;30,10,('Scénario référence'!$B$16+'Scénario référence'!$B$17+'Scénario référence'!$B$18+'Scénario référence'!$B$9+'Scénario référence'!$B$10)*A21*10/30+('Scénario référence'!$F$8+'Scénario référence'!$F$9)*10)</f>
        <v>6</v>
      </c>
      <c r="BA21" s="151" t="str">
        <f>VLOOKUP(A21,'Données projet'!$A$87:$I$107,2,0)</f>
        <v>#N/A</v>
      </c>
      <c r="BB21" s="151" t="str">
        <f>VLOOKUP(A21,'Données projet'!$A$87:$I$107,9,0)</f>
        <v>#N/A</v>
      </c>
      <c r="BC21" s="150" t="str">
        <f t="array" ref="BC21">INDEX(BB:BB,MIN(IF(ISNUMBER(BB21:BB217),ROW(BB21:BB217),"")))</f>
        <v/>
      </c>
      <c r="BD21" s="150">
        <f>IF('Données projet'!$A$88&gt;35,BD20+BC21-BL20,IF(A21&lt;'Données projet'!$A$88,$BA$205^A21,IF(A21='Données projet'!$A$88,'Données projet'!$B$88,BD20+BC21-BL20)))</f>
        <v>0</v>
      </c>
      <c r="BE21" s="150">
        <f>BD21*VLOOKUP('Données projet'!$B$11,'Paramètres'!$A$1:$I$88,3,0)*VLOOKUP('Données projet'!$B$11,'Paramètres'!$A$1:$I$88,5,0)</f>
        <v>0</v>
      </c>
      <c r="BF21" s="150" t="str">
        <f t="shared" si="38"/>
        <v>#NUM!</v>
      </c>
      <c r="BG21" s="161" t="str">
        <f t="shared" si="8"/>
        <v>#NUM!</v>
      </c>
      <c r="BH21" s="153" t="str">
        <f t="shared" si="9"/>
        <v>#NUM!</v>
      </c>
      <c r="BI21" s="153">
        <f>AVERAGE(OFFSET($BH$3,0,0,'Données projet'!$E$11+1,1))-AVERAGE(OFFSET($H$3,0,0,'Données projet'!$E$11+1,1))</f>
        <v>0</v>
      </c>
      <c r="BJ21" s="153">
        <f t="shared" si="39"/>
        <v>0</v>
      </c>
      <c r="BK21" s="154">
        <f>IF(ISNA(VLOOKUP(A21,'Données projet'!$A$87:$I$107,3,0)),0,VLOOKUP(A21,'Données projet'!$A$87:$I$107,3,0))</f>
        <v>0</v>
      </c>
      <c r="BL21" s="154">
        <f>IF(ISNA(VLOOKUP(A21,'Données projet'!$A$87:$I$107,4,0)),0,VLOOKUP(A21,'Données projet'!$A$87:$I$107,4,0))</f>
        <v>0</v>
      </c>
      <c r="BM21" s="155">
        <f>IF(ISNA(VLOOKUP(A21,'Données projet'!$A$87:$I$107,5,0)),0%,VLOOKUP(A21,'Données projet'!$A$87:$I$107,5,0)*VLOOKUP('Données projet'!$B$11,'Paramètres'!$A$1:$I$88,7,0))</f>
        <v>0</v>
      </c>
      <c r="BN21" s="155">
        <f>IF(ISNA(VLOOKUP(A21,'Données projet'!$A$87:$I$107,6,0)),0%,VLOOKUP(A21,'Données projet'!$A$87:$I$107,6,0)*VLOOKUP('Données projet'!$B$11,'Paramètres'!$A$1:$I$88,7,0))</f>
        <v>0</v>
      </c>
      <c r="BO21" s="155">
        <f>IF(ISNA(VLOOKUP(A21,'Données projet'!$A$87:$I$107,7,0)),0%,VLOOKUP(A21,'Données projet'!$A$87:$I$107,7,0))</f>
        <v>0</v>
      </c>
      <c r="BP21" s="162">
        <f>EXP(-LN(2)/35)*BP20+(1-EXP(-LN(2)/35))/(LN(2)/35)*BL21*BM21*VLOOKUP('Données projet'!$B$11,'Paramètres'!$A$1:$I$88,3,0)*0.475*44/12</f>
        <v>0</v>
      </c>
      <c r="BQ21" s="162">
        <f>EXP(-LN(2)/25)*BQ20+(1-EXP(-LN(2)/25))/(LN(2)/25)*Calculateur!BL21*Calculateur!BN21*VLOOKUP('Données projet'!$B$11,'Paramètres'!$A$1:$I$88,3,0)*0.475*44/12</f>
        <v>0</v>
      </c>
      <c r="BR21" s="162">
        <f>EXP(-LN(2)/2)*BR20+(1-EXP(-LN(2)/2))/(LN(2)/2)*BL21*BO21*VLOOKUP('Données projet'!$B$11,'Paramètres'!$A$1:$I$88,3,0)*0.475*44/12</f>
        <v>0</v>
      </c>
      <c r="BS21" s="163">
        <f t="shared" si="10"/>
        <v>0</v>
      </c>
      <c r="BT21" s="159">
        <f>('Scénario référence'!$F$8+'Scénario référence'!$F$9+'Scénario référence'!$B$17+'Scénario référence'!$B$9+'Scénario référence'!$B$10)*70+IF((45+25*(1-EXP(-0.0175*A21)))&lt;70,'Scénario référence'!$B$16*(45+25*(1-EXP(-0.0175*A21))),70*'Scénario référence'!$B$16)+IF((32+38*(1-EXP(-0.0175*A21)))&lt;70,'Scénario référence'!$B$18*(32+38*(1-EXP(-0.0175*A21))),70*'Scénario référence'!$B$18)</f>
        <v>70</v>
      </c>
      <c r="BU21" s="151">
        <f>IF(A21&gt;30,10,('Scénario référence'!$B$16+'Scénario référence'!$B$17+'Scénario référence'!$B$18+'Scénario référence'!$B$9+'Scénario référence'!$B$10)*A21*10/30+('Scénario référence'!$F$8+'Scénario référence'!$F$9)*10)</f>
        <v>6</v>
      </c>
      <c r="BV21" s="151" t="str">
        <f>VLOOKUP(A21,'Données projet'!$A$113:$I$133,2,0)</f>
        <v>#N/A</v>
      </c>
      <c r="BW21" s="151" t="str">
        <f>VLOOKUP(A21,'Données projet'!$A$113:$I$133,9,0)</f>
        <v>#N/A</v>
      </c>
      <c r="BX21" s="150" t="str">
        <f t="array" ref="BX21">INDEX(BW:BW,MIN(IF(ISNUMBER(BW21:BW217),ROW(BW21:BW217),"")))</f>
        <v/>
      </c>
      <c r="BY21" s="150">
        <f>IF('Données projet'!$A$114&gt;35,BY20+BX21-CG20,IF(A21&lt;'Données projet'!$A$114,$BV$205^A21,IF(A21='Données projet'!$A$114,'Données projet'!$B$114,BY20+BX21-CG20)))</f>
        <v>0</v>
      </c>
      <c r="BZ21" s="150" t="str">
        <f>BY21*VLOOKUP('Données projet'!$B$12,'Paramètres'!$A$1:$I$88,3,0)*VLOOKUP('Données projet'!$B$12,'Paramètres'!$A$1:$I$88,5,0)</f>
        <v>#N/A</v>
      </c>
      <c r="CA21" s="150" t="str">
        <f t="shared" si="40"/>
        <v>#N/A</v>
      </c>
      <c r="CB21" s="161" t="str">
        <f t="shared" si="11"/>
        <v>#N/A</v>
      </c>
      <c r="CC21" s="153" t="str">
        <f t="shared" si="12"/>
        <v>#N/A</v>
      </c>
      <c r="CD21" s="153" t="str">
        <f>AVERAGE(OFFSET($CC$3,0,0,'Données projet'!$E$12+1,1))-AVERAGE(OFFSET($H$3,0,0,'Données projet'!$E$12+1,1))</f>
        <v>#N/A</v>
      </c>
      <c r="CE21" s="153" t="str">
        <f t="shared" si="41"/>
        <v>#N/A</v>
      </c>
      <c r="CF21" s="154">
        <f>IF(ISNA(VLOOKUP(A21,'Données projet'!$A$113:$I$133,3,0)),0,VLOOKUP(A21,'Données projet'!$A$113:$I$133,3,0))</f>
        <v>0</v>
      </c>
      <c r="CG21" s="154">
        <f>IF(ISNA(VLOOKUP(A21,'Données projet'!$A$113:$I$133,4,0)),0,VLOOKUP(A21,'Données projet'!$A$113:$I$133,4,0))</f>
        <v>0</v>
      </c>
      <c r="CH21" s="155">
        <f>IF(ISNA(VLOOKUP(A21,'Données projet'!$A$113:$I$133,5,0)),0%,VLOOKUP(A21,'Données projet'!$A$113:$I$133,5,0)*VLOOKUP('Données projet'!$B$12,'Paramètres'!$A$1:$I$88,7,0))</f>
        <v>0</v>
      </c>
      <c r="CI21" s="155">
        <f>IF(ISNA(VLOOKUP(A21,'Données projet'!$A$113:$I$133,6,0)),0%,VLOOKUP(A21,'Données projet'!$A$113:$I$133,6,0)*VLOOKUP('Données projet'!$B$12,'Paramètres'!$A$1:$I$88,7,0))</f>
        <v>0</v>
      </c>
      <c r="CJ21" s="155">
        <f>IF(ISNA(VLOOKUP(A21,'Données projet'!$A$113:$I$133,7,0)),0%,VLOOKUP(A21,'Données projet'!$A$113:$I$133,7,0))</f>
        <v>0</v>
      </c>
      <c r="CK21" s="162" t="str">
        <f>EXP(-LN(2)/35)*CK20+(1-EXP(-LN(2)/35))/(LN(2)/35)*CG21*CH21*VLOOKUP('Données projet'!$B$12,'Paramètres'!$A$1:$I$88,3,0)*0.475*44/12</f>
        <v>#N/A</v>
      </c>
      <c r="CL21" s="162" t="str">
        <f>EXP(-LN(2)/25)*CL20+(1-EXP(-LN(2)/25))/(LN(2)/25)*Calculateur!CG21*Calculateur!CI21*VLOOKUP('Données projet'!$B$12,'Paramètres'!$A$1:$I$88,3,0)*0.475*44/12</f>
        <v>#N/A</v>
      </c>
      <c r="CM21" s="162" t="str">
        <f>EXP(-LN(2)/2)*CM20+(1-EXP(-LN(2)/2))/(LN(2)/2)*CG21*CJ21*VLOOKUP('Données projet'!$B$12,'Paramètres'!$A$1:$I$88,3,0)*0.475*44/12</f>
        <v>#N/A</v>
      </c>
      <c r="CN21" s="163" t="str">
        <f t="shared" si="13"/>
        <v>#N/A</v>
      </c>
      <c r="CO21" s="159">
        <f>('Scénario référence'!$F$8+'Scénario référence'!$F$9+'Scénario référence'!$B$17+'Scénario référence'!$B$9+'Scénario référence'!$B$10)*70+IF((45+25*(1-EXP(-0.0175*A21)))&lt;70,'Scénario référence'!$B$16*(45+25*(1-EXP(-0.0175*A21))),70*'Scénario référence'!$B$16)+IF((32+38*(1-EXP(-0.0175*A21)))&lt;70,'Scénario référence'!$B$18*(32+38*(1-EXP(-0.0175*A21))),70*'Scénario référence'!$B$18)</f>
        <v>70</v>
      </c>
      <c r="CP21" s="151">
        <f>IF(A21&gt;30,10,('Scénario référence'!$B$16+'Scénario référence'!$B$17+'Scénario référence'!$B$18+'Scénario référence'!$B$9+'Scénario référence'!$B$10)*A21*10/30+('Scénario référence'!$F$8+'Scénario référence'!$F$9)*10)</f>
        <v>6</v>
      </c>
      <c r="CQ21" s="151" t="str">
        <f>VLOOKUP(A21,'Données projet'!$A$139:$I$159,2,0)</f>
        <v>#N/A</v>
      </c>
      <c r="CR21" s="151" t="str">
        <f>VLOOKUP(A21,'Données projet'!$A$139:$I$159,9,0)</f>
        <v>#N/A</v>
      </c>
      <c r="CS21" s="151" t="str">
        <f t="array" ref="CS21">INDEX(CR:CR,MIN(IF(ISNUMBER(CR21:CR217),ROW(CR21:CR217),"")))</f>
        <v/>
      </c>
      <c r="CT21" s="151">
        <f>IF('Données projet'!$A$140&gt;35,CT20+CS21-DB20,IF(A21&lt;'Données projet'!$A$140,$CQ$205^A21,IF(A21='Données projet'!$A$140,'Données projet'!$B$140,CT20+CS21-DB20)))</f>
        <v>0</v>
      </c>
      <c r="CU21" s="158" t="str">
        <f>CT21*VLOOKUP('Données projet'!$B$13,'Paramètres'!$A$1:$I$88,3,0)*VLOOKUP('Données projet'!$B$13,'Paramètres'!$A$1:$I$88,5,0)</f>
        <v>#N/A</v>
      </c>
      <c r="CV21" s="150" t="str">
        <f t="shared" si="42"/>
        <v>#N/A</v>
      </c>
      <c r="CW21" s="161" t="str">
        <f t="shared" si="14"/>
        <v>#N/A</v>
      </c>
      <c r="CX21" s="153" t="str">
        <f t="shared" si="15"/>
        <v>#N/A</v>
      </c>
      <c r="CY21" s="153" t="str">
        <f>AVERAGE(OFFSET($CX$3,0,0,'Données projet'!$E$13+1,1))-AVERAGE(OFFSET($H$3,0,0,'Données projet'!$E$13+1,1))</f>
        <v>#N/A</v>
      </c>
      <c r="CZ21" s="153" t="str">
        <f t="shared" si="43"/>
        <v>#N/A</v>
      </c>
      <c r="DA21" s="154">
        <f>IF(ISNA(VLOOKUP(A21,'Données projet'!$A$139:$I$159,3,0)),0,VLOOKUP(A21,'Données projet'!$A$139:$I$159,3,0))</f>
        <v>0</v>
      </c>
      <c r="DB21" s="154">
        <f>IF(ISNA(VLOOKUP(A21,'Données projet'!$A$139:$I$159,4,0)),0,VLOOKUP(A21,'Données projet'!$A$139:$I$159,4,0))</f>
        <v>0</v>
      </c>
      <c r="DC21" s="155">
        <f>IF(ISNA(VLOOKUP(A21,'Données projet'!$A$139:$I$159,5,0)),0%,VLOOKUP(A21,'Données projet'!$A$139:$I$159,5,0)*VLOOKUP('Données projet'!$B$13,'Paramètres'!$A$1:$I$88,7,0))</f>
        <v>0</v>
      </c>
      <c r="DD21" s="155">
        <f>IF(ISNA(VLOOKUP(A21,'Données projet'!$A$139:$I$159,6,0)),0%,VLOOKUP(A21,'Données projet'!$A$139:$I$159,6,0)*VLOOKUP('Données projet'!$B$13,'Paramètres'!$A$1:$I$88,7,0))</f>
        <v>0</v>
      </c>
      <c r="DE21" s="155">
        <f>IF(ISNA(VLOOKUP(A21,'Données projet'!$A$139:$I$159,7,0)),0%,VLOOKUP(A21,'Données projet'!$A$139:$I$159,7,0))</f>
        <v>0</v>
      </c>
      <c r="DF21" s="162" t="str">
        <f>EXP(-LN(2)/35)*DF20+(1-EXP(-LN(2)/35))/(LN(2)/35)*DB21*DC21*VLOOKUP('Données projet'!$B$13,'Paramètres'!$A$1:$I$88,3,0)*0.475*44/12</f>
        <v>#N/A</v>
      </c>
      <c r="DG21" s="162" t="str">
        <f>EXP(-LN(2)/25)*DG20+(1-EXP(-LN(2)/25))/(LN(2)/25)*Calculateur!DB21*Calculateur!DD21*VLOOKUP('Données projet'!$B$13,'Paramètres'!$A$1:$I$88,3,0)*0.475*44/12</f>
        <v>#N/A</v>
      </c>
      <c r="DH21" s="162" t="str">
        <f>EXP(-LN(2)/2)*DH20+(1-EXP(-LN(2)/2))/(LN(2)/2)*DB21*DE21*VLOOKUP('Données projet'!$B$13,'Paramètres'!$A$1:$I$88,3,0)*0.475*44/12</f>
        <v>#N/A</v>
      </c>
      <c r="DI21" s="163" t="str">
        <f t="shared" si="16"/>
        <v>#N/A</v>
      </c>
      <c r="DJ21" s="159">
        <f>('Scénario référence'!$F$8+'Scénario référence'!$F$9+'Scénario référence'!$B$17+'Scénario référence'!$B$9+'Scénario référence'!$B$10)*70+IF((45+25*(1-EXP(-0.0175*A21)))&lt;70,'Scénario référence'!$B$16*(45+25*(1-EXP(-0.0175*A21))),70*'Scénario référence'!$B$16)+IF((32+38*(1-EXP(-0.0175*A21)))&lt;70,'Scénario référence'!$B$18*(32+38*(1-EXP(-0.0175*A21))),70*'Scénario référence'!$B$18)</f>
        <v>70</v>
      </c>
      <c r="DK21" s="151">
        <f>IF(A21&gt;30,10,('Scénario référence'!$B$16+'Scénario référence'!$B$17+'Scénario référence'!$B$18+'Scénario référence'!$B$9+'Scénario référence'!$B$10)*A21*10/30+('Scénario référence'!$F$8+'Scénario référence'!$F$9)*10)</f>
        <v>6</v>
      </c>
      <c r="DL21" s="151" t="str">
        <f>VLOOKUP(A21,'Données projet'!$A$165:$I$185,2,0)</f>
        <v>#N/A</v>
      </c>
      <c r="DM21" s="151" t="str">
        <f>VLOOKUP(A21,'Données projet'!$A$165:$I$185,9,0)</f>
        <v>#N/A</v>
      </c>
      <c r="DN21" s="151" t="str">
        <f t="array" ref="DN21">INDEX(DM:DM,MIN(IF(ISNUMBER(DM21:DM217),ROW(DM21:DM217),"")))</f>
        <v/>
      </c>
      <c r="DO21" s="151">
        <f>IF('Données projet'!$A$166&gt;35,DO20+DN21-DW20,IF(A21&lt;'Données projet'!$A$166,$DL$205^A21,IF(A21='Données projet'!$A$166,'Données projet'!$B$166,DO20+DN21-DW20)))</f>
        <v>0</v>
      </c>
      <c r="DP21" s="158" t="str">
        <f>DO21*VLOOKUP('Données projet'!$B$14,'Paramètres'!$A$1:$I$88,3,0)*VLOOKUP('Données projet'!$B$14,'Paramètres'!$A$1:$I$88,5,0)</f>
        <v>#N/A</v>
      </c>
      <c r="DQ21" s="150" t="str">
        <f t="shared" si="44"/>
        <v>#N/A</v>
      </c>
      <c r="DR21" s="161" t="str">
        <f t="shared" si="17"/>
        <v>#N/A</v>
      </c>
      <c r="DS21" s="153" t="str">
        <f t="shared" si="18"/>
        <v>#N/A</v>
      </c>
      <c r="DT21" s="153" t="str">
        <f>AVERAGE(OFFSET($DS$3,0,0,'Données projet'!$E$14+1,1))-AVERAGE(OFFSET($H$3,0,0,'Données projet'!$E$14+1,1))</f>
        <v>#N/A</v>
      </c>
      <c r="DU21" s="153" t="str">
        <f t="shared" si="45"/>
        <v>#N/A</v>
      </c>
      <c r="DV21" s="154">
        <f>IF(ISNA(VLOOKUP(A21,'Données projet'!$A$165:$I$185,3,0)),0,VLOOKUP(A21,'Données projet'!$A$165:$I$185,3,0))</f>
        <v>0</v>
      </c>
      <c r="DW21" s="154">
        <f>IF(ISNA(VLOOKUP(A21,'Données projet'!$A$165:$I$185,4,0)),0,VLOOKUP(A21,'Données projet'!$A$165:$I$185,4,0))</f>
        <v>0</v>
      </c>
      <c r="DX21" s="155">
        <f>IF(ISNA(VLOOKUP(A21,'Données projet'!$A$165:$I$185,5,0)),0%,VLOOKUP(A21,'Données projet'!$A$165:$I$185,5,0)*VLOOKUP('Données projet'!$B$14,'Paramètres'!$A$1:$I$88,7,0))</f>
        <v>0</v>
      </c>
      <c r="DY21" s="155">
        <f>IF(ISNA(VLOOKUP(A21,'Données projet'!$A$165:$I$185,6,0)),0%,VLOOKUP(A21,'Données projet'!$A$165:$I$185,6,0)*VLOOKUP('Données projet'!$B$14,'Paramètres'!$A$1:$I$88,7,0))</f>
        <v>0</v>
      </c>
      <c r="DZ21" s="155">
        <f>IF(ISNA(VLOOKUP(A21,'Données projet'!$A$165:$I$185,7,0)),0%,VLOOKUP(A21,'Données projet'!$A$165:$I$185,7,0))</f>
        <v>0</v>
      </c>
      <c r="EA21" s="162" t="str">
        <f>EXP(-LN(2)/35)*EA20+(1-EXP(-LN(2)/35))/(LN(2)/35)*DW21*DX21*VLOOKUP('Données projet'!$B$14,'Paramètres'!$A$1:$I$88,3,0)*0.475*44/12</f>
        <v>#N/A</v>
      </c>
      <c r="EB21" s="162" t="str">
        <f>EXP(-LN(2)/25)*EB20+(1-EXP(-LN(2)/25))/(LN(2)/25)*Calculateur!DW21*Calculateur!DY21*VLOOKUP('Données projet'!$B$14,'Paramètres'!$A$1:$I$88,3,0)*0.475*44/12</f>
        <v>#N/A</v>
      </c>
      <c r="EC21" s="162" t="str">
        <f>EXP(-LN(2)/2)*EC20+(1-EXP(-LN(2)/2))/(LN(2)/2)*DW21*DZ21*VLOOKUP('Données projet'!$B$14,'Paramètres'!$A$1:$I$88,3,0)*0.475*44/12</f>
        <v>#N/A</v>
      </c>
      <c r="ED21" s="163" t="str">
        <f t="shared" si="19"/>
        <v>#N/A</v>
      </c>
      <c r="EE21" s="159">
        <f>('Scénario référence'!$F$8+'Scénario référence'!$F$9+'Scénario référence'!$B$17+'Scénario référence'!$B$9+'Scénario référence'!$B$10)*70+IF((45+25*(1-EXP(-0.0175*A21)))&lt;70,'Scénario référence'!$B$16*(45+25*(1-EXP(-0.0175*A21))),70*'Scénario référence'!$B$16)+IF((32+38*(1-EXP(-0.0175*A21)))&lt;70,'Scénario référence'!$B$18*(32+38*(1-EXP(-0.0175*A21))),70*'Scénario référence'!$B$18)</f>
        <v>70</v>
      </c>
      <c r="EF21" s="151">
        <f>IF(A21&gt;30,10,('Scénario référence'!$B$16+'Scénario référence'!$B$17+'Scénario référence'!$B$18+'Scénario référence'!$B$9+'Scénario référence'!$B$10)*A21*10/30+('Scénario référence'!$F$8+'Scénario référence'!$F$9)*10)</f>
        <v>6</v>
      </c>
      <c r="EG21" s="151" t="str">
        <f>VLOOKUP(A21,'Données projet'!$A$191:$I$211,2,0)</f>
        <v>#N/A</v>
      </c>
      <c r="EH21" s="151" t="str">
        <f>VLOOKUP(A21,'Données projet'!$A$191:$I$211,9,0)</f>
        <v>#N/A</v>
      </c>
      <c r="EI21" s="151" t="str">
        <f t="array" ref="EI21">INDEX(EH:EH,MIN(IF(ISNUMBER(EH21:EH217),ROW(EH21:EH217),"")))</f>
        <v/>
      </c>
      <c r="EJ21" s="151">
        <f>IF('Données projet'!$A$192&gt;35,EJ20+EI21-ER20,IF(A21&lt;'Données projet'!$A$192,$EG$205^A21,IF(A21='Données projet'!$A$192,'Données projet'!$B$192,EJ20+EI21-ER20)))</f>
        <v>0</v>
      </c>
      <c r="EK21" s="158" t="str">
        <f>EJ21*VLOOKUP('Données projet'!$B$15,'Paramètres'!$A$1:$I$88,3,0)*VLOOKUP('Données projet'!$B$15,'Paramètres'!$A$1:$I$88,5,0)</f>
        <v>#N/A</v>
      </c>
      <c r="EL21" s="150" t="str">
        <f t="shared" si="46"/>
        <v>#N/A</v>
      </c>
      <c r="EM21" s="161" t="str">
        <f t="shared" si="20"/>
        <v>#N/A</v>
      </c>
      <c r="EN21" s="153" t="str">
        <f t="shared" si="21"/>
        <v>#N/A</v>
      </c>
      <c r="EO21" s="153" t="str">
        <f>AVERAGE(OFFSET($EN$3,0,0,'Données projet'!$E$15+1,1))-AVERAGE(OFFSET($H$3,0,0,'Données projet'!$E$15+1,1))</f>
        <v>#N/A</v>
      </c>
      <c r="EP21" s="153" t="str">
        <f t="shared" si="47"/>
        <v>#N/A</v>
      </c>
      <c r="EQ21" s="154">
        <f>IF(ISNA(VLOOKUP(A21,'Données projet'!$A$191:$I$211,3,0)),0,VLOOKUP(A21,'Données projet'!$A$191:$I$211,3,0))</f>
        <v>0</v>
      </c>
      <c r="ER21" s="154">
        <f>IF(ISNA(VLOOKUP(A21,'Données projet'!$A$191:$I$211,4,0)),0,VLOOKUP(A21,'Données projet'!$A$191:$I$211,4,0))</f>
        <v>0</v>
      </c>
      <c r="ES21" s="155">
        <f>IF(ISNA(VLOOKUP(A21,'Données projet'!$A$191:$I$211,5,0)),0%,VLOOKUP(A21,'Données projet'!$A$191:$I$211,5,0)*VLOOKUP('Données projet'!$B$15,'Paramètres'!$A$1:$I$88,7,0))</f>
        <v>0</v>
      </c>
      <c r="ET21" s="155">
        <f>IF(ISNA(VLOOKUP(A21,'Données projet'!$A$191:$I$211,6,0)),0%,VLOOKUP(A21,'Données projet'!$A$191:$I$211,6,0)*VLOOKUP('Données projet'!$B$15,'Paramètres'!$A$1:$I$88,7,0))</f>
        <v>0</v>
      </c>
      <c r="EU21" s="155">
        <f>IF(ISNA(VLOOKUP(A21,'Données projet'!$A$191:$I$211,7,0)),0%,VLOOKUP(A21,'Données projet'!$A$191:$I$211,7,0))</f>
        <v>0</v>
      </c>
      <c r="EV21" s="162" t="str">
        <f>EXP(-LN(2)/35)*EV20+(1-EXP(-LN(2)/35))/(LN(2)/35)*ER21*ES21*VLOOKUP('Données projet'!$B$15,'Paramètres'!$A$1:$I$88,3,0)*0.475*44/12</f>
        <v>#N/A</v>
      </c>
      <c r="EW21" s="162" t="str">
        <f>EXP(-LN(2)/25)*EW20+(1-EXP(-LN(2)/25))/(LN(2)/25)*Calculateur!ER21*Calculateur!ET21*VLOOKUP('Données projet'!$B$15,'Paramètres'!$A$1:$I$88,3,0)*0.475*44/12</f>
        <v>#N/A</v>
      </c>
      <c r="EX21" s="162" t="str">
        <f>EXP(-LN(2)/2)*EX20+(1-EXP(-LN(2)/2))/(LN(2)/2)*ER21*EU21*VLOOKUP('Données projet'!$B$15,'Paramètres'!$A$1:$I$88,3,0)*0.475*44/12</f>
        <v>#N/A</v>
      </c>
      <c r="EY21" s="163" t="str">
        <f t="shared" si="22"/>
        <v>#N/A</v>
      </c>
      <c r="EZ21" s="159">
        <f>('Scénario référence'!$F$8+'Scénario référence'!$F$9+'Scénario référence'!$B$17+'Scénario référence'!$B$9+'Scénario référence'!$B$10)*70+IF((45+25*(1-EXP(-0.0175*A21)))&lt;70,'Scénario référence'!$B$16*(45+25*(1-EXP(-0.0175*A21))),70*'Scénario référence'!$B$16)+IF((32+38*(1-EXP(-0.0175*A21)))&lt;70,'Scénario référence'!$B$18*(32+38*(1-EXP(-0.0175*A21))),70*'Scénario référence'!$B$18)</f>
        <v>70</v>
      </c>
      <c r="FA21" s="151">
        <f>IF(A21&gt;30,10,('Scénario référence'!$B$16+'Scénario référence'!$B$17+'Scénario référence'!$B$18+'Scénario référence'!$B$9+'Scénario référence'!$B$10)*A21*10/30+('Scénario référence'!$F$8+'Scénario référence'!$F$9)*10)</f>
        <v>6</v>
      </c>
      <c r="FB21" s="151" t="str">
        <f>VLOOKUP(A21,'Données projet'!$A$217:$I$237,2,0)</f>
        <v>#N/A</v>
      </c>
      <c r="FC21" s="151" t="str">
        <f>VLOOKUP(A21,'Données projet'!$A$217:$I$237,9,0)</f>
        <v>#N/A</v>
      </c>
      <c r="FD21" s="151" t="str">
        <f t="array" ref="FD21">INDEX(FC:FC,MIN(IF(ISNUMBER(FC21:FC217),ROW(FC21:FC217),"")))</f>
        <v/>
      </c>
      <c r="FE21" s="151">
        <f>IF('Données projet'!$A$218&gt;35,FE20+FD21-FM20,IF(A21&lt;'Données projet'!$A$218,$FB$205^A21,IF(A21='Données projet'!$A$218,'Données projet'!$B$218,FE20+FD21-FM20)))</f>
        <v>0</v>
      </c>
      <c r="FF21" s="158" t="str">
        <f>FE21*VLOOKUP('Données projet'!$B$16,'Paramètres'!$A$1:$I$88,3,0)*VLOOKUP('Données projet'!$B$16,'Paramètres'!$A$1:$I$88,5,0)</f>
        <v>#N/A</v>
      </c>
      <c r="FG21" s="150" t="str">
        <f t="shared" si="48"/>
        <v>#N/A</v>
      </c>
      <c r="FH21" s="161" t="str">
        <f t="shared" si="23"/>
        <v>#N/A</v>
      </c>
      <c r="FI21" s="153" t="str">
        <f t="shared" si="24"/>
        <v>#N/A</v>
      </c>
      <c r="FJ21" s="153" t="str">
        <f>AVERAGE(OFFSET($FI$3,0,0,'Données projet'!$E$16+1,1))-AVERAGE(OFFSET($H$3,0,0,'Données projet'!$E$16+1,1))</f>
        <v>#N/A</v>
      </c>
      <c r="FK21" s="153" t="str">
        <f t="shared" si="49"/>
        <v>#N/A</v>
      </c>
      <c r="FL21" s="154">
        <f>IF(ISNA(VLOOKUP(A21,'Données projet'!$A$217:$I$237,3,0)),0,VLOOKUP(A21,'Données projet'!$A$217:$I$237,3,0))</f>
        <v>0</v>
      </c>
      <c r="FM21" s="154">
        <f>IF(ISNA(VLOOKUP(A21,'Données projet'!$A$217:$I$237,4,0)),0,VLOOKUP(A21,'Données projet'!$A$217:$I$237,4,0))</f>
        <v>0</v>
      </c>
      <c r="FN21" s="155">
        <f>IF(ISNA(VLOOKUP(A21,'Données projet'!$A$217:$I$237,5,0)),0%,VLOOKUP(A21,'Données projet'!$A$217:$I$237,5,0)*VLOOKUP('Données projet'!$B$16,'Paramètres'!$A$1:$I$88,7,0))</f>
        <v>0</v>
      </c>
      <c r="FO21" s="155">
        <f>IF(ISNA(VLOOKUP(A21,'Données projet'!$A$217:$I$237,6,0)),0%,VLOOKUP(A21,'Données projet'!$A$217:$I$237,6,0)*VLOOKUP('Données projet'!$B$16,'Paramètres'!$A$1:$I$88,7,0))</f>
        <v>0</v>
      </c>
      <c r="FP21" s="155">
        <f>IF(ISNA(VLOOKUP(A21,'Données projet'!$A$217:$I$237,7,0)),0%,VLOOKUP(A21,'Données projet'!$A$217:$I$237,7,0))</f>
        <v>0</v>
      </c>
      <c r="FQ21" s="162" t="str">
        <f>EXP(-LN(2)/35)*FQ20+(1-EXP(-LN(2)/35))/(LN(2)/35)*FM21*FN21*VLOOKUP('Données projet'!$B$16,'Paramètres'!$A$1:$I$88,3,0)*0.475*44/12</f>
        <v>#N/A</v>
      </c>
      <c r="FR21" s="162" t="str">
        <f>EXP(-LN(2)/25)*FR20+(1-EXP(-LN(2)/25))/(LN(2)/25)*Calculateur!FM21*Calculateur!FO21*VLOOKUP('Données projet'!$B$16,'Paramètres'!$A$1:$I$88,3,0)*0.475*44/12</f>
        <v>#N/A</v>
      </c>
      <c r="FS21" s="162" t="str">
        <f>EXP(-LN(2)/2)*FS20+(1-EXP(-LN(2)/2))/(LN(2)/2)*FM21*FP21*VLOOKUP('Données projet'!$B$16,'Paramètres'!$A$1:$I$88,3,0)*0.475*44/12</f>
        <v>#N/A</v>
      </c>
      <c r="FT21" s="163" t="str">
        <f t="shared" si="25"/>
        <v>#N/A</v>
      </c>
      <c r="FU21" s="159">
        <f>('Scénario référence'!$F$8+'Scénario référence'!$F$9+'Scénario référence'!$B$17+'Scénario référence'!$B$9+'Scénario référence'!$B$10)*70+IF((45+25*(1-EXP(-0.0175*A21)))&lt;70,'Scénario référence'!$B$16*(45+25*(1-EXP(-0.0175*A21))),70*'Scénario référence'!$B$16)+IF((32+38*(1-EXP(-0.0175*A21)))&lt;70,'Scénario référence'!$B$18*(32+38*(1-EXP(-0.0175*A21))),70*'Scénario référence'!$B$18)</f>
        <v>70</v>
      </c>
      <c r="FV21" s="151">
        <f>IF(A21&gt;30,10,('Scénario référence'!$B$16+'Scénario référence'!$B$17+'Scénario référence'!$B$18+'Scénario référence'!$B$9+'Scénario référence'!$B$10)*A21*10/30+('Scénario référence'!$F$8+'Scénario référence'!$F$9)*10)</f>
        <v>6</v>
      </c>
      <c r="FW21" s="151" t="str">
        <f>VLOOKUP(A21,'Données projet'!$A$243:$I$263,2,0)</f>
        <v>#N/A</v>
      </c>
      <c r="FX21" s="151" t="str">
        <f>VLOOKUP(A21,'Données projet'!$A$243:$I$263,9,0)</f>
        <v>#N/A</v>
      </c>
      <c r="FY21" s="151" t="str">
        <f t="array" ref="FY21">INDEX(FX:FX,MIN(IF(ISNUMBER(FX21:FX217),ROW(FX21:FX217),"")))</f>
        <v/>
      </c>
      <c r="FZ21" s="151">
        <f>IF('Données projet'!$A$244&gt;35,FZ20+FY21-GH20,IF(A21&lt;'Données projet'!$A$244,$FW$205^A21,IF(A21='Données projet'!$A$244,'Données projet'!$B$244,FZ20+FY21-GH20)))</f>
        <v>0</v>
      </c>
      <c r="GA21" s="158" t="str">
        <f>FZ21*VLOOKUP('Données projet'!$B$17,'Paramètres'!$A$1:$I$88,3,0)*VLOOKUP('Données projet'!$B$17,'Paramètres'!$A$1:$I$88,5,0)</f>
        <v>#N/A</v>
      </c>
      <c r="GB21" s="150" t="str">
        <f t="shared" si="50"/>
        <v>#N/A</v>
      </c>
      <c r="GC21" s="161" t="str">
        <f t="shared" si="26"/>
        <v>#N/A</v>
      </c>
      <c r="GD21" s="153" t="str">
        <f t="shared" si="27"/>
        <v>#N/A</v>
      </c>
      <c r="GE21" s="153" t="str">
        <f>AVERAGE(OFFSET($GD$3,0,0,'Données projet'!$E$17+1,1))-AVERAGE(OFFSET($H$3,0,0,'Données projet'!$E$17+1,1))</f>
        <v>#N/A</v>
      </c>
      <c r="GF21" s="153" t="str">
        <f t="shared" si="51"/>
        <v>#N/A</v>
      </c>
      <c r="GG21" s="154">
        <f>IF(ISNA(VLOOKUP(A21,'Données projet'!$A$243:$I$263,3,0)),0,VLOOKUP(A21,'Données projet'!$A$243:$I$263,3,0))</f>
        <v>0</v>
      </c>
      <c r="GH21" s="154">
        <f>IF(ISNA(VLOOKUP(A21,'Données projet'!$A$243:$I$263,4,0)),0,VLOOKUP(A21,'Données projet'!$A$243:$I$263,4,0))</f>
        <v>0</v>
      </c>
      <c r="GI21" s="155">
        <f>IF(ISNA(VLOOKUP(A21,'Données projet'!$A$243:$I$263,5,0)),0%,VLOOKUP(A21,'Données projet'!$A$243:$I$263,5,0)*VLOOKUP('Données projet'!$B$17,'Paramètres'!$A$1:$I$88,7,0))</f>
        <v>0</v>
      </c>
      <c r="GJ21" s="155">
        <f>IF(ISNA(VLOOKUP(A21,'Données projet'!$A$243:$I$263,6,0)),0%,VLOOKUP(A21,'Données projet'!$A$243:$I$263,6,0)*VLOOKUP('Données projet'!$B$17,'Paramètres'!$A$1:$I$88,7,0))</f>
        <v>0</v>
      </c>
      <c r="GK21" s="155">
        <f>IF(ISNA(VLOOKUP(A21,'Données projet'!$A$243:$I$263,7,0)),0%,VLOOKUP(A21,'Données projet'!$A$243:$I$263,7,0))</f>
        <v>0</v>
      </c>
      <c r="GL21" s="162" t="str">
        <f>EXP(-LN(2)/35)*GL20+(1-EXP(-LN(2)/35))/(LN(2)/35)*GH21*GI21*VLOOKUP('Données projet'!$B$17,'Paramètres'!$A$1:$I$88,3,0)*0.475*44/12</f>
        <v>#N/A</v>
      </c>
      <c r="GM21" s="162" t="str">
        <f>EXP(-LN(2)/25)*GM20+(1-EXP(-LN(2)/25))/(LN(2)/25)*Calculateur!GH21*Calculateur!GJ21*VLOOKUP('Données projet'!$B$17,'Paramètres'!$A$1:$I$88,3,0)*0.475*44/12</f>
        <v>#N/A</v>
      </c>
      <c r="GN21" s="162" t="str">
        <f>EXP(-LN(2)/2)*GN20+(1-EXP(-LN(2)/2))/(LN(2)/2)*GH21*GK21*VLOOKUP('Données projet'!$B$17,'Paramètres'!$A$1:$I$88,3,0)*0.475*44/12</f>
        <v>#N/A</v>
      </c>
      <c r="GO21" s="162" t="str">
        <f t="shared" si="28"/>
        <v>#N/A</v>
      </c>
      <c r="GP21" s="159">
        <f>('Scénario référence'!$F$8+'Scénario référence'!$F$9+'Scénario référence'!$B$17+'Scénario référence'!$B$9+'Scénario référence'!$B$10)*70+IF((45+25*(1-EXP(-0.0175*A21)))&lt;70,'Scénario référence'!$B$16*(45+25*(1-EXP(-0.0175*A21))),70*'Scénario référence'!$B$16)+IF((32+38*(1-EXP(-0.0175*A21)))&lt;70,'Scénario référence'!$B$18*(32+38*(1-EXP(-0.0175*A21))),70*'Scénario référence'!$B$18)</f>
        <v>70</v>
      </c>
      <c r="GQ21" s="151">
        <f>IF(A21&gt;30,10,('Scénario référence'!$B$16+'Scénario référence'!$B$17+'Scénario référence'!$B$18+'Scénario référence'!$B$9+'Scénario référence'!$B$10)*A21*10/30+('Scénario référence'!$F$8+'Scénario référence'!$F$9)*10)</f>
        <v>6</v>
      </c>
      <c r="GR21" s="151" t="str">
        <f>VLOOKUP(A21,'Données projet'!$A$269:$I$289,2,0)</f>
        <v>#N/A</v>
      </c>
      <c r="GS21" s="151" t="str">
        <f>VLOOKUP(A21,'Données projet'!$A$269:$I$289,9,0)</f>
        <v>#N/A</v>
      </c>
      <c r="GT21" s="151" t="str">
        <f t="array" ref="GT21">INDEX(GS:GS,MIN(IF(ISNUMBER(GS21:GS217),ROW(GS21:GS217),"")))</f>
        <v/>
      </c>
      <c r="GU21" s="151">
        <f>IF('Données projet'!$A$270&gt;35,GU20+GT21-HC20,IF(A21&lt;'Données projet'!$A$270,$GR$205^A21,IF(A21='Données projet'!$A$270,'Données projet'!$B$270,GU20+GT21-HC20)))</f>
        <v>0</v>
      </c>
      <c r="GV21" s="158" t="str">
        <f>GU21*VLOOKUP('Données projet'!$B$18,'Paramètres'!$A$1:$I$88,3,0)*VLOOKUP('Données projet'!$B$18,'Paramètres'!$A$1:$I$88,5,0)</f>
        <v>#N/A</v>
      </c>
      <c r="GW21" s="150" t="str">
        <f t="shared" si="52"/>
        <v>#N/A</v>
      </c>
      <c r="GX21" s="161" t="str">
        <f t="shared" si="29"/>
        <v>#N/A</v>
      </c>
      <c r="GY21" s="153" t="str">
        <f t="shared" si="30"/>
        <v>#N/A</v>
      </c>
      <c r="GZ21" s="153" t="str">
        <f>AVERAGE(OFFSET($GY$3,0,0,'Données projet'!$E$18+1,1))-AVERAGE(OFFSET($H$3,0,0,'Données projet'!$E$18+1,1))</f>
        <v>#N/A</v>
      </c>
      <c r="HA21" s="153" t="str">
        <f t="shared" si="53"/>
        <v>#N/A</v>
      </c>
      <c r="HB21" s="154">
        <f>IF(ISNA(VLOOKUP(A21,'Données projet'!$A$269:$I$289,3,0)),0,VLOOKUP(A21,'Données projet'!$A$269:$I$289,3,0))</f>
        <v>0</v>
      </c>
      <c r="HC21" s="154">
        <f>IF(ISNA(VLOOKUP(A21,'Données projet'!$A$269:$I$289,4,0)),0,VLOOKUP(A21,'Données projet'!$A$269:$I$289,4,0))</f>
        <v>0</v>
      </c>
      <c r="HD21" s="155">
        <f>IF(ISNA(VLOOKUP(A21,'Données projet'!$A$269:$I$289,5,0)),0%,VLOOKUP(A21,'Données projet'!$A$269:$I$289,5,0)*VLOOKUP('Données projet'!$B$18,'Paramètres'!$A$1:$I$88,7,0))</f>
        <v>0</v>
      </c>
      <c r="HE21" s="155">
        <f>IF(ISNA(VLOOKUP(A21,'Données projet'!$A$269:$I$289,6,0)),0%,VLOOKUP(A21,'Données projet'!$A$269:$I$289,6,0)*VLOOKUP('Données projet'!$B$18,'Paramètres'!$A$1:$I$88,7,0))</f>
        <v>0</v>
      </c>
      <c r="HF21" s="155">
        <f>IF(ISNA(VLOOKUP(A21,'Données projet'!$A$269:$I$289,7,0)),0%,VLOOKUP(A21,'Données projet'!$A$269:$I$289,7,0))</f>
        <v>0</v>
      </c>
      <c r="HG21" s="162" t="str">
        <f>EXP(-LN(2)/35)*HG20+(1-EXP(-LN(2)/35))/(LN(2)/35)*HC21*HD21*VLOOKUP('Données projet'!$B$18,'Paramètres'!$A$1:$I$88,3,0)*0.475*44/12</f>
        <v>#N/A</v>
      </c>
      <c r="HH21" s="162" t="str">
        <f>EXP(-LN(2)/25)*HH20+(1-EXP(-LN(2)/25))/(LN(2)/25)*Calculateur!HC21*Calculateur!HE21*VLOOKUP('Données projet'!$B$18,'Paramètres'!$A$1:$I$88,3,0)*0.475*44/12</f>
        <v>#N/A</v>
      </c>
      <c r="HI21" s="162" t="str">
        <f>EXP(-LN(2)/2)*HI20+(1-EXP(-LN(2)/2))/(LN(2)/2)*HC21*HF21*VLOOKUP('Données projet'!$B$18,'Paramètres'!$A$1:$I$88,3,0)*0.475*44/12</f>
        <v>#N/A</v>
      </c>
      <c r="HJ21" s="163" t="str">
        <f t="shared" si="31"/>
        <v>#N/A</v>
      </c>
    </row>
    <row r="22" ht="15.75" customHeight="1">
      <c r="A22" s="145">
        <f t="shared" si="32"/>
        <v>19</v>
      </c>
      <c r="B22" s="146">
        <f>'Scénario référence'!$B$16*5+'Scénario référence'!$B$17*0+'Scénario référence'!$B$18*5</f>
        <v>0</v>
      </c>
      <c r="C22" s="160">
        <f>Calculateur!C21+'Scénario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22" s="147">
        <f t="shared" si="33"/>
        <v>0</v>
      </c>
      <c r="E22" s="147">
        <f>'Scénario référence'!$B$16*45+('Scénario référence'!$B$17+'Scénario référence'!$F$8+'Scénario référence'!$F$9+'Scénario référence'!$B$10+'Scénario référence'!$B$9)*70+'Scénario référence'!$B$18*32</f>
        <v>70</v>
      </c>
      <c r="F22" s="147">
        <f>IF(OR('Scénario référence'!$F$8&gt;0,'Scénario référence'!$F$9&gt;0),('Scénario référence'!$F$8+'Scénario référence'!$F$9)*10,0)</f>
        <v>0</v>
      </c>
      <c r="G22" s="147">
        <f>'Scénario référence'!$B$8*B22*44/12+'Scénario référence'!$B$9*(C22+D22)/0.475*44/12+'Scénario référence'!$B$10*(C22+D22)/0.475*44/12+'Scénario référence'!$F$8*(C22+D22)/0.475*44/12+'Scénario référence'!$F$9*(C22+D22)/0.475*44/12</f>
        <v>0</v>
      </c>
      <c r="H22" s="148">
        <f t="shared" si="1"/>
        <v>256.6666667</v>
      </c>
      <c r="I22" s="149">
        <f>('Scénario référence'!$F$8+'Scénario référence'!$F$9+'Scénario référence'!$B$17+'Scénario référence'!$B$9+'Scénario référence'!$B$10)*70+IF((45+25*(1-EXP(-0.0175*A22)))&lt;70,'Scénario référence'!$B$16*(45+25*(1-EXP(-0.0175*A22))),70*'Scénario référence'!$B$16)+IF((32+38*(1-EXP(-0.0175*A22)))&lt;70,'Scénario référence'!$B$18*(32+38*(1-EXP(-0.0175*A22))),70*'Scénario référence'!$B$18)</f>
        <v>70</v>
      </c>
      <c r="J22" s="150">
        <f>IF(A22&gt;30,10,('Scénario référence'!$B$16+'Scénario référence'!$B$17+'Scénario référence'!$B$18+'Scénario référence'!$B$9+'Scénario référence'!$B$10)*A22*10/30+('Scénario référence'!$F$8+'Scénario référence'!$F$9)*10)</f>
        <v>6.333333333</v>
      </c>
      <c r="K22" s="151" t="str">
        <f>VLOOKUP(A22,'Données projet'!$A$35:$I$55,2,0)</f>
        <v>#N/A</v>
      </c>
      <c r="L22" s="151" t="str">
        <f>VLOOKUP(A22,'Données projet'!$A$35:$I$55,9,0)</f>
        <v>#N/A</v>
      </c>
      <c r="M22" s="150">
        <f t="array" ref="M22">INDEX(L:L,MIN(IF(ISNUMBER(L22:L218),ROW(L22:L218),"")))</f>
        <v>3.65</v>
      </c>
      <c r="N22" s="150">
        <f>IF('Données projet'!$A$36&gt;35,N21+M22-V21,IF(A22&lt;'Données projet'!$A$36,$K$205^A22,IF(A22='Données projet'!$A$36,'Données projet'!$B$36,N21+M22-V21)))</f>
        <v>58.90561806</v>
      </c>
      <c r="O22" s="150">
        <f>N22*VLOOKUP('Données projet'!$B$9,'Paramètres'!$A$1:$I$88,3,0)*VLOOKUP('Données projet'!$B$9,'Paramètres'!$A$1:$I$88,5,0)</f>
        <v>53.29780322</v>
      </c>
      <c r="P22" s="150">
        <f t="shared" si="34"/>
        <v>15.46224001</v>
      </c>
      <c r="Q22" s="161">
        <f t="shared" si="2"/>
        <v>119.7570753</v>
      </c>
      <c r="R22" s="153">
        <f t="shared" si="3"/>
        <v>399.6459642</v>
      </c>
      <c r="S22" s="153">
        <f>AVERAGE(OFFSET($R$3,0,0,'Données projet'!$E$9+1,1))-AVERAGE(OFFSET($H$3,0,0,'Données projet'!$E$9+1,1))</f>
        <v>439.1985427</v>
      </c>
      <c r="T22" s="153">
        <f t="shared" si="35"/>
        <v>278.2174123</v>
      </c>
      <c r="U22" s="154">
        <f>IF(ISNA(VLOOKUP(A22,'Données projet'!$A$35:$I$55,3,0)),0,VLOOKUP(A22,'Données projet'!$A$35:$I$55,3,0))</f>
        <v>0</v>
      </c>
      <c r="V22" s="154">
        <f>IF(ISNA(VLOOKUP(A22,'Données projet'!$A$35:$I$55,4,0)),0,VLOOKUP(A22,'Données projet'!$A$35:$I$55,4,0))</f>
        <v>0</v>
      </c>
      <c r="W22" s="155">
        <f>IF(ISNA(VLOOKUP(A22,'Données projet'!$A$35:$I$55,5,0)),0%,VLOOKUP(A22,'Données projet'!$A$35:$I$55,5,0)*VLOOKUP('Données projet'!$B$9,'Paramètres'!$A$1:$I$88,7,0))</f>
        <v>0</v>
      </c>
      <c r="X22" s="155">
        <f>IF(ISNA(VLOOKUP(A22,'Données projet'!$A$35:$I$55,6,0)),0%,VLOOKUP(A22,'Données projet'!$A$35:$I$55,6,0)*VLOOKUP('Données projet'!$B$9,'Paramètres'!$A$1:$I$88,7,0))</f>
        <v>0</v>
      </c>
      <c r="Y22" s="155">
        <f>IF(ISNA(VLOOKUP(A22,'Données projet'!$A$35:$I$55,7,0)),0%,VLOOKUP(A22,'Données projet'!$A$35:$I$55,7,0))</f>
        <v>0</v>
      </c>
      <c r="Z22" s="162">
        <f>EXP(-LN(2)/35)*Z21+(1-EXP(-LN(2)/35))/(LN(2)/35)*V22*W22*VLOOKUP('Données projet'!$B$9,'Paramètres'!$A$1:$I$88,3,0)*0.475*44/12</f>
        <v>0</v>
      </c>
      <c r="AA22" s="162">
        <f>EXP(-LN(2)/25)*AA21+(1-EXP(-LN(2)/25))/(LN(2)/25)*Calculateur!V22*Calculateur!X22*VLOOKUP('Données projet'!$B$9,'Paramètres'!$A$1:$I$88,3,0)*0.475*44/12</f>
        <v>0</v>
      </c>
      <c r="AB22" s="162">
        <f>EXP(-LN(2)/2)*AB21+(1-EXP(-LN(2)/2))/(LN(2)/2)*V22*Y22*VLOOKUP('Données projet'!$B$9,'Paramètres'!$A$1:$I$88,3,0)*0.475*44/12</f>
        <v>0</v>
      </c>
      <c r="AC22" s="163">
        <f t="shared" si="4"/>
        <v>0</v>
      </c>
      <c r="AD22" s="150">
        <f>('Scénario référence'!$F$8+'Scénario référence'!$F$9+'Scénario référence'!$B$17+'Scénario référence'!$B$9+'Scénario référence'!$B$10)*70+IF((45+25*(1-EXP(-0.0175*A22)))&lt;70,'Scénario référence'!$B$16*(45+25*(1-EXP(-0.0175*A22))),70*'Scénario référence'!$B$16)+IF((32+38*(1-EXP(-0.0175*A22)))&lt;70,'Scénario référence'!$B$18*(32+38*(1-EXP(-0.0175*A22))),70*'Scénario référence'!$B$18)</f>
        <v>70</v>
      </c>
      <c r="AE22" s="150">
        <f>IF(A22&gt;30,10,('Scénario référence'!$B$16+'Scénario référence'!$B$17+'Scénario référence'!$B$18+'Scénario référence'!$B$9+'Scénario référence'!$B$10)*A22*10/30+('Scénario référence'!$F$8+'Scénario référence'!$F$9)*10)</f>
        <v>6.333333333</v>
      </c>
      <c r="AF22" s="151" t="str">
        <f>VLOOKUP(A22,'Données projet'!$A$61:$I$81,2,0)</f>
        <v>#N/A</v>
      </c>
      <c r="AG22" s="151" t="str">
        <f>VLOOKUP(A22,'Données projet'!$A$61:$I$81,9,0)</f>
        <v>#N/A</v>
      </c>
      <c r="AH22" s="150">
        <f t="array" ref="AH22">INDEX(AG:AG,MIN(IF(ISNUMBER(AG22:AG218),ROW(AG22:AG218),"")))</f>
        <v>16</v>
      </c>
      <c r="AI22" s="150">
        <f>IF('Données projet'!$A$62&gt;35,AI21+AH22-AQ21,IF(A22&lt;'Données projet'!$A$62,$AF$205^A22,IF(A22='Données projet'!$A$62,'Données projet'!$B$62,AI21+AH22-AQ21)))</f>
        <v>107</v>
      </c>
      <c r="AJ22" s="150">
        <f>AI22*VLOOKUP('Données projet'!$B$10,'Paramètres'!$A$1:$I$88,3,0)*VLOOKUP('Données projet'!$B$10,'Paramètres'!$A$1:$I$88,5,0)</f>
        <v>85.1292</v>
      </c>
      <c r="AK22" s="150">
        <f t="shared" si="36"/>
        <v>23.38672848</v>
      </c>
      <c r="AL22" s="161">
        <f t="shared" si="5"/>
        <v>188.9985754</v>
      </c>
      <c r="AM22" s="153">
        <f t="shared" si="6"/>
        <v>468.8874643</v>
      </c>
      <c r="AN22" s="153">
        <f>AVERAGE(OFFSET($AM$3,0,0,'Données projet'!$E$10+1,1))-AVERAGE(OFFSET($H$3,0,0,'Données projet'!$E$10+1,1))</f>
        <v>405.6113614</v>
      </c>
      <c r="AO22" s="153">
        <f t="shared" si="37"/>
        <v>393.0787141</v>
      </c>
      <c r="AP22" s="154">
        <f>IF(ISNA(VLOOKUP(A22,'Données projet'!$A$61:$I$81,3,0)),0,VLOOKUP(A22,'Données projet'!$A$61:$I$81,3,0))</f>
        <v>0</v>
      </c>
      <c r="AQ22" s="154">
        <f>IF(ISNA(VLOOKUP(A22,'Données projet'!$A$61:$I$81,4,0)),0,VLOOKUP(A22,'Données projet'!$A$61:$I$81,4,0))</f>
        <v>0</v>
      </c>
      <c r="AR22" s="155">
        <f>IF(ISNA(VLOOKUP(A22,'Données projet'!$A$61:$I$81,5,0)),0%,VLOOKUP(A22,'Données projet'!$A$61:$I$81,5,0)*VLOOKUP('Données projet'!$B$10,'Paramètres'!$A$1:$I$88,7,0))</f>
        <v>0</v>
      </c>
      <c r="AS22" s="155">
        <f>IF(ISNA(VLOOKUP(A22,'Données projet'!$A$61:$I$81,6,0)),0%,VLOOKUP(A22,'Données projet'!$A$61:$I$81,6,0)*VLOOKUP('Données projet'!$B$10,'Paramètres'!$A$1:$I$88,7,0))</f>
        <v>0</v>
      </c>
      <c r="AT22" s="155">
        <f>IF(ISNA(VLOOKUP(A22,'Données projet'!$A$61:$I$81,7,0)),0%,VLOOKUP(A22,'Données projet'!$A$61:$I$81,7,0))</f>
        <v>0</v>
      </c>
      <c r="AU22" s="162">
        <f>EXP(-LN(2)/35)*AU21+(1-EXP(-LN(2)/35))/(LN(2)/35)*AQ22*AR22*VLOOKUP('Données projet'!$B$10,'Paramètres'!$A$1:$I$88,3,0)*0.475*44/12</f>
        <v>0</v>
      </c>
      <c r="AV22" s="162">
        <f>EXP(-LN(2)/25)*AV21+(1-EXP(-LN(2)/25))/(LN(2)/25)*Calculateur!AQ22*Calculateur!AS22*VLOOKUP('Données projet'!$B$10,'Paramètres'!$A$1:$I$88,3,0)*0.475*44/12</f>
        <v>0</v>
      </c>
      <c r="AW22" s="162">
        <f>EXP(-LN(2)/2)*AW21+(1-EXP(-LN(2)/2))/(LN(2)/2)*AQ22*AT22*VLOOKUP('Données projet'!$B$10,'Paramètres'!$A$1:$I$88,3,0)*0.475*44/12</f>
        <v>3.94101757</v>
      </c>
      <c r="AX22" s="162">
        <f t="shared" si="7"/>
        <v>3.94101757</v>
      </c>
      <c r="AY22" s="157">
        <f>('Scénario référence'!$F$8+'Scénario référence'!$F$9+'Scénario référence'!$B$17+'Scénario référence'!$B$9+'Scénario référence'!$B$10)*70+IF((45+25*(1-EXP(-0.0175*A22)))&lt;70,'Scénario référence'!$B$16*(45+25*(1-EXP(-0.0175*A22))),70*'Scénario référence'!$B$16)+IF((32+38*(1-EXP(-0.0175*A22)))&lt;70,'Scénario référence'!$B$18*(32+38*(1-EXP(-0.0175*A22))),70*'Scénario référence'!$B$18)</f>
        <v>70</v>
      </c>
      <c r="AZ22" s="151">
        <f>IF(A22&gt;30,10,('Scénario référence'!$B$16+'Scénario référence'!$B$17+'Scénario référence'!$B$18+'Scénario référence'!$B$9+'Scénario référence'!$B$10)*A22*10/30+('Scénario référence'!$F$8+'Scénario référence'!$F$9)*10)</f>
        <v>6.333333333</v>
      </c>
      <c r="BA22" s="151" t="str">
        <f>VLOOKUP(A22,'Données projet'!$A$87:$I$107,2,0)</f>
        <v>#N/A</v>
      </c>
      <c r="BB22" s="151" t="str">
        <f>VLOOKUP(A22,'Données projet'!$A$87:$I$107,9,0)</f>
        <v>#N/A</v>
      </c>
      <c r="BC22" s="150" t="str">
        <f t="array" ref="BC22">INDEX(BB:BB,MIN(IF(ISNUMBER(BB22:BB218),ROW(BB22:BB218),"")))</f>
        <v/>
      </c>
      <c r="BD22" s="150">
        <f>IF('Données projet'!$A$88&gt;35,BD21+BC22-BL21,IF(A22&lt;'Données projet'!$A$88,$BA$205^A22,IF(A22='Données projet'!$A$88,'Données projet'!$B$88,BD21+BC22-BL21)))</f>
        <v>0</v>
      </c>
      <c r="BE22" s="150">
        <f>BD22*VLOOKUP('Données projet'!$B$11,'Paramètres'!$A$1:$I$88,3,0)*VLOOKUP('Données projet'!$B$11,'Paramètres'!$A$1:$I$88,5,0)</f>
        <v>0</v>
      </c>
      <c r="BF22" s="150" t="str">
        <f t="shared" si="38"/>
        <v>#NUM!</v>
      </c>
      <c r="BG22" s="161" t="str">
        <f t="shared" si="8"/>
        <v>#NUM!</v>
      </c>
      <c r="BH22" s="153" t="str">
        <f t="shared" si="9"/>
        <v>#NUM!</v>
      </c>
      <c r="BI22" s="153">
        <f>AVERAGE(OFFSET($BH$3,0,0,'Données projet'!$E$11+1,1))-AVERAGE(OFFSET($H$3,0,0,'Données projet'!$E$11+1,1))</f>
        <v>0</v>
      </c>
      <c r="BJ22" s="153">
        <f t="shared" si="39"/>
        <v>0</v>
      </c>
      <c r="BK22" s="154">
        <f>IF(ISNA(VLOOKUP(A22,'Données projet'!$A$87:$I$107,3,0)),0,VLOOKUP(A22,'Données projet'!$A$87:$I$107,3,0))</f>
        <v>0</v>
      </c>
      <c r="BL22" s="154">
        <f>IF(ISNA(VLOOKUP(A22,'Données projet'!$A$87:$I$107,4,0)),0,VLOOKUP(A22,'Données projet'!$A$87:$I$107,4,0))</f>
        <v>0</v>
      </c>
      <c r="BM22" s="155">
        <f>IF(ISNA(VLOOKUP(A22,'Données projet'!$A$87:$I$107,5,0)),0%,VLOOKUP(A22,'Données projet'!$A$87:$I$107,5,0)*VLOOKUP('Données projet'!$B$11,'Paramètres'!$A$1:$I$88,7,0))</f>
        <v>0</v>
      </c>
      <c r="BN22" s="155">
        <f>IF(ISNA(VLOOKUP(A22,'Données projet'!$A$87:$I$107,6,0)),0%,VLOOKUP(A22,'Données projet'!$A$87:$I$107,6,0)*VLOOKUP('Données projet'!$B$11,'Paramètres'!$A$1:$I$88,7,0))</f>
        <v>0</v>
      </c>
      <c r="BO22" s="155">
        <f>IF(ISNA(VLOOKUP(A22,'Données projet'!$A$87:$I$107,7,0)),0%,VLOOKUP(A22,'Données projet'!$A$87:$I$107,7,0))</f>
        <v>0</v>
      </c>
      <c r="BP22" s="162">
        <f>EXP(-LN(2)/35)*BP21+(1-EXP(-LN(2)/35))/(LN(2)/35)*BL22*BM22*VLOOKUP('Données projet'!$B$11,'Paramètres'!$A$1:$I$88,3,0)*0.475*44/12</f>
        <v>0</v>
      </c>
      <c r="BQ22" s="162">
        <f>EXP(-LN(2)/25)*BQ21+(1-EXP(-LN(2)/25))/(LN(2)/25)*Calculateur!BL22*Calculateur!BN22*VLOOKUP('Données projet'!$B$11,'Paramètres'!$A$1:$I$88,3,0)*0.475*44/12</f>
        <v>0</v>
      </c>
      <c r="BR22" s="162">
        <f>EXP(-LN(2)/2)*BR21+(1-EXP(-LN(2)/2))/(LN(2)/2)*BL22*BO22*VLOOKUP('Données projet'!$B$11,'Paramètres'!$A$1:$I$88,3,0)*0.475*44/12</f>
        <v>0</v>
      </c>
      <c r="BS22" s="163">
        <f t="shared" si="10"/>
        <v>0</v>
      </c>
      <c r="BT22" s="159">
        <f>('Scénario référence'!$F$8+'Scénario référence'!$F$9+'Scénario référence'!$B$17+'Scénario référence'!$B$9+'Scénario référence'!$B$10)*70+IF((45+25*(1-EXP(-0.0175*A22)))&lt;70,'Scénario référence'!$B$16*(45+25*(1-EXP(-0.0175*A22))),70*'Scénario référence'!$B$16)+IF((32+38*(1-EXP(-0.0175*A22)))&lt;70,'Scénario référence'!$B$18*(32+38*(1-EXP(-0.0175*A22))),70*'Scénario référence'!$B$18)</f>
        <v>70</v>
      </c>
      <c r="BU22" s="151">
        <f>IF(A22&gt;30,10,('Scénario référence'!$B$16+'Scénario référence'!$B$17+'Scénario référence'!$B$18+'Scénario référence'!$B$9+'Scénario référence'!$B$10)*A22*10/30+('Scénario référence'!$F$8+'Scénario référence'!$F$9)*10)</f>
        <v>6.333333333</v>
      </c>
      <c r="BV22" s="151" t="str">
        <f>VLOOKUP(A22,'Données projet'!$A$113:$I$133,2,0)</f>
        <v>#N/A</v>
      </c>
      <c r="BW22" s="151" t="str">
        <f>VLOOKUP(A22,'Données projet'!$A$113:$I$133,9,0)</f>
        <v>#N/A</v>
      </c>
      <c r="BX22" s="150" t="str">
        <f t="array" ref="BX22">INDEX(BW:BW,MIN(IF(ISNUMBER(BW22:BW218),ROW(BW22:BW218),"")))</f>
        <v/>
      </c>
      <c r="BY22" s="150">
        <f>IF('Données projet'!$A$114&gt;35,BY21+BX22-CG21,IF(A22&lt;'Données projet'!$A$114,$BV$205^A22,IF(A22='Données projet'!$A$114,'Données projet'!$B$114,BY21+BX22-CG21)))</f>
        <v>0</v>
      </c>
      <c r="BZ22" s="150" t="str">
        <f>BY22*VLOOKUP('Données projet'!$B$12,'Paramètres'!$A$1:$I$88,3,0)*VLOOKUP('Données projet'!$B$12,'Paramètres'!$A$1:$I$88,5,0)</f>
        <v>#N/A</v>
      </c>
      <c r="CA22" s="150" t="str">
        <f t="shared" si="40"/>
        <v>#N/A</v>
      </c>
      <c r="CB22" s="161" t="str">
        <f t="shared" si="11"/>
        <v>#N/A</v>
      </c>
      <c r="CC22" s="153" t="str">
        <f t="shared" si="12"/>
        <v>#N/A</v>
      </c>
      <c r="CD22" s="153" t="str">
        <f>AVERAGE(OFFSET($CC$3,0,0,'Données projet'!$E$12+1,1))-AVERAGE(OFFSET($H$3,0,0,'Données projet'!$E$12+1,1))</f>
        <v>#N/A</v>
      </c>
      <c r="CE22" s="153" t="str">
        <f t="shared" si="41"/>
        <v>#N/A</v>
      </c>
      <c r="CF22" s="154">
        <f>IF(ISNA(VLOOKUP(A22,'Données projet'!$A$113:$I$133,3,0)),0,VLOOKUP(A22,'Données projet'!$A$113:$I$133,3,0))</f>
        <v>0</v>
      </c>
      <c r="CG22" s="154">
        <f>IF(ISNA(VLOOKUP(A22,'Données projet'!$A$113:$I$133,4,0)),0,VLOOKUP(A22,'Données projet'!$A$113:$I$133,4,0))</f>
        <v>0</v>
      </c>
      <c r="CH22" s="155">
        <f>IF(ISNA(VLOOKUP(A22,'Données projet'!$A$113:$I$133,5,0)),0%,VLOOKUP(A22,'Données projet'!$A$113:$I$133,5,0)*VLOOKUP('Données projet'!$B$12,'Paramètres'!$A$1:$I$88,7,0))</f>
        <v>0</v>
      </c>
      <c r="CI22" s="155">
        <f>IF(ISNA(VLOOKUP(A22,'Données projet'!$A$113:$I$133,6,0)),0%,VLOOKUP(A22,'Données projet'!$A$113:$I$133,6,0)*VLOOKUP('Données projet'!$B$12,'Paramètres'!$A$1:$I$88,7,0))</f>
        <v>0</v>
      </c>
      <c r="CJ22" s="155">
        <f>IF(ISNA(VLOOKUP(A22,'Données projet'!$A$113:$I$133,7,0)),0%,VLOOKUP(A22,'Données projet'!$A$113:$I$133,7,0))</f>
        <v>0</v>
      </c>
      <c r="CK22" s="162" t="str">
        <f>EXP(-LN(2)/35)*CK21+(1-EXP(-LN(2)/35))/(LN(2)/35)*CG22*CH22*VLOOKUP('Données projet'!$B$12,'Paramètres'!$A$1:$I$88,3,0)*0.475*44/12</f>
        <v>#N/A</v>
      </c>
      <c r="CL22" s="162" t="str">
        <f>EXP(-LN(2)/25)*CL21+(1-EXP(-LN(2)/25))/(LN(2)/25)*Calculateur!CG22*Calculateur!CI22*VLOOKUP('Données projet'!$B$12,'Paramètres'!$A$1:$I$88,3,0)*0.475*44/12</f>
        <v>#N/A</v>
      </c>
      <c r="CM22" s="162" t="str">
        <f>EXP(-LN(2)/2)*CM21+(1-EXP(-LN(2)/2))/(LN(2)/2)*CG22*CJ22*VLOOKUP('Données projet'!$B$12,'Paramètres'!$A$1:$I$88,3,0)*0.475*44/12</f>
        <v>#N/A</v>
      </c>
      <c r="CN22" s="163" t="str">
        <f t="shared" si="13"/>
        <v>#N/A</v>
      </c>
      <c r="CO22" s="159">
        <f>('Scénario référence'!$F$8+'Scénario référence'!$F$9+'Scénario référence'!$B$17+'Scénario référence'!$B$9+'Scénario référence'!$B$10)*70+IF((45+25*(1-EXP(-0.0175*A22)))&lt;70,'Scénario référence'!$B$16*(45+25*(1-EXP(-0.0175*A22))),70*'Scénario référence'!$B$16)+IF((32+38*(1-EXP(-0.0175*A22)))&lt;70,'Scénario référence'!$B$18*(32+38*(1-EXP(-0.0175*A22))),70*'Scénario référence'!$B$18)</f>
        <v>70</v>
      </c>
      <c r="CP22" s="151">
        <f>IF(A22&gt;30,10,('Scénario référence'!$B$16+'Scénario référence'!$B$17+'Scénario référence'!$B$18+'Scénario référence'!$B$9+'Scénario référence'!$B$10)*A22*10/30+('Scénario référence'!$F$8+'Scénario référence'!$F$9)*10)</f>
        <v>6.333333333</v>
      </c>
      <c r="CQ22" s="151" t="str">
        <f>VLOOKUP(A22,'Données projet'!$A$139:$I$159,2,0)</f>
        <v>#N/A</v>
      </c>
      <c r="CR22" s="151" t="str">
        <f>VLOOKUP(A22,'Données projet'!$A$139:$I$159,9,0)</f>
        <v>#N/A</v>
      </c>
      <c r="CS22" s="151" t="str">
        <f t="array" ref="CS22">INDEX(CR:CR,MIN(IF(ISNUMBER(CR22:CR218),ROW(CR22:CR218),"")))</f>
        <v/>
      </c>
      <c r="CT22" s="151">
        <f>IF('Données projet'!$A$140&gt;35,CT21+CS22-DB21,IF(A22&lt;'Données projet'!$A$140,$CQ$205^A22,IF(A22='Données projet'!$A$140,'Données projet'!$B$140,CT21+CS22-DB21)))</f>
        <v>0</v>
      </c>
      <c r="CU22" s="158" t="str">
        <f>CT22*VLOOKUP('Données projet'!$B$13,'Paramètres'!$A$1:$I$88,3,0)*VLOOKUP('Données projet'!$B$13,'Paramètres'!$A$1:$I$88,5,0)</f>
        <v>#N/A</v>
      </c>
      <c r="CV22" s="150" t="str">
        <f t="shared" si="42"/>
        <v>#N/A</v>
      </c>
      <c r="CW22" s="161" t="str">
        <f t="shared" si="14"/>
        <v>#N/A</v>
      </c>
      <c r="CX22" s="153" t="str">
        <f t="shared" si="15"/>
        <v>#N/A</v>
      </c>
      <c r="CY22" s="153" t="str">
        <f>AVERAGE(OFFSET($CX$3,0,0,'Données projet'!$E$13+1,1))-AVERAGE(OFFSET($H$3,0,0,'Données projet'!$E$13+1,1))</f>
        <v>#N/A</v>
      </c>
      <c r="CZ22" s="153" t="str">
        <f t="shared" si="43"/>
        <v>#N/A</v>
      </c>
      <c r="DA22" s="154">
        <f>IF(ISNA(VLOOKUP(A22,'Données projet'!$A$139:$I$159,3,0)),0,VLOOKUP(A22,'Données projet'!$A$139:$I$159,3,0))</f>
        <v>0</v>
      </c>
      <c r="DB22" s="154">
        <f>IF(ISNA(VLOOKUP(A22,'Données projet'!$A$139:$I$159,4,0)),0,VLOOKUP(A22,'Données projet'!$A$139:$I$159,4,0))</f>
        <v>0</v>
      </c>
      <c r="DC22" s="155">
        <f>IF(ISNA(VLOOKUP(A22,'Données projet'!$A$139:$I$159,5,0)),0%,VLOOKUP(A22,'Données projet'!$A$139:$I$159,5,0)*VLOOKUP('Données projet'!$B$13,'Paramètres'!$A$1:$I$88,7,0))</f>
        <v>0</v>
      </c>
      <c r="DD22" s="155">
        <f>IF(ISNA(VLOOKUP(A22,'Données projet'!$A$139:$I$159,6,0)),0%,VLOOKUP(A22,'Données projet'!$A$139:$I$159,6,0)*VLOOKUP('Données projet'!$B$13,'Paramètres'!$A$1:$I$88,7,0))</f>
        <v>0</v>
      </c>
      <c r="DE22" s="155">
        <f>IF(ISNA(VLOOKUP(A22,'Données projet'!$A$139:$I$159,7,0)),0%,VLOOKUP(A22,'Données projet'!$A$139:$I$159,7,0))</f>
        <v>0</v>
      </c>
      <c r="DF22" s="162" t="str">
        <f>EXP(-LN(2)/35)*DF21+(1-EXP(-LN(2)/35))/(LN(2)/35)*DB22*DC22*VLOOKUP('Données projet'!$B$13,'Paramètres'!$A$1:$I$88,3,0)*0.475*44/12</f>
        <v>#N/A</v>
      </c>
      <c r="DG22" s="162" t="str">
        <f>EXP(-LN(2)/25)*DG21+(1-EXP(-LN(2)/25))/(LN(2)/25)*Calculateur!DB22*Calculateur!DD22*VLOOKUP('Données projet'!$B$13,'Paramètres'!$A$1:$I$88,3,0)*0.475*44/12</f>
        <v>#N/A</v>
      </c>
      <c r="DH22" s="162" t="str">
        <f>EXP(-LN(2)/2)*DH21+(1-EXP(-LN(2)/2))/(LN(2)/2)*DB22*DE22*VLOOKUP('Données projet'!$B$13,'Paramètres'!$A$1:$I$88,3,0)*0.475*44/12</f>
        <v>#N/A</v>
      </c>
      <c r="DI22" s="163" t="str">
        <f t="shared" si="16"/>
        <v>#N/A</v>
      </c>
      <c r="DJ22" s="159">
        <f>('Scénario référence'!$F$8+'Scénario référence'!$F$9+'Scénario référence'!$B$17+'Scénario référence'!$B$9+'Scénario référence'!$B$10)*70+IF((45+25*(1-EXP(-0.0175*A22)))&lt;70,'Scénario référence'!$B$16*(45+25*(1-EXP(-0.0175*A22))),70*'Scénario référence'!$B$16)+IF((32+38*(1-EXP(-0.0175*A22)))&lt;70,'Scénario référence'!$B$18*(32+38*(1-EXP(-0.0175*A22))),70*'Scénario référence'!$B$18)</f>
        <v>70</v>
      </c>
      <c r="DK22" s="151">
        <f>IF(A22&gt;30,10,('Scénario référence'!$B$16+'Scénario référence'!$B$17+'Scénario référence'!$B$18+'Scénario référence'!$B$9+'Scénario référence'!$B$10)*A22*10/30+('Scénario référence'!$F$8+'Scénario référence'!$F$9)*10)</f>
        <v>6.333333333</v>
      </c>
      <c r="DL22" s="151" t="str">
        <f>VLOOKUP(A22,'Données projet'!$A$165:$I$185,2,0)</f>
        <v>#N/A</v>
      </c>
      <c r="DM22" s="151" t="str">
        <f>VLOOKUP(A22,'Données projet'!$A$165:$I$185,9,0)</f>
        <v>#N/A</v>
      </c>
      <c r="DN22" s="151" t="str">
        <f t="array" ref="DN22">INDEX(DM:DM,MIN(IF(ISNUMBER(DM22:DM218),ROW(DM22:DM218),"")))</f>
        <v/>
      </c>
      <c r="DO22" s="151">
        <f>IF('Données projet'!$A$166&gt;35,DO21+DN22-DW21,IF(A22&lt;'Données projet'!$A$166,$DL$205^A22,IF(A22='Données projet'!$A$166,'Données projet'!$B$166,DO21+DN22-DW21)))</f>
        <v>0</v>
      </c>
      <c r="DP22" s="158" t="str">
        <f>DO22*VLOOKUP('Données projet'!$B$14,'Paramètres'!$A$1:$I$88,3,0)*VLOOKUP('Données projet'!$B$14,'Paramètres'!$A$1:$I$88,5,0)</f>
        <v>#N/A</v>
      </c>
      <c r="DQ22" s="150" t="str">
        <f t="shared" si="44"/>
        <v>#N/A</v>
      </c>
      <c r="DR22" s="161" t="str">
        <f t="shared" si="17"/>
        <v>#N/A</v>
      </c>
      <c r="DS22" s="153" t="str">
        <f t="shared" si="18"/>
        <v>#N/A</v>
      </c>
      <c r="DT22" s="153" t="str">
        <f>AVERAGE(OFFSET($DS$3,0,0,'Données projet'!$E$14+1,1))-AVERAGE(OFFSET($H$3,0,0,'Données projet'!$E$14+1,1))</f>
        <v>#N/A</v>
      </c>
      <c r="DU22" s="153" t="str">
        <f t="shared" si="45"/>
        <v>#N/A</v>
      </c>
      <c r="DV22" s="154">
        <f>IF(ISNA(VLOOKUP(A22,'Données projet'!$A$165:$I$185,3,0)),0,VLOOKUP(A22,'Données projet'!$A$165:$I$185,3,0))</f>
        <v>0</v>
      </c>
      <c r="DW22" s="154">
        <f>IF(ISNA(VLOOKUP(A22,'Données projet'!$A$165:$I$185,4,0)),0,VLOOKUP(A22,'Données projet'!$A$165:$I$185,4,0))</f>
        <v>0</v>
      </c>
      <c r="DX22" s="155">
        <f>IF(ISNA(VLOOKUP(A22,'Données projet'!$A$165:$I$185,5,0)),0%,VLOOKUP(A22,'Données projet'!$A$165:$I$185,5,0)*VLOOKUP('Données projet'!$B$14,'Paramètres'!$A$1:$I$88,7,0))</f>
        <v>0</v>
      </c>
      <c r="DY22" s="155">
        <f>IF(ISNA(VLOOKUP(A22,'Données projet'!$A$165:$I$185,6,0)),0%,VLOOKUP(A22,'Données projet'!$A$165:$I$185,6,0)*VLOOKUP('Données projet'!$B$14,'Paramètres'!$A$1:$I$88,7,0))</f>
        <v>0</v>
      </c>
      <c r="DZ22" s="155">
        <f>IF(ISNA(VLOOKUP(A22,'Données projet'!$A$165:$I$185,7,0)),0%,VLOOKUP(A22,'Données projet'!$A$165:$I$185,7,0))</f>
        <v>0</v>
      </c>
      <c r="EA22" s="162" t="str">
        <f>EXP(-LN(2)/35)*EA21+(1-EXP(-LN(2)/35))/(LN(2)/35)*DW22*DX22*VLOOKUP('Données projet'!$B$14,'Paramètres'!$A$1:$I$88,3,0)*0.475*44/12</f>
        <v>#N/A</v>
      </c>
      <c r="EB22" s="162" t="str">
        <f>EXP(-LN(2)/25)*EB21+(1-EXP(-LN(2)/25))/(LN(2)/25)*Calculateur!DW22*Calculateur!DY22*VLOOKUP('Données projet'!$B$14,'Paramètres'!$A$1:$I$88,3,0)*0.475*44/12</f>
        <v>#N/A</v>
      </c>
      <c r="EC22" s="162" t="str">
        <f>EXP(-LN(2)/2)*EC21+(1-EXP(-LN(2)/2))/(LN(2)/2)*DW22*DZ22*VLOOKUP('Données projet'!$B$14,'Paramètres'!$A$1:$I$88,3,0)*0.475*44/12</f>
        <v>#N/A</v>
      </c>
      <c r="ED22" s="163" t="str">
        <f t="shared" si="19"/>
        <v>#N/A</v>
      </c>
      <c r="EE22" s="159">
        <f>('Scénario référence'!$F$8+'Scénario référence'!$F$9+'Scénario référence'!$B$17+'Scénario référence'!$B$9+'Scénario référence'!$B$10)*70+IF((45+25*(1-EXP(-0.0175*A22)))&lt;70,'Scénario référence'!$B$16*(45+25*(1-EXP(-0.0175*A22))),70*'Scénario référence'!$B$16)+IF((32+38*(1-EXP(-0.0175*A22)))&lt;70,'Scénario référence'!$B$18*(32+38*(1-EXP(-0.0175*A22))),70*'Scénario référence'!$B$18)</f>
        <v>70</v>
      </c>
      <c r="EF22" s="151">
        <f>IF(A22&gt;30,10,('Scénario référence'!$B$16+'Scénario référence'!$B$17+'Scénario référence'!$B$18+'Scénario référence'!$B$9+'Scénario référence'!$B$10)*A22*10/30+('Scénario référence'!$F$8+'Scénario référence'!$F$9)*10)</f>
        <v>6.333333333</v>
      </c>
      <c r="EG22" s="151" t="str">
        <f>VLOOKUP(A22,'Données projet'!$A$191:$I$211,2,0)</f>
        <v>#N/A</v>
      </c>
      <c r="EH22" s="151" t="str">
        <f>VLOOKUP(A22,'Données projet'!$A$191:$I$211,9,0)</f>
        <v>#N/A</v>
      </c>
      <c r="EI22" s="151" t="str">
        <f t="array" ref="EI22">INDEX(EH:EH,MIN(IF(ISNUMBER(EH22:EH218),ROW(EH22:EH218),"")))</f>
        <v/>
      </c>
      <c r="EJ22" s="151">
        <f>IF('Données projet'!$A$192&gt;35,EJ21+EI22-ER21,IF(A22&lt;'Données projet'!$A$192,$EG$205^A22,IF(A22='Données projet'!$A$192,'Données projet'!$B$192,EJ21+EI22-ER21)))</f>
        <v>0</v>
      </c>
      <c r="EK22" s="158" t="str">
        <f>EJ22*VLOOKUP('Données projet'!$B$15,'Paramètres'!$A$1:$I$88,3,0)*VLOOKUP('Données projet'!$B$15,'Paramètres'!$A$1:$I$88,5,0)</f>
        <v>#N/A</v>
      </c>
      <c r="EL22" s="150" t="str">
        <f t="shared" si="46"/>
        <v>#N/A</v>
      </c>
      <c r="EM22" s="161" t="str">
        <f t="shared" si="20"/>
        <v>#N/A</v>
      </c>
      <c r="EN22" s="153" t="str">
        <f t="shared" si="21"/>
        <v>#N/A</v>
      </c>
      <c r="EO22" s="153" t="str">
        <f>AVERAGE(OFFSET($EN$3,0,0,'Données projet'!$E$15+1,1))-AVERAGE(OFFSET($H$3,0,0,'Données projet'!$E$15+1,1))</f>
        <v>#N/A</v>
      </c>
      <c r="EP22" s="153" t="str">
        <f t="shared" si="47"/>
        <v>#N/A</v>
      </c>
      <c r="EQ22" s="154">
        <f>IF(ISNA(VLOOKUP(A22,'Données projet'!$A$191:$I$211,3,0)),0,VLOOKUP(A22,'Données projet'!$A$191:$I$211,3,0))</f>
        <v>0</v>
      </c>
      <c r="ER22" s="154">
        <f>IF(ISNA(VLOOKUP(A22,'Données projet'!$A$191:$I$211,4,0)),0,VLOOKUP(A22,'Données projet'!$A$191:$I$211,4,0))</f>
        <v>0</v>
      </c>
      <c r="ES22" s="155">
        <f>IF(ISNA(VLOOKUP(A22,'Données projet'!$A$191:$I$211,5,0)),0%,VLOOKUP(A22,'Données projet'!$A$191:$I$211,5,0)*VLOOKUP('Données projet'!$B$15,'Paramètres'!$A$1:$I$88,7,0))</f>
        <v>0</v>
      </c>
      <c r="ET22" s="155">
        <f>IF(ISNA(VLOOKUP(A22,'Données projet'!$A$191:$I$211,6,0)),0%,VLOOKUP(A22,'Données projet'!$A$191:$I$211,6,0)*VLOOKUP('Données projet'!$B$15,'Paramètres'!$A$1:$I$88,7,0))</f>
        <v>0</v>
      </c>
      <c r="EU22" s="155">
        <f>IF(ISNA(VLOOKUP(A22,'Données projet'!$A$191:$I$211,7,0)),0%,VLOOKUP(A22,'Données projet'!$A$191:$I$211,7,0))</f>
        <v>0</v>
      </c>
      <c r="EV22" s="162" t="str">
        <f>EXP(-LN(2)/35)*EV21+(1-EXP(-LN(2)/35))/(LN(2)/35)*ER22*ES22*VLOOKUP('Données projet'!$B$15,'Paramètres'!$A$1:$I$88,3,0)*0.475*44/12</f>
        <v>#N/A</v>
      </c>
      <c r="EW22" s="162" t="str">
        <f>EXP(-LN(2)/25)*EW21+(1-EXP(-LN(2)/25))/(LN(2)/25)*Calculateur!ER22*Calculateur!ET22*VLOOKUP('Données projet'!$B$15,'Paramètres'!$A$1:$I$88,3,0)*0.475*44/12</f>
        <v>#N/A</v>
      </c>
      <c r="EX22" s="162" t="str">
        <f>EXP(-LN(2)/2)*EX21+(1-EXP(-LN(2)/2))/(LN(2)/2)*ER22*EU22*VLOOKUP('Données projet'!$B$15,'Paramètres'!$A$1:$I$88,3,0)*0.475*44/12</f>
        <v>#N/A</v>
      </c>
      <c r="EY22" s="163" t="str">
        <f t="shared" si="22"/>
        <v>#N/A</v>
      </c>
      <c r="EZ22" s="159">
        <f>('Scénario référence'!$F$8+'Scénario référence'!$F$9+'Scénario référence'!$B$17+'Scénario référence'!$B$9+'Scénario référence'!$B$10)*70+IF((45+25*(1-EXP(-0.0175*A22)))&lt;70,'Scénario référence'!$B$16*(45+25*(1-EXP(-0.0175*A22))),70*'Scénario référence'!$B$16)+IF((32+38*(1-EXP(-0.0175*A22)))&lt;70,'Scénario référence'!$B$18*(32+38*(1-EXP(-0.0175*A22))),70*'Scénario référence'!$B$18)</f>
        <v>70</v>
      </c>
      <c r="FA22" s="151">
        <f>IF(A22&gt;30,10,('Scénario référence'!$B$16+'Scénario référence'!$B$17+'Scénario référence'!$B$18+'Scénario référence'!$B$9+'Scénario référence'!$B$10)*A22*10/30+('Scénario référence'!$F$8+'Scénario référence'!$F$9)*10)</f>
        <v>6.333333333</v>
      </c>
      <c r="FB22" s="151" t="str">
        <f>VLOOKUP(A22,'Données projet'!$A$217:$I$237,2,0)</f>
        <v>#N/A</v>
      </c>
      <c r="FC22" s="151" t="str">
        <f>VLOOKUP(A22,'Données projet'!$A$217:$I$237,9,0)</f>
        <v>#N/A</v>
      </c>
      <c r="FD22" s="151" t="str">
        <f t="array" ref="FD22">INDEX(FC:FC,MIN(IF(ISNUMBER(FC22:FC218),ROW(FC22:FC218),"")))</f>
        <v/>
      </c>
      <c r="FE22" s="151">
        <f>IF('Données projet'!$A$218&gt;35,FE21+FD22-FM21,IF(A22&lt;'Données projet'!$A$218,$FB$205^A22,IF(A22='Données projet'!$A$218,'Données projet'!$B$218,FE21+FD22-FM21)))</f>
        <v>0</v>
      </c>
      <c r="FF22" s="158" t="str">
        <f>FE22*VLOOKUP('Données projet'!$B$16,'Paramètres'!$A$1:$I$88,3,0)*VLOOKUP('Données projet'!$B$16,'Paramètres'!$A$1:$I$88,5,0)</f>
        <v>#N/A</v>
      </c>
      <c r="FG22" s="150" t="str">
        <f t="shared" si="48"/>
        <v>#N/A</v>
      </c>
      <c r="FH22" s="161" t="str">
        <f t="shared" si="23"/>
        <v>#N/A</v>
      </c>
      <c r="FI22" s="153" t="str">
        <f t="shared" si="24"/>
        <v>#N/A</v>
      </c>
      <c r="FJ22" s="153" t="str">
        <f>AVERAGE(OFFSET($FI$3,0,0,'Données projet'!$E$16+1,1))-AVERAGE(OFFSET($H$3,0,0,'Données projet'!$E$16+1,1))</f>
        <v>#N/A</v>
      </c>
      <c r="FK22" s="153" t="str">
        <f t="shared" si="49"/>
        <v>#N/A</v>
      </c>
      <c r="FL22" s="154">
        <f>IF(ISNA(VLOOKUP(A22,'Données projet'!$A$217:$I$237,3,0)),0,VLOOKUP(A22,'Données projet'!$A$217:$I$237,3,0))</f>
        <v>0</v>
      </c>
      <c r="FM22" s="154">
        <f>IF(ISNA(VLOOKUP(A22,'Données projet'!$A$217:$I$237,4,0)),0,VLOOKUP(A22,'Données projet'!$A$217:$I$237,4,0))</f>
        <v>0</v>
      </c>
      <c r="FN22" s="155">
        <f>IF(ISNA(VLOOKUP(A22,'Données projet'!$A$217:$I$237,5,0)),0%,VLOOKUP(A22,'Données projet'!$A$217:$I$237,5,0)*VLOOKUP('Données projet'!$B$16,'Paramètres'!$A$1:$I$88,7,0))</f>
        <v>0</v>
      </c>
      <c r="FO22" s="155">
        <f>IF(ISNA(VLOOKUP(A22,'Données projet'!$A$217:$I$237,6,0)),0%,VLOOKUP(A22,'Données projet'!$A$217:$I$237,6,0)*VLOOKUP('Données projet'!$B$16,'Paramètres'!$A$1:$I$88,7,0))</f>
        <v>0</v>
      </c>
      <c r="FP22" s="155">
        <f>IF(ISNA(VLOOKUP(A22,'Données projet'!$A$217:$I$237,7,0)),0%,VLOOKUP(A22,'Données projet'!$A$217:$I$237,7,0))</f>
        <v>0</v>
      </c>
      <c r="FQ22" s="162" t="str">
        <f>EXP(-LN(2)/35)*FQ21+(1-EXP(-LN(2)/35))/(LN(2)/35)*FM22*FN22*VLOOKUP('Données projet'!$B$16,'Paramètres'!$A$1:$I$88,3,0)*0.475*44/12</f>
        <v>#N/A</v>
      </c>
      <c r="FR22" s="162" t="str">
        <f>EXP(-LN(2)/25)*FR21+(1-EXP(-LN(2)/25))/(LN(2)/25)*Calculateur!FM22*Calculateur!FO22*VLOOKUP('Données projet'!$B$16,'Paramètres'!$A$1:$I$88,3,0)*0.475*44/12</f>
        <v>#N/A</v>
      </c>
      <c r="FS22" s="162" t="str">
        <f>EXP(-LN(2)/2)*FS21+(1-EXP(-LN(2)/2))/(LN(2)/2)*FM22*FP22*VLOOKUP('Données projet'!$B$16,'Paramètres'!$A$1:$I$88,3,0)*0.475*44/12</f>
        <v>#N/A</v>
      </c>
      <c r="FT22" s="163" t="str">
        <f t="shared" si="25"/>
        <v>#N/A</v>
      </c>
      <c r="FU22" s="159">
        <f>('Scénario référence'!$F$8+'Scénario référence'!$F$9+'Scénario référence'!$B$17+'Scénario référence'!$B$9+'Scénario référence'!$B$10)*70+IF((45+25*(1-EXP(-0.0175*A22)))&lt;70,'Scénario référence'!$B$16*(45+25*(1-EXP(-0.0175*A22))),70*'Scénario référence'!$B$16)+IF((32+38*(1-EXP(-0.0175*A22)))&lt;70,'Scénario référence'!$B$18*(32+38*(1-EXP(-0.0175*A22))),70*'Scénario référence'!$B$18)</f>
        <v>70</v>
      </c>
      <c r="FV22" s="151">
        <f>IF(A22&gt;30,10,('Scénario référence'!$B$16+'Scénario référence'!$B$17+'Scénario référence'!$B$18+'Scénario référence'!$B$9+'Scénario référence'!$B$10)*A22*10/30+('Scénario référence'!$F$8+'Scénario référence'!$F$9)*10)</f>
        <v>6.333333333</v>
      </c>
      <c r="FW22" s="151" t="str">
        <f>VLOOKUP(A22,'Données projet'!$A$243:$I$263,2,0)</f>
        <v>#N/A</v>
      </c>
      <c r="FX22" s="151" t="str">
        <f>VLOOKUP(A22,'Données projet'!$A$243:$I$263,9,0)</f>
        <v>#N/A</v>
      </c>
      <c r="FY22" s="151" t="str">
        <f t="array" ref="FY22">INDEX(FX:FX,MIN(IF(ISNUMBER(FX22:FX218),ROW(FX22:FX218),"")))</f>
        <v/>
      </c>
      <c r="FZ22" s="151">
        <f>IF('Données projet'!$A$244&gt;35,FZ21+FY22-GH21,IF(A22&lt;'Données projet'!$A$244,$FW$205^A22,IF(A22='Données projet'!$A$244,'Données projet'!$B$244,FZ21+FY22-GH21)))</f>
        <v>0</v>
      </c>
      <c r="GA22" s="158" t="str">
        <f>FZ22*VLOOKUP('Données projet'!$B$17,'Paramètres'!$A$1:$I$88,3,0)*VLOOKUP('Données projet'!$B$17,'Paramètres'!$A$1:$I$88,5,0)</f>
        <v>#N/A</v>
      </c>
      <c r="GB22" s="150" t="str">
        <f t="shared" si="50"/>
        <v>#N/A</v>
      </c>
      <c r="GC22" s="161" t="str">
        <f t="shared" si="26"/>
        <v>#N/A</v>
      </c>
      <c r="GD22" s="153" t="str">
        <f t="shared" si="27"/>
        <v>#N/A</v>
      </c>
      <c r="GE22" s="153" t="str">
        <f>AVERAGE(OFFSET($GD$3,0,0,'Données projet'!$E$17+1,1))-AVERAGE(OFFSET($H$3,0,0,'Données projet'!$E$17+1,1))</f>
        <v>#N/A</v>
      </c>
      <c r="GF22" s="153" t="str">
        <f t="shared" si="51"/>
        <v>#N/A</v>
      </c>
      <c r="GG22" s="154">
        <f>IF(ISNA(VLOOKUP(A22,'Données projet'!$A$243:$I$263,3,0)),0,VLOOKUP(A22,'Données projet'!$A$243:$I$263,3,0))</f>
        <v>0</v>
      </c>
      <c r="GH22" s="154">
        <f>IF(ISNA(VLOOKUP(A22,'Données projet'!$A$243:$I$263,4,0)),0,VLOOKUP(A22,'Données projet'!$A$243:$I$263,4,0))</f>
        <v>0</v>
      </c>
      <c r="GI22" s="155">
        <f>IF(ISNA(VLOOKUP(A22,'Données projet'!$A$243:$I$263,5,0)),0%,VLOOKUP(A22,'Données projet'!$A$243:$I$263,5,0)*VLOOKUP('Données projet'!$B$17,'Paramètres'!$A$1:$I$88,7,0))</f>
        <v>0</v>
      </c>
      <c r="GJ22" s="155">
        <f>IF(ISNA(VLOOKUP(A22,'Données projet'!$A$243:$I$263,6,0)),0%,VLOOKUP(A22,'Données projet'!$A$243:$I$263,6,0)*VLOOKUP('Données projet'!$B$17,'Paramètres'!$A$1:$I$88,7,0))</f>
        <v>0</v>
      </c>
      <c r="GK22" s="155">
        <f>IF(ISNA(VLOOKUP(A22,'Données projet'!$A$243:$I$263,7,0)),0%,VLOOKUP(A22,'Données projet'!$A$243:$I$263,7,0))</f>
        <v>0</v>
      </c>
      <c r="GL22" s="162" t="str">
        <f>EXP(-LN(2)/35)*GL21+(1-EXP(-LN(2)/35))/(LN(2)/35)*GH22*GI22*VLOOKUP('Données projet'!$B$17,'Paramètres'!$A$1:$I$88,3,0)*0.475*44/12</f>
        <v>#N/A</v>
      </c>
      <c r="GM22" s="162" t="str">
        <f>EXP(-LN(2)/25)*GM21+(1-EXP(-LN(2)/25))/(LN(2)/25)*Calculateur!GH22*Calculateur!GJ22*VLOOKUP('Données projet'!$B$17,'Paramètres'!$A$1:$I$88,3,0)*0.475*44/12</f>
        <v>#N/A</v>
      </c>
      <c r="GN22" s="162" t="str">
        <f>EXP(-LN(2)/2)*GN21+(1-EXP(-LN(2)/2))/(LN(2)/2)*GH22*GK22*VLOOKUP('Données projet'!$B$17,'Paramètres'!$A$1:$I$88,3,0)*0.475*44/12</f>
        <v>#N/A</v>
      </c>
      <c r="GO22" s="162" t="str">
        <f t="shared" si="28"/>
        <v>#N/A</v>
      </c>
      <c r="GP22" s="159">
        <f>('Scénario référence'!$F$8+'Scénario référence'!$F$9+'Scénario référence'!$B$17+'Scénario référence'!$B$9+'Scénario référence'!$B$10)*70+IF((45+25*(1-EXP(-0.0175*A22)))&lt;70,'Scénario référence'!$B$16*(45+25*(1-EXP(-0.0175*A22))),70*'Scénario référence'!$B$16)+IF((32+38*(1-EXP(-0.0175*A22)))&lt;70,'Scénario référence'!$B$18*(32+38*(1-EXP(-0.0175*A22))),70*'Scénario référence'!$B$18)</f>
        <v>70</v>
      </c>
      <c r="GQ22" s="151">
        <f>IF(A22&gt;30,10,('Scénario référence'!$B$16+'Scénario référence'!$B$17+'Scénario référence'!$B$18+'Scénario référence'!$B$9+'Scénario référence'!$B$10)*A22*10/30+('Scénario référence'!$F$8+'Scénario référence'!$F$9)*10)</f>
        <v>6.333333333</v>
      </c>
      <c r="GR22" s="151" t="str">
        <f>VLOOKUP(A22,'Données projet'!$A$269:$I$289,2,0)</f>
        <v>#N/A</v>
      </c>
      <c r="GS22" s="151" t="str">
        <f>VLOOKUP(A22,'Données projet'!$A$269:$I$289,9,0)</f>
        <v>#N/A</v>
      </c>
      <c r="GT22" s="151" t="str">
        <f t="array" ref="GT22">INDEX(GS:GS,MIN(IF(ISNUMBER(GS22:GS218),ROW(GS22:GS218),"")))</f>
        <v/>
      </c>
      <c r="GU22" s="151">
        <f>IF('Données projet'!$A$270&gt;35,GU21+GT22-HC21,IF(A22&lt;'Données projet'!$A$270,$GR$205^A22,IF(A22='Données projet'!$A$270,'Données projet'!$B$270,GU21+GT22-HC21)))</f>
        <v>0</v>
      </c>
      <c r="GV22" s="158" t="str">
        <f>GU22*VLOOKUP('Données projet'!$B$18,'Paramètres'!$A$1:$I$88,3,0)*VLOOKUP('Données projet'!$B$18,'Paramètres'!$A$1:$I$88,5,0)</f>
        <v>#N/A</v>
      </c>
      <c r="GW22" s="150" t="str">
        <f t="shared" si="52"/>
        <v>#N/A</v>
      </c>
      <c r="GX22" s="161" t="str">
        <f t="shared" si="29"/>
        <v>#N/A</v>
      </c>
      <c r="GY22" s="153" t="str">
        <f t="shared" si="30"/>
        <v>#N/A</v>
      </c>
      <c r="GZ22" s="153" t="str">
        <f>AVERAGE(OFFSET($GY$3,0,0,'Données projet'!$E$18+1,1))-AVERAGE(OFFSET($H$3,0,0,'Données projet'!$E$18+1,1))</f>
        <v>#N/A</v>
      </c>
      <c r="HA22" s="153" t="str">
        <f t="shared" si="53"/>
        <v>#N/A</v>
      </c>
      <c r="HB22" s="154">
        <f>IF(ISNA(VLOOKUP(A22,'Données projet'!$A$269:$I$289,3,0)),0,VLOOKUP(A22,'Données projet'!$A$269:$I$289,3,0))</f>
        <v>0</v>
      </c>
      <c r="HC22" s="154">
        <f>IF(ISNA(VLOOKUP(A22,'Données projet'!$A$269:$I$289,4,0)),0,VLOOKUP(A22,'Données projet'!$A$269:$I$289,4,0))</f>
        <v>0</v>
      </c>
      <c r="HD22" s="155">
        <f>IF(ISNA(VLOOKUP(A22,'Données projet'!$A$269:$I$289,5,0)),0%,VLOOKUP(A22,'Données projet'!$A$269:$I$289,5,0)*VLOOKUP('Données projet'!$B$18,'Paramètres'!$A$1:$I$88,7,0))</f>
        <v>0</v>
      </c>
      <c r="HE22" s="155">
        <f>IF(ISNA(VLOOKUP(A22,'Données projet'!$A$269:$I$289,6,0)),0%,VLOOKUP(A22,'Données projet'!$A$269:$I$289,6,0)*VLOOKUP('Données projet'!$B$18,'Paramètres'!$A$1:$I$88,7,0))</f>
        <v>0</v>
      </c>
      <c r="HF22" s="155">
        <f>IF(ISNA(VLOOKUP(A22,'Données projet'!$A$269:$I$289,7,0)),0%,VLOOKUP(A22,'Données projet'!$A$269:$I$289,7,0))</f>
        <v>0</v>
      </c>
      <c r="HG22" s="162" t="str">
        <f>EXP(-LN(2)/35)*HG21+(1-EXP(-LN(2)/35))/(LN(2)/35)*HC22*HD22*VLOOKUP('Données projet'!$B$18,'Paramètres'!$A$1:$I$88,3,0)*0.475*44/12</f>
        <v>#N/A</v>
      </c>
      <c r="HH22" s="162" t="str">
        <f>EXP(-LN(2)/25)*HH21+(1-EXP(-LN(2)/25))/(LN(2)/25)*Calculateur!HC22*Calculateur!HE22*VLOOKUP('Données projet'!$B$18,'Paramètres'!$A$1:$I$88,3,0)*0.475*44/12</f>
        <v>#N/A</v>
      </c>
      <c r="HI22" s="162" t="str">
        <f>EXP(-LN(2)/2)*HI21+(1-EXP(-LN(2)/2))/(LN(2)/2)*HC22*HF22*VLOOKUP('Données projet'!$B$18,'Paramètres'!$A$1:$I$88,3,0)*0.475*44/12</f>
        <v>#N/A</v>
      </c>
      <c r="HJ22" s="163" t="str">
        <f t="shared" si="31"/>
        <v>#N/A</v>
      </c>
    </row>
    <row r="23" ht="15.75" customHeight="1">
      <c r="A23" s="145">
        <f t="shared" si="32"/>
        <v>20</v>
      </c>
      <c r="B23" s="146">
        <f>'Scénario référence'!$B$16*5+'Scénario référence'!$B$17*0+'Scénario référence'!$B$18*5</f>
        <v>0</v>
      </c>
      <c r="C23" s="160">
        <f>Calculateur!C22+'Scénario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23" s="147">
        <f t="shared" si="33"/>
        <v>0</v>
      </c>
      <c r="E23" s="147">
        <f>'Scénario référence'!$B$16*45+('Scénario référence'!$B$17+'Scénario référence'!$F$8+'Scénario référence'!$F$9+'Scénario référence'!$B$10+'Scénario référence'!$B$9)*70+'Scénario référence'!$B$18*32</f>
        <v>70</v>
      </c>
      <c r="F23" s="147">
        <f>IF(OR('Scénario référence'!$F$8&gt;0,'Scénario référence'!$F$9&gt;0),('Scénario référence'!$F$8+'Scénario référence'!$F$9)*10,0)</f>
        <v>0</v>
      </c>
      <c r="G23" s="147">
        <f>'Scénario référence'!$B$8*B23*44/12+'Scénario référence'!$B$9*(C23+D23)/0.475*44/12+'Scénario référence'!$B$10*(C23+D23)/0.475*44/12+'Scénario référence'!$F$8*(C23+D23)/0.475*44/12+'Scénario référence'!$F$9*(C23+D23)/0.475*44/12</f>
        <v>0</v>
      </c>
      <c r="H23" s="148">
        <f t="shared" si="1"/>
        <v>256.6666667</v>
      </c>
      <c r="I23" s="149">
        <f>('Scénario référence'!$F$8+'Scénario référence'!$F$9+'Scénario référence'!$B$17+'Scénario référence'!$B$9+'Scénario référence'!$B$10)*70+IF((45+25*(1-EXP(-0.0175*A23)))&lt;70,'Scénario référence'!$B$16*(45+25*(1-EXP(-0.0175*A23))),70*'Scénario référence'!$B$16)+IF((32+38*(1-EXP(-0.0175*A23)))&lt;70,'Scénario référence'!$B$18*(32+38*(1-EXP(-0.0175*A23))),70*'Scénario référence'!$B$18)</f>
        <v>70</v>
      </c>
      <c r="J23" s="150">
        <f>IF(A23&gt;30,10,('Scénario référence'!$B$16+'Scénario référence'!$B$17+'Scénario référence'!$B$18+'Scénario référence'!$B$9+'Scénario référence'!$B$10)*A23*10/30+('Scénario référence'!$F$8+'Scénario référence'!$F$9)*10)</f>
        <v>6.666666667</v>
      </c>
      <c r="K23" s="165">
        <f>VLOOKUP(A23,'Données projet'!$A$35:$I$55,2,0)</f>
        <v>73</v>
      </c>
      <c r="L23" s="150">
        <f>VLOOKUP(A23,'Données projet'!$A$35:$I$55,9,0)</f>
        <v>3.65</v>
      </c>
      <c r="M23" s="150">
        <f t="array" ref="M23">INDEX(L:L,MIN(IF(ISNUMBER(L23:L219),ROW(L23:L219),"")))</f>
        <v>3.65</v>
      </c>
      <c r="N23" s="150">
        <f>IF('Données projet'!$A$36&gt;35,N22+M23-V22,IF(A23&lt;'Données projet'!$A$36,$K$205^A23,IF(A23='Données projet'!$A$36,'Données projet'!$B$36,N22+M23-V22)))</f>
        <v>73</v>
      </c>
      <c r="O23" s="150">
        <f>N23*VLOOKUP('Données projet'!$B$9,'Paramètres'!$A$1:$I$88,3,0)*VLOOKUP('Données projet'!$B$9,'Paramètres'!$A$1:$I$88,5,0)</f>
        <v>66.0504</v>
      </c>
      <c r="P23" s="150">
        <f t="shared" si="34"/>
        <v>18.68934213</v>
      </c>
      <c r="Q23" s="161">
        <f t="shared" si="2"/>
        <v>147.5883842</v>
      </c>
      <c r="R23" s="153">
        <f t="shared" si="3"/>
        <v>428.6994953</v>
      </c>
      <c r="S23" s="153">
        <f>AVERAGE(OFFSET($R$3,0,0,'Données projet'!$E$9+1,1))-AVERAGE(OFFSET($H$3,0,0,'Données projet'!$E$9+1,1))</f>
        <v>439.1985427</v>
      </c>
      <c r="T23" s="153">
        <f t="shared" si="35"/>
        <v>278.2174123</v>
      </c>
      <c r="U23" s="154">
        <f>IF(ISNA(VLOOKUP(A23,'Données projet'!$A$35:$I$55,3,0)),0,VLOOKUP(A23,'Données projet'!$A$35:$I$55,3,0))</f>
        <v>1</v>
      </c>
      <c r="V23" s="164">
        <f>IF(ISNA(VLOOKUP(A23,'Données projet'!$A$35:$I$55,4,0)),0,VLOOKUP(A23,'Données projet'!$A$35:$I$55,4,0))</f>
        <v>6</v>
      </c>
      <c r="W23" s="155">
        <f>IF(ISNA(VLOOKUP(A23,'Données projet'!$A$35:$I$55,5,0)),0%,VLOOKUP(A23,'Données projet'!$A$35:$I$55,5,0)*VLOOKUP('Données projet'!$B$9,'Paramètres'!$A$1:$I$88,7,0))</f>
        <v>0</v>
      </c>
      <c r="X23" s="155">
        <f>IF(ISNA(VLOOKUP(A23,'Données projet'!$A$35:$I$55,6,0)),0%,VLOOKUP(A23,'Données projet'!$A$35:$I$55,6,0)*VLOOKUP('Données projet'!$B$9,'Paramètres'!$A$1:$I$88,7,0))</f>
        <v>0</v>
      </c>
      <c r="Y23" s="155" t="str">
        <f>IF(ISNA(VLOOKUP(A23,'Données projet'!$A$35:$I$55,7,0)),0%,VLOOKUP(A23,'Données projet'!$A$35:$I$55,7,0))</f>
        <v/>
      </c>
      <c r="Z23" s="162">
        <f>EXP(-LN(2)/35)*Z22+(1-EXP(-LN(2)/35))/(LN(2)/35)*V23*W23*VLOOKUP('Données projet'!$B$9,'Paramètres'!$A$1:$I$88,3,0)*0.475*44/12</f>
        <v>0</v>
      </c>
      <c r="AA23" s="162">
        <f>EXP(-LN(2)/25)*AA22+(1-EXP(-LN(2)/25))/(LN(2)/25)*Calculateur!V23*Calculateur!X23*VLOOKUP('Données projet'!$B$9,'Paramètres'!$A$1:$I$88,3,0)*0.475*44/12</f>
        <v>0</v>
      </c>
      <c r="AB23" s="162">
        <f>EXP(-LN(2)/2)*AB22+(1-EXP(-LN(2)/2))/(LN(2)/2)*V23*Y23*VLOOKUP('Données projet'!$B$9,'Paramètres'!$A$1:$I$88,3,0)*0.475*44/12</f>
        <v>0</v>
      </c>
      <c r="AC23" s="163">
        <f t="shared" si="4"/>
        <v>0</v>
      </c>
      <c r="AD23" s="150">
        <f>('Scénario référence'!$F$8+'Scénario référence'!$F$9+'Scénario référence'!$B$17+'Scénario référence'!$B$9+'Scénario référence'!$B$10)*70+IF((45+25*(1-EXP(-0.0175*A23)))&lt;70,'Scénario référence'!$B$16*(45+25*(1-EXP(-0.0175*A23))),70*'Scénario référence'!$B$16)+IF((32+38*(1-EXP(-0.0175*A23)))&lt;70,'Scénario référence'!$B$18*(32+38*(1-EXP(-0.0175*A23))),70*'Scénario référence'!$B$18)</f>
        <v>70</v>
      </c>
      <c r="AE23" s="150">
        <f>IF(A23&gt;30,10,('Scénario référence'!$B$16+'Scénario référence'!$B$17+'Scénario référence'!$B$18+'Scénario référence'!$B$9+'Scénario référence'!$B$10)*A23*10/30+('Scénario référence'!$F$8+'Scénario référence'!$F$9)*10)</f>
        <v>6.666666667</v>
      </c>
      <c r="AF23" s="151">
        <f>VLOOKUP(A23,'Données projet'!$A$61:$I$81,2,0)</f>
        <v>123</v>
      </c>
      <c r="AG23" s="150">
        <f>VLOOKUP(A23,'Données projet'!$A$61:$I$81,9,0)</f>
        <v>16</v>
      </c>
      <c r="AH23" s="150">
        <f t="array" ref="AH23">INDEX(AG:AG,MIN(IF(ISNUMBER(AG23:AG219),ROW(AG23:AG219),"")))</f>
        <v>16</v>
      </c>
      <c r="AI23" s="150">
        <f>IF('Données projet'!$A$62&gt;35,AI22+AH23-AQ22,IF(A23&lt;'Données projet'!$A$62,$AF$205^A23,IF(A23='Données projet'!$A$62,'Données projet'!$B$62,AI22+AH23-AQ22)))</f>
        <v>123</v>
      </c>
      <c r="AJ23" s="150">
        <f>AI23*VLOOKUP('Données projet'!$B$10,'Paramètres'!$A$1:$I$88,3,0)*VLOOKUP('Données projet'!$B$10,'Paramètres'!$A$1:$I$88,5,0)</f>
        <v>97.8588</v>
      </c>
      <c r="AK23" s="150">
        <f t="shared" si="36"/>
        <v>26.45124536</v>
      </c>
      <c r="AL23" s="161">
        <f t="shared" si="5"/>
        <v>216.5066623</v>
      </c>
      <c r="AM23" s="153">
        <f t="shared" si="6"/>
        <v>497.6177734</v>
      </c>
      <c r="AN23" s="153">
        <f>AVERAGE(OFFSET($AM$3,0,0,'Données projet'!$E$10+1,1))-AVERAGE(OFFSET($H$3,0,0,'Données projet'!$E$10+1,1))</f>
        <v>405.6113614</v>
      </c>
      <c r="AO23" s="153">
        <f t="shared" si="37"/>
        <v>393.0787141</v>
      </c>
      <c r="AP23" s="154">
        <f>IF(ISNA(VLOOKUP(A23,'Données projet'!$A$61:$I$81,3,0)),0,VLOOKUP(A23,'Données projet'!$A$61:$I$81,3,0))</f>
        <v>3</v>
      </c>
      <c r="AQ23" s="164">
        <f>IF(ISNA(VLOOKUP(A23,'Données projet'!$A$61:$I$81,4,0)),0,VLOOKUP(A23,'Données projet'!$A$61:$I$81,4,0))</f>
        <v>42</v>
      </c>
      <c r="AR23" s="155">
        <f>IF(ISNA(VLOOKUP(A23,'Données projet'!$A$61:$I$81,5,0)),0%,VLOOKUP(A23,'Données projet'!$A$61:$I$81,5,0)*VLOOKUP('Données projet'!$B$10,'Paramètres'!$A$1:$I$88,7,0))</f>
        <v>0</v>
      </c>
      <c r="AS23" s="155">
        <f>IF(ISNA(VLOOKUP(A23,'Données projet'!$A$61:$I$81,6,0)),0%,VLOOKUP(A23,'Données projet'!$A$61:$I$81,6,0)*VLOOKUP('Données projet'!$B$10,'Paramètres'!$A$1:$I$88,7,0))</f>
        <v>0</v>
      </c>
      <c r="AT23" s="155">
        <f>IF(ISNA(VLOOKUP(A23,'Données projet'!$A$61:$I$81,7,0)),0%,VLOOKUP(A23,'Données projet'!$A$61:$I$81,7,0))</f>
        <v>0.5</v>
      </c>
      <c r="AU23" s="162">
        <f>EXP(-LN(2)/35)*AU22+(1-EXP(-LN(2)/35))/(LN(2)/35)*AQ23*AR23*VLOOKUP('Données projet'!$B$10,'Paramètres'!$A$1:$I$88,3,0)*0.475*44/12</f>
        <v>0</v>
      </c>
      <c r="AV23" s="162">
        <f>EXP(-LN(2)/25)*AV22+(1-EXP(-LN(2)/25))/(LN(2)/25)*Calculateur!AQ23*Calculateur!AS23*VLOOKUP('Données projet'!$B$10,'Paramètres'!$A$1:$I$88,3,0)*0.475*44/12</f>
        <v>0</v>
      </c>
      <c r="AW23" s="162">
        <f>EXP(-LN(2)/2)*AW22+(1-EXP(-LN(2)/2))/(LN(2)/2)*AQ23*AT23*VLOOKUP('Données projet'!$B$10,'Paramètres'!$A$1:$I$88,3,0)*0.475*44/12</f>
        <v>18.55079053</v>
      </c>
      <c r="AX23" s="162">
        <f t="shared" si="7"/>
        <v>18.55079053</v>
      </c>
      <c r="AY23" s="157">
        <f>('Scénario référence'!$F$8+'Scénario référence'!$F$9+'Scénario référence'!$B$17+'Scénario référence'!$B$9+'Scénario référence'!$B$10)*70+IF((45+25*(1-EXP(-0.0175*A23)))&lt;70,'Scénario référence'!$B$16*(45+25*(1-EXP(-0.0175*A23))),70*'Scénario référence'!$B$16)+IF((32+38*(1-EXP(-0.0175*A23)))&lt;70,'Scénario référence'!$B$18*(32+38*(1-EXP(-0.0175*A23))),70*'Scénario référence'!$B$18)</f>
        <v>70</v>
      </c>
      <c r="AZ23" s="151">
        <f>IF(A23&gt;30,10,('Scénario référence'!$B$16+'Scénario référence'!$B$17+'Scénario référence'!$B$18+'Scénario référence'!$B$9+'Scénario référence'!$B$10)*A23*10/30+('Scénario référence'!$F$8+'Scénario référence'!$F$9)*10)</f>
        <v>6.666666667</v>
      </c>
      <c r="BA23" s="151" t="str">
        <f>VLOOKUP(A23,'Données projet'!$A$87:$I$107,2,0)</f>
        <v>#N/A</v>
      </c>
      <c r="BB23" s="151" t="str">
        <f>VLOOKUP(A23,'Données projet'!$A$87:$I$107,9,0)</f>
        <v>#N/A</v>
      </c>
      <c r="BC23" s="150" t="str">
        <f t="array" ref="BC23">INDEX(BB:BB,MIN(IF(ISNUMBER(BB23:BB219),ROW(BB23:BB219),"")))</f>
        <v/>
      </c>
      <c r="BD23" s="150">
        <f>IF('Données projet'!$A$88&gt;35,BD22+BC23-BL22,IF(A23&lt;'Données projet'!$A$88,$BA$205^A23,IF(A23='Données projet'!$A$88,'Données projet'!$B$88,BD22+BC23-BL22)))</f>
        <v>0</v>
      </c>
      <c r="BE23" s="150">
        <f>BD23*VLOOKUP('Données projet'!$B$11,'Paramètres'!$A$1:$I$88,3,0)*VLOOKUP('Données projet'!$B$11,'Paramètres'!$A$1:$I$88,5,0)</f>
        <v>0</v>
      </c>
      <c r="BF23" s="150" t="str">
        <f t="shared" si="38"/>
        <v>#NUM!</v>
      </c>
      <c r="BG23" s="161" t="str">
        <f t="shared" si="8"/>
        <v>#NUM!</v>
      </c>
      <c r="BH23" s="153" t="str">
        <f t="shared" si="9"/>
        <v>#NUM!</v>
      </c>
      <c r="BI23" s="153">
        <f>AVERAGE(OFFSET($BH$3,0,0,'Données projet'!$E$11+1,1))-AVERAGE(OFFSET($H$3,0,0,'Données projet'!$E$11+1,1))</f>
        <v>0</v>
      </c>
      <c r="BJ23" s="153">
        <f t="shared" si="39"/>
        <v>0</v>
      </c>
      <c r="BK23" s="154">
        <f>IF(ISNA(VLOOKUP(A23,'Données projet'!$A$87:$I$107,3,0)),0,VLOOKUP(A23,'Données projet'!$A$87:$I$107,3,0))</f>
        <v>0</v>
      </c>
      <c r="BL23" s="154">
        <f>IF(ISNA(VLOOKUP(A23,'Données projet'!$A$87:$I$107,4,0)),0,VLOOKUP(A23,'Données projet'!$A$87:$I$107,4,0))</f>
        <v>0</v>
      </c>
      <c r="BM23" s="155">
        <f>IF(ISNA(VLOOKUP(A23,'Données projet'!$A$87:$I$107,5,0)),0%,VLOOKUP(A23,'Données projet'!$A$87:$I$107,5,0)*VLOOKUP('Données projet'!$B$11,'Paramètres'!$A$1:$I$88,7,0))</f>
        <v>0</v>
      </c>
      <c r="BN23" s="155">
        <f>IF(ISNA(VLOOKUP(A23,'Données projet'!$A$87:$I$107,6,0)),0%,VLOOKUP(A23,'Données projet'!$A$87:$I$107,6,0)*VLOOKUP('Données projet'!$B$11,'Paramètres'!$A$1:$I$88,7,0))</f>
        <v>0</v>
      </c>
      <c r="BO23" s="155">
        <f>IF(ISNA(VLOOKUP(A23,'Données projet'!$A$87:$I$107,7,0)),0%,VLOOKUP(A23,'Données projet'!$A$87:$I$107,7,0))</f>
        <v>0</v>
      </c>
      <c r="BP23" s="162">
        <f>EXP(-LN(2)/35)*BP22+(1-EXP(-LN(2)/35))/(LN(2)/35)*BL23*BM23*VLOOKUP('Données projet'!$B$11,'Paramètres'!$A$1:$I$88,3,0)*0.475*44/12</f>
        <v>0</v>
      </c>
      <c r="BQ23" s="162">
        <f>EXP(-LN(2)/25)*BQ22+(1-EXP(-LN(2)/25))/(LN(2)/25)*Calculateur!BL23*Calculateur!BN23*VLOOKUP('Données projet'!$B$11,'Paramètres'!$A$1:$I$88,3,0)*0.475*44/12</f>
        <v>0</v>
      </c>
      <c r="BR23" s="162">
        <f>EXP(-LN(2)/2)*BR22+(1-EXP(-LN(2)/2))/(LN(2)/2)*BL23*BO23*VLOOKUP('Données projet'!$B$11,'Paramètres'!$A$1:$I$88,3,0)*0.475*44/12</f>
        <v>0</v>
      </c>
      <c r="BS23" s="163">
        <f t="shared" si="10"/>
        <v>0</v>
      </c>
      <c r="BT23" s="159">
        <f>('Scénario référence'!$F$8+'Scénario référence'!$F$9+'Scénario référence'!$B$17+'Scénario référence'!$B$9+'Scénario référence'!$B$10)*70+IF((45+25*(1-EXP(-0.0175*A23)))&lt;70,'Scénario référence'!$B$16*(45+25*(1-EXP(-0.0175*A23))),70*'Scénario référence'!$B$16)+IF((32+38*(1-EXP(-0.0175*A23)))&lt;70,'Scénario référence'!$B$18*(32+38*(1-EXP(-0.0175*A23))),70*'Scénario référence'!$B$18)</f>
        <v>70</v>
      </c>
      <c r="BU23" s="151">
        <f>IF(A23&gt;30,10,('Scénario référence'!$B$16+'Scénario référence'!$B$17+'Scénario référence'!$B$18+'Scénario référence'!$B$9+'Scénario référence'!$B$10)*A23*10/30+('Scénario référence'!$F$8+'Scénario référence'!$F$9)*10)</f>
        <v>6.666666667</v>
      </c>
      <c r="BV23" s="151" t="str">
        <f>VLOOKUP(A23,'Données projet'!$A$113:$I$133,2,0)</f>
        <v>#N/A</v>
      </c>
      <c r="BW23" s="151" t="str">
        <f>VLOOKUP(A23,'Données projet'!$A$113:$I$133,9,0)</f>
        <v>#N/A</v>
      </c>
      <c r="BX23" s="150" t="str">
        <f t="array" ref="BX23">INDEX(BW:BW,MIN(IF(ISNUMBER(BW23:BW219),ROW(BW23:BW219),"")))</f>
        <v/>
      </c>
      <c r="BY23" s="150">
        <f>IF('Données projet'!$A$114&gt;35,BY22+BX23-CG22,IF(A23&lt;'Données projet'!$A$114,$BV$205^A23,IF(A23='Données projet'!$A$114,'Données projet'!$B$114,BY22+BX23-CG22)))</f>
        <v>0</v>
      </c>
      <c r="BZ23" s="150" t="str">
        <f>BY23*VLOOKUP('Données projet'!$B$12,'Paramètres'!$A$1:$I$88,3,0)*VLOOKUP('Données projet'!$B$12,'Paramètres'!$A$1:$I$88,5,0)</f>
        <v>#N/A</v>
      </c>
      <c r="CA23" s="150" t="str">
        <f t="shared" si="40"/>
        <v>#N/A</v>
      </c>
      <c r="CB23" s="161" t="str">
        <f t="shared" si="11"/>
        <v>#N/A</v>
      </c>
      <c r="CC23" s="153" t="str">
        <f t="shared" si="12"/>
        <v>#N/A</v>
      </c>
      <c r="CD23" s="153" t="str">
        <f>AVERAGE(OFFSET($CC$3,0,0,'Données projet'!$E$12+1,1))-AVERAGE(OFFSET($H$3,0,0,'Données projet'!$E$12+1,1))</f>
        <v>#N/A</v>
      </c>
      <c r="CE23" s="153" t="str">
        <f t="shared" si="41"/>
        <v>#N/A</v>
      </c>
      <c r="CF23" s="154">
        <f>IF(ISNA(VLOOKUP(A23,'Données projet'!$A$113:$I$133,3,0)),0,VLOOKUP(A23,'Données projet'!$A$113:$I$133,3,0))</f>
        <v>0</v>
      </c>
      <c r="CG23" s="154">
        <f>IF(ISNA(VLOOKUP(A23,'Données projet'!$A$113:$I$133,4,0)),0,VLOOKUP(A23,'Données projet'!$A$113:$I$133,4,0))</f>
        <v>0</v>
      </c>
      <c r="CH23" s="155">
        <f>IF(ISNA(VLOOKUP(A23,'Données projet'!$A$113:$I$133,5,0)),0%,VLOOKUP(A23,'Données projet'!$A$113:$I$133,5,0)*VLOOKUP('Données projet'!$B$12,'Paramètres'!$A$1:$I$88,7,0))</f>
        <v>0</v>
      </c>
      <c r="CI23" s="155">
        <f>IF(ISNA(VLOOKUP(A23,'Données projet'!$A$113:$I$133,6,0)),0%,VLOOKUP(A23,'Données projet'!$A$113:$I$133,6,0)*VLOOKUP('Données projet'!$B$12,'Paramètres'!$A$1:$I$88,7,0))</f>
        <v>0</v>
      </c>
      <c r="CJ23" s="155">
        <f>IF(ISNA(VLOOKUP(A23,'Données projet'!$A$113:$I$133,7,0)),0%,VLOOKUP(A23,'Données projet'!$A$113:$I$133,7,0))</f>
        <v>0</v>
      </c>
      <c r="CK23" s="162" t="str">
        <f>EXP(-LN(2)/35)*CK22+(1-EXP(-LN(2)/35))/(LN(2)/35)*CG23*CH23*VLOOKUP('Données projet'!$B$12,'Paramètres'!$A$1:$I$88,3,0)*0.475*44/12</f>
        <v>#N/A</v>
      </c>
      <c r="CL23" s="162" t="str">
        <f>EXP(-LN(2)/25)*CL22+(1-EXP(-LN(2)/25))/(LN(2)/25)*Calculateur!CG23*Calculateur!CI23*VLOOKUP('Données projet'!$B$12,'Paramètres'!$A$1:$I$88,3,0)*0.475*44/12</f>
        <v>#N/A</v>
      </c>
      <c r="CM23" s="162" t="str">
        <f>EXP(-LN(2)/2)*CM22+(1-EXP(-LN(2)/2))/(LN(2)/2)*CG23*CJ23*VLOOKUP('Données projet'!$B$12,'Paramètres'!$A$1:$I$88,3,0)*0.475*44/12</f>
        <v>#N/A</v>
      </c>
      <c r="CN23" s="163" t="str">
        <f t="shared" si="13"/>
        <v>#N/A</v>
      </c>
      <c r="CO23" s="159">
        <f>('Scénario référence'!$F$8+'Scénario référence'!$F$9+'Scénario référence'!$B$17+'Scénario référence'!$B$9+'Scénario référence'!$B$10)*70+IF((45+25*(1-EXP(-0.0175*A23)))&lt;70,'Scénario référence'!$B$16*(45+25*(1-EXP(-0.0175*A23))),70*'Scénario référence'!$B$16)+IF((32+38*(1-EXP(-0.0175*A23)))&lt;70,'Scénario référence'!$B$18*(32+38*(1-EXP(-0.0175*A23))),70*'Scénario référence'!$B$18)</f>
        <v>70</v>
      </c>
      <c r="CP23" s="151">
        <f>IF(A23&gt;30,10,('Scénario référence'!$B$16+'Scénario référence'!$B$17+'Scénario référence'!$B$18+'Scénario référence'!$B$9+'Scénario référence'!$B$10)*A23*10/30+('Scénario référence'!$F$8+'Scénario référence'!$F$9)*10)</f>
        <v>6.666666667</v>
      </c>
      <c r="CQ23" s="151" t="str">
        <f>VLOOKUP(A23,'Données projet'!$A$139:$I$159,2,0)</f>
        <v>#N/A</v>
      </c>
      <c r="CR23" s="151" t="str">
        <f>VLOOKUP(A23,'Données projet'!$A$139:$I$159,9,0)</f>
        <v>#N/A</v>
      </c>
      <c r="CS23" s="151" t="str">
        <f t="array" ref="CS23">INDEX(CR:CR,MIN(IF(ISNUMBER(CR23:CR219),ROW(CR23:CR219),"")))</f>
        <v/>
      </c>
      <c r="CT23" s="151">
        <f>IF('Données projet'!$A$140&gt;35,CT22+CS23-DB22,IF(A23&lt;'Données projet'!$A$140,$CQ$205^A23,IF(A23='Données projet'!$A$140,'Données projet'!$B$140,CT22+CS23-DB22)))</f>
        <v>0</v>
      </c>
      <c r="CU23" s="158" t="str">
        <f>CT23*VLOOKUP('Données projet'!$B$13,'Paramètres'!$A$1:$I$88,3,0)*VLOOKUP('Données projet'!$B$13,'Paramètres'!$A$1:$I$88,5,0)</f>
        <v>#N/A</v>
      </c>
      <c r="CV23" s="150" t="str">
        <f t="shared" si="42"/>
        <v>#N/A</v>
      </c>
      <c r="CW23" s="161" t="str">
        <f t="shared" si="14"/>
        <v>#N/A</v>
      </c>
      <c r="CX23" s="153" t="str">
        <f t="shared" si="15"/>
        <v>#N/A</v>
      </c>
      <c r="CY23" s="153" t="str">
        <f>AVERAGE(OFFSET($CX$3,0,0,'Données projet'!$E$13+1,1))-AVERAGE(OFFSET($H$3,0,0,'Données projet'!$E$13+1,1))</f>
        <v>#N/A</v>
      </c>
      <c r="CZ23" s="153" t="str">
        <f t="shared" si="43"/>
        <v>#N/A</v>
      </c>
      <c r="DA23" s="154">
        <f>IF(ISNA(VLOOKUP(A23,'Données projet'!$A$139:$I$159,3,0)),0,VLOOKUP(A23,'Données projet'!$A$139:$I$159,3,0))</f>
        <v>0</v>
      </c>
      <c r="DB23" s="154">
        <f>IF(ISNA(VLOOKUP(A23,'Données projet'!$A$139:$I$159,4,0)),0,VLOOKUP(A23,'Données projet'!$A$139:$I$159,4,0))</f>
        <v>0</v>
      </c>
      <c r="DC23" s="155">
        <f>IF(ISNA(VLOOKUP(A23,'Données projet'!$A$139:$I$159,5,0)),0%,VLOOKUP(A23,'Données projet'!$A$139:$I$159,5,0)*VLOOKUP('Données projet'!$B$13,'Paramètres'!$A$1:$I$88,7,0))</f>
        <v>0</v>
      </c>
      <c r="DD23" s="155">
        <f>IF(ISNA(VLOOKUP(A23,'Données projet'!$A$139:$I$159,6,0)),0%,VLOOKUP(A23,'Données projet'!$A$139:$I$159,6,0)*VLOOKUP('Données projet'!$B$13,'Paramètres'!$A$1:$I$88,7,0))</f>
        <v>0</v>
      </c>
      <c r="DE23" s="155">
        <f>IF(ISNA(VLOOKUP(A23,'Données projet'!$A$139:$I$159,7,0)),0%,VLOOKUP(A23,'Données projet'!$A$139:$I$159,7,0))</f>
        <v>0</v>
      </c>
      <c r="DF23" s="162" t="str">
        <f>EXP(-LN(2)/35)*DF22+(1-EXP(-LN(2)/35))/(LN(2)/35)*DB23*DC23*VLOOKUP('Données projet'!$B$13,'Paramètres'!$A$1:$I$88,3,0)*0.475*44/12</f>
        <v>#N/A</v>
      </c>
      <c r="DG23" s="162" t="str">
        <f>EXP(-LN(2)/25)*DG22+(1-EXP(-LN(2)/25))/(LN(2)/25)*Calculateur!DB23*Calculateur!DD23*VLOOKUP('Données projet'!$B$13,'Paramètres'!$A$1:$I$88,3,0)*0.475*44/12</f>
        <v>#N/A</v>
      </c>
      <c r="DH23" s="162" t="str">
        <f>EXP(-LN(2)/2)*DH22+(1-EXP(-LN(2)/2))/(LN(2)/2)*DB23*DE23*VLOOKUP('Données projet'!$B$13,'Paramètres'!$A$1:$I$88,3,0)*0.475*44/12</f>
        <v>#N/A</v>
      </c>
      <c r="DI23" s="163" t="str">
        <f t="shared" si="16"/>
        <v>#N/A</v>
      </c>
      <c r="DJ23" s="159">
        <f>('Scénario référence'!$F$8+'Scénario référence'!$F$9+'Scénario référence'!$B$17+'Scénario référence'!$B$9+'Scénario référence'!$B$10)*70+IF((45+25*(1-EXP(-0.0175*A23)))&lt;70,'Scénario référence'!$B$16*(45+25*(1-EXP(-0.0175*A23))),70*'Scénario référence'!$B$16)+IF((32+38*(1-EXP(-0.0175*A23)))&lt;70,'Scénario référence'!$B$18*(32+38*(1-EXP(-0.0175*A23))),70*'Scénario référence'!$B$18)</f>
        <v>70</v>
      </c>
      <c r="DK23" s="151">
        <f>IF(A23&gt;30,10,('Scénario référence'!$B$16+'Scénario référence'!$B$17+'Scénario référence'!$B$18+'Scénario référence'!$B$9+'Scénario référence'!$B$10)*A23*10/30+('Scénario référence'!$F$8+'Scénario référence'!$F$9)*10)</f>
        <v>6.666666667</v>
      </c>
      <c r="DL23" s="151" t="str">
        <f>VLOOKUP(A23,'Données projet'!$A$165:$I$185,2,0)</f>
        <v>#N/A</v>
      </c>
      <c r="DM23" s="151" t="str">
        <f>VLOOKUP(A23,'Données projet'!$A$165:$I$185,9,0)</f>
        <v>#N/A</v>
      </c>
      <c r="DN23" s="151" t="str">
        <f t="array" ref="DN23">INDEX(DM:DM,MIN(IF(ISNUMBER(DM23:DM219),ROW(DM23:DM219),"")))</f>
        <v/>
      </c>
      <c r="DO23" s="151">
        <f>IF('Données projet'!$A$166&gt;35,DO22+DN23-DW22,IF(A23&lt;'Données projet'!$A$166,$DL$205^A23,IF(A23='Données projet'!$A$166,'Données projet'!$B$166,DO22+DN23-DW22)))</f>
        <v>0</v>
      </c>
      <c r="DP23" s="158" t="str">
        <f>DO23*VLOOKUP('Données projet'!$B$14,'Paramètres'!$A$1:$I$88,3,0)*VLOOKUP('Données projet'!$B$14,'Paramètres'!$A$1:$I$88,5,0)</f>
        <v>#N/A</v>
      </c>
      <c r="DQ23" s="150" t="str">
        <f t="shared" si="44"/>
        <v>#N/A</v>
      </c>
      <c r="DR23" s="161" t="str">
        <f t="shared" si="17"/>
        <v>#N/A</v>
      </c>
      <c r="DS23" s="153" t="str">
        <f t="shared" si="18"/>
        <v>#N/A</v>
      </c>
      <c r="DT23" s="153" t="str">
        <f>AVERAGE(OFFSET($DS$3,0,0,'Données projet'!$E$14+1,1))-AVERAGE(OFFSET($H$3,0,0,'Données projet'!$E$14+1,1))</f>
        <v>#N/A</v>
      </c>
      <c r="DU23" s="153" t="str">
        <f t="shared" si="45"/>
        <v>#N/A</v>
      </c>
      <c r="DV23" s="154">
        <f>IF(ISNA(VLOOKUP(A23,'Données projet'!$A$165:$I$185,3,0)),0,VLOOKUP(A23,'Données projet'!$A$165:$I$185,3,0))</f>
        <v>0</v>
      </c>
      <c r="DW23" s="154">
        <f>IF(ISNA(VLOOKUP(A23,'Données projet'!$A$165:$I$185,4,0)),0,VLOOKUP(A23,'Données projet'!$A$165:$I$185,4,0))</f>
        <v>0</v>
      </c>
      <c r="DX23" s="155">
        <f>IF(ISNA(VLOOKUP(A23,'Données projet'!$A$165:$I$185,5,0)),0%,VLOOKUP(A23,'Données projet'!$A$165:$I$185,5,0)*VLOOKUP('Données projet'!$B$14,'Paramètres'!$A$1:$I$88,7,0))</f>
        <v>0</v>
      </c>
      <c r="DY23" s="155">
        <f>IF(ISNA(VLOOKUP(A23,'Données projet'!$A$165:$I$185,6,0)),0%,VLOOKUP(A23,'Données projet'!$A$165:$I$185,6,0)*VLOOKUP('Données projet'!$B$14,'Paramètres'!$A$1:$I$88,7,0))</f>
        <v>0</v>
      </c>
      <c r="DZ23" s="155">
        <f>IF(ISNA(VLOOKUP(A23,'Données projet'!$A$165:$I$185,7,0)),0%,VLOOKUP(A23,'Données projet'!$A$165:$I$185,7,0))</f>
        <v>0</v>
      </c>
      <c r="EA23" s="162" t="str">
        <f>EXP(-LN(2)/35)*EA22+(1-EXP(-LN(2)/35))/(LN(2)/35)*DW23*DX23*VLOOKUP('Données projet'!$B$14,'Paramètres'!$A$1:$I$88,3,0)*0.475*44/12</f>
        <v>#N/A</v>
      </c>
      <c r="EB23" s="162" t="str">
        <f>EXP(-LN(2)/25)*EB22+(1-EXP(-LN(2)/25))/(LN(2)/25)*Calculateur!DW23*Calculateur!DY23*VLOOKUP('Données projet'!$B$14,'Paramètres'!$A$1:$I$88,3,0)*0.475*44/12</f>
        <v>#N/A</v>
      </c>
      <c r="EC23" s="162" t="str">
        <f>EXP(-LN(2)/2)*EC22+(1-EXP(-LN(2)/2))/(LN(2)/2)*DW23*DZ23*VLOOKUP('Données projet'!$B$14,'Paramètres'!$A$1:$I$88,3,0)*0.475*44/12</f>
        <v>#N/A</v>
      </c>
      <c r="ED23" s="163" t="str">
        <f t="shared" si="19"/>
        <v>#N/A</v>
      </c>
      <c r="EE23" s="159">
        <f>('Scénario référence'!$F$8+'Scénario référence'!$F$9+'Scénario référence'!$B$17+'Scénario référence'!$B$9+'Scénario référence'!$B$10)*70+IF((45+25*(1-EXP(-0.0175*A23)))&lt;70,'Scénario référence'!$B$16*(45+25*(1-EXP(-0.0175*A23))),70*'Scénario référence'!$B$16)+IF((32+38*(1-EXP(-0.0175*A23)))&lt;70,'Scénario référence'!$B$18*(32+38*(1-EXP(-0.0175*A23))),70*'Scénario référence'!$B$18)</f>
        <v>70</v>
      </c>
      <c r="EF23" s="151">
        <f>IF(A23&gt;30,10,('Scénario référence'!$B$16+'Scénario référence'!$B$17+'Scénario référence'!$B$18+'Scénario référence'!$B$9+'Scénario référence'!$B$10)*A23*10/30+('Scénario référence'!$F$8+'Scénario référence'!$F$9)*10)</f>
        <v>6.666666667</v>
      </c>
      <c r="EG23" s="151" t="str">
        <f>VLOOKUP(A23,'Données projet'!$A$191:$I$211,2,0)</f>
        <v>#N/A</v>
      </c>
      <c r="EH23" s="151" t="str">
        <f>VLOOKUP(A23,'Données projet'!$A$191:$I$211,9,0)</f>
        <v>#N/A</v>
      </c>
      <c r="EI23" s="151" t="str">
        <f t="array" ref="EI23">INDEX(EH:EH,MIN(IF(ISNUMBER(EH23:EH219),ROW(EH23:EH219),"")))</f>
        <v/>
      </c>
      <c r="EJ23" s="151">
        <f>IF('Données projet'!$A$192&gt;35,EJ22+EI23-ER22,IF(A23&lt;'Données projet'!$A$192,$EG$205^A23,IF(A23='Données projet'!$A$192,'Données projet'!$B$192,EJ22+EI23-ER22)))</f>
        <v>0</v>
      </c>
      <c r="EK23" s="158" t="str">
        <f>EJ23*VLOOKUP('Données projet'!$B$15,'Paramètres'!$A$1:$I$88,3,0)*VLOOKUP('Données projet'!$B$15,'Paramètres'!$A$1:$I$88,5,0)</f>
        <v>#N/A</v>
      </c>
      <c r="EL23" s="150" t="str">
        <f t="shared" si="46"/>
        <v>#N/A</v>
      </c>
      <c r="EM23" s="161" t="str">
        <f t="shared" si="20"/>
        <v>#N/A</v>
      </c>
      <c r="EN23" s="153" t="str">
        <f t="shared" si="21"/>
        <v>#N/A</v>
      </c>
      <c r="EO23" s="153" t="str">
        <f>AVERAGE(OFFSET($EN$3,0,0,'Données projet'!$E$15+1,1))-AVERAGE(OFFSET($H$3,0,0,'Données projet'!$E$15+1,1))</f>
        <v>#N/A</v>
      </c>
      <c r="EP23" s="153" t="str">
        <f t="shared" si="47"/>
        <v>#N/A</v>
      </c>
      <c r="EQ23" s="154">
        <f>IF(ISNA(VLOOKUP(A23,'Données projet'!$A$191:$I$211,3,0)),0,VLOOKUP(A23,'Données projet'!$A$191:$I$211,3,0))</f>
        <v>0</v>
      </c>
      <c r="ER23" s="154">
        <f>IF(ISNA(VLOOKUP(A23,'Données projet'!$A$191:$I$211,4,0)),0,VLOOKUP(A23,'Données projet'!$A$191:$I$211,4,0))</f>
        <v>0</v>
      </c>
      <c r="ES23" s="155">
        <f>IF(ISNA(VLOOKUP(A23,'Données projet'!$A$191:$I$211,5,0)),0%,VLOOKUP(A23,'Données projet'!$A$191:$I$211,5,0)*VLOOKUP('Données projet'!$B$15,'Paramètres'!$A$1:$I$88,7,0))</f>
        <v>0</v>
      </c>
      <c r="ET23" s="155">
        <f>IF(ISNA(VLOOKUP(A23,'Données projet'!$A$191:$I$211,6,0)),0%,VLOOKUP(A23,'Données projet'!$A$191:$I$211,6,0)*VLOOKUP('Données projet'!$B$15,'Paramètres'!$A$1:$I$88,7,0))</f>
        <v>0</v>
      </c>
      <c r="EU23" s="155">
        <f>IF(ISNA(VLOOKUP(A23,'Données projet'!$A$191:$I$211,7,0)),0%,VLOOKUP(A23,'Données projet'!$A$191:$I$211,7,0))</f>
        <v>0</v>
      </c>
      <c r="EV23" s="162" t="str">
        <f>EXP(-LN(2)/35)*EV22+(1-EXP(-LN(2)/35))/(LN(2)/35)*ER23*ES23*VLOOKUP('Données projet'!$B$15,'Paramètres'!$A$1:$I$88,3,0)*0.475*44/12</f>
        <v>#N/A</v>
      </c>
      <c r="EW23" s="162" t="str">
        <f>EXP(-LN(2)/25)*EW22+(1-EXP(-LN(2)/25))/(LN(2)/25)*Calculateur!ER23*Calculateur!ET23*VLOOKUP('Données projet'!$B$15,'Paramètres'!$A$1:$I$88,3,0)*0.475*44/12</f>
        <v>#N/A</v>
      </c>
      <c r="EX23" s="162" t="str">
        <f>EXP(-LN(2)/2)*EX22+(1-EXP(-LN(2)/2))/(LN(2)/2)*ER23*EU23*VLOOKUP('Données projet'!$B$15,'Paramètres'!$A$1:$I$88,3,0)*0.475*44/12</f>
        <v>#N/A</v>
      </c>
      <c r="EY23" s="163" t="str">
        <f t="shared" si="22"/>
        <v>#N/A</v>
      </c>
      <c r="EZ23" s="159">
        <f>('Scénario référence'!$F$8+'Scénario référence'!$F$9+'Scénario référence'!$B$17+'Scénario référence'!$B$9+'Scénario référence'!$B$10)*70+IF((45+25*(1-EXP(-0.0175*A23)))&lt;70,'Scénario référence'!$B$16*(45+25*(1-EXP(-0.0175*A23))),70*'Scénario référence'!$B$16)+IF((32+38*(1-EXP(-0.0175*A23)))&lt;70,'Scénario référence'!$B$18*(32+38*(1-EXP(-0.0175*A23))),70*'Scénario référence'!$B$18)</f>
        <v>70</v>
      </c>
      <c r="FA23" s="151">
        <f>IF(A23&gt;30,10,('Scénario référence'!$B$16+'Scénario référence'!$B$17+'Scénario référence'!$B$18+'Scénario référence'!$B$9+'Scénario référence'!$B$10)*A23*10/30+('Scénario référence'!$F$8+'Scénario référence'!$F$9)*10)</f>
        <v>6.666666667</v>
      </c>
      <c r="FB23" s="151" t="str">
        <f>VLOOKUP(A23,'Données projet'!$A$217:$I$237,2,0)</f>
        <v>#N/A</v>
      </c>
      <c r="FC23" s="151" t="str">
        <f>VLOOKUP(A23,'Données projet'!$A$217:$I$237,9,0)</f>
        <v>#N/A</v>
      </c>
      <c r="FD23" s="151" t="str">
        <f t="array" ref="FD23">INDEX(FC:FC,MIN(IF(ISNUMBER(FC23:FC219),ROW(FC23:FC219),"")))</f>
        <v/>
      </c>
      <c r="FE23" s="151">
        <f>IF('Données projet'!$A$218&gt;35,FE22+FD23-FM22,IF(A23&lt;'Données projet'!$A$218,$FB$205^A23,IF(A23='Données projet'!$A$218,'Données projet'!$B$218,FE22+FD23-FM22)))</f>
        <v>0</v>
      </c>
      <c r="FF23" s="158" t="str">
        <f>FE23*VLOOKUP('Données projet'!$B$16,'Paramètres'!$A$1:$I$88,3,0)*VLOOKUP('Données projet'!$B$16,'Paramètres'!$A$1:$I$88,5,0)</f>
        <v>#N/A</v>
      </c>
      <c r="FG23" s="150" t="str">
        <f t="shared" si="48"/>
        <v>#N/A</v>
      </c>
      <c r="FH23" s="161" t="str">
        <f t="shared" si="23"/>
        <v>#N/A</v>
      </c>
      <c r="FI23" s="153" t="str">
        <f t="shared" si="24"/>
        <v>#N/A</v>
      </c>
      <c r="FJ23" s="153" t="str">
        <f>AVERAGE(OFFSET($FI$3,0,0,'Données projet'!$E$16+1,1))-AVERAGE(OFFSET($H$3,0,0,'Données projet'!$E$16+1,1))</f>
        <v>#N/A</v>
      </c>
      <c r="FK23" s="153" t="str">
        <f t="shared" si="49"/>
        <v>#N/A</v>
      </c>
      <c r="FL23" s="154">
        <f>IF(ISNA(VLOOKUP(A23,'Données projet'!$A$217:$I$237,3,0)),0,VLOOKUP(A23,'Données projet'!$A$217:$I$237,3,0))</f>
        <v>0</v>
      </c>
      <c r="FM23" s="154">
        <f>IF(ISNA(VLOOKUP(A23,'Données projet'!$A$217:$I$237,4,0)),0,VLOOKUP(A23,'Données projet'!$A$217:$I$237,4,0))</f>
        <v>0</v>
      </c>
      <c r="FN23" s="155">
        <f>IF(ISNA(VLOOKUP(A23,'Données projet'!$A$217:$I$237,5,0)),0%,VLOOKUP(A23,'Données projet'!$A$217:$I$237,5,0)*VLOOKUP('Données projet'!$B$16,'Paramètres'!$A$1:$I$88,7,0))</f>
        <v>0</v>
      </c>
      <c r="FO23" s="155">
        <f>IF(ISNA(VLOOKUP(A23,'Données projet'!$A$217:$I$237,6,0)),0%,VLOOKUP(A23,'Données projet'!$A$217:$I$237,6,0)*VLOOKUP('Données projet'!$B$16,'Paramètres'!$A$1:$I$88,7,0))</f>
        <v>0</v>
      </c>
      <c r="FP23" s="155">
        <f>IF(ISNA(VLOOKUP(A23,'Données projet'!$A$217:$I$237,7,0)),0%,VLOOKUP(A23,'Données projet'!$A$217:$I$237,7,0))</f>
        <v>0</v>
      </c>
      <c r="FQ23" s="162" t="str">
        <f>EXP(-LN(2)/35)*FQ22+(1-EXP(-LN(2)/35))/(LN(2)/35)*FM23*FN23*VLOOKUP('Données projet'!$B$16,'Paramètres'!$A$1:$I$88,3,0)*0.475*44/12</f>
        <v>#N/A</v>
      </c>
      <c r="FR23" s="162" t="str">
        <f>EXP(-LN(2)/25)*FR22+(1-EXP(-LN(2)/25))/(LN(2)/25)*Calculateur!FM23*Calculateur!FO23*VLOOKUP('Données projet'!$B$16,'Paramètres'!$A$1:$I$88,3,0)*0.475*44/12</f>
        <v>#N/A</v>
      </c>
      <c r="FS23" s="162" t="str">
        <f>EXP(-LN(2)/2)*FS22+(1-EXP(-LN(2)/2))/(LN(2)/2)*FM23*FP23*VLOOKUP('Données projet'!$B$16,'Paramètres'!$A$1:$I$88,3,0)*0.475*44/12</f>
        <v>#N/A</v>
      </c>
      <c r="FT23" s="163" t="str">
        <f t="shared" si="25"/>
        <v>#N/A</v>
      </c>
      <c r="FU23" s="159">
        <f>('Scénario référence'!$F$8+'Scénario référence'!$F$9+'Scénario référence'!$B$17+'Scénario référence'!$B$9+'Scénario référence'!$B$10)*70+IF((45+25*(1-EXP(-0.0175*A23)))&lt;70,'Scénario référence'!$B$16*(45+25*(1-EXP(-0.0175*A23))),70*'Scénario référence'!$B$16)+IF((32+38*(1-EXP(-0.0175*A23)))&lt;70,'Scénario référence'!$B$18*(32+38*(1-EXP(-0.0175*A23))),70*'Scénario référence'!$B$18)</f>
        <v>70</v>
      </c>
      <c r="FV23" s="151">
        <f>IF(A23&gt;30,10,('Scénario référence'!$B$16+'Scénario référence'!$B$17+'Scénario référence'!$B$18+'Scénario référence'!$B$9+'Scénario référence'!$B$10)*A23*10/30+('Scénario référence'!$F$8+'Scénario référence'!$F$9)*10)</f>
        <v>6.666666667</v>
      </c>
      <c r="FW23" s="151" t="str">
        <f>VLOOKUP(A23,'Données projet'!$A$243:$I$263,2,0)</f>
        <v>#N/A</v>
      </c>
      <c r="FX23" s="151" t="str">
        <f>VLOOKUP(A23,'Données projet'!$A$243:$I$263,9,0)</f>
        <v>#N/A</v>
      </c>
      <c r="FY23" s="151" t="str">
        <f t="array" ref="FY23">INDEX(FX:FX,MIN(IF(ISNUMBER(FX23:FX219),ROW(FX23:FX219),"")))</f>
        <v/>
      </c>
      <c r="FZ23" s="151">
        <f>IF('Données projet'!$A$244&gt;35,FZ22+FY23-GH22,IF(A23&lt;'Données projet'!$A$244,$FW$205^A23,IF(A23='Données projet'!$A$244,'Données projet'!$B$244,FZ22+FY23-GH22)))</f>
        <v>0</v>
      </c>
      <c r="GA23" s="158" t="str">
        <f>FZ23*VLOOKUP('Données projet'!$B$17,'Paramètres'!$A$1:$I$88,3,0)*VLOOKUP('Données projet'!$B$17,'Paramètres'!$A$1:$I$88,5,0)</f>
        <v>#N/A</v>
      </c>
      <c r="GB23" s="150" t="str">
        <f t="shared" si="50"/>
        <v>#N/A</v>
      </c>
      <c r="GC23" s="161" t="str">
        <f t="shared" si="26"/>
        <v>#N/A</v>
      </c>
      <c r="GD23" s="153" t="str">
        <f t="shared" si="27"/>
        <v>#N/A</v>
      </c>
      <c r="GE23" s="153" t="str">
        <f>AVERAGE(OFFSET($GD$3,0,0,'Données projet'!$E$17+1,1))-AVERAGE(OFFSET($H$3,0,0,'Données projet'!$E$17+1,1))</f>
        <v>#N/A</v>
      </c>
      <c r="GF23" s="153" t="str">
        <f t="shared" si="51"/>
        <v>#N/A</v>
      </c>
      <c r="GG23" s="154">
        <f>IF(ISNA(VLOOKUP(A23,'Données projet'!$A$243:$I$263,3,0)),0,VLOOKUP(A23,'Données projet'!$A$243:$I$263,3,0))</f>
        <v>0</v>
      </c>
      <c r="GH23" s="154">
        <f>IF(ISNA(VLOOKUP(A23,'Données projet'!$A$243:$I$263,4,0)),0,VLOOKUP(A23,'Données projet'!$A$243:$I$263,4,0))</f>
        <v>0</v>
      </c>
      <c r="GI23" s="155">
        <f>IF(ISNA(VLOOKUP(A23,'Données projet'!$A$243:$I$263,5,0)),0%,VLOOKUP(A23,'Données projet'!$A$243:$I$263,5,0)*VLOOKUP('Données projet'!$B$17,'Paramètres'!$A$1:$I$88,7,0))</f>
        <v>0</v>
      </c>
      <c r="GJ23" s="155">
        <f>IF(ISNA(VLOOKUP(A23,'Données projet'!$A$243:$I$263,6,0)),0%,VLOOKUP(A23,'Données projet'!$A$243:$I$263,6,0)*VLOOKUP('Données projet'!$B$17,'Paramètres'!$A$1:$I$88,7,0))</f>
        <v>0</v>
      </c>
      <c r="GK23" s="155">
        <f>IF(ISNA(VLOOKUP(A23,'Données projet'!$A$243:$I$263,7,0)),0%,VLOOKUP(A23,'Données projet'!$A$243:$I$263,7,0))</f>
        <v>0</v>
      </c>
      <c r="GL23" s="162" t="str">
        <f>EXP(-LN(2)/35)*GL22+(1-EXP(-LN(2)/35))/(LN(2)/35)*GH23*GI23*VLOOKUP('Données projet'!$B$17,'Paramètres'!$A$1:$I$88,3,0)*0.475*44/12</f>
        <v>#N/A</v>
      </c>
      <c r="GM23" s="162" t="str">
        <f>EXP(-LN(2)/25)*GM22+(1-EXP(-LN(2)/25))/(LN(2)/25)*Calculateur!GH23*Calculateur!GJ23*VLOOKUP('Données projet'!$B$17,'Paramètres'!$A$1:$I$88,3,0)*0.475*44/12</f>
        <v>#N/A</v>
      </c>
      <c r="GN23" s="162" t="str">
        <f>EXP(-LN(2)/2)*GN22+(1-EXP(-LN(2)/2))/(LN(2)/2)*GH23*GK23*VLOOKUP('Données projet'!$B$17,'Paramètres'!$A$1:$I$88,3,0)*0.475*44/12</f>
        <v>#N/A</v>
      </c>
      <c r="GO23" s="162" t="str">
        <f t="shared" si="28"/>
        <v>#N/A</v>
      </c>
      <c r="GP23" s="159">
        <f>('Scénario référence'!$F$8+'Scénario référence'!$F$9+'Scénario référence'!$B$17+'Scénario référence'!$B$9+'Scénario référence'!$B$10)*70+IF((45+25*(1-EXP(-0.0175*A23)))&lt;70,'Scénario référence'!$B$16*(45+25*(1-EXP(-0.0175*A23))),70*'Scénario référence'!$B$16)+IF((32+38*(1-EXP(-0.0175*A23)))&lt;70,'Scénario référence'!$B$18*(32+38*(1-EXP(-0.0175*A23))),70*'Scénario référence'!$B$18)</f>
        <v>70</v>
      </c>
      <c r="GQ23" s="151">
        <f>IF(A23&gt;30,10,('Scénario référence'!$B$16+'Scénario référence'!$B$17+'Scénario référence'!$B$18+'Scénario référence'!$B$9+'Scénario référence'!$B$10)*A23*10/30+('Scénario référence'!$F$8+'Scénario référence'!$F$9)*10)</f>
        <v>6.666666667</v>
      </c>
      <c r="GR23" s="151" t="str">
        <f>VLOOKUP(A23,'Données projet'!$A$269:$I$289,2,0)</f>
        <v>#N/A</v>
      </c>
      <c r="GS23" s="151" t="str">
        <f>VLOOKUP(A23,'Données projet'!$A$269:$I$289,9,0)</f>
        <v>#N/A</v>
      </c>
      <c r="GT23" s="151" t="str">
        <f t="array" ref="GT23">INDEX(GS:GS,MIN(IF(ISNUMBER(GS23:GS219),ROW(GS23:GS219),"")))</f>
        <v/>
      </c>
      <c r="GU23" s="151">
        <f>IF('Données projet'!$A$270&gt;35,GU22+GT23-HC22,IF(A23&lt;'Données projet'!$A$270,$GR$205^A23,IF(A23='Données projet'!$A$270,'Données projet'!$B$270,GU22+GT23-HC22)))</f>
        <v>0</v>
      </c>
      <c r="GV23" s="158" t="str">
        <f>GU23*VLOOKUP('Données projet'!$B$18,'Paramètres'!$A$1:$I$88,3,0)*VLOOKUP('Données projet'!$B$18,'Paramètres'!$A$1:$I$88,5,0)</f>
        <v>#N/A</v>
      </c>
      <c r="GW23" s="150" t="str">
        <f t="shared" si="52"/>
        <v>#N/A</v>
      </c>
      <c r="GX23" s="161" t="str">
        <f t="shared" si="29"/>
        <v>#N/A</v>
      </c>
      <c r="GY23" s="153" t="str">
        <f t="shared" si="30"/>
        <v>#N/A</v>
      </c>
      <c r="GZ23" s="153" t="str">
        <f>AVERAGE(OFFSET($GY$3,0,0,'Données projet'!$E$18+1,1))-AVERAGE(OFFSET($H$3,0,0,'Données projet'!$E$18+1,1))</f>
        <v>#N/A</v>
      </c>
      <c r="HA23" s="153" t="str">
        <f t="shared" si="53"/>
        <v>#N/A</v>
      </c>
      <c r="HB23" s="154">
        <f>IF(ISNA(VLOOKUP(A23,'Données projet'!$A$269:$I$289,3,0)),0,VLOOKUP(A23,'Données projet'!$A$269:$I$289,3,0))</f>
        <v>0</v>
      </c>
      <c r="HC23" s="154">
        <f>IF(ISNA(VLOOKUP(A23,'Données projet'!$A$269:$I$289,4,0)),0,VLOOKUP(A23,'Données projet'!$A$269:$I$289,4,0))</f>
        <v>0</v>
      </c>
      <c r="HD23" s="155">
        <f>IF(ISNA(VLOOKUP(A23,'Données projet'!$A$269:$I$289,5,0)),0%,VLOOKUP(A23,'Données projet'!$A$269:$I$289,5,0)*VLOOKUP('Données projet'!$B$18,'Paramètres'!$A$1:$I$88,7,0))</f>
        <v>0</v>
      </c>
      <c r="HE23" s="155">
        <f>IF(ISNA(VLOOKUP(A23,'Données projet'!$A$269:$I$289,6,0)),0%,VLOOKUP(A23,'Données projet'!$A$269:$I$289,6,0)*VLOOKUP('Données projet'!$B$18,'Paramètres'!$A$1:$I$88,7,0))</f>
        <v>0</v>
      </c>
      <c r="HF23" s="155">
        <f>IF(ISNA(VLOOKUP(A23,'Données projet'!$A$269:$I$289,7,0)),0%,VLOOKUP(A23,'Données projet'!$A$269:$I$289,7,0))</f>
        <v>0</v>
      </c>
      <c r="HG23" s="162" t="str">
        <f>EXP(-LN(2)/35)*HG22+(1-EXP(-LN(2)/35))/(LN(2)/35)*HC23*HD23*VLOOKUP('Données projet'!$B$18,'Paramètres'!$A$1:$I$88,3,0)*0.475*44/12</f>
        <v>#N/A</v>
      </c>
      <c r="HH23" s="162" t="str">
        <f>EXP(-LN(2)/25)*HH22+(1-EXP(-LN(2)/25))/(LN(2)/25)*Calculateur!HC23*Calculateur!HE23*VLOOKUP('Données projet'!$B$18,'Paramètres'!$A$1:$I$88,3,0)*0.475*44/12</f>
        <v>#N/A</v>
      </c>
      <c r="HI23" s="162" t="str">
        <f>EXP(-LN(2)/2)*HI22+(1-EXP(-LN(2)/2))/(LN(2)/2)*HC23*HF23*VLOOKUP('Données projet'!$B$18,'Paramètres'!$A$1:$I$88,3,0)*0.475*44/12</f>
        <v>#N/A</v>
      </c>
      <c r="HJ23" s="163" t="str">
        <f t="shared" si="31"/>
        <v>#N/A</v>
      </c>
    </row>
    <row r="24" ht="15.75" customHeight="1">
      <c r="A24" s="145">
        <f t="shared" si="32"/>
        <v>21</v>
      </c>
      <c r="B24" s="146">
        <f>'Scénario référence'!$B$16*5+'Scénario référence'!$B$17*0+'Scénario référence'!$B$18*5</f>
        <v>0</v>
      </c>
      <c r="C24" s="160">
        <f>Calculateur!C23+'Scénario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24" s="147">
        <f t="shared" si="33"/>
        <v>0</v>
      </c>
      <c r="E24" s="147">
        <f>'Scénario référence'!$B$16*45+('Scénario référence'!$B$17+'Scénario référence'!$F$8+'Scénario référence'!$F$9+'Scénario référence'!$B$10+'Scénario référence'!$B$9)*70+'Scénario référence'!$B$18*32</f>
        <v>70</v>
      </c>
      <c r="F24" s="147">
        <f>IF(OR('Scénario référence'!$F$8&gt;0,'Scénario référence'!$F$9&gt;0),('Scénario référence'!$F$8+'Scénario référence'!$F$9)*10,0)</f>
        <v>0</v>
      </c>
      <c r="G24" s="147">
        <f>'Scénario référence'!$B$8*B24*44/12+'Scénario référence'!$B$9*(C24+D24)/0.475*44/12+'Scénario référence'!$B$10*(C24+D24)/0.475*44/12+'Scénario référence'!$F$8*(C24+D24)/0.475*44/12+'Scénario référence'!$F$9*(C24+D24)/0.475*44/12</f>
        <v>0</v>
      </c>
      <c r="H24" s="148">
        <f t="shared" si="1"/>
        <v>256.6666667</v>
      </c>
      <c r="I24" s="149">
        <f>('Scénario référence'!$F$8+'Scénario référence'!$F$9+'Scénario référence'!$B$17+'Scénario référence'!$B$9+'Scénario référence'!$B$10)*70+IF((45+25*(1-EXP(-0.0175*A24)))&lt;70,'Scénario référence'!$B$16*(45+25*(1-EXP(-0.0175*A24))),70*'Scénario référence'!$B$16)+IF((32+38*(1-EXP(-0.0175*A24)))&lt;70,'Scénario référence'!$B$18*(32+38*(1-EXP(-0.0175*A24))),70*'Scénario référence'!$B$18)</f>
        <v>70</v>
      </c>
      <c r="J24" s="150">
        <f>IF(A24&gt;30,10,('Scénario référence'!$B$16+'Scénario référence'!$B$17+'Scénario référence'!$B$18+'Scénario référence'!$B$9+'Scénario référence'!$B$10)*A24*10/30+('Scénario référence'!$F$8+'Scénario référence'!$F$9)*10)</f>
        <v>7</v>
      </c>
      <c r="K24" s="151" t="str">
        <f>VLOOKUP(A24,'Données projet'!$A$35:$I$55,2,0)</f>
        <v>#N/A</v>
      </c>
      <c r="L24" s="151" t="str">
        <f>VLOOKUP(A24,'Données projet'!$A$35:$I$55,9,0)</f>
        <v>#N/A</v>
      </c>
      <c r="M24" s="150">
        <f t="array" ref="M24">INDEX(L:L,MIN(IF(ISNUMBER(L24:L220),ROW(L24:L220),"")))</f>
        <v>7.2</v>
      </c>
      <c r="N24" s="150">
        <f>IF('Données projet'!$A$36&gt;35,N23+M24-V23,IF(A24&lt;'Données projet'!$A$36,$K$205^A24,IF(A24='Données projet'!$A$36,'Données projet'!$B$36,N23+M24-V23)))</f>
        <v>74.2</v>
      </c>
      <c r="O24" s="150">
        <f>N24*VLOOKUP('Données projet'!$B$9,'Paramètres'!$A$1:$I$88,3,0)*VLOOKUP('Données projet'!$B$9,'Paramètres'!$A$1:$I$88,5,0)</f>
        <v>67.13616</v>
      </c>
      <c r="P24" s="150">
        <f t="shared" si="34"/>
        <v>18.96054541</v>
      </c>
      <c r="Q24" s="161">
        <f t="shared" si="2"/>
        <v>149.9517619</v>
      </c>
      <c r="R24" s="153">
        <f t="shared" si="3"/>
        <v>432.2850952</v>
      </c>
      <c r="S24" s="153">
        <f>AVERAGE(OFFSET($R$3,0,0,'Données projet'!$E$9+1,1))-AVERAGE(OFFSET($H$3,0,0,'Données projet'!$E$9+1,1))</f>
        <v>439.1985427</v>
      </c>
      <c r="T24" s="153">
        <f t="shared" si="35"/>
        <v>278.2174123</v>
      </c>
      <c r="U24" s="154">
        <f>IF(ISNA(VLOOKUP(A24,'Données projet'!$A$35:$I$55,3,0)),0,VLOOKUP(A24,'Données projet'!$A$35:$I$55,3,0))</f>
        <v>0</v>
      </c>
      <c r="V24" s="154">
        <f>IF(ISNA(VLOOKUP(A24,'Données projet'!$A$35:$I$55,4,0)),0,VLOOKUP(A24,'Données projet'!$A$35:$I$55,4,0))</f>
        <v>0</v>
      </c>
      <c r="W24" s="155">
        <f>IF(ISNA(VLOOKUP(A24,'Données projet'!$A$35:$I$55,5,0)),0%,VLOOKUP(A24,'Données projet'!$A$35:$I$55,5,0)*VLOOKUP('Données projet'!$B$9,'Paramètres'!$A$1:$I$88,7,0))</f>
        <v>0</v>
      </c>
      <c r="X24" s="155">
        <f>IF(ISNA(VLOOKUP(A24,'Données projet'!$A$35:$I$55,6,0)),0%,VLOOKUP(A24,'Données projet'!$A$35:$I$55,6,0)*VLOOKUP('Données projet'!$B$9,'Paramètres'!$A$1:$I$88,7,0))</f>
        <v>0</v>
      </c>
      <c r="Y24" s="155">
        <f>IF(ISNA(VLOOKUP(A24,'Données projet'!$A$35:$I$55,7,0)),0%,VLOOKUP(A24,'Données projet'!$A$35:$I$55,7,0))</f>
        <v>0</v>
      </c>
      <c r="Z24" s="162">
        <f>EXP(-LN(2)/35)*Z23+(1-EXP(-LN(2)/35))/(LN(2)/35)*V24*W24*VLOOKUP('Données projet'!$B$9,'Paramètres'!$A$1:$I$88,3,0)*0.475*44/12</f>
        <v>0</v>
      </c>
      <c r="AA24" s="162">
        <f>EXP(-LN(2)/25)*AA23+(1-EXP(-LN(2)/25))/(LN(2)/25)*Calculateur!V24*Calculateur!X24*VLOOKUP('Données projet'!$B$9,'Paramètres'!$A$1:$I$88,3,0)*0.475*44/12</f>
        <v>0</v>
      </c>
      <c r="AB24" s="162">
        <f>EXP(-LN(2)/2)*AB23+(1-EXP(-LN(2)/2))/(LN(2)/2)*V24*Y24*VLOOKUP('Données projet'!$B$9,'Paramètres'!$A$1:$I$88,3,0)*0.475*44/12</f>
        <v>0</v>
      </c>
      <c r="AC24" s="163">
        <f t="shared" si="4"/>
        <v>0</v>
      </c>
      <c r="AD24" s="150">
        <f>('Scénario référence'!$F$8+'Scénario référence'!$F$9+'Scénario référence'!$B$17+'Scénario référence'!$B$9+'Scénario référence'!$B$10)*70+IF((45+25*(1-EXP(-0.0175*A24)))&lt;70,'Scénario référence'!$B$16*(45+25*(1-EXP(-0.0175*A24))),70*'Scénario référence'!$B$16)+IF((32+38*(1-EXP(-0.0175*A24)))&lt;70,'Scénario référence'!$B$18*(32+38*(1-EXP(-0.0175*A24))),70*'Scénario référence'!$B$18)</f>
        <v>70</v>
      </c>
      <c r="AE24" s="150">
        <f>IF(A24&gt;30,10,('Scénario référence'!$B$16+'Scénario référence'!$B$17+'Scénario référence'!$B$18+'Scénario référence'!$B$9+'Scénario référence'!$B$10)*A24*10/30+('Scénario référence'!$F$8+'Scénario référence'!$F$9)*10)</f>
        <v>7</v>
      </c>
      <c r="AF24" s="151" t="str">
        <f>VLOOKUP(A24,'Données projet'!$A$61:$I$81,2,0)</f>
        <v>#N/A</v>
      </c>
      <c r="AG24" s="151" t="str">
        <f>VLOOKUP(A24,'Données projet'!$A$61:$I$81,9,0)</f>
        <v>#N/A</v>
      </c>
      <c r="AH24" s="150">
        <f t="array" ref="AH24">INDEX(AG:AG,MIN(IF(ISNUMBER(AG24:AG220),ROW(AG24:AG220),"")))</f>
        <v>17.2</v>
      </c>
      <c r="AI24" s="150">
        <f>IF('Données projet'!$A$62&gt;35,AI23+AH24-AQ23,IF(A24&lt;'Données projet'!$A$62,$AF$205^A24,IF(A24='Données projet'!$A$62,'Données projet'!$B$62,AI23+AH24-AQ23)))</f>
        <v>98.2</v>
      </c>
      <c r="AJ24" s="150">
        <f>AI24*VLOOKUP('Données projet'!$B$10,'Paramètres'!$A$1:$I$88,3,0)*VLOOKUP('Données projet'!$B$10,'Paramètres'!$A$1:$I$88,5,0)</f>
        <v>78.12792</v>
      </c>
      <c r="AK24" s="150">
        <f t="shared" si="36"/>
        <v>21.67882193</v>
      </c>
      <c r="AL24" s="161">
        <f t="shared" si="5"/>
        <v>173.8300755</v>
      </c>
      <c r="AM24" s="153">
        <f t="shared" si="6"/>
        <v>456.1634089</v>
      </c>
      <c r="AN24" s="153">
        <f>AVERAGE(OFFSET($AM$3,0,0,'Données projet'!$E$10+1,1))-AVERAGE(OFFSET($H$3,0,0,'Données projet'!$E$10+1,1))</f>
        <v>405.6113614</v>
      </c>
      <c r="AO24" s="153">
        <f t="shared" si="37"/>
        <v>393.0787141</v>
      </c>
      <c r="AP24" s="154">
        <f>IF(ISNA(VLOOKUP(A24,'Données projet'!$A$61:$I$81,3,0)),0,VLOOKUP(A24,'Données projet'!$A$61:$I$81,3,0))</f>
        <v>0</v>
      </c>
      <c r="AQ24" s="154">
        <f>IF(ISNA(VLOOKUP(A24,'Données projet'!$A$61:$I$81,4,0)),0,VLOOKUP(A24,'Données projet'!$A$61:$I$81,4,0))</f>
        <v>0</v>
      </c>
      <c r="AR24" s="155">
        <f>IF(ISNA(VLOOKUP(A24,'Données projet'!$A$61:$I$81,5,0)),0%,VLOOKUP(A24,'Données projet'!$A$61:$I$81,5,0)*VLOOKUP('Données projet'!$B$10,'Paramètres'!$A$1:$I$88,7,0))</f>
        <v>0</v>
      </c>
      <c r="AS24" s="155">
        <f>IF(ISNA(VLOOKUP(A24,'Données projet'!$A$61:$I$81,6,0)),0%,VLOOKUP(A24,'Données projet'!$A$61:$I$81,6,0)*VLOOKUP('Données projet'!$B$10,'Paramètres'!$A$1:$I$88,7,0))</f>
        <v>0</v>
      </c>
      <c r="AT24" s="155">
        <f>IF(ISNA(VLOOKUP(A24,'Données projet'!$A$61:$I$81,7,0)),0%,VLOOKUP(A24,'Données projet'!$A$61:$I$81,7,0))</f>
        <v>0</v>
      </c>
      <c r="AU24" s="162">
        <f>EXP(-LN(2)/35)*AU23+(1-EXP(-LN(2)/35))/(LN(2)/35)*AQ24*AR24*VLOOKUP('Données projet'!$B$10,'Paramètres'!$A$1:$I$88,3,0)*0.475*44/12</f>
        <v>0</v>
      </c>
      <c r="AV24" s="162">
        <f>EXP(-LN(2)/25)*AV23+(1-EXP(-LN(2)/25))/(LN(2)/25)*Calculateur!AQ24*Calculateur!AS24*VLOOKUP('Données projet'!$B$10,'Paramètres'!$A$1:$I$88,3,0)*0.475*44/12</f>
        <v>0</v>
      </c>
      <c r="AW24" s="162">
        <f>EXP(-LN(2)/2)*AW23+(1-EXP(-LN(2)/2))/(LN(2)/2)*AQ24*AT24*VLOOKUP('Données projet'!$B$10,'Paramètres'!$A$1:$I$88,3,0)*0.475*44/12</f>
        <v>13.11738978</v>
      </c>
      <c r="AX24" s="162">
        <f t="shared" si="7"/>
        <v>13.11738978</v>
      </c>
      <c r="AY24" s="157">
        <f>('Scénario référence'!$F$8+'Scénario référence'!$F$9+'Scénario référence'!$B$17+'Scénario référence'!$B$9+'Scénario référence'!$B$10)*70+IF((45+25*(1-EXP(-0.0175*A24)))&lt;70,'Scénario référence'!$B$16*(45+25*(1-EXP(-0.0175*A24))),70*'Scénario référence'!$B$16)+IF((32+38*(1-EXP(-0.0175*A24)))&lt;70,'Scénario référence'!$B$18*(32+38*(1-EXP(-0.0175*A24))),70*'Scénario référence'!$B$18)</f>
        <v>70</v>
      </c>
      <c r="AZ24" s="151">
        <f>IF(A24&gt;30,10,('Scénario référence'!$B$16+'Scénario référence'!$B$17+'Scénario référence'!$B$18+'Scénario référence'!$B$9+'Scénario référence'!$B$10)*A24*10/30+('Scénario référence'!$F$8+'Scénario référence'!$F$9)*10)</f>
        <v>7</v>
      </c>
      <c r="BA24" s="151" t="str">
        <f>VLOOKUP(A24,'Données projet'!$A$87:$I$107,2,0)</f>
        <v>#N/A</v>
      </c>
      <c r="BB24" s="151" t="str">
        <f>VLOOKUP(A24,'Données projet'!$A$87:$I$107,9,0)</f>
        <v>#N/A</v>
      </c>
      <c r="BC24" s="150" t="str">
        <f t="array" ref="BC24">INDEX(BB:BB,MIN(IF(ISNUMBER(BB24:BB220),ROW(BB24:BB220),"")))</f>
        <v/>
      </c>
      <c r="BD24" s="150">
        <f>IF('Données projet'!$A$88&gt;35,BD23+BC24-BL23,IF(A24&lt;'Données projet'!$A$88,$BA$205^A24,IF(A24='Données projet'!$A$88,'Données projet'!$B$88,BD23+BC24-BL23)))</f>
        <v>0</v>
      </c>
      <c r="BE24" s="150">
        <f>BD24*VLOOKUP('Données projet'!$B$11,'Paramètres'!$A$1:$I$88,3,0)*VLOOKUP('Données projet'!$B$11,'Paramètres'!$A$1:$I$88,5,0)</f>
        <v>0</v>
      </c>
      <c r="BF24" s="150" t="str">
        <f t="shared" si="38"/>
        <v>#NUM!</v>
      </c>
      <c r="BG24" s="161" t="str">
        <f t="shared" si="8"/>
        <v>#NUM!</v>
      </c>
      <c r="BH24" s="153" t="str">
        <f t="shared" si="9"/>
        <v>#NUM!</v>
      </c>
      <c r="BI24" s="153">
        <f>AVERAGE(OFFSET($BH$3,0,0,'Données projet'!$E$11+1,1))-AVERAGE(OFFSET($H$3,0,0,'Données projet'!$E$11+1,1))</f>
        <v>0</v>
      </c>
      <c r="BJ24" s="153">
        <f t="shared" si="39"/>
        <v>0</v>
      </c>
      <c r="BK24" s="154">
        <f>IF(ISNA(VLOOKUP(A24,'Données projet'!$A$87:$I$107,3,0)),0,VLOOKUP(A24,'Données projet'!$A$87:$I$107,3,0))</f>
        <v>0</v>
      </c>
      <c r="BL24" s="154">
        <f>IF(ISNA(VLOOKUP(A24,'Données projet'!$A$87:$I$107,4,0)),0,VLOOKUP(A24,'Données projet'!$A$87:$I$107,4,0))</f>
        <v>0</v>
      </c>
      <c r="BM24" s="155">
        <f>IF(ISNA(VLOOKUP(A24,'Données projet'!$A$87:$I$107,5,0)),0%,VLOOKUP(A24,'Données projet'!$A$87:$I$107,5,0)*VLOOKUP('Données projet'!$B$11,'Paramètres'!$A$1:$I$88,7,0))</f>
        <v>0</v>
      </c>
      <c r="BN24" s="155">
        <f>IF(ISNA(VLOOKUP(A24,'Données projet'!$A$87:$I$107,6,0)),0%,VLOOKUP(A24,'Données projet'!$A$87:$I$107,6,0)*VLOOKUP('Données projet'!$B$11,'Paramètres'!$A$1:$I$88,7,0))</f>
        <v>0</v>
      </c>
      <c r="BO24" s="155">
        <f>IF(ISNA(VLOOKUP(A24,'Données projet'!$A$87:$I$107,7,0)),0%,VLOOKUP(A24,'Données projet'!$A$87:$I$107,7,0))</f>
        <v>0</v>
      </c>
      <c r="BP24" s="162">
        <f>EXP(-LN(2)/35)*BP23+(1-EXP(-LN(2)/35))/(LN(2)/35)*BL24*BM24*VLOOKUP('Données projet'!$B$11,'Paramètres'!$A$1:$I$88,3,0)*0.475*44/12</f>
        <v>0</v>
      </c>
      <c r="BQ24" s="162">
        <f>EXP(-LN(2)/25)*BQ23+(1-EXP(-LN(2)/25))/(LN(2)/25)*Calculateur!BL24*Calculateur!BN24*VLOOKUP('Données projet'!$B$11,'Paramètres'!$A$1:$I$88,3,0)*0.475*44/12</f>
        <v>0</v>
      </c>
      <c r="BR24" s="162">
        <f>EXP(-LN(2)/2)*BR23+(1-EXP(-LN(2)/2))/(LN(2)/2)*BL24*BO24*VLOOKUP('Données projet'!$B$11,'Paramètres'!$A$1:$I$88,3,0)*0.475*44/12</f>
        <v>0</v>
      </c>
      <c r="BS24" s="163">
        <f t="shared" si="10"/>
        <v>0</v>
      </c>
      <c r="BT24" s="159">
        <f>('Scénario référence'!$F$8+'Scénario référence'!$F$9+'Scénario référence'!$B$17+'Scénario référence'!$B$9+'Scénario référence'!$B$10)*70+IF((45+25*(1-EXP(-0.0175*A24)))&lt;70,'Scénario référence'!$B$16*(45+25*(1-EXP(-0.0175*A24))),70*'Scénario référence'!$B$16)+IF((32+38*(1-EXP(-0.0175*A24)))&lt;70,'Scénario référence'!$B$18*(32+38*(1-EXP(-0.0175*A24))),70*'Scénario référence'!$B$18)</f>
        <v>70</v>
      </c>
      <c r="BU24" s="151">
        <f>IF(A24&gt;30,10,('Scénario référence'!$B$16+'Scénario référence'!$B$17+'Scénario référence'!$B$18+'Scénario référence'!$B$9+'Scénario référence'!$B$10)*A24*10/30+('Scénario référence'!$F$8+'Scénario référence'!$F$9)*10)</f>
        <v>7</v>
      </c>
      <c r="BV24" s="151" t="str">
        <f>VLOOKUP(A24,'Données projet'!$A$113:$I$133,2,0)</f>
        <v>#N/A</v>
      </c>
      <c r="BW24" s="151" t="str">
        <f>VLOOKUP(A24,'Données projet'!$A$113:$I$133,9,0)</f>
        <v>#N/A</v>
      </c>
      <c r="BX24" s="150" t="str">
        <f t="array" ref="BX24">INDEX(BW:BW,MIN(IF(ISNUMBER(BW24:BW220),ROW(BW24:BW220),"")))</f>
        <v/>
      </c>
      <c r="BY24" s="150">
        <f>IF('Données projet'!$A$114&gt;35,BY23+BX24-CG23,IF(A24&lt;'Données projet'!$A$114,$BV$205^A24,IF(A24='Données projet'!$A$114,'Données projet'!$B$114,BY23+BX24-CG23)))</f>
        <v>0</v>
      </c>
      <c r="BZ24" s="150" t="str">
        <f>BY24*VLOOKUP('Données projet'!$B$12,'Paramètres'!$A$1:$I$88,3,0)*VLOOKUP('Données projet'!$B$12,'Paramètres'!$A$1:$I$88,5,0)</f>
        <v>#N/A</v>
      </c>
      <c r="CA24" s="150" t="str">
        <f t="shared" si="40"/>
        <v>#N/A</v>
      </c>
      <c r="CB24" s="161" t="str">
        <f t="shared" si="11"/>
        <v>#N/A</v>
      </c>
      <c r="CC24" s="153" t="str">
        <f t="shared" si="12"/>
        <v>#N/A</v>
      </c>
      <c r="CD24" s="153" t="str">
        <f>AVERAGE(OFFSET($CC$3,0,0,'Données projet'!$E$12+1,1))-AVERAGE(OFFSET($H$3,0,0,'Données projet'!$E$12+1,1))</f>
        <v>#N/A</v>
      </c>
      <c r="CE24" s="153" t="str">
        <f t="shared" si="41"/>
        <v>#N/A</v>
      </c>
      <c r="CF24" s="154">
        <f>IF(ISNA(VLOOKUP(A24,'Données projet'!$A$113:$I$133,3,0)),0,VLOOKUP(A24,'Données projet'!$A$113:$I$133,3,0))</f>
        <v>0</v>
      </c>
      <c r="CG24" s="154">
        <f>IF(ISNA(VLOOKUP(A24,'Données projet'!$A$113:$I$133,4,0)),0,VLOOKUP(A24,'Données projet'!$A$113:$I$133,4,0))</f>
        <v>0</v>
      </c>
      <c r="CH24" s="155">
        <f>IF(ISNA(VLOOKUP(A24,'Données projet'!$A$113:$I$133,5,0)),0%,VLOOKUP(A24,'Données projet'!$A$113:$I$133,5,0)*VLOOKUP('Données projet'!$B$12,'Paramètres'!$A$1:$I$88,7,0))</f>
        <v>0</v>
      </c>
      <c r="CI24" s="155">
        <f>IF(ISNA(VLOOKUP(A24,'Données projet'!$A$113:$I$133,6,0)),0%,VLOOKUP(A24,'Données projet'!$A$113:$I$133,6,0)*VLOOKUP('Données projet'!$B$12,'Paramètres'!$A$1:$I$88,7,0))</f>
        <v>0</v>
      </c>
      <c r="CJ24" s="155">
        <f>IF(ISNA(VLOOKUP(A24,'Données projet'!$A$113:$I$133,7,0)),0%,VLOOKUP(A24,'Données projet'!$A$113:$I$133,7,0))</f>
        <v>0</v>
      </c>
      <c r="CK24" s="162" t="str">
        <f>EXP(-LN(2)/35)*CK23+(1-EXP(-LN(2)/35))/(LN(2)/35)*CG24*CH24*VLOOKUP('Données projet'!$B$12,'Paramètres'!$A$1:$I$88,3,0)*0.475*44/12</f>
        <v>#N/A</v>
      </c>
      <c r="CL24" s="162" t="str">
        <f>EXP(-LN(2)/25)*CL23+(1-EXP(-LN(2)/25))/(LN(2)/25)*Calculateur!CG24*Calculateur!CI24*VLOOKUP('Données projet'!$B$12,'Paramètres'!$A$1:$I$88,3,0)*0.475*44/12</f>
        <v>#N/A</v>
      </c>
      <c r="CM24" s="162" t="str">
        <f>EXP(-LN(2)/2)*CM23+(1-EXP(-LN(2)/2))/(LN(2)/2)*CG24*CJ24*VLOOKUP('Données projet'!$B$12,'Paramètres'!$A$1:$I$88,3,0)*0.475*44/12</f>
        <v>#N/A</v>
      </c>
      <c r="CN24" s="163" t="str">
        <f t="shared" si="13"/>
        <v>#N/A</v>
      </c>
      <c r="CO24" s="159">
        <f>('Scénario référence'!$F$8+'Scénario référence'!$F$9+'Scénario référence'!$B$17+'Scénario référence'!$B$9+'Scénario référence'!$B$10)*70+IF((45+25*(1-EXP(-0.0175*A24)))&lt;70,'Scénario référence'!$B$16*(45+25*(1-EXP(-0.0175*A24))),70*'Scénario référence'!$B$16)+IF((32+38*(1-EXP(-0.0175*A24)))&lt;70,'Scénario référence'!$B$18*(32+38*(1-EXP(-0.0175*A24))),70*'Scénario référence'!$B$18)</f>
        <v>70</v>
      </c>
      <c r="CP24" s="151">
        <f>IF(A24&gt;30,10,('Scénario référence'!$B$16+'Scénario référence'!$B$17+'Scénario référence'!$B$18+'Scénario référence'!$B$9+'Scénario référence'!$B$10)*A24*10/30+('Scénario référence'!$F$8+'Scénario référence'!$F$9)*10)</f>
        <v>7</v>
      </c>
      <c r="CQ24" s="151" t="str">
        <f>VLOOKUP(A24,'Données projet'!$A$139:$I$159,2,0)</f>
        <v>#N/A</v>
      </c>
      <c r="CR24" s="151" t="str">
        <f>VLOOKUP(A24,'Données projet'!$A$139:$I$159,9,0)</f>
        <v>#N/A</v>
      </c>
      <c r="CS24" s="151" t="str">
        <f t="array" ref="CS24">INDEX(CR:CR,MIN(IF(ISNUMBER(CR24:CR220),ROW(CR24:CR220),"")))</f>
        <v/>
      </c>
      <c r="CT24" s="151">
        <f>IF('Données projet'!$A$140&gt;35,CT23+CS24-DB23,IF(A24&lt;'Données projet'!$A$140,$CQ$205^A24,IF(A24='Données projet'!$A$140,'Données projet'!$B$140,CT23+CS24-DB23)))</f>
        <v>0</v>
      </c>
      <c r="CU24" s="158" t="str">
        <f>CT24*VLOOKUP('Données projet'!$B$13,'Paramètres'!$A$1:$I$88,3,0)*VLOOKUP('Données projet'!$B$13,'Paramètres'!$A$1:$I$88,5,0)</f>
        <v>#N/A</v>
      </c>
      <c r="CV24" s="150" t="str">
        <f t="shared" si="42"/>
        <v>#N/A</v>
      </c>
      <c r="CW24" s="161" t="str">
        <f t="shared" si="14"/>
        <v>#N/A</v>
      </c>
      <c r="CX24" s="153" t="str">
        <f t="shared" si="15"/>
        <v>#N/A</v>
      </c>
      <c r="CY24" s="153" t="str">
        <f>AVERAGE(OFFSET($CX$3,0,0,'Données projet'!$E$13+1,1))-AVERAGE(OFFSET($H$3,0,0,'Données projet'!$E$13+1,1))</f>
        <v>#N/A</v>
      </c>
      <c r="CZ24" s="153" t="str">
        <f t="shared" si="43"/>
        <v>#N/A</v>
      </c>
      <c r="DA24" s="154">
        <f>IF(ISNA(VLOOKUP(A24,'Données projet'!$A$139:$I$159,3,0)),0,VLOOKUP(A24,'Données projet'!$A$139:$I$159,3,0))</f>
        <v>0</v>
      </c>
      <c r="DB24" s="154">
        <f>IF(ISNA(VLOOKUP(A24,'Données projet'!$A$139:$I$159,4,0)),0,VLOOKUP(A24,'Données projet'!$A$139:$I$159,4,0))</f>
        <v>0</v>
      </c>
      <c r="DC24" s="155">
        <f>IF(ISNA(VLOOKUP(A24,'Données projet'!$A$139:$I$159,5,0)),0%,VLOOKUP(A24,'Données projet'!$A$139:$I$159,5,0)*VLOOKUP('Données projet'!$B$13,'Paramètres'!$A$1:$I$88,7,0))</f>
        <v>0</v>
      </c>
      <c r="DD24" s="155">
        <f>IF(ISNA(VLOOKUP(A24,'Données projet'!$A$139:$I$159,6,0)),0%,VLOOKUP(A24,'Données projet'!$A$139:$I$159,6,0)*VLOOKUP('Données projet'!$B$13,'Paramètres'!$A$1:$I$88,7,0))</f>
        <v>0</v>
      </c>
      <c r="DE24" s="155">
        <f>IF(ISNA(VLOOKUP(A24,'Données projet'!$A$139:$I$159,7,0)),0%,VLOOKUP(A24,'Données projet'!$A$139:$I$159,7,0))</f>
        <v>0</v>
      </c>
      <c r="DF24" s="162" t="str">
        <f>EXP(-LN(2)/35)*DF23+(1-EXP(-LN(2)/35))/(LN(2)/35)*DB24*DC24*VLOOKUP('Données projet'!$B$13,'Paramètres'!$A$1:$I$88,3,0)*0.475*44/12</f>
        <v>#N/A</v>
      </c>
      <c r="DG24" s="162" t="str">
        <f>EXP(-LN(2)/25)*DG23+(1-EXP(-LN(2)/25))/(LN(2)/25)*Calculateur!DB24*Calculateur!DD24*VLOOKUP('Données projet'!$B$13,'Paramètres'!$A$1:$I$88,3,0)*0.475*44/12</f>
        <v>#N/A</v>
      </c>
      <c r="DH24" s="162" t="str">
        <f>EXP(-LN(2)/2)*DH23+(1-EXP(-LN(2)/2))/(LN(2)/2)*DB24*DE24*VLOOKUP('Données projet'!$B$13,'Paramètres'!$A$1:$I$88,3,0)*0.475*44/12</f>
        <v>#N/A</v>
      </c>
      <c r="DI24" s="163" t="str">
        <f t="shared" si="16"/>
        <v>#N/A</v>
      </c>
      <c r="DJ24" s="159">
        <f>('Scénario référence'!$F$8+'Scénario référence'!$F$9+'Scénario référence'!$B$17+'Scénario référence'!$B$9+'Scénario référence'!$B$10)*70+IF((45+25*(1-EXP(-0.0175*A24)))&lt;70,'Scénario référence'!$B$16*(45+25*(1-EXP(-0.0175*A24))),70*'Scénario référence'!$B$16)+IF((32+38*(1-EXP(-0.0175*A24)))&lt;70,'Scénario référence'!$B$18*(32+38*(1-EXP(-0.0175*A24))),70*'Scénario référence'!$B$18)</f>
        <v>70</v>
      </c>
      <c r="DK24" s="151">
        <f>IF(A24&gt;30,10,('Scénario référence'!$B$16+'Scénario référence'!$B$17+'Scénario référence'!$B$18+'Scénario référence'!$B$9+'Scénario référence'!$B$10)*A24*10/30+('Scénario référence'!$F$8+'Scénario référence'!$F$9)*10)</f>
        <v>7</v>
      </c>
      <c r="DL24" s="151" t="str">
        <f>VLOOKUP(A24,'Données projet'!$A$165:$I$185,2,0)</f>
        <v>#N/A</v>
      </c>
      <c r="DM24" s="151" t="str">
        <f>VLOOKUP(A24,'Données projet'!$A$165:$I$185,9,0)</f>
        <v>#N/A</v>
      </c>
      <c r="DN24" s="151" t="str">
        <f t="array" ref="DN24">INDEX(DM:DM,MIN(IF(ISNUMBER(DM24:DM220),ROW(DM24:DM220),"")))</f>
        <v/>
      </c>
      <c r="DO24" s="151">
        <f>IF('Données projet'!$A$166&gt;35,DO23+DN24-DW23,IF(A24&lt;'Données projet'!$A$166,$DL$205^A24,IF(A24='Données projet'!$A$166,'Données projet'!$B$166,DO23+DN24-DW23)))</f>
        <v>0</v>
      </c>
      <c r="DP24" s="158" t="str">
        <f>DO24*VLOOKUP('Données projet'!$B$14,'Paramètres'!$A$1:$I$88,3,0)*VLOOKUP('Données projet'!$B$14,'Paramètres'!$A$1:$I$88,5,0)</f>
        <v>#N/A</v>
      </c>
      <c r="DQ24" s="150" t="str">
        <f t="shared" si="44"/>
        <v>#N/A</v>
      </c>
      <c r="DR24" s="161" t="str">
        <f t="shared" si="17"/>
        <v>#N/A</v>
      </c>
      <c r="DS24" s="153" t="str">
        <f t="shared" si="18"/>
        <v>#N/A</v>
      </c>
      <c r="DT24" s="153" t="str">
        <f>AVERAGE(OFFSET($DS$3,0,0,'Données projet'!$E$14+1,1))-AVERAGE(OFFSET($H$3,0,0,'Données projet'!$E$14+1,1))</f>
        <v>#N/A</v>
      </c>
      <c r="DU24" s="153" t="str">
        <f t="shared" si="45"/>
        <v>#N/A</v>
      </c>
      <c r="DV24" s="154">
        <f>IF(ISNA(VLOOKUP(A24,'Données projet'!$A$165:$I$185,3,0)),0,VLOOKUP(A24,'Données projet'!$A$165:$I$185,3,0))</f>
        <v>0</v>
      </c>
      <c r="DW24" s="154">
        <f>IF(ISNA(VLOOKUP(A24,'Données projet'!$A$165:$I$185,4,0)),0,VLOOKUP(A24,'Données projet'!$A$165:$I$185,4,0))</f>
        <v>0</v>
      </c>
      <c r="DX24" s="155">
        <f>IF(ISNA(VLOOKUP(A24,'Données projet'!$A$165:$I$185,5,0)),0%,VLOOKUP(A24,'Données projet'!$A$165:$I$185,5,0)*VLOOKUP('Données projet'!$B$14,'Paramètres'!$A$1:$I$88,7,0))</f>
        <v>0</v>
      </c>
      <c r="DY24" s="155">
        <f>IF(ISNA(VLOOKUP(A24,'Données projet'!$A$165:$I$185,6,0)),0%,VLOOKUP(A24,'Données projet'!$A$165:$I$185,6,0)*VLOOKUP('Données projet'!$B$14,'Paramètres'!$A$1:$I$88,7,0))</f>
        <v>0</v>
      </c>
      <c r="DZ24" s="155">
        <f>IF(ISNA(VLOOKUP(A24,'Données projet'!$A$165:$I$185,7,0)),0%,VLOOKUP(A24,'Données projet'!$A$165:$I$185,7,0))</f>
        <v>0</v>
      </c>
      <c r="EA24" s="162" t="str">
        <f>EXP(-LN(2)/35)*EA23+(1-EXP(-LN(2)/35))/(LN(2)/35)*DW24*DX24*VLOOKUP('Données projet'!$B$14,'Paramètres'!$A$1:$I$88,3,0)*0.475*44/12</f>
        <v>#N/A</v>
      </c>
      <c r="EB24" s="162" t="str">
        <f>EXP(-LN(2)/25)*EB23+(1-EXP(-LN(2)/25))/(LN(2)/25)*Calculateur!DW24*Calculateur!DY24*VLOOKUP('Données projet'!$B$14,'Paramètres'!$A$1:$I$88,3,0)*0.475*44/12</f>
        <v>#N/A</v>
      </c>
      <c r="EC24" s="162" t="str">
        <f>EXP(-LN(2)/2)*EC23+(1-EXP(-LN(2)/2))/(LN(2)/2)*DW24*DZ24*VLOOKUP('Données projet'!$B$14,'Paramètres'!$A$1:$I$88,3,0)*0.475*44/12</f>
        <v>#N/A</v>
      </c>
      <c r="ED24" s="163" t="str">
        <f t="shared" si="19"/>
        <v>#N/A</v>
      </c>
      <c r="EE24" s="159">
        <f>('Scénario référence'!$F$8+'Scénario référence'!$F$9+'Scénario référence'!$B$17+'Scénario référence'!$B$9+'Scénario référence'!$B$10)*70+IF((45+25*(1-EXP(-0.0175*A24)))&lt;70,'Scénario référence'!$B$16*(45+25*(1-EXP(-0.0175*A24))),70*'Scénario référence'!$B$16)+IF((32+38*(1-EXP(-0.0175*A24)))&lt;70,'Scénario référence'!$B$18*(32+38*(1-EXP(-0.0175*A24))),70*'Scénario référence'!$B$18)</f>
        <v>70</v>
      </c>
      <c r="EF24" s="151">
        <f>IF(A24&gt;30,10,('Scénario référence'!$B$16+'Scénario référence'!$B$17+'Scénario référence'!$B$18+'Scénario référence'!$B$9+'Scénario référence'!$B$10)*A24*10/30+('Scénario référence'!$F$8+'Scénario référence'!$F$9)*10)</f>
        <v>7</v>
      </c>
      <c r="EG24" s="151" t="str">
        <f>VLOOKUP(A24,'Données projet'!$A$191:$I$211,2,0)</f>
        <v>#N/A</v>
      </c>
      <c r="EH24" s="151" t="str">
        <f>VLOOKUP(A24,'Données projet'!$A$191:$I$211,9,0)</f>
        <v>#N/A</v>
      </c>
      <c r="EI24" s="151" t="str">
        <f t="array" ref="EI24">INDEX(EH:EH,MIN(IF(ISNUMBER(EH24:EH220),ROW(EH24:EH220),"")))</f>
        <v/>
      </c>
      <c r="EJ24" s="151">
        <f>IF('Données projet'!$A$192&gt;35,EJ23+EI24-ER23,IF(A24&lt;'Données projet'!$A$192,$EG$205^A24,IF(A24='Données projet'!$A$192,'Données projet'!$B$192,EJ23+EI24-ER23)))</f>
        <v>0</v>
      </c>
      <c r="EK24" s="158" t="str">
        <f>EJ24*VLOOKUP('Données projet'!$B$15,'Paramètres'!$A$1:$I$88,3,0)*VLOOKUP('Données projet'!$B$15,'Paramètres'!$A$1:$I$88,5,0)</f>
        <v>#N/A</v>
      </c>
      <c r="EL24" s="150" t="str">
        <f t="shared" si="46"/>
        <v>#N/A</v>
      </c>
      <c r="EM24" s="161" t="str">
        <f t="shared" si="20"/>
        <v>#N/A</v>
      </c>
      <c r="EN24" s="153" t="str">
        <f t="shared" si="21"/>
        <v>#N/A</v>
      </c>
      <c r="EO24" s="153" t="str">
        <f>AVERAGE(OFFSET($EN$3,0,0,'Données projet'!$E$15+1,1))-AVERAGE(OFFSET($H$3,0,0,'Données projet'!$E$15+1,1))</f>
        <v>#N/A</v>
      </c>
      <c r="EP24" s="153" t="str">
        <f t="shared" si="47"/>
        <v>#N/A</v>
      </c>
      <c r="EQ24" s="154">
        <f>IF(ISNA(VLOOKUP(A24,'Données projet'!$A$191:$I$211,3,0)),0,VLOOKUP(A24,'Données projet'!$A$191:$I$211,3,0))</f>
        <v>0</v>
      </c>
      <c r="ER24" s="154">
        <f>IF(ISNA(VLOOKUP(A24,'Données projet'!$A$191:$I$211,4,0)),0,VLOOKUP(A24,'Données projet'!$A$191:$I$211,4,0))</f>
        <v>0</v>
      </c>
      <c r="ES24" s="155">
        <f>IF(ISNA(VLOOKUP(A24,'Données projet'!$A$191:$I$211,5,0)),0%,VLOOKUP(A24,'Données projet'!$A$191:$I$211,5,0)*VLOOKUP('Données projet'!$B$15,'Paramètres'!$A$1:$I$88,7,0))</f>
        <v>0</v>
      </c>
      <c r="ET24" s="155">
        <f>IF(ISNA(VLOOKUP(A24,'Données projet'!$A$191:$I$211,6,0)),0%,VLOOKUP(A24,'Données projet'!$A$191:$I$211,6,0)*VLOOKUP('Données projet'!$B$15,'Paramètres'!$A$1:$I$88,7,0))</f>
        <v>0</v>
      </c>
      <c r="EU24" s="155">
        <f>IF(ISNA(VLOOKUP(A24,'Données projet'!$A$191:$I$211,7,0)),0%,VLOOKUP(A24,'Données projet'!$A$191:$I$211,7,0))</f>
        <v>0</v>
      </c>
      <c r="EV24" s="162" t="str">
        <f>EXP(-LN(2)/35)*EV23+(1-EXP(-LN(2)/35))/(LN(2)/35)*ER24*ES24*VLOOKUP('Données projet'!$B$15,'Paramètres'!$A$1:$I$88,3,0)*0.475*44/12</f>
        <v>#N/A</v>
      </c>
      <c r="EW24" s="162" t="str">
        <f>EXP(-LN(2)/25)*EW23+(1-EXP(-LN(2)/25))/(LN(2)/25)*Calculateur!ER24*Calculateur!ET24*VLOOKUP('Données projet'!$B$15,'Paramètres'!$A$1:$I$88,3,0)*0.475*44/12</f>
        <v>#N/A</v>
      </c>
      <c r="EX24" s="162" t="str">
        <f>EXP(-LN(2)/2)*EX23+(1-EXP(-LN(2)/2))/(LN(2)/2)*ER24*EU24*VLOOKUP('Données projet'!$B$15,'Paramètres'!$A$1:$I$88,3,0)*0.475*44/12</f>
        <v>#N/A</v>
      </c>
      <c r="EY24" s="163" t="str">
        <f t="shared" si="22"/>
        <v>#N/A</v>
      </c>
      <c r="EZ24" s="159">
        <f>('Scénario référence'!$F$8+'Scénario référence'!$F$9+'Scénario référence'!$B$17+'Scénario référence'!$B$9+'Scénario référence'!$B$10)*70+IF((45+25*(1-EXP(-0.0175*A24)))&lt;70,'Scénario référence'!$B$16*(45+25*(1-EXP(-0.0175*A24))),70*'Scénario référence'!$B$16)+IF((32+38*(1-EXP(-0.0175*A24)))&lt;70,'Scénario référence'!$B$18*(32+38*(1-EXP(-0.0175*A24))),70*'Scénario référence'!$B$18)</f>
        <v>70</v>
      </c>
      <c r="FA24" s="151">
        <f>IF(A24&gt;30,10,('Scénario référence'!$B$16+'Scénario référence'!$B$17+'Scénario référence'!$B$18+'Scénario référence'!$B$9+'Scénario référence'!$B$10)*A24*10/30+('Scénario référence'!$F$8+'Scénario référence'!$F$9)*10)</f>
        <v>7</v>
      </c>
      <c r="FB24" s="151" t="str">
        <f>VLOOKUP(A24,'Données projet'!$A$217:$I$237,2,0)</f>
        <v>#N/A</v>
      </c>
      <c r="FC24" s="151" t="str">
        <f>VLOOKUP(A24,'Données projet'!$A$217:$I$237,9,0)</f>
        <v>#N/A</v>
      </c>
      <c r="FD24" s="151" t="str">
        <f t="array" ref="FD24">INDEX(FC:FC,MIN(IF(ISNUMBER(FC24:FC220),ROW(FC24:FC220),"")))</f>
        <v/>
      </c>
      <c r="FE24" s="151">
        <f>IF('Données projet'!$A$218&gt;35,FE23+FD24-FM23,IF(A24&lt;'Données projet'!$A$218,$FB$205^A24,IF(A24='Données projet'!$A$218,'Données projet'!$B$218,FE23+FD24-FM23)))</f>
        <v>0</v>
      </c>
      <c r="FF24" s="158" t="str">
        <f>FE24*VLOOKUP('Données projet'!$B$16,'Paramètres'!$A$1:$I$88,3,0)*VLOOKUP('Données projet'!$B$16,'Paramètres'!$A$1:$I$88,5,0)</f>
        <v>#N/A</v>
      </c>
      <c r="FG24" s="150" t="str">
        <f t="shared" si="48"/>
        <v>#N/A</v>
      </c>
      <c r="FH24" s="161" t="str">
        <f t="shared" si="23"/>
        <v>#N/A</v>
      </c>
      <c r="FI24" s="153" t="str">
        <f t="shared" si="24"/>
        <v>#N/A</v>
      </c>
      <c r="FJ24" s="153" t="str">
        <f>AVERAGE(OFFSET($FI$3,0,0,'Données projet'!$E$16+1,1))-AVERAGE(OFFSET($H$3,0,0,'Données projet'!$E$16+1,1))</f>
        <v>#N/A</v>
      </c>
      <c r="FK24" s="153" t="str">
        <f t="shared" si="49"/>
        <v>#N/A</v>
      </c>
      <c r="FL24" s="154">
        <f>IF(ISNA(VLOOKUP(A24,'Données projet'!$A$217:$I$237,3,0)),0,VLOOKUP(A24,'Données projet'!$A$217:$I$237,3,0))</f>
        <v>0</v>
      </c>
      <c r="FM24" s="154">
        <f>IF(ISNA(VLOOKUP(A24,'Données projet'!$A$217:$I$237,4,0)),0,VLOOKUP(A24,'Données projet'!$A$217:$I$237,4,0))</f>
        <v>0</v>
      </c>
      <c r="FN24" s="155">
        <f>IF(ISNA(VLOOKUP(A24,'Données projet'!$A$217:$I$237,5,0)),0%,VLOOKUP(A24,'Données projet'!$A$217:$I$237,5,0)*VLOOKUP('Données projet'!$B$16,'Paramètres'!$A$1:$I$88,7,0))</f>
        <v>0</v>
      </c>
      <c r="FO24" s="155">
        <f>IF(ISNA(VLOOKUP(A24,'Données projet'!$A$217:$I$237,6,0)),0%,VLOOKUP(A24,'Données projet'!$A$217:$I$237,6,0)*VLOOKUP('Données projet'!$B$16,'Paramètres'!$A$1:$I$88,7,0))</f>
        <v>0</v>
      </c>
      <c r="FP24" s="155">
        <f>IF(ISNA(VLOOKUP(A24,'Données projet'!$A$217:$I$237,7,0)),0%,VLOOKUP(A24,'Données projet'!$A$217:$I$237,7,0))</f>
        <v>0</v>
      </c>
      <c r="FQ24" s="162" t="str">
        <f>EXP(-LN(2)/35)*FQ23+(1-EXP(-LN(2)/35))/(LN(2)/35)*FM24*FN24*VLOOKUP('Données projet'!$B$16,'Paramètres'!$A$1:$I$88,3,0)*0.475*44/12</f>
        <v>#N/A</v>
      </c>
      <c r="FR24" s="162" t="str">
        <f>EXP(-LN(2)/25)*FR23+(1-EXP(-LN(2)/25))/(LN(2)/25)*Calculateur!FM24*Calculateur!FO24*VLOOKUP('Données projet'!$B$16,'Paramètres'!$A$1:$I$88,3,0)*0.475*44/12</f>
        <v>#N/A</v>
      </c>
      <c r="FS24" s="162" t="str">
        <f>EXP(-LN(2)/2)*FS23+(1-EXP(-LN(2)/2))/(LN(2)/2)*FM24*FP24*VLOOKUP('Données projet'!$B$16,'Paramètres'!$A$1:$I$88,3,0)*0.475*44/12</f>
        <v>#N/A</v>
      </c>
      <c r="FT24" s="163" t="str">
        <f t="shared" si="25"/>
        <v>#N/A</v>
      </c>
      <c r="FU24" s="159">
        <f>('Scénario référence'!$F$8+'Scénario référence'!$F$9+'Scénario référence'!$B$17+'Scénario référence'!$B$9+'Scénario référence'!$B$10)*70+IF((45+25*(1-EXP(-0.0175*A24)))&lt;70,'Scénario référence'!$B$16*(45+25*(1-EXP(-0.0175*A24))),70*'Scénario référence'!$B$16)+IF((32+38*(1-EXP(-0.0175*A24)))&lt;70,'Scénario référence'!$B$18*(32+38*(1-EXP(-0.0175*A24))),70*'Scénario référence'!$B$18)</f>
        <v>70</v>
      </c>
      <c r="FV24" s="151">
        <f>IF(A24&gt;30,10,('Scénario référence'!$B$16+'Scénario référence'!$B$17+'Scénario référence'!$B$18+'Scénario référence'!$B$9+'Scénario référence'!$B$10)*A24*10/30+('Scénario référence'!$F$8+'Scénario référence'!$F$9)*10)</f>
        <v>7</v>
      </c>
      <c r="FW24" s="151" t="str">
        <f>VLOOKUP(A24,'Données projet'!$A$243:$I$263,2,0)</f>
        <v>#N/A</v>
      </c>
      <c r="FX24" s="151" t="str">
        <f>VLOOKUP(A24,'Données projet'!$A$243:$I$263,9,0)</f>
        <v>#N/A</v>
      </c>
      <c r="FY24" s="151" t="str">
        <f t="array" ref="FY24">INDEX(FX:FX,MIN(IF(ISNUMBER(FX24:FX220),ROW(FX24:FX220),"")))</f>
        <v/>
      </c>
      <c r="FZ24" s="151">
        <f>IF('Données projet'!$A$244&gt;35,FZ23+FY24-GH23,IF(A24&lt;'Données projet'!$A$244,$FW$205^A24,IF(A24='Données projet'!$A$244,'Données projet'!$B$244,FZ23+FY24-GH23)))</f>
        <v>0</v>
      </c>
      <c r="GA24" s="158" t="str">
        <f>FZ24*VLOOKUP('Données projet'!$B$17,'Paramètres'!$A$1:$I$88,3,0)*VLOOKUP('Données projet'!$B$17,'Paramètres'!$A$1:$I$88,5,0)</f>
        <v>#N/A</v>
      </c>
      <c r="GB24" s="150" t="str">
        <f t="shared" si="50"/>
        <v>#N/A</v>
      </c>
      <c r="GC24" s="161" t="str">
        <f t="shared" si="26"/>
        <v>#N/A</v>
      </c>
      <c r="GD24" s="153" t="str">
        <f t="shared" si="27"/>
        <v>#N/A</v>
      </c>
      <c r="GE24" s="153" t="str">
        <f>AVERAGE(OFFSET($GD$3,0,0,'Données projet'!$E$17+1,1))-AVERAGE(OFFSET($H$3,0,0,'Données projet'!$E$17+1,1))</f>
        <v>#N/A</v>
      </c>
      <c r="GF24" s="153" t="str">
        <f t="shared" si="51"/>
        <v>#N/A</v>
      </c>
      <c r="GG24" s="154">
        <f>IF(ISNA(VLOOKUP(A24,'Données projet'!$A$243:$I$263,3,0)),0,VLOOKUP(A24,'Données projet'!$A$243:$I$263,3,0))</f>
        <v>0</v>
      </c>
      <c r="GH24" s="154">
        <f>IF(ISNA(VLOOKUP(A24,'Données projet'!$A$243:$I$263,4,0)),0,VLOOKUP(A24,'Données projet'!$A$243:$I$263,4,0))</f>
        <v>0</v>
      </c>
      <c r="GI24" s="155">
        <f>IF(ISNA(VLOOKUP(A24,'Données projet'!$A$243:$I$263,5,0)),0%,VLOOKUP(A24,'Données projet'!$A$243:$I$263,5,0)*VLOOKUP('Données projet'!$B$17,'Paramètres'!$A$1:$I$88,7,0))</f>
        <v>0</v>
      </c>
      <c r="GJ24" s="155">
        <f>IF(ISNA(VLOOKUP(A24,'Données projet'!$A$243:$I$263,6,0)),0%,VLOOKUP(A24,'Données projet'!$A$243:$I$263,6,0)*VLOOKUP('Données projet'!$B$17,'Paramètres'!$A$1:$I$88,7,0))</f>
        <v>0</v>
      </c>
      <c r="GK24" s="155">
        <f>IF(ISNA(VLOOKUP(A24,'Données projet'!$A$243:$I$263,7,0)),0%,VLOOKUP(A24,'Données projet'!$A$243:$I$263,7,0))</f>
        <v>0</v>
      </c>
      <c r="GL24" s="162" t="str">
        <f>EXP(-LN(2)/35)*GL23+(1-EXP(-LN(2)/35))/(LN(2)/35)*GH24*GI24*VLOOKUP('Données projet'!$B$17,'Paramètres'!$A$1:$I$88,3,0)*0.475*44/12</f>
        <v>#N/A</v>
      </c>
      <c r="GM24" s="162" t="str">
        <f>EXP(-LN(2)/25)*GM23+(1-EXP(-LN(2)/25))/(LN(2)/25)*Calculateur!GH24*Calculateur!GJ24*VLOOKUP('Données projet'!$B$17,'Paramètres'!$A$1:$I$88,3,0)*0.475*44/12</f>
        <v>#N/A</v>
      </c>
      <c r="GN24" s="162" t="str">
        <f>EXP(-LN(2)/2)*GN23+(1-EXP(-LN(2)/2))/(LN(2)/2)*GH24*GK24*VLOOKUP('Données projet'!$B$17,'Paramètres'!$A$1:$I$88,3,0)*0.475*44/12</f>
        <v>#N/A</v>
      </c>
      <c r="GO24" s="162" t="str">
        <f t="shared" si="28"/>
        <v>#N/A</v>
      </c>
      <c r="GP24" s="159">
        <f>('Scénario référence'!$F$8+'Scénario référence'!$F$9+'Scénario référence'!$B$17+'Scénario référence'!$B$9+'Scénario référence'!$B$10)*70+IF((45+25*(1-EXP(-0.0175*A24)))&lt;70,'Scénario référence'!$B$16*(45+25*(1-EXP(-0.0175*A24))),70*'Scénario référence'!$B$16)+IF((32+38*(1-EXP(-0.0175*A24)))&lt;70,'Scénario référence'!$B$18*(32+38*(1-EXP(-0.0175*A24))),70*'Scénario référence'!$B$18)</f>
        <v>70</v>
      </c>
      <c r="GQ24" s="151">
        <f>IF(A24&gt;30,10,('Scénario référence'!$B$16+'Scénario référence'!$B$17+'Scénario référence'!$B$18+'Scénario référence'!$B$9+'Scénario référence'!$B$10)*A24*10/30+('Scénario référence'!$F$8+'Scénario référence'!$F$9)*10)</f>
        <v>7</v>
      </c>
      <c r="GR24" s="151" t="str">
        <f>VLOOKUP(A24,'Données projet'!$A$269:$I$289,2,0)</f>
        <v>#N/A</v>
      </c>
      <c r="GS24" s="151" t="str">
        <f>VLOOKUP(A24,'Données projet'!$A$269:$I$289,9,0)</f>
        <v>#N/A</v>
      </c>
      <c r="GT24" s="151" t="str">
        <f t="array" ref="GT24">INDEX(GS:GS,MIN(IF(ISNUMBER(GS24:GS220),ROW(GS24:GS220),"")))</f>
        <v/>
      </c>
      <c r="GU24" s="151">
        <f>IF('Données projet'!$A$270&gt;35,GU23+GT24-HC23,IF(A24&lt;'Données projet'!$A$270,$GR$205^A24,IF(A24='Données projet'!$A$270,'Données projet'!$B$270,GU23+GT24-HC23)))</f>
        <v>0</v>
      </c>
      <c r="GV24" s="158" t="str">
        <f>GU24*VLOOKUP('Données projet'!$B$18,'Paramètres'!$A$1:$I$88,3,0)*VLOOKUP('Données projet'!$B$18,'Paramètres'!$A$1:$I$88,5,0)</f>
        <v>#N/A</v>
      </c>
      <c r="GW24" s="150" t="str">
        <f t="shared" si="52"/>
        <v>#N/A</v>
      </c>
      <c r="GX24" s="161" t="str">
        <f t="shared" si="29"/>
        <v>#N/A</v>
      </c>
      <c r="GY24" s="153" t="str">
        <f t="shared" si="30"/>
        <v>#N/A</v>
      </c>
      <c r="GZ24" s="153" t="str">
        <f>AVERAGE(OFFSET($GY$3,0,0,'Données projet'!$E$18+1,1))-AVERAGE(OFFSET($H$3,0,0,'Données projet'!$E$18+1,1))</f>
        <v>#N/A</v>
      </c>
      <c r="HA24" s="153" t="str">
        <f t="shared" si="53"/>
        <v>#N/A</v>
      </c>
      <c r="HB24" s="154">
        <f>IF(ISNA(VLOOKUP(A24,'Données projet'!$A$269:$I$289,3,0)),0,VLOOKUP(A24,'Données projet'!$A$269:$I$289,3,0))</f>
        <v>0</v>
      </c>
      <c r="HC24" s="154">
        <f>IF(ISNA(VLOOKUP(A24,'Données projet'!$A$269:$I$289,4,0)),0,VLOOKUP(A24,'Données projet'!$A$269:$I$289,4,0))</f>
        <v>0</v>
      </c>
      <c r="HD24" s="155">
        <f>IF(ISNA(VLOOKUP(A24,'Données projet'!$A$269:$I$289,5,0)),0%,VLOOKUP(A24,'Données projet'!$A$269:$I$289,5,0)*VLOOKUP('Données projet'!$B$18,'Paramètres'!$A$1:$I$88,7,0))</f>
        <v>0</v>
      </c>
      <c r="HE24" s="155">
        <f>IF(ISNA(VLOOKUP(A24,'Données projet'!$A$269:$I$289,6,0)),0%,VLOOKUP(A24,'Données projet'!$A$269:$I$289,6,0)*VLOOKUP('Données projet'!$B$18,'Paramètres'!$A$1:$I$88,7,0))</f>
        <v>0</v>
      </c>
      <c r="HF24" s="155">
        <f>IF(ISNA(VLOOKUP(A24,'Données projet'!$A$269:$I$289,7,0)),0%,VLOOKUP(A24,'Données projet'!$A$269:$I$289,7,0))</f>
        <v>0</v>
      </c>
      <c r="HG24" s="162" t="str">
        <f>EXP(-LN(2)/35)*HG23+(1-EXP(-LN(2)/35))/(LN(2)/35)*HC24*HD24*VLOOKUP('Données projet'!$B$18,'Paramètres'!$A$1:$I$88,3,0)*0.475*44/12</f>
        <v>#N/A</v>
      </c>
      <c r="HH24" s="162" t="str">
        <f>EXP(-LN(2)/25)*HH23+(1-EXP(-LN(2)/25))/(LN(2)/25)*Calculateur!HC24*Calculateur!HE24*VLOOKUP('Données projet'!$B$18,'Paramètres'!$A$1:$I$88,3,0)*0.475*44/12</f>
        <v>#N/A</v>
      </c>
      <c r="HI24" s="162" t="str">
        <f>EXP(-LN(2)/2)*HI23+(1-EXP(-LN(2)/2))/(LN(2)/2)*HC24*HF24*VLOOKUP('Données projet'!$B$18,'Paramètres'!$A$1:$I$88,3,0)*0.475*44/12</f>
        <v>#N/A</v>
      </c>
      <c r="HJ24" s="163" t="str">
        <f t="shared" si="31"/>
        <v>#N/A</v>
      </c>
    </row>
    <row r="25" ht="15.75" customHeight="1">
      <c r="A25" s="145">
        <f t="shared" si="32"/>
        <v>22</v>
      </c>
      <c r="B25" s="146">
        <f>'Scénario référence'!$B$16*5+'Scénario référence'!$B$17*0+'Scénario référence'!$B$18*5</f>
        <v>0</v>
      </c>
      <c r="C25" s="160">
        <f>Calculateur!C24+'Scénario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25" s="147">
        <f t="shared" si="33"/>
        <v>0</v>
      </c>
      <c r="E25" s="147">
        <f>'Scénario référence'!$B$16*45+('Scénario référence'!$B$17+'Scénario référence'!$F$8+'Scénario référence'!$F$9+'Scénario référence'!$B$10+'Scénario référence'!$B$9)*70+'Scénario référence'!$B$18*32</f>
        <v>70</v>
      </c>
      <c r="F25" s="147">
        <f>IF(OR('Scénario référence'!$F$8&gt;0,'Scénario référence'!$F$9&gt;0),('Scénario référence'!$F$8+'Scénario référence'!$F$9)*10,0)</f>
        <v>0</v>
      </c>
      <c r="G25" s="147">
        <f>'Scénario référence'!$B$8*B25*44/12+'Scénario référence'!$B$9*(C25+D25)/0.475*44/12+'Scénario référence'!$B$10*(C25+D25)/0.475*44/12+'Scénario référence'!$F$8*(C25+D25)/0.475*44/12+'Scénario référence'!$F$9*(C25+D25)/0.475*44/12</f>
        <v>0</v>
      </c>
      <c r="H25" s="148">
        <f t="shared" si="1"/>
        <v>256.6666667</v>
      </c>
      <c r="I25" s="149">
        <f>('Scénario référence'!$F$8+'Scénario référence'!$F$9+'Scénario référence'!$B$17+'Scénario référence'!$B$9+'Scénario référence'!$B$10)*70+IF((45+25*(1-EXP(-0.0175*A25)))&lt;70,'Scénario référence'!$B$16*(45+25*(1-EXP(-0.0175*A25))),70*'Scénario référence'!$B$16)+IF((32+38*(1-EXP(-0.0175*A25)))&lt;70,'Scénario référence'!$B$18*(32+38*(1-EXP(-0.0175*A25))),70*'Scénario référence'!$B$18)</f>
        <v>70</v>
      </c>
      <c r="J25" s="150">
        <f>IF(A25&gt;30,10,('Scénario référence'!$B$16+'Scénario référence'!$B$17+'Scénario référence'!$B$18+'Scénario référence'!$B$9+'Scénario référence'!$B$10)*A25*10/30+('Scénario référence'!$F$8+'Scénario référence'!$F$9)*10)</f>
        <v>7.333333333</v>
      </c>
      <c r="K25" s="151" t="str">
        <f>VLOOKUP(A25,'Données projet'!$A$35:$I$55,2,0)</f>
        <v>#N/A</v>
      </c>
      <c r="L25" s="151" t="str">
        <f>VLOOKUP(A25,'Données projet'!$A$35:$I$55,9,0)</f>
        <v>#N/A</v>
      </c>
      <c r="M25" s="150">
        <f t="array" ref="M25">INDEX(L:L,MIN(IF(ISNUMBER(L25:L221),ROW(L25:L221),"")))</f>
        <v>7.2</v>
      </c>
      <c r="N25" s="150">
        <f>IF('Données projet'!$A$36&gt;35,N24+M25-V24,IF(A25&lt;'Données projet'!$A$36,$K$205^A25,IF(A25='Données projet'!$A$36,'Données projet'!$B$36,N24+M25-V24)))</f>
        <v>81.4</v>
      </c>
      <c r="O25" s="150">
        <f>N25*VLOOKUP('Données projet'!$B$9,'Paramètres'!$A$1:$I$88,3,0)*VLOOKUP('Données projet'!$B$9,'Paramètres'!$A$1:$I$88,5,0)</f>
        <v>73.65072</v>
      </c>
      <c r="P25" s="150">
        <f t="shared" si="34"/>
        <v>20.57736017</v>
      </c>
      <c r="Q25" s="161">
        <f t="shared" si="2"/>
        <v>164.1139063</v>
      </c>
      <c r="R25" s="153">
        <f t="shared" si="3"/>
        <v>447.6694619</v>
      </c>
      <c r="S25" s="153">
        <f>AVERAGE(OFFSET($R$3,0,0,'Données projet'!$E$9+1,1))-AVERAGE(OFFSET($H$3,0,0,'Données projet'!$E$9+1,1))</f>
        <v>439.1985427</v>
      </c>
      <c r="T25" s="153">
        <f t="shared" si="35"/>
        <v>278.2174123</v>
      </c>
      <c r="U25" s="154">
        <f>IF(ISNA(VLOOKUP(A25,'Données projet'!$A$35:$I$55,3,0)),0,VLOOKUP(A25,'Données projet'!$A$35:$I$55,3,0))</f>
        <v>0</v>
      </c>
      <c r="V25" s="154">
        <f>IF(ISNA(VLOOKUP(A25,'Données projet'!$A$35:$I$55,4,0)),0,VLOOKUP(A25,'Données projet'!$A$35:$I$55,4,0))</f>
        <v>0</v>
      </c>
      <c r="W25" s="155">
        <f>IF(ISNA(VLOOKUP(A25,'Données projet'!$A$35:$I$55,5,0)),0%,VLOOKUP(A25,'Données projet'!$A$35:$I$55,5,0)*VLOOKUP('Données projet'!$B$9,'Paramètres'!$A$1:$I$88,7,0))</f>
        <v>0</v>
      </c>
      <c r="X25" s="155">
        <f>IF(ISNA(VLOOKUP(A25,'Données projet'!$A$35:$I$55,6,0)),0%,VLOOKUP(A25,'Données projet'!$A$35:$I$55,6,0)*VLOOKUP('Données projet'!$B$9,'Paramètres'!$A$1:$I$88,7,0))</f>
        <v>0</v>
      </c>
      <c r="Y25" s="155">
        <f>IF(ISNA(VLOOKUP(A25,'Données projet'!$A$35:$I$55,7,0)),0%,VLOOKUP(A25,'Données projet'!$A$35:$I$55,7,0))</f>
        <v>0</v>
      </c>
      <c r="Z25" s="162">
        <f>EXP(-LN(2)/35)*Z24+(1-EXP(-LN(2)/35))/(LN(2)/35)*V25*W25*VLOOKUP('Données projet'!$B$9,'Paramètres'!$A$1:$I$88,3,0)*0.475*44/12</f>
        <v>0</v>
      </c>
      <c r="AA25" s="162">
        <f>EXP(-LN(2)/25)*AA24+(1-EXP(-LN(2)/25))/(LN(2)/25)*Calculateur!V25*Calculateur!X25*VLOOKUP('Données projet'!$B$9,'Paramètres'!$A$1:$I$88,3,0)*0.475*44/12</f>
        <v>0</v>
      </c>
      <c r="AB25" s="162">
        <f>EXP(-LN(2)/2)*AB24+(1-EXP(-LN(2)/2))/(LN(2)/2)*V25*Y25*VLOOKUP('Données projet'!$B$9,'Paramètres'!$A$1:$I$88,3,0)*0.475*44/12</f>
        <v>0</v>
      </c>
      <c r="AC25" s="163">
        <f t="shared" si="4"/>
        <v>0</v>
      </c>
      <c r="AD25" s="150">
        <f>('Scénario référence'!$F$8+'Scénario référence'!$F$9+'Scénario référence'!$B$17+'Scénario référence'!$B$9+'Scénario référence'!$B$10)*70+IF((45+25*(1-EXP(-0.0175*A25)))&lt;70,'Scénario référence'!$B$16*(45+25*(1-EXP(-0.0175*A25))),70*'Scénario référence'!$B$16)+IF((32+38*(1-EXP(-0.0175*A25)))&lt;70,'Scénario référence'!$B$18*(32+38*(1-EXP(-0.0175*A25))),70*'Scénario référence'!$B$18)</f>
        <v>70</v>
      </c>
      <c r="AE25" s="150">
        <f>IF(A25&gt;30,10,('Scénario référence'!$B$16+'Scénario référence'!$B$17+'Scénario référence'!$B$18+'Scénario référence'!$B$9+'Scénario référence'!$B$10)*A25*10/30+('Scénario référence'!$F$8+'Scénario référence'!$F$9)*10)</f>
        <v>7.333333333</v>
      </c>
      <c r="AF25" s="151" t="str">
        <f>VLOOKUP(A25,'Données projet'!$A$61:$I$81,2,0)</f>
        <v>#N/A</v>
      </c>
      <c r="AG25" s="151" t="str">
        <f>VLOOKUP(A25,'Données projet'!$A$61:$I$81,9,0)</f>
        <v>#N/A</v>
      </c>
      <c r="AH25" s="150">
        <f t="array" ref="AH25">INDEX(AG:AG,MIN(IF(ISNUMBER(AG25:AG221),ROW(AG25:AG221),"")))</f>
        <v>17.2</v>
      </c>
      <c r="AI25" s="150">
        <f>IF('Données projet'!$A$62&gt;35,AI24+AH25-AQ24,IF(A25&lt;'Données projet'!$A$62,$AF$205^A25,IF(A25='Données projet'!$A$62,'Données projet'!$B$62,AI24+AH25-AQ24)))</f>
        <v>115.4</v>
      </c>
      <c r="AJ25" s="150">
        <f>AI25*VLOOKUP('Données projet'!$B$10,'Paramètres'!$A$1:$I$88,3,0)*VLOOKUP('Données projet'!$B$10,'Paramètres'!$A$1:$I$88,5,0)</f>
        <v>91.81224</v>
      </c>
      <c r="AK25" s="150">
        <f t="shared" si="36"/>
        <v>25.00178523</v>
      </c>
      <c r="AL25" s="161">
        <f t="shared" si="5"/>
        <v>203.4510939</v>
      </c>
      <c r="AM25" s="153">
        <f t="shared" si="6"/>
        <v>487.0066495</v>
      </c>
      <c r="AN25" s="153">
        <f>AVERAGE(OFFSET($AM$3,0,0,'Données projet'!$E$10+1,1))-AVERAGE(OFFSET($H$3,0,0,'Données projet'!$E$10+1,1))</f>
        <v>405.6113614</v>
      </c>
      <c r="AO25" s="153">
        <f t="shared" si="37"/>
        <v>393.0787141</v>
      </c>
      <c r="AP25" s="154">
        <f>IF(ISNA(VLOOKUP(A25,'Données projet'!$A$61:$I$81,3,0)),0,VLOOKUP(A25,'Données projet'!$A$61:$I$81,3,0))</f>
        <v>0</v>
      </c>
      <c r="AQ25" s="154">
        <f>IF(ISNA(VLOOKUP(A25,'Données projet'!$A$61:$I$81,4,0)),0,VLOOKUP(A25,'Données projet'!$A$61:$I$81,4,0))</f>
        <v>0</v>
      </c>
      <c r="AR25" s="155">
        <f>IF(ISNA(VLOOKUP(A25,'Données projet'!$A$61:$I$81,5,0)),0%,VLOOKUP(A25,'Données projet'!$A$61:$I$81,5,0)*VLOOKUP('Données projet'!$B$10,'Paramètres'!$A$1:$I$88,7,0))</f>
        <v>0</v>
      </c>
      <c r="AS25" s="155">
        <f>IF(ISNA(VLOOKUP(A25,'Données projet'!$A$61:$I$81,6,0)),0%,VLOOKUP(A25,'Données projet'!$A$61:$I$81,6,0)*VLOOKUP('Données projet'!$B$10,'Paramètres'!$A$1:$I$88,7,0))</f>
        <v>0</v>
      </c>
      <c r="AT25" s="155">
        <f>IF(ISNA(VLOOKUP(A25,'Données projet'!$A$61:$I$81,7,0)),0%,VLOOKUP(A25,'Données projet'!$A$61:$I$81,7,0))</f>
        <v>0</v>
      </c>
      <c r="AU25" s="162">
        <f>EXP(-LN(2)/35)*AU24+(1-EXP(-LN(2)/35))/(LN(2)/35)*AQ25*AR25*VLOOKUP('Données projet'!$B$10,'Paramètres'!$A$1:$I$88,3,0)*0.475*44/12</f>
        <v>0</v>
      </c>
      <c r="AV25" s="162">
        <f>EXP(-LN(2)/25)*AV24+(1-EXP(-LN(2)/25))/(LN(2)/25)*Calculateur!AQ25*Calculateur!AS25*VLOOKUP('Données projet'!$B$10,'Paramètres'!$A$1:$I$88,3,0)*0.475*44/12</f>
        <v>0</v>
      </c>
      <c r="AW25" s="162">
        <f>EXP(-LN(2)/2)*AW24+(1-EXP(-LN(2)/2))/(LN(2)/2)*AQ25*AT25*VLOOKUP('Données projet'!$B$10,'Paramètres'!$A$1:$I$88,3,0)*0.475*44/12</f>
        <v>9.275395263</v>
      </c>
      <c r="AX25" s="162">
        <f t="shared" si="7"/>
        <v>9.275395263</v>
      </c>
      <c r="AY25" s="157">
        <f>('Scénario référence'!$F$8+'Scénario référence'!$F$9+'Scénario référence'!$B$17+'Scénario référence'!$B$9+'Scénario référence'!$B$10)*70+IF((45+25*(1-EXP(-0.0175*A25)))&lt;70,'Scénario référence'!$B$16*(45+25*(1-EXP(-0.0175*A25))),70*'Scénario référence'!$B$16)+IF((32+38*(1-EXP(-0.0175*A25)))&lt;70,'Scénario référence'!$B$18*(32+38*(1-EXP(-0.0175*A25))),70*'Scénario référence'!$B$18)</f>
        <v>70</v>
      </c>
      <c r="AZ25" s="151">
        <f>IF(A25&gt;30,10,('Scénario référence'!$B$16+'Scénario référence'!$B$17+'Scénario référence'!$B$18+'Scénario référence'!$B$9+'Scénario référence'!$B$10)*A25*10/30+('Scénario référence'!$F$8+'Scénario référence'!$F$9)*10)</f>
        <v>7.333333333</v>
      </c>
      <c r="BA25" s="151" t="str">
        <f>VLOOKUP(A25,'Données projet'!$A$87:$I$107,2,0)</f>
        <v>#N/A</v>
      </c>
      <c r="BB25" s="151" t="str">
        <f>VLOOKUP(A25,'Données projet'!$A$87:$I$107,9,0)</f>
        <v>#N/A</v>
      </c>
      <c r="BC25" s="150" t="str">
        <f t="array" ref="BC25">INDEX(BB:BB,MIN(IF(ISNUMBER(BB25:BB221),ROW(BB25:BB221),"")))</f>
        <v/>
      </c>
      <c r="BD25" s="150">
        <f>IF('Données projet'!$A$88&gt;35,BD24+BC25-BL24,IF(A25&lt;'Données projet'!$A$88,$BA$205^A25,IF(A25='Données projet'!$A$88,'Données projet'!$B$88,BD24+BC25-BL24)))</f>
        <v>0</v>
      </c>
      <c r="BE25" s="150">
        <f>BD25*VLOOKUP('Données projet'!$B$11,'Paramètres'!$A$1:$I$88,3,0)*VLOOKUP('Données projet'!$B$11,'Paramètres'!$A$1:$I$88,5,0)</f>
        <v>0</v>
      </c>
      <c r="BF25" s="150" t="str">
        <f t="shared" si="38"/>
        <v>#NUM!</v>
      </c>
      <c r="BG25" s="161" t="str">
        <f t="shared" si="8"/>
        <v>#NUM!</v>
      </c>
      <c r="BH25" s="153" t="str">
        <f t="shared" si="9"/>
        <v>#NUM!</v>
      </c>
      <c r="BI25" s="153">
        <f>AVERAGE(OFFSET($BH$3,0,0,'Données projet'!$E$11+1,1))-AVERAGE(OFFSET($H$3,0,0,'Données projet'!$E$11+1,1))</f>
        <v>0</v>
      </c>
      <c r="BJ25" s="153">
        <f t="shared" si="39"/>
        <v>0</v>
      </c>
      <c r="BK25" s="154">
        <f>IF(ISNA(VLOOKUP(A25,'Données projet'!$A$87:$I$107,3,0)),0,VLOOKUP(A25,'Données projet'!$A$87:$I$107,3,0))</f>
        <v>0</v>
      </c>
      <c r="BL25" s="154">
        <f>IF(ISNA(VLOOKUP(A25,'Données projet'!$A$87:$I$107,4,0)),0,VLOOKUP(A25,'Données projet'!$A$87:$I$107,4,0))</f>
        <v>0</v>
      </c>
      <c r="BM25" s="155">
        <f>IF(ISNA(VLOOKUP(A25,'Données projet'!$A$87:$I$107,5,0)),0%,VLOOKUP(A25,'Données projet'!$A$87:$I$107,5,0)*VLOOKUP('Données projet'!$B$11,'Paramètres'!$A$1:$I$88,7,0))</f>
        <v>0</v>
      </c>
      <c r="BN25" s="155">
        <f>IF(ISNA(VLOOKUP(A25,'Données projet'!$A$87:$I$107,6,0)),0%,VLOOKUP(A25,'Données projet'!$A$87:$I$107,6,0)*VLOOKUP('Données projet'!$B$11,'Paramètres'!$A$1:$I$88,7,0))</f>
        <v>0</v>
      </c>
      <c r="BO25" s="155">
        <f>IF(ISNA(VLOOKUP(A25,'Données projet'!$A$87:$I$107,7,0)),0%,VLOOKUP(A25,'Données projet'!$A$87:$I$107,7,0))</f>
        <v>0</v>
      </c>
      <c r="BP25" s="162">
        <f>EXP(-LN(2)/35)*BP24+(1-EXP(-LN(2)/35))/(LN(2)/35)*BL25*BM25*VLOOKUP('Données projet'!$B$11,'Paramètres'!$A$1:$I$88,3,0)*0.475*44/12</f>
        <v>0</v>
      </c>
      <c r="BQ25" s="162">
        <f>EXP(-LN(2)/25)*BQ24+(1-EXP(-LN(2)/25))/(LN(2)/25)*Calculateur!BL25*Calculateur!BN25*VLOOKUP('Données projet'!$B$11,'Paramètres'!$A$1:$I$88,3,0)*0.475*44/12</f>
        <v>0</v>
      </c>
      <c r="BR25" s="162">
        <f>EXP(-LN(2)/2)*BR24+(1-EXP(-LN(2)/2))/(LN(2)/2)*BL25*BO25*VLOOKUP('Données projet'!$B$11,'Paramètres'!$A$1:$I$88,3,0)*0.475*44/12</f>
        <v>0</v>
      </c>
      <c r="BS25" s="163">
        <f t="shared" si="10"/>
        <v>0</v>
      </c>
      <c r="BT25" s="159">
        <f>('Scénario référence'!$F$8+'Scénario référence'!$F$9+'Scénario référence'!$B$17+'Scénario référence'!$B$9+'Scénario référence'!$B$10)*70+IF((45+25*(1-EXP(-0.0175*A25)))&lt;70,'Scénario référence'!$B$16*(45+25*(1-EXP(-0.0175*A25))),70*'Scénario référence'!$B$16)+IF((32+38*(1-EXP(-0.0175*A25)))&lt;70,'Scénario référence'!$B$18*(32+38*(1-EXP(-0.0175*A25))),70*'Scénario référence'!$B$18)</f>
        <v>70</v>
      </c>
      <c r="BU25" s="151">
        <f>IF(A25&gt;30,10,('Scénario référence'!$B$16+'Scénario référence'!$B$17+'Scénario référence'!$B$18+'Scénario référence'!$B$9+'Scénario référence'!$B$10)*A25*10/30+('Scénario référence'!$F$8+'Scénario référence'!$F$9)*10)</f>
        <v>7.333333333</v>
      </c>
      <c r="BV25" s="151" t="str">
        <f>VLOOKUP(A25,'Données projet'!$A$113:$I$133,2,0)</f>
        <v>#N/A</v>
      </c>
      <c r="BW25" s="151" t="str">
        <f>VLOOKUP(A25,'Données projet'!$A$113:$I$133,9,0)</f>
        <v>#N/A</v>
      </c>
      <c r="BX25" s="150" t="str">
        <f t="array" ref="BX25">INDEX(BW:BW,MIN(IF(ISNUMBER(BW25:BW221),ROW(BW25:BW221),"")))</f>
        <v/>
      </c>
      <c r="BY25" s="150">
        <f>IF('Données projet'!$A$114&gt;35,BY24+BX25-CG24,IF(A25&lt;'Données projet'!$A$114,$BV$205^A25,IF(A25='Données projet'!$A$114,'Données projet'!$B$114,BY24+BX25-CG24)))</f>
        <v>0</v>
      </c>
      <c r="BZ25" s="150" t="str">
        <f>BY25*VLOOKUP('Données projet'!$B$12,'Paramètres'!$A$1:$I$88,3,0)*VLOOKUP('Données projet'!$B$12,'Paramètres'!$A$1:$I$88,5,0)</f>
        <v>#N/A</v>
      </c>
      <c r="CA25" s="150" t="str">
        <f t="shared" si="40"/>
        <v>#N/A</v>
      </c>
      <c r="CB25" s="161" t="str">
        <f t="shared" si="11"/>
        <v>#N/A</v>
      </c>
      <c r="CC25" s="153" t="str">
        <f t="shared" si="12"/>
        <v>#N/A</v>
      </c>
      <c r="CD25" s="153" t="str">
        <f>AVERAGE(OFFSET($CC$3,0,0,'Données projet'!$E$12+1,1))-AVERAGE(OFFSET($H$3,0,0,'Données projet'!$E$12+1,1))</f>
        <v>#N/A</v>
      </c>
      <c r="CE25" s="153" t="str">
        <f t="shared" si="41"/>
        <v>#N/A</v>
      </c>
      <c r="CF25" s="154">
        <f>IF(ISNA(VLOOKUP(A25,'Données projet'!$A$113:$I$133,3,0)),0,VLOOKUP(A25,'Données projet'!$A$113:$I$133,3,0))</f>
        <v>0</v>
      </c>
      <c r="CG25" s="154">
        <f>IF(ISNA(VLOOKUP(A25,'Données projet'!$A$113:$I$133,4,0)),0,VLOOKUP(A25,'Données projet'!$A$113:$I$133,4,0))</f>
        <v>0</v>
      </c>
      <c r="CH25" s="155">
        <f>IF(ISNA(VLOOKUP(A25,'Données projet'!$A$113:$I$133,5,0)),0%,VLOOKUP(A25,'Données projet'!$A$113:$I$133,5,0)*VLOOKUP('Données projet'!$B$12,'Paramètres'!$A$1:$I$88,7,0))</f>
        <v>0</v>
      </c>
      <c r="CI25" s="155">
        <f>IF(ISNA(VLOOKUP(A25,'Données projet'!$A$113:$I$133,6,0)),0%,VLOOKUP(A25,'Données projet'!$A$113:$I$133,6,0)*VLOOKUP('Données projet'!$B$12,'Paramètres'!$A$1:$I$88,7,0))</f>
        <v>0</v>
      </c>
      <c r="CJ25" s="155">
        <f>IF(ISNA(VLOOKUP(A25,'Données projet'!$A$113:$I$133,7,0)),0%,VLOOKUP(A25,'Données projet'!$A$113:$I$133,7,0))</f>
        <v>0</v>
      </c>
      <c r="CK25" s="162" t="str">
        <f>EXP(-LN(2)/35)*CK24+(1-EXP(-LN(2)/35))/(LN(2)/35)*CG25*CH25*VLOOKUP('Données projet'!$B$12,'Paramètres'!$A$1:$I$88,3,0)*0.475*44/12</f>
        <v>#N/A</v>
      </c>
      <c r="CL25" s="162" t="str">
        <f>EXP(-LN(2)/25)*CL24+(1-EXP(-LN(2)/25))/(LN(2)/25)*Calculateur!CG25*Calculateur!CI25*VLOOKUP('Données projet'!$B$12,'Paramètres'!$A$1:$I$88,3,0)*0.475*44/12</f>
        <v>#N/A</v>
      </c>
      <c r="CM25" s="162" t="str">
        <f>EXP(-LN(2)/2)*CM24+(1-EXP(-LN(2)/2))/(LN(2)/2)*CG25*CJ25*VLOOKUP('Données projet'!$B$12,'Paramètres'!$A$1:$I$88,3,0)*0.475*44/12</f>
        <v>#N/A</v>
      </c>
      <c r="CN25" s="163" t="str">
        <f t="shared" si="13"/>
        <v>#N/A</v>
      </c>
      <c r="CO25" s="159">
        <f>('Scénario référence'!$F$8+'Scénario référence'!$F$9+'Scénario référence'!$B$17+'Scénario référence'!$B$9+'Scénario référence'!$B$10)*70+IF((45+25*(1-EXP(-0.0175*A25)))&lt;70,'Scénario référence'!$B$16*(45+25*(1-EXP(-0.0175*A25))),70*'Scénario référence'!$B$16)+IF((32+38*(1-EXP(-0.0175*A25)))&lt;70,'Scénario référence'!$B$18*(32+38*(1-EXP(-0.0175*A25))),70*'Scénario référence'!$B$18)</f>
        <v>70</v>
      </c>
      <c r="CP25" s="151">
        <f>IF(A25&gt;30,10,('Scénario référence'!$B$16+'Scénario référence'!$B$17+'Scénario référence'!$B$18+'Scénario référence'!$B$9+'Scénario référence'!$B$10)*A25*10/30+('Scénario référence'!$F$8+'Scénario référence'!$F$9)*10)</f>
        <v>7.333333333</v>
      </c>
      <c r="CQ25" s="151" t="str">
        <f>VLOOKUP(A25,'Données projet'!$A$139:$I$159,2,0)</f>
        <v>#N/A</v>
      </c>
      <c r="CR25" s="151" t="str">
        <f>VLOOKUP(A25,'Données projet'!$A$139:$I$159,9,0)</f>
        <v>#N/A</v>
      </c>
      <c r="CS25" s="151" t="str">
        <f t="array" ref="CS25">INDEX(CR:CR,MIN(IF(ISNUMBER(CR25:CR221),ROW(CR25:CR221),"")))</f>
        <v/>
      </c>
      <c r="CT25" s="151">
        <f>IF('Données projet'!$A$140&gt;35,CT24+CS25-DB24,IF(A25&lt;'Données projet'!$A$140,$CQ$205^A25,IF(A25='Données projet'!$A$140,'Données projet'!$B$140,CT24+CS25-DB24)))</f>
        <v>0</v>
      </c>
      <c r="CU25" s="158" t="str">
        <f>CT25*VLOOKUP('Données projet'!$B$13,'Paramètres'!$A$1:$I$88,3,0)*VLOOKUP('Données projet'!$B$13,'Paramètres'!$A$1:$I$88,5,0)</f>
        <v>#N/A</v>
      </c>
      <c r="CV25" s="150" t="str">
        <f t="shared" si="42"/>
        <v>#N/A</v>
      </c>
      <c r="CW25" s="161" t="str">
        <f t="shared" si="14"/>
        <v>#N/A</v>
      </c>
      <c r="CX25" s="153" t="str">
        <f t="shared" si="15"/>
        <v>#N/A</v>
      </c>
      <c r="CY25" s="153" t="str">
        <f>AVERAGE(OFFSET($CX$3,0,0,'Données projet'!$E$13+1,1))-AVERAGE(OFFSET($H$3,0,0,'Données projet'!$E$13+1,1))</f>
        <v>#N/A</v>
      </c>
      <c r="CZ25" s="153" t="str">
        <f t="shared" si="43"/>
        <v>#N/A</v>
      </c>
      <c r="DA25" s="154">
        <f>IF(ISNA(VLOOKUP(A25,'Données projet'!$A$139:$I$159,3,0)),0,VLOOKUP(A25,'Données projet'!$A$139:$I$159,3,0))</f>
        <v>0</v>
      </c>
      <c r="DB25" s="154">
        <f>IF(ISNA(VLOOKUP(A25,'Données projet'!$A$139:$I$159,4,0)),0,VLOOKUP(A25,'Données projet'!$A$139:$I$159,4,0))</f>
        <v>0</v>
      </c>
      <c r="DC25" s="155">
        <f>IF(ISNA(VLOOKUP(A25,'Données projet'!$A$139:$I$159,5,0)),0%,VLOOKUP(A25,'Données projet'!$A$139:$I$159,5,0)*VLOOKUP('Données projet'!$B$13,'Paramètres'!$A$1:$I$88,7,0))</f>
        <v>0</v>
      </c>
      <c r="DD25" s="155">
        <f>IF(ISNA(VLOOKUP(A25,'Données projet'!$A$139:$I$159,6,0)),0%,VLOOKUP(A25,'Données projet'!$A$139:$I$159,6,0)*VLOOKUP('Données projet'!$B$13,'Paramètres'!$A$1:$I$88,7,0))</f>
        <v>0</v>
      </c>
      <c r="DE25" s="155">
        <f>IF(ISNA(VLOOKUP(A25,'Données projet'!$A$139:$I$159,7,0)),0%,VLOOKUP(A25,'Données projet'!$A$139:$I$159,7,0))</f>
        <v>0</v>
      </c>
      <c r="DF25" s="162" t="str">
        <f>EXP(-LN(2)/35)*DF24+(1-EXP(-LN(2)/35))/(LN(2)/35)*DB25*DC25*VLOOKUP('Données projet'!$B$13,'Paramètres'!$A$1:$I$88,3,0)*0.475*44/12</f>
        <v>#N/A</v>
      </c>
      <c r="DG25" s="162" t="str">
        <f>EXP(-LN(2)/25)*DG24+(1-EXP(-LN(2)/25))/(LN(2)/25)*Calculateur!DB25*Calculateur!DD25*VLOOKUP('Données projet'!$B$13,'Paramètres'!$A$1:$I$88,3,0)*0.475*44/12</f>
        <v>#N/A</v>
      </c>
      <c r="DH25" s="162" t="str">
        <f>EXP(-LN(2)/2)*DH24+(1-EXP(-LN(2)/2))/(LN(2)/2)*DB25*DE25*VLOOKUP('Données projet'!$B$13,'Paramètres'!$A$1:$I$88,3,0)*0.475*44/12</f>
        <v>#N/A</v>
      </c>
      <c r="DI25" s="163" t="str">
        <f t="shared" si="16"/>
        <v>#N/A</v>
      </c>
      <c r="DJ25" s="159">
        <f>('Scénario référence'!$F$8+'Scénario référence'!$F$9+'Scénario référence'!$B$17+'Scénario référence'!$B$9+'Scénario référence'!$B$10)*70+IF((45+25*(1-EXP(-0.0175*A25)))&lt;70,'Scénario référence'!$B$16*(45+25*(1-EXP(-0.0175*A25))),70*'Scénario référence'!$B$16)+IF((32+38*(1-EXP(-0.0175*A25)))&lt;70,'Scénario référence'!$B$18*(32+38*(1-EXP(-0.0175*A25))),70*'Scénario référence'!$B$18)</f>
        <v>70</v>
      </c>
      <c r="DK25" s="151">
        <f>IF(A25&gt;30,10,('Scénario référence'!$B$16+'Scénario référence'!$B$17+'Scénario référence'!$B$18+'Scénario référence'!$B$9+'Scénario référence'!$B$10)*A25*10/30+('Scénario référence'!$F$8+'Scénario référence'!$F$9)*10)</f>
        <v>7.333333333</v>
      </c>
      <c r="DL25" s="151" t="str">
        <f>VLOOKUP(A25,'Données projet'!$A$165:$I$185,2,0)</f>
        <v>#N/A</v>
      </c>
      <c r="DM25" s="151" t="str">
        <f>VLOOKUP(A25,'Données projet'!$A$165:$I$185,9,0)</f>
        <v>#N/A</v>
      </c>
      <c r="DN25" s="151" t="str">
        <f t="array" ref="DN25">INDEX(DM:DM,MIN(IF(ISNUMBER(DM25:DM221),ROW(DM25:DM221),"")))</f>
        <v/>
      </c>
      <c r="DO25" s="151">
        <f>IF('Données projet'!$A$166&gt;35,DO24+DN25-DW24,IF(A25&lt;'Données projet'!$A$166,$DL$205^A25,IF(A25='Données projet'!$A$166,'Données projet'!$B$166,DO24+DN25-DW24)))</f>
        <v>0</v>
      </c>
      <c r="DP25" s="158" t="str">
        <f>DO25*VLOOKUP('Données projet'!$B$14,'Paramètres'!$A$1:$I$88,3,0)*VLOOKUP('Données projet'!$B$14,'Paramètres'!$A$1:$I$88,5,0)</f>
        <v>#N/A</v>
      </c>
      <c r="DQ25" s="150" t="str">
        <f t="shared" si="44"/>
        <v>#N/A</v>
      </c>
      <c r="DR25" s="161" t="str">
        <f t="shared" si="17"/>
        <v>#N/A</v>
      </c>
      <c r="DS25" s="153" t="str">
        <f t="shared" si="18"/>
        <v>#N/A</v>
      </c>
      <c r="DT25" s="153" t="str">
        <f>AVERAGE(OFFSET($DS$3,0,0,'Données projet'!$E$14+1,1))-AVERAGE(OFFSET($H$3,0,0,'Données projet'!$E$14+1,1))</f>
        <v>#N/A</v>
      </c>
      <c r="DU25" s="153" t="str">
        <f t="shared" si="45"/>
        <v>#N/A</v>
      </c>
      <c r="DV25" s="154">
        <f>IF(ISNA(VLOOKUP(A25,'Données projet'!$A$165:$I$185,3,0)),0,VLOOKUP(A25,'Données projet'!$A$165:$I$185,3,0))</f>
        <v>0</v>
      </c>
      <c r="DW25" s="154">
        <f>IF(ISNA(VLOOKUP(A25,'Données projet'!$A$165:$I$185,4,0)),0,VLOOKUP(A25,'Données projet'!$A$165:$I$185,4,0))</f>
        <v>0</v>
      </c>
      <c r="DX25" s="155">
        <f>IF(ISNA(VLOOKUP(A25,'Données projet'!$A$165:$I$185,5,0)),0%,VLOOKUP(A25,'Données projet'!$A$165:$I$185,5,0)*VLOOKUP('Données projet'!$B$14,'Paramètres'!$A$1:$I$88,7,0))</f>
        <v>0</v>
      </c>
      <c r="DY25" s="155">
        <f>IF(ISNA(VLOOKUP(A25,'Données projet'!$A$165:$I$185,6,0)),0%,VLOOKUP(A25,'Données projet'!$A$165:$I$185,6,0)*VLOOKUP('Données projet'!$B$14,'Paramètres'!$A$1:$I$88,7,0))</f>
        <v>0</v>
      </c>
      <c r="DZ25" s="155">
        <f>IF(ISNA(VLOOKUP(A25,'Données projet'!$A$165:$I$185,7,0)),0%,VLOOKUP(A25,'Données projet'!$A$165:$I$185,7,0))</f>
        <v>0</v>
      </c>
      <c r="EA25" s="162" t="str">
        <f>EXP(-LN(2)/35)*EA24+(1-EXP(-LN(2)/35))/(LN(2)/35)*DW25*DX25*VLOOKUP('Données projet'!$B$14,'Paramètres'!$A$1:$I$88,3,0)*0.475*44/12</f>
        <v>#N/A</v>
      </c>
      <c r="EB25" s="162" t="str">
        <f>EXP(-LN(2)/25)*EB24+(1-EXP(-LN(2)/25))/(LN(2)/25)*Calculateur!DW25*Calculateur!DY25*VLOOKUP('Données projet'!$B$14,'Paramètres'!$A$1:$I$88,3,0)*0.475*44/12</f>
        <v>#N/A</v>
      </c>
      <c r="EC25" s="162" t="str">
        <f>EXP(-LN(2)/2)*EC24+(1-EXP(-LN(2)/2))/(LN(2)/2)*DW25*DZ25*VLOOKUP('Données projet'!$B$14,'Paramètres'!$A$1:$I$88,3,0)*0.475*44/12</f>
        <v>#N/A</v>
      </c>
      <c r="ED25" s="163" t="str">
        <f t="shared" si="19"/>
        <v>#N/A</v>
      </c>
      <c r="EE25" s="159">
        <f>('Scénario référence'!$F$8+'Scénario référence'!$F$9+'Scénario référence'!$B$17+'Scénario référence'!$B$9+'Scénario référence'!$B$10)*70+IF((45+25*(1-EXP(-0.0175*A25)))&lt;70,'Scénario référence'!$B$16*(45+25*(1-EXP(-0.0175*A25))),70*'Scénario référence'!$B$16)+IF((32+38*(1-EXP(-0.0175*A25)))&lt;70,'Scénario référence'!$B$18*(32+38*(1-EXP(-0.0175*A25))),70*'Scénario référence'!$B$18)</f>
        <v>70</v>
      </c>
      <c r="EF25" s="151">
        <f>IF(A25&gt;30,10,('Scénario référence'!$B$16+'Scénario référence'!$B$17+'Scénario référence'!$B$18+'Scénario référence'!$B$9+'Scénario référence'!$B$10)*A25*10/30+('Scénario référence'!$F$8+'Scénario référence'!$F$9)*10)</f>
        <v>7.333333333</v>
      </c>
      <c r="EG25" s="151" t="str">
        <f>VLOOKUP(A25,'Données projet'!$A$191:$I$211,2,0)</f>
        <v>#N/A</v>
      </c>
      <c r="EH25" s="151" t="str">
        <f>VLOOKUP(A25,'Données projet'!$A$191:$I$211,9,0)</f>
        <v>#N/A</v>
      </c>
      <c r="EI25" s="151" t="str">
        <f t="array" ref="EI25">INDEX(EH:EH,MIN(IF(ISNUMBER(EH25:EH221),ROW(EH25:EH221),"")))</f>
        <v/>
      </c>
      <c r="EJ25" s="151">
        <f>IF('Données projet'!$A$192&gt;35,EJ24+EI25-ER24,IF(A25&lt;'Données projet'!$A$192,$EG$205^A25,IF(A25='Données projet'!$A$192,'Données projet'!$B$192,EJ24+EI25-ER24)))</f>
        <v>0</v>
      </c>
      <c r="EK25" s="158" t="str">
        <f>EJ25*VLOOKUP('Données projet'!$B$15,'Paramètres'!$A$1:$I$88,3,0)*VLOOKUP('Données projet'!$B$15,'Paramètres'!$A$1:$I$88,5,0)</f>
        <v>#N/A</v>
      </c>
      <c r="EL25" s="150" t="str">
        <f t="shared" si="46"/>
        <v>#N/A</v>
      </c>
      <c r="EM25" s="161" t="str">
        <f t="shared" si="20"/>
        <v>#N/A</v>
      </c>
      <c r="EN25" s="153" t="str">
        <f t="shared" si="21"/>
        <v>#N/A</v>
      </c>
      <c r="EO25" s="153" t="str">
        <f>AVERAGE(OFFSET($EN$3,0,0,'Données projet'!$E$15+1,1))-AVERAGE(OFFSET($H$3,0,0,'Données projet'!$E$15+1,1))</f>
        <v>#N/A</v>
      </c>
      <c r="EP25" s="153" t="str">
        <f t="shared" si="47"/>
        <v>#N/A</v>
      </c>
      <c r="EQ25" s="154">
        <f>IF(ISNA(VLOOKUP(A25,'Données projet'!$A$191:$I$211,3,0)),0,VLOOKUP(A25,'Données projet'!$A$191:$I$211,3,0))</f>
        <v>0</v>
      </c>
      <c r="ER25" s="154">
        <f>IF(ISNA(VLOOKUP(A25,'Données projet'!$A$191:$I$211,4,0)),0,VLOOKUP(A25,'Données projet'!$A$191:$I$211,4,0))</f>
        <v>0</v>
      </c>
      <c r="ES25" s="155">
        <f>IF(ISNA(VLOOKUP(A25,'Données projet'!$A$191:$I$211,5,0)),0%,VLOOKUP(A25,'Données projet'!$A$191:$I$211,5,0)*VLOOKUP('Données projet'!$B$15,'Paramètres'!$A$1:$I$88,7,0))</f>
        <v>0</v>
      </c>
      <c r="ET25" s="155">
        <f>IF(ISNA(VLOOKUP(A25,'Données projet'!$A$191:$I$211,6,0)),0%,VLOOKUP(A25,'Données projet'!$A$191:$I$211,6,0)*VLOOKUP('Données projet'!$B$15,'Paramètres'!$A$1:$I$88,7,0))</f>
        <v>0</v>
      </c>
      <c r="EU25" s="155">
        <f>IF(ISNA(VLOOKUP(A25,'Données projet'!$A$191:$I$211,7,0)),0%,VLOOKUP(A25,'Données projet'!$A$191:$I$211,7,0))</f>
        <v>0</v>
      </c>
      <c r="EV25" s="162" t="str">
        <f>EXP(-LN(2)/35)*EV24+(1-EXP(-LN(2)/35))/(LN(2)/35)*ER25*ES25*VLOOKUP('Données projet'!$B$15,'Paramètres'!$A$1:$I$88,3,0)*0.475*44/12</f>
        <v>#N/A</v>
      </c>
      <c r="EW25" s="162" t="str">
        <f>EXP(-LN(2)/25)*EW24+(1-EXP(-LN(2)/25))/(LN(2)/25)*Calculateur!ER25*Calculateur!ET25*VLOOKUP('Données projet'!$B$15,'Paramètres'!$A$1:$I$88,3,0)*0.475*44/12</f>
        <v>#N/A</v>
      </c>
      <c r="EX25" s="162" t="str">
        <f>EXP(-LN(2)/2)*EX24+(1-EXP(-LN(2)/2))/(LN(2)/2)*ER25*EU25*VLOOKUP('Données projet'!$B$15,'Paramètres'!$A$1:$I$88,3,0)*0.475*44/12</f>
        <v>#N/A</v>
      </c>
      <c r="EY25" s="163" t="str">
        <f t="shared" si="22"/>
        <v>#N/A</v>
      </c>
      <c r="EZ25" s="159">
        <f>('Scénario référence'!$F$8+'Scénario référence'!$F$9+'Scénario référence'!$B$17+'Scénario référence'!$B$9+'Scénario référence'!$B$10)*70+IF((45+25*(1-EXP(-0.0175*A25)))&lt;70,'Scénario référence'!$B$16*(45+25*(1-EXP(-0.0175*A25))),70*'Scénario référence'!$B$16)+IF((32+38*(1-EXP(-0.0175*A25)))&lt;70,'Scénario référence'!$B$18*(32+38*(1-EXP(-0.0175*A25))),70*'Scénario référence'!$B$18)</f>
        <v>70</v>
      </c>
      <c r="FA25" s="151">
        <f>IF(A25&gt;30,10,('Scénario référence'!$B$16+'Scénario référence'!$B$17+'Scénario référence'!$B$18+'Scénario référence'!$B$9+'Scénario référence'!$B$10)*A25*10/30+('Scénario référence'!$F$8+'Scénario référence'!$F$9)*10)</f>
        <v>7.333333333</v>
      </c>
      <c r="FB25" s="151" t="str">
        <f>VLOOKUP(A25,'Données projet'!$A$217:$I$237,2,0)</f>
        <v>#N/A</v>
      </c>
      <c r="FC25" s="151" t="str">
        <f>VLOOKUP(A25,'Données projet'!$A$217:$I$237,9,0)</f>
        <v>#N/A</v>
      </c>
      <c r="FD25" s="151" t="str">
        <f t="array" ref="FD25">INDEX(FC:FC,MIN(IF(ISNUMBER(FC25:FC221),ROW(FC25:FC221),"")))</f>
        <v/>
      </c>
      <c r="FE25" s="151">
        <f>IF('Données projet'!$A$218&gt;35,FE24+FD25-FM24,IF(A25&lt;'Données projet'!$A$218,$FB$205^A25,IF(A25='Données projet'!$A$218,'Données projet'!$B$218,FE24+FD25-FM24)))</f>
        <v>0</v>
      </c>
      <c r="FF25" s="158" t="str">
        <f>FE25*VLOOKUP('Données projet'!$B$16,'Paramètres'!$A$1:$I$88,3,0)*VLOOKUP('Données projet'!$B$16,'Paramètres'!$A$1:$I$88,5,0)</f>
        <v>#N/A</v>
      </c>
      <c r="FG25" s="150" t="str">
        <f t="shared" si="48"/>
        <v>#N/A</v>
      </c>
      <c r="FH25" s="161" t="str">
        <f t="shared" si="23"/>
        <v>#N/A</v>
      </c>
      <c r="FI25" s="153" t="str">
        <f t="shared" si="24"/>
        <v>#N/A</v>
      </c>
      <c r="FJ25" s="153" t="str">
        <f>AVERAGE(OFFSET($FI$3,0,0,'Données projet'!$E$16+1,1))-AVERAGE(OFFSET($H$3,0,0,'Données projet'!$E$16+1,1))</f>
        <v>#N/A</v>
      </c>
      <c r="FK25" s="153" t="str">
        <f t="shared" si="49"/>
        <v>#N/A</v>
      </c>
      <c r="FL25" s="154">
        <f>IF(ISNA(VLOOKUP(A25,'Données projet'!$A$217:$I$237,3,0)),0,VLOOKUP(A25,'Données projet'!$A$217:$I$237,3,0))</f>
        <v>0</v>
      </c>
      <c r="FM25" s="154">
        <f>IF(ISNA(VLOOKUP(A25,'Données projet'!$A$217:$I$237,4,0)),0,VLOOKUP(A25,'Données projet'!$A$217:$I$237,4,0))</f>
        <v>0</v>
      </c>
      <c r="FN25" s="155">
        <f>IF(ISNA(VLOOKUP(A25,'Données projet'!$A$217:$I$237,5,0)),0%,VLOOKUP(A25,'Données projet'!$A$217:$I$237,5,0)*VLOOKUP('Données projet'!$B$16,'Paramètres'!$A$1:$I$88,7,0))</f>
        <v>0</v>
      </c>
      <c r="FO25" s="155">
        <f>IF(ISNA(VLOOKUP(A25,'Données projet'!$A$217:$I$237,6,0)),0%,VLOOKUP(A25,'Données projet'!$A$217:$I$237,6,0)*VLOOKUP('Données projet'!$B$16,'Paramètres'!$A$1:$I$88,7,0))</f>
        <v>0</v>
      </c>
      <c r="FP25" s="155">
        <f>IF(ISNA(VLOOKUP(A25,'Données projet'!$A$217:$I$237,7,0)),0%,VLOOKUP(A25,'Données projet'!$A$217:$I$237,7,0))</f>
        <v>0</v>
      </c>
      <c r="FQ25" s="162" t="str">
        <f>EXP(-LN(2)/35)*FQ24+(1-EXP(-LN(2)/35))/(LN(2)/35)*FM25*FN25*VLOOKUP('Données projet'!$B$16,'Paramètres'!$A$1:$I$88,3,0)*0.475*44/12</f>
        <v>#N/A</v>
      </c>
      <c r="FR25" s="162" t="str">
        <f>EXP(-LN(2)/25)*FR24+(1-EXP(-LN(2)/25))/(LN(2)/25)*Calculateur!FM25*Calculateur!FO25*VLOOKUP('Données projet'!$B$16,'Paramètres'!$A$1:$I$88,3,0)*0.475*44/12</f>
        <v>#N/A</v>
      </c>
      <c r="FS25" s="162" t="str">
        <f>EXP(-LN(2)/2)*FS24+(1-EXP(-LN(2)/2))/(LN(2)/2)*FM25*FP25*VLOOKUP('Données projet'!$B$16,'Paramètres'!$A$1:$I$88,3,0)*0.475*44/12</f>
        <v>#N/A</v>
      </c>
      <c r="FT25" s="163" t="str">
        <f t="shared" si="25"/>
        <v>#N/A</v>
      </c>
      <c r="FU25" s="159">
        <f>('Scénario référence'!$F$8+'Scénario référence'!$F$9+'Scénario référence'!$B$17+'Scénario référence'!$B$9+'Scénario référence'!$B$10)*70+IF((45+25*(1-EXP(-0.0175*A25)))&lt;70,'Scénario référence'!$B$16*(45+25*(1-EXP(-0.0175*A25))),70*'Scénario référence'!$B$16)+IF((32+38*(1-EXP(-0.0175*A25)))&lt;70,'Scénario référence'!$B$18*(32+38*(1-EXP(-0.0175*A25))),70*'Scénario référence'!$B$18)</f>
        <v>70</v>
      </c>
      <c r="FV25" s="151">
        <f>IF(A25&gt;30,10,('Scénario référence'!$B$16+'Scénario référence'!$B$17+'Scénario référence'!$B$18+'Scénario référence'!$B$9+'Scénario référence'!$B$10)*A25*10/30+('Scénario référence'!$F$8+'Scénario référence'!$F$9)*10)</f>
        <v>7.333333333</v>
      </c>
      <c r="FW25" s="151" t="str">
        <f>VLOOKUP(A25,'Données projet'!$A$243:$I$263,2,0)</f>
        <v>#N/A</v>
      </c>
      <c r="FX25" s="151" t="str">
        <f>VLOOKUP(A25,'Données projet'!$A$243:$I$263,9,0)</f>
        <v>#N/A</v>
      </c>
      <c r="FY25" s="151" t="str">
        <f t="array" ref="FY25">INDEX(FX:FX,MIN(IF(ISNUMBER(FX25:FX221),ROW(FX25:FX221),"")))</f>
        <v/>
      </c>
      <c r="FZ25" s="151">
        <f>IF('Données projet'!$A$244&gt;35,FZ24+FY25-GH24,IF(A25&lt;'Données projet'!$A$244,$FW$205^A25,IF(A25='Données projet'!$A$244,'Données projet'!$B$244,FZ24+FY25-GH24)))</f>
        <v>0</v>
      </c>
      <c r="GA25" s="158" t="str">
        <f>FZ25*VLOOKUP('Données projet'!$B$17,'Paramètres'!$A$1:$I$88,3,0)*VLOOKUP('Données projet'!$B$17,'Paramètres'!$A$1:$I$88,5,0)</f>
        <v>#N/A</v>
      </c>
      <c r="GB25" s="150" t="str">
        <f t="shared" si="50"/>
        <v>#N/A</v>
      </c>
      <c r="GC25" s="161" t="str">
        <f t="shared" si="26"/>
        <v>#N/A</v>
      </c>
      <c r="GD25" s="153" t="str">
        <f t="shared" si="27"/>
        <v>#N/A</v>
      </c>
      <c r="GE25" s="153" t="str">
        <f>AVERAGE(OFFSET($GD$3,0,0,'Données projet'!$E$17+1,1))-AVERAGE(OFFSET($H$3,0,0,'Données projet'!$E$17+1,1))</f>
        <v>#N/A</v>
      </c>
      <c r="GF25" s="153" t="str">
        <f t="shared" si="51"/>
        <v>#N/A</v>
      </c>
      <c r="GG25" s="154">
        <f>IF(ISNA(VLOOKUP(A25,'Données projet'!$A$243:$I$263,3,0)),0,VLOOKUP(A25,'Données projet'!$A$243:$I$263,3,0))</f>
        <v>0</v>
      </c>
      <c r="GH25" s="154">
        <f>IF(ISNA(VLOOKUP(A25,'Données projet'!$A$243:$I$263,4,0)),0,VLOOKUP(A25,'Données projet'!$A$243:$I$263,4,0))</f>
        <v>0</v>
      </c>
      <c r="GI25" s="155">
        <f>IF(ISNA(VLOOKUP(A25,'Données projet'!$A$243:$I$263,5,0)),0%,VLOOKUP(A25,'Données projet'!$A$243:$I$263,5,0)*VLOOKUP('Données projet'!$B$17,'Paramètres'!$A$1:$I$88,7,0))</f>
        <v>0</v>
      </c>
      <c r="GJ25" s="155">
        <f>IF(ISNA(VLOOKUP(A25,'Données projet'!$A$243:$I$263,6,0)),0%,VLOOKUP(A25,'Données projet'!$A$243:$I$263,6,0)*VLOOKUP('Données projet'!$B$17,'Paramètres'!$A$1:$I$88,7,0))</f>
        <v>0</v>
      </c>
      <c r="GK25" s="155">
        <f>IF(ISNA(VLOOKUP(A25,'Données projet'!$A$243:$I$263,7,0)),0%,VLOOKUP(A25,'Données projet'!$A$243:$I$263,7,0))</f>
        <v>0</v>
      </c>
      <c r="GL25" s="162" t="str">
        <f>EXP(-LN(2)/35)*GL24+(1-EXP(-LN(2)/35))/(LN(2)/35)*GH25*GI25*VLOOKUP('Données projet'!$B$17,'Paramètres'!$A$1:$I$88,3,0)*0.475*44/12</f>
        <v>#N/A</v>
      </c>
      <c r="GM25" s="162" t="str">
        <f>EXP(-LN(2)/25)*GM24+(1-EXP(-LN(2)/25))/(LN(2)/25)*Calculateur!GH25*Calculateur!GJ25*VLOOKUP('Données projet'!$B$17,'Paramètres'!$A$1:$I$88,3,0)*0.475*44/12</f>
        <v>#N/A</v>
      </c>
      <c r="GN25" s="162" t="str">
        <f>EXP(-LN(2)/2)*GN24+(1-EXP(-LN(2)/2))/(LN(2)/2)*GH25*GK25*VLOOKUP('Données projet'!$B$17,'Paramètres'!$A$1:$I$88,3,0)*0.475*44/12</f>
        <v>#N/A</v>
      </c>
      <c r="GO25" s="162" t="str">
        <f t="shared" si="28"/>
        <v>#N/A</v>
      </c>
      <c r="GP25" s="159">
        <f>('Scénario référence'!$F$8+'Scénario référence'!$F$9+'Scénario référence'!$B$17+'Scénario référence'!$B$9+'Scénario référence'!$B$10)*70+IF((45+25*(1-EXP(-0.0175*A25)))&lt;70,'Scénario référence'!$B$16*(45+25*(1-EXP(-0.0175*A25))),70*'Scénario référence'!$B$16)+IF((32+38*(1-EXP(-0.0175*A25)))&lt;70,'Scénario référence'!$B$18*(32+38*(1-EXP(-0.0175*A25))),70*'Scénario référence'!$B$18)</f>
        <v>70</v>
      </c>
      <c r="GQ25" s="151">
        <f>IF(A25&gt;30,10,('Scénario référence'!$B$16+'Scénario référence'!$B$17+'Scénario référence'!$B$18+'Scénario référence'!$B$9+'Scénario référence'!$B$10)*A25*10/30+('Scénario référence'!$F$8+'Scénario référence'!$F$9)*10)</f>
        <v>7.333333333</v>
      </c>
      <c r="GR25" s="151" t="str">
        <f>VLOOKUP(A25,'Données projet'!$A$269:$I$289,2,0)</f>
        <v>#N/A</v>
      </c>
      <c r="GS25" s="151" t="str">
        <f>VLOOKUP(A25,'Données projet'!$A$269:$I$289,9,0)</f>
        <v>#N/A</v>
      </c>
      <c r="GT25" s="151" t="str">
        <f t="array" ref="GT25">INDEX(GS:GS,MIN(IF(ISNUMBER(GS25:GS221),ROW(GS25:GS221),"")))</f>
        <v/>
      </c>
      <c r="GU25" s="151">
        <f>IF('Données projet'!$A$270&gt;35,GU24+GT25-HC24,IF(A25&lt;'Données projet'!$A$270,$GR$205^A25,IF(A25='Données projet'!$A$270,'Données projet'!$B$270,GU24+GT25-HC24)))</f>
        <v>0</v>
      </c>
      <c r="GV25" s="158" t="str">
        <f>GU25*VLOOKUP('Données projet'!$B$18,'Paramètres'!$A$1:$I$88,3,0)*VLOOKUP('Données projet'!$B$18,'Paramètres'!$A$1:$I$88,5,0)</f>
        <v>#N/A</v>
      </c>
      <c r="GW25" s="150" t="str">
        <f t="shared" si="52"/>
        <v>#N/A</v>
      </c>
      <c r="GX25" s="161" t="str">
        <f t="shared" si="29"/>
        <v>#N/A</v>
      </c>
      <c r="GY25" s="153" t="str">
        <f t="shared" si="30"/>
        <v>#N/A</v>
      </c>
      <c r="GZ25" s="153" t="str">
        <f>AVERAGE(OFFSET($GY$3,0,0,'Données projet'!$E$18+1,1))-AVERAGE(OFFSET($H$3,0,0,'Données projet'!$E$18+1,1))</f>
        <v>#N/A</v>
      </c>
      <c r="HA25" s="153" t="str">
        <f t="shared" si="53"/>
        <v>#N/A</v>
      </c>
      <c r="HB25" s="154">
        <f>IF(ISNA(VLOOKUP(A25,'Données projet'!$A$269:$I$289,3,0)),0,VLOOKUP(A25,'Données projet'!$A$269:$I$289,3,0))</f>
        <v>0</v>
      </c>
      <c r="HC25" s="154">
        <f>IF(ISNA(VLOOKUP(A25,'Données projet'!$A$269:$I$289,4,0)),0,VLOOKUP(A25,'Données projet'!$A$269:$I$289,4,0))</f>
        <v>0</v>
      </c>
      <c r="HD25" s="155">
        <f>IF(ISNA(VLOOKUP(A25,'Données projet'!$A$269:$I$289,5,0)),0%,VLOOKUP(A25,'Données projet'!$A$269:$I$289,5,0)*VLOOKUP('Données projet'!$B$18,'Paramètres'!$A$1:$I$88,7,0))</f>
        <v>0</v>
      </c>
      <c r="HE25" s="155">
        <f>IF(ISNA(VLOOKUP(A25,'Données projet'!$A$269:$I$289,6,0)),0%,VLOOKUP(A25,'Données projet'!$A$269:$I$289,6,0)*VLOOKUP('Données projet'!$B$18,'Paramètres'!$A$1:$I$88,7,0))</f>
        <v>0</v>
      </c>
      <c r="HF25" s="155">
        <f>IF(ISNA(VLOOKUP(A25,'Données projet'!$A$269:$I$289,7,0)),0%,VLOOKUP(A25,'Données projet'!$A$269:$I$289,7,0))</f>
        <v>0</v>
      </c>
      <c r="HG25" s="162" t="str">
        <f>EXP(-LN(2)/35)*HG24+(1-EXP(-LN(2)/35))/(LN(2)/35)*HC25*HD25*VLOOKUP('Données projet'!$B$18,'Paramètres'!$A$1:$I$88,3,0)*0.475*44/12</f>
        <v>#N/A</v>
      </c>
      <c r="HH25" s="162" t="str">
        <f>EXP(-LN(2)/25)*HH24+(1-EXP(-LN(2)/25))/(LN(2)/25)*Calculateur!HC25*Calculateur!HE25*VLOOKUP('Données projet'!$B$18,'Paramètres'!$A$1:$I$88,3,0)*0.475*44/12</f>
        <v>#N/A</v>
      </c>
      <c r="HI25" s="162" t="str">
        <f>EXP(-LN(2)/2)*HI24+(1-EXP(-LN(2)/2))/(LN(2)/2)*HC25*HF25*VLOOKUP('Données projet'!$B$18,'Paramètres'!$A$1:$I$88,3,0)*0.475*44/12</f>
        <v>#N/A</v>
      </c>
      <c r="HJ25" s="163" t="str">
        <f t="shared" si="31"/>
        <v>#N/A</v>
      </c>
    </row>
    <row r="26" ht="15.75" customHeight="1">
      <c r="A26" s="145">
        <f t="shared" si="32"/>
        <v>23</v>
      </c>
      <c r="B26" s="146">
        <f>'Scénario référence'!$B$16*5+'Scénario référence'!$B$17*0+'Scénario référence'!$B$18*5</f>
        <v>0</v>
      </c>
      <c r="C26" s="160">
        <f>Calculateur!C25+'Scénario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26" s="147">
        <f t="shared" si="33"/>
        <v>0</v>
      </c>
      <c r="E26" s="147">
        <f>'Scénario référence'!$B$16*45+('Scénario référence'!$B$17+'Scénario référence'!$F$8+'Scénario référence'!$F$9+'Scénario référence'!$B$10+'Scénario référence'!$B$9)*70+'Scénario référence'!$B$18*32</f>
        <v>70</v>
      </c>
      <c r="F26" s="147">
        <f>IF(OR('Scénario référence'!$F$8&gt;0,'Scénario référence'!$F$9&gt;0),('Scénario référence'!$F$8+'Scénario référence'!$F$9)*10,0)</f>
        <v>0</v>
      </c>
      <c r="G26" s="147">
        <f>'Scénario référence'!$B$8*B26*44/12+'Scénario référence'!$B$9*(C26+D26)/0.475*44/12+'Scénario référence'!$B$10*(C26+D26)/0.475*44/12+'Scénario référence'!$F$8*(C26+D26)/0.475*44/12+'Scénario référence'!$F$9*(C26+D26)/0.475*44/12</f>
        <v>0</v>
      </c>
      <c r="H26" s="148">
        <f t="shared" si="1"/>
        <v>256.6666667</v>
      </c>
      <c r="I26" s="149">
        <f>('Scénario référence'!$F$8+'Scénario référence'!$F$9+'Scénario référence'!$B$17+'Scénario référence'!$B$9+'Scénario référence'!$B$10)*70+IF((45+25*(1-EXP(-0.0175*A26)))&lt;70,'Scénario référence'!$B$16*(45+25*(1-EXP(-0.0175*A26))),70*'Scénario référence'!$B$16)+IF((32+38*(1-EXP(-0.0175*A26)))&lt;70,'Scénario référence'!$B$18*(32+38*(1-EXP(-0.0175*A26))),70*'Scénario référence'!$B$18)</f>
        <v>70</v>
      </c>
      <c r="J26" s="150">
        <f>IF(A26&gt;30,10,('Scénario référence'!$B$16+'Scénario référence'!$B$17+'Scénario référence'!$B$18+'Scénario référence'!$B$9+'Scénario référence'!$B$10)*A26*10/30+('Scénario référence'!$F$8+'Scénario référence'!$F$9)*10)</f>
        <v>7.666666667</v>
      </c>
      <c r="K26" s="151" t="str">
        <f>VLOOKUP(A26,'Données projet'!$A$35:$I$55,2,0)</f>
        <v>#N/A</v>
      </c>
      <c r="L26" s="151" t="str">
        <f>VLOOKUP(A26,'Données projet'!$A$35:$I$55,9,0)</f>
        <v>#N/A</v>
      </c>
      <c r="M26" s="150">
        <f t="array" ref="M26">INDEX(L:L,MIN(IF(ISNUMBER(L26:L222),ROW(L26:L222),"")))</f>
        <v>7.2</v>
      </c>
      <c r="N26" s="150">
        <f>IF('Données projet'!$A$36&gt;35,N25+M26-V25,IF(A26&lt;'Données projet'!$A$36,$K$205^A26,IF(A26='Données projet'!$A$36,'Données projet'!$B$36,N25+M26-V25)))</f>
        <v>88.6</v>
      </c>
      <c r="O26" s="150">
        <f>N26*VLOOKUP('Données projet'!$B$9,'Paramètres'!$A$1:$I$88,3,0)*VLOOKUP('Données projet'!$B$9,'Paramètres'!$A$1:$I$88,5,0)</f>
        <v>80.16528</v>
      </c>
      <c r="P26" s="150">
        <f t="shared" si="34"/>
        <v>22.17759109</v>
      </c>
      <c r="Q26" s="161">
        <f t="shared" si="2"/>
        <v>178.2471672</v>
      </c>
      <c r="R26" s="153">
        <f t="shared" si="3"/>
        <v>463.0249449</v>
      </c>
      <c r="S26" s="153">
        <f>AVERAGE(OFFSET($R$3,0,0,'Données projet'!$E$9+1,1))-AVERAGE(OFFSET($H$3,0,0,'Données projet'!$E$9+1,1))</f>
        <v>439.1985427</v>
      </c>
      <c r="T26" s="153">
        <f t="shared" si="35"/>
        <v>278.2174123</v>
      </c>
      <c r="U26" s="154">
        <f>IF(ISNA(VLOOKUP(A26,'Données projet'!$A$35:$I$55,3,0)),0,VLOOKUP(A26,'Données projet'!$A$35:$I$55,3,0))</f>
        <v>0</v>
      </c>
      <c r="V26" s="154">
        <f>IF(ISNA(VLOOKUP(A26,'Données projet'!$A$35:$I$55,4,0)),0,VLOOKUP(A26,'Données projet'!$A$35:$I$55,4,0))</f>
        <v>0</v>
      </c>
      <c r="W26" s="155">
        <f>IF(ISNA(VLOOKUP(A26,'Données projet'!$A$35:$I$55,5,0)),0%,VLOOKUP(A26,'Données projet'!$A$35:$I$55,5,0)*VLOOKUP('Données projet'!$B$9,'Paramètres'!$A$1:$I$88,7,0))</f>
        <v>0</v>
      </c>
      <c r="X26" s="155">
        <f>IF(ISNA(VLOOKUP(A26,'Données projet'!$A$35:$I$55,6,0)),0%,VLOOKUP(A26,'Données projet'!$A$35:$I$55,6,0)*VLOOKUP('Données projet'!$B$9,'Paramètres'!$A$1:$I$88,7,0))</f>
        <v>0</v>
      </c>
      <c r="Y26" s="155">
        <f>IF(ISNA(VLOOKUP(A26,'Données projet'!$A$35:$I$55,7,0)),0%,VLOOKUP(A26,'Données projet'!$A$35:$I$55,7,0))</f>
        <v>0</v>
      </c>
      <c r="Z26" s="162">
        <f>EXP(-LN(2)/35)*Z25+(1-EXP(-LN(2)/35))/(LN(2)/35)*V26*W26*VLOOKUP('Données projet'!$B$9,'Paramètres'!$A$1:$I$88,3,0)*0.475*44/12</f>
        <v>0</v>
      </c>
      <c r="AA26" s="162">
        <f>EXP(-LN(2)/25)*AA25+(1-EXP(-LN(2)/25))/(LN(2)/25)*Calculateur!V26*Calculateur!X26*VLOOKUP('Données projet'!$B$9,'Paramètres'!$A$1:$I$88,3,0)*0.475*44/12</f>
        <v>0</v>
      </c>
      <c r="AB26" s="162">
        <f>EXP(-LN(2)/2)*AB25+(1-EXP(-LN(2)/2))/(LN(2)/2)*V26*Y26*VLOOKUP('Données projet'!$B$9,'Paramètres'!$A$1:$I$88,3,0)*0.475*44/12</f>
        <v>0</v>
      </c>
      <c r="AC26" s="163">
        <f t="shared" si="4"/>
        <v>0</v>
      </c>
      <c r="AD26" s="150">
        <f>('Scénario référence'!$F$8+'Scénario référence'!$F$9+'Scénario référence'!$B$17+'Scénario référence'!$B$9+'Scénario référence'!$B$10)*70+IF((45+25*(1-EXP(-0.0175*A26)))&lt;70,'Scénario référence'!$B$16*(45+25*(1-EXP(-0.0175*A26))),70*'Scénario référence'!$B$16)+IF((32+38*(1-EXP(-0.0175*A26)))&lt;70,'Scénario référence'!$B$18*(32+38*(1-EXP(-0.0175*A26))),70*'Scénario référence'!$B$18)</f>
        <v>70</v>
      </c>
      <c r="AE26" s="150">
        <f>IF(A26&gt;30,10,('Scénario référence'!$B$16+'Scénario référence'!$B$17+'Scénario référence'!$B$18+'Scénario référence'!$B$9+'Scénario référence'!$B$10)*A26*10/30+('Scénario référence'!$F$8+'Scénario référence'!$F$9)*10)</f>
        <v>7.666666667</v>
      </c>
      <c r="AF26" s="151" t="str">
        <f>VLOOKUP(A26,'Données projet'!$A$61:$I$81,2,0)</f>
        <v>#N/A</v>
      </c>
      <c r="AG26" s="151" t="str">
        <f>VLOOKUP(A26,'Données projet'!$A$61:$I$81,9,0)</f>
        <v>#N/A</v>
      </c>
      <c r="AH26" s="150">
        <f t="array" ref="AH26">INDEX(AG:AG,MIN(IF(ISNUMBER(AG26:AG222),ROW(AG26:AG222),"")))</f>
        <v>17.2</v>
      </c>
      <c r="AI26" s="150">
        <f>IF('Données projet'!$A$62&gt;35,AI25+AH26-AQ25,IF(A26&lt;'Données projet'!$A$62,$AF$205^A26,IF(A26='Données projet'!$A$62,'Données projet'!$B$62,AI25+AH26-AQ25)))</f>
        <v>132.6</v>
      </c>
      <c r="AJ26" s="150">
        <f>AI26*VLOOKUP('Données projet'!$B$10,'Paramètres'!$A$1:$I$88,3,0)*VLOOKUP('Données projet'!$B$10,'Paramètres'!$A$1:$I$88,5,0)</f>
        <v>105.49656</v>
      </c>
      <c r="AK26" s="150">
        <f t="shared" si="36"/>
        <v>28.26737142</v>
      </c>
      <c r="AL26" s="161">
        <f t="shared" si="5"/>
        <v>232.9721806</v>
      </c>
      <c r="AM26" s="153">
        <f t="shared" si="6"/>
        <v>517.7499583</v>
      </c>
      <c r="AN26" s="153">
        <f>AVERAGE(OFFSET($AM$3,0,0,'Données projet'!$E$10+1,1))-AVERAGE(OFFSET($H$3,0,0,'Données projet'!$E$10+1,1))</f>
        <v>405.6113614</v>
      </c>
      <c r="AO26" s="153">
        <f t="shared" si="37"/>
        <v>393.0787141</v>
      </c>
      <c r="AP26" s="154">
        <f>IF(ISNA(VLOOKUP(A26,'Données projet'!$A$61:$I$81,3,0)),0,VLOOKUP(A26,'Données projet'!$A$61:$I$81,3,0))</f>
        <v>0</v>
      </c>
      <c r="AQ26" s="154">
        <f>IF(ISNA(VLOOKUP(A26,'Données projet'!$A$61:$I$81,4,0)),0,VLOOKUP(A26,'Données projet'!$A$61:$I$81,4,0))</f>
        <v>0</v>
      </c>
      <c r="AR26" s="155">
        <f>IF(ISNA(VLOOKUP(A26,'Données projet'!$A$61:$I$81,5,0)),0%,VLOOKUP(A26,'Données projet'!$A$61:$I$81,5,0)*VLOOKUP('Données projet'!$B$10,'Paramètres'!$A$1:$I$88,7,0))</f>
        <v>0</v>
      </c>
      <c r="AS26" s="155">
        <f>IF(ISNA(VLOOKUP(A26,'Données projet'!$A$61:$I$81,6,0)),0%,VLOOKUP(A26,'Données projet'!$A$61:$I$81,6,0)*VLOOKUP('Données projet'!$B$10,'Paramètres'!$A$1:$I$88,7,0))</f>
        <v>0</v>
      </c>
      <c r="AT26" s="155">
        <f>IF(ISNA(VLOOKUP(A26,'Données projet'!$A$61:$I$81,7,0)),0%,VLOOKUP(A26,'Données projet'!$A$61:$I$81,7,0))</f>
        <v>0</v>
      </c>
      <c r="AU26" s="162">
        <f>EXP(-LN(2)/35)*AU25+(1-EXP(-LN(2)/35))/(LN(2)/35)*AQ26*AR26*VLOOKUP('Données projet'!$B$10,'Paramètres'!$A$1:$I$88,3,0)*0.475*44/12</f>
        <v>0</v>
      </c>
      <c r="AV26" s="162">
        <f>EXP(-LN(2)/25)*AV25+(1-EXP(-LN(2)/25))/(LN(2)/25)*Calculateur!AQ26*Calculateur!AS26*VLOOKUP('Données projet'!$B$10,'Paramètres'!$A$1:$I$88,3,0)*0.475*44/12</f>
        <v>0</v>
      </c>
      <c r="AW26" s="162">
        <f>EXP(-LN(2)/2)*AW25+(1-EXP(-LN(2)/2))/(LN(2)/2)*AQ26*AT26*VLOOKUP('Données projet'!$B$10,'Paramètres'!$A$1:$I$88,3,0)*0.475*44/12</f>
        <v>6.558694889</v>
      </c>
      <c r="AX26" s="162">
        <f t="shared" si="7"/>
        <v>6.558694889</v>
      </c>
      <c r="AY26" s="157">
        <f>('Scénario référence'!$F$8+'Scénario référence'!$F$9+'Scénario référence'!$B$17+'Scénario référence'!$B$9+'Scénario référence'!$B$10)*70+IF((45+25*(1-EXP(-0.0175*A26)))&lt;70,'Scénario référence'!$B$16*(45+25*(1-EXP(-0.0175*A26))),70*'Scénario référence'!$B$16)+IF((32+38*(1-EXP(-0.0175*A26)))&lt;70,'Scénario référence'!$B$18*(32+38*(1-EXP(-0.0175*A26))),70*'Scénario référence'!$B$18)</f>
        <v>70</v>
      </c>
      <c r="AZ26" s="151">
        <f>IF(A26&gt;30,10,('Scénario référence'!$B$16+'Scénario référence'!$B$17+'Scénario référence'!$B$18+'Scénario référence'!$B$9+'Scénario référence'!$B$10)*A26*10/30+('Scénario référence'!$F$8+'Scénario référence'!$F$9)*10)</f>
        <v>7.666666667</v>
      </c>
      <c r="BA26" s="151" t="str">
        <f>VLOOKUP(A26,'Données projet'!$A$87:$I$107,2,0)</f>
        <v>#N/A</v>
      </c>
      <c r="BB26" s="151" t="str">
        <f>VLOOKUP(A26,'Données projet'!$A$87:$I$107,9,0)</f>
        <v>#N/A</v>
      </c>
      <c r="BC26" s="150" t="str">
        <f t="array" ref="BC26">INDEX(BB:BB,MIN(IF(ISNUMBER(BB26:BB222),ROW(BB26:BB222),"")))</f>
        <v/>
      </c>
      <c r="BD26" s="150">
        <f>IF('Données projet'!$A$88&gt;35,BD25+BC26-BL25,IF(A26&lt;'Données projet'!$A$88,$BA$205^A26,IF(A26='Données projet'!$A$88,'Données projet'!$B$88,BD25+BC26-BL25)))</f>
        <v>0</v>
      </c>
      <c r="BE26" s="150">
        <f>BD26*VLOOKUP('Données projet'!$B$11,'Paramètres'!$A$1:$I$88,3,0)*VLOOKUP('Données projet'!$B$11,'Paramètres'!$A$1:$I$88,5,0)</f>
        <v>0</v>
      </c>
      <c r="BF26" s="150" t="str">
        <f t="shared" si="38"/>
        <v>#NUM!</v>
      </c>
      <c r="BG26" s="161" t="str">
        <f t="shared" si="8"/>
        <v>#NUM!</v>
      </c>
      <c r="BH26" s="153" t="str">
        <f t="shared" si="9"/>
        <v>#NUM!</v>
      </c>
      <c r="BI26" s="153">
        <f>AVERAGE(OFFSET($BH$3,0,0,'Données projet'!$E$11+1,1))-AVERAGE(OFFSET($H$3,0,0,'Données projet'!$E$11+1,1))</f>
        <v>0</v>
      </c>
      <c r="BJ26" s="153">
        <f t="shared" si="39"/>
        <v>0</v>
      </c>
      <c r="BK26" s="154">
        <f>IF(ISNA(VLOOKUP(A26,'Données projet'!$A$87:$I$107,3,0)),0,VLOOKUP(A26,'Données projet'!$A$87:$I$107,3,0))</f>
        <v>0</v>
      </c>
      <c r="BL26" s="154">
        <f>IF(ISNA(VLOOKUP(A26,'Données projet'!$A$87:$I$107,4,0)),0,VLOOKUP(A26,'Données projet'!$A$87:$I$107,4,0))</f>
        <v>0</v>
      </c>
      <c r="BM26" s="155">
        <f>IF(ISNA(VLOOKUP(A26,'Données projet'!$A$87:$I$107,5,0)),0%,VLOOKUP(A26,'Données projet'!$A$87:$I$107,5,0)*VLOOKUP('Données projet'!$B$11,'Paramètres'!$A$1:$I$88,7,0))</f>
        <v>0</v>
      </c>
      <c r="BN26" s="155">
        <f>IF(ISNA(VLOOKUP(A26,'Données projet'!$A$87:$I$107,6,0)),0%,VLOOKUP(A26,'Données projet'!$A$87:$I$107,6,0)*VLOOKUP('Données projet'!$B$11,'Paramètres'!$A$1:$I$88,7,0))</f>
        <v>0</v>
      </c>
      <c r="BO26" s="155">
        <f>IF(ISNA(VLOOKUP(A26,'Données projet'!$A$87:$I$107,7,0)),0%,VLOOKUP(A26,'Données projet'!$A$87:$I$107,7,0))</f>
        <v>0</v>
      </c>
      <c r="BP26" s="162">
        <f>EXP(-LN(2)/35)*BP25+(1-EXP(-LN(2)/35))/(LN(2)/35)*BL26*BM26*VLOOKUP('Données projet'!$B$11,'Paramètres'!$A$1:$I$88,3,0)*0.475*44/12</f>
        <v>0</v>
      </c>
      <c r="BQ26" s="162">
        <f>EXP(-LN(2)/25)*BQ25+(1-EXP(-LN(2)/25))/(LN(2)/25)*Calculateur!BL26*Calculateur!BN26*VLOOKUP('Données projet'!$B$11,'Paramètres'!$A$1:$I$88,3,0)*0.475*44/12</f>
        <v>0</v>
      </c>
      <c r="BR26" s="162">
        <f>EXP(-LN(2)/2)*BR25+(1-EXP(-LN(2)/2))/(LN(2)/2)*BL26*BO26*VLOOKUP('Données projet'!$B$11,'Paramètres'!$A$1:$I$88,3,0)*0.475*44/12</f>
        <v>0</v>
      </c>
      <c r="BS26" s="163">
        <f t="shared" si="10"/>
        <v>0</v>
      </c>
      <c r="BT26" s="159">
        <f>('Scénario référence'!$F$8+'Scénario référence'!$F$9+'Scénario référence'!$B$17+'Scénario référence'!$B$9+'Scénario référence'!$B$10)*70+IF((45+25*(1-EXP(-0.0175*A26)))&lt;70,'Scénario référence'!$B$16*(45+25*(1-EXP(-0.0175*A26))),70*'Scénario référence'!$B$16)+IF((32+38*(1-EXP(-0.0175*A26)))&lt;70,'Scénario référence'!$B$18*(32+38*(1-EXP(-0.0175*A26))),70*'Scénario référence'!$B$18)</f>
        <v>70</v>
      </c>
      <c r="BU26" s="151">
        <f>IF(A26&gt;30,10,('Scénario référence'!$B$16+'Scénario référence'!$B$17+'Scénario référence'!$B$18+'Scénario référence'!$B$9+'Scénario référence'!$B$10)*A26*10/30+('Scénario référence'!$F$8+'Scénario référence'!$F$9)*10)</f>
        <v>7.666666667</v>
      </c>
      <c r="BV26" s="151" t="str">
        <f>VLOOKUP(A26,'Données projet'!$A$113:$I$133,2,0)</f>
        <v>#N/A</v>
      </c>
      <c r="BW26" s="151" t="str">
        <f>VLOOKUP(A26,'Données projet'!$A$113:$I$133,9,0)</f>
        <v>#N/A</v>
      </c>
      <c r="BX26" s="150" t="str">
        <f t="array" ref="BX26">INDEX(BW:BW,MIN(IF(ISNUMBER(BW26:BW222),ROW(BW26:BW222),"")))</f>
        <v/>
      </c>
      <c r="BY26" s="150">
        <f>IF('Données projet'!$A$114&gt;35,BY25+BX26-CG25,IF(A26&lt;'Données projet'!$A$114,$BV$205^A26,IF(A26='Données projet'!$A$114,'Données projet'!$B$114,BY25+BX26-CG25)))</f>
        <v>0</v>
      </c>
      <c r="BZ26" s="150" t="str">
        <f>BY26*VLOOKUP('Données projet'!$B$12,'Paramètres'!$A$1:$I$88,3,0)*VLOOKUP('Données projet'!$B$12,'Paramètres'!$A$1:$I$88,5,0)</f>
        <v>#N/A</v>
      </c>
      <c r="CA26" s="150" t="str">
        <f t="shared" si="40"/>
        <v>#N/A</v>
      </c>
      <c r="CB26" s="161" t="str">
        <f t="shared" si="11"/>
        <v>#N/A</v>
      </c>
      <c r="CC26" s="153" t="str">
        <f t="shared" si="12"/>
        <v>#N/A</v>
      </c>
      <c r="CD26" s="153" t="str">
        <f>AVERAGE(OFFSET($CC$3,0,0,'Données projet'!$E$12+1,1))-AVERAGE(OFFSET($H$3,0,0,'Données projet'!$E$12+1,1))</f>
        <v>#N/A</v>
      </c>
      <c r="CE26" s="153" t="str">
        <f t="shared" si="41"/>
        <v>#N/A</v>
      </c>
      <c r="CF26" s="154">
        <f>IF(ISNA(VLOOKUP(A26,'Données projet'!$A$113:$I$133,3,0)),0,VLOOKUP(A26,'Données projet'!$A$113:$I$133,3,0))</f>
        <v>0</v>
      </c>
      <c r="CG26" s="154">
        <f>IF(ISNA(VLOOKUP(A26,'Données projet'!$A$113:$I$133,4,0)),0,VLOOKUP(A26,'Données projet'!$A$113:$I$133,4,0))</f>
        <v>0</v>
      </c>
      <c r="CH26" s="155">
        <f>IF(ISNA(VLOOKUP(A26,'Données projet'!$A$113:$I$133,5,0)),0%,VLOOKUP(A26,'Données projet'!$A$113:$I$133,5,0)*VLOOKUP('Données projet'!$B$12,'Paramètres'!$A$1:$I$88,7,0))</f>
        <v>0</v>
      </c>
      <c r="CI26" s="155">
        <f>IF(ISNA(VLOOKUP(A26,'Données projet'!$A$113:$I$133,6,0)),0%,VLOOKUP(A26,'Données projet'!$A$113:$I$133,6,0)*VLOOKUP('Données projet'!$B$12,'Paramètres'!$A$1:$I$88,7,0))</f>
        <v>0</v>
      </c>
      <c r="CJ26" s="155">
        <f>IF(ISNA(VLOOKUP(A26,'Données projet'!$A$113:$I$133,7,0)),0%,VLOOKUP(A26,'Données projet'!$A$113:$I$133,7,0))</f>
        <v>0</v>
      </c>
      <c r="CK26" s="162" t="str">
        <f>EXP(-LN(2)/35)*CK25+(1-EXP(-LN(2)/35))/(LN(2)/35)*CG26*CH26*VLOOKUP('Données projet'!$B$12,'Paramètres'!$A$1:$I$88,3,0)*0.475*44/12</f>
        <v>#N/A</v>
      </c>
      <c r="CL26" s="162" t="str">
        <f>EXP(-LN(2)/25)*CL25+(1-EXP(-LN(2)/25))/(LN(2)/25)*Calculateur!CG26*Calculateur!CI26*VLOOKUP('Données projet'!$B$12,'Paramètres'!$A$1:$I$88,3,0)*0.475*44/12</f>
        <v>#N/A</v>
      </c>
      <c r="CM26" s="162" t="str">
        <f>EXP(-LN(2)/2)*CM25+(1-EXP(-LN(2)/2))/(LN(2)/2)*CG26*CJ26*VLOOKUP('Données projet'!$B$12,'Paramètres'!$A$1:$I$88,3,0)*0.475*44/12</f>
        <v>#N/A</v>
      </c>
      <c r="CN26" s="163" t="str">
        <f t="shared" si="13"/>
        <v>#N/A</v>
      </c>
      <c r="CO26" s="159">
        <f>('Scénario référence'!$F$8+'Scénario référence'!$F$9+'Scénario référence'!$B$17+'Scénario référence'!$B$9+'Scénario référence'!$B$10)*70+IF((45+25*(1-EXP(-0.0175*A26)))&lt;70,'Scénario référence'!$B$16*(45+25*(1-EXP(-0.0175*A26))),70*'Scénario référence'!$B$16)+IF((32+38*(1-EXP(-0.0175*A26)))&lt;70,'Scénario référence'!$B$18*(32+38*(1-EXP(-0.0175*A26))),70*'Scénario référence'!$B$18)</f>
        <v>70</v>
      </c>
      <c r="CP26" s="151">
        <f>IF(A26&gt;30,10,('Scénario référence'!$B$16+'Scénario référence'!$B$17+'Scénario référence'!$B$18+'Scénario référence'!$B$9+'Scénario référence'!$B$10)*A26*10/30+('Scénario référence'!$F$8+'Scénario référence'!$F$9)*10)</f>
        <v>7.666666667</v>
      </c>
      <c r="CQ26" s="151" t="str">
        <f>VLOOKUP(A26,'Données projet'!$A$139:$I$159,2,0)</f>
        <v>#N/A</v>
      </c>
      <c r="CR26" s="151" t="str">
        <f>VLOOKUP(A26,'Données projet'!$A$139:$I$159,9,0)</f>
        <v>#N/A</v>
      </c>
      <c r="CS26" s="151" t="str">
        <f t="array" ref="CS26">INDEX(CR:CR,MIN(IF(ISNUMBER(CR26:CR222),ROW(CR26:CR222),"")))</f>
        <v/>
      </c>
      <c r="CT26" s="151">
        <f>IF('Données projet'!$A$140&gt;35,CT25+CS26-DB25,IF(A26&lt;'Données projet'!$A$140,$CQ$205^A26,IF(A26='Données projet'!$A$140,'Données projet'!$B$140,CT25+CS26-DB25)))</f>
        <v>0</v>
      </c>
      <c r="CU26" s="158" t="str">
        <f>CT26*VLOOKUP('Données projet'!$B$13,'Paramètres'!$A$1:$I$88,3,0)*VLOOKUP('Données projet'!$B$13,'Paramètres'!$A$1:$I$88,5,0)</f>
        <v>#N/A</v>
      </c>
      <c r="CV26" s="150" t="str">
        <f t="shared" si="42"/>
        <v>#N/A</v>
      </c>
      <c r="CW26" s="161" t="str">
        <f t="shared" si="14"/>
        <v>#N/A</v>
      </c>
      <c r="CX26" s="153" t="str">
        <f t="shared" si="15"/>
        <v>#N/A</v>
      </c>
      <c r="CY26" s="153" t="str">
        <f>AVERAGE(OFFSET($CX$3,0,0,'Données projet'!$E$13+1,1))-AVERAGE(OFFSET($H$3,0,0,'Données projet'!$E$13+1,1))</f>
        <v>#N/A</v>
      </c>
      <c r="CZ26" s="153" t="str">
        <f t="shared" si="43"/>
        <v>#N/A</v>
      </c>
      <c r="DA26" s="154">
        <f>IF(ISNA(VLOOKUP(A26,'Données projet'!$A$139:$I$159,3,0)),0,VLOOKUP(A26,'Données projet'!$A$139:$I$159,3,0))</f>
        <v>0</v>
      </c>
      <c r="DB26" s="154">
        <f>IF(ISNA(VLOOKUP(A26,'Données projet'!$A$139:$I$159,4,0)),0,VLOOKUP(A26,'Données projet'!$A$139:$I$159,4,0))</f>
        <v>0</v>
      </c>
      <c r="DC26" s="155">
        <f>IF(ISNA(VLOOKUP(A26,'Données projet'!$A$139:$I$159,5,0)),0%,VLOOKUP(A26,'Données projet'!$A$139:$I$159,5,0)*VLOOKUP('Données projet'!$B$13,'Paramètres'!$A$1:$I$88,7,0))</f>
        <v>0</v>
      </c>
      <c r="DD26" s="155">
        <f>IF(ISNA(VLOOKUP(A26,'Données projet'!$A$139:$I$159,6,0)),0%,VLOOKUP(A26,'Données projet'!$A$139:$I$159,6,0)*VLOOKUP('Données projet'!$B$13,'Paramètres'!$A$1:$I$88,7,0))</f>
        <v>0</v>
      </c>
      <c r="DE26" s="155">
        <f>IF(ISNA(VLOOKUP(A26,'Données projet'!$A$139:$I$159,7,0)),0%,VLOOKUP(A26,'Données projet'!$A$139:$I$159,7,0))</f>
        <v>0</v>
      </c>
      <c r="DF26" s="162" t="str">
        <f>EXP(-LN(2)/35)*DF25+(1-EXP(-LN(2)/35))/(LN(2)/35)*DB26*DC26*VLOOKUP('Données projet'!$B$13,'Paramètres'!$A$1:$I$88,3,0)*0.475*44/12</f>
        <v>#N/A</v>
      </c>
      <c r="DG26" s="162" t="str">
        <f>EXP(-LN(2)/25)*DG25+(1-EXP(-LN(2)/25))/(LN(2)/25)*Calculateur!DB26*Calculateur!DD26*VLOOKUP('Données projet'!$B$13,'Paramètres'!$A$1:$I$88,3,0)*0.475*44/12</f>
        <v>#N/A</v>
      </c>
      <c r="DH26" s="162" t="str">
        <f>EXP(-LN(2)/2)*DH25+(1-EXP(-LN(2)/2))/(LN(2)/2)*DB26*DE26*VLOOKUP('Données projet'!$B$13,'Paramètres'!$A$1:$I$88,3,0)*0.475*44/12</f>
        <v>#N/A</v>
      </c>
      <c r="DI26" s="163" t="str">
        <f t="shared" si="16"/>
        <v>#N/A</v>
      </c>
      <c r="DJ26" s="159">
        <f>('Scénario référence'!$F$8+'Scénario référence'!$F$9+'Scénario référence'!$B$17+'Scénario référence'!$B$9+'Scénario référence'!$B$10)*70+IF((45+25*(1-EXP(-0.0175*A26)))&lt;70,'Scénario référence'!$B$16*(45+25*(1-EXP(-0.0175*A26))),70*'Scénario référence'!$B$16)+IF((32+38*(1-EXP(-0.0175*A26)))&lt;70,'Scénario référence'!$B$18*(32+38*(1-EXP(-0.0175*A26))),70*'Scénario référence'!$B$18)</f>
        <v>70</v>
      </c>
      <c r="DK26" s="151">
        <f>IF(A26&gt;30,10,('Scénario référence'!$B$16+'Scénario référence'!$B$17+'Scénario référence'!$B$18+'Scénario référence'!$B$9+'Scénario référence'!$B$10)*A26*10/30+('Scénario référence'!$F$8+'Scénario référence'!$F$9)*10)</f>
        <v>7.666666667</v>
      </c>
      <c r="DL26" s="151" t="str">
        <f>VLOOKUP(A26,'Données projet'!$A$165:$I$185,2,0)</f>
        <v>#N/A</v>
      </c>
      <c r="DM26" s="151" t="str">
        <f>VLOOKUP(A26,'Données projet'!$A$165:$I$185,9,0)</f>
        <v>#N/A</v>
      </c>
      <c r="DN26" s="151" t="str">
        <f t="array" ref="DN26">INDEX(DM:DM,MIN(IF(ISNUMBER(DM26:DM222),ROW(DM26:DM222),"")))</f>
        <v/>
      </c>
      <c r="DO26" s="151">
        <f>IF('Données projet'!$A$166&gt;35,DO25+DN26-DW25,IF(A26&lt;'Données projet'!$A$166,$DL$205^A26,IF(A26='Données projet'!$A$166,'Données projet'!$B$166,DO25+DN26-DW25)))</f>
        <v>0</v>
      </c>
      <c r="DP26" s="158" t="str">
        <f>DO26*VLOOKUP('Données projet'!$B$14,'Paramètres'!$A$1:$I$88,3,0)*VLOOKUP('Données projet'!$B$14,'Paramètres'!$A$1:$I$88,5,0)</f>
        <v>#N/A</v>
      </c>
      <c r="DQ26" s="150" t="str">
        <f t="shared" si="44"/>
        <v>#N/A</v>
      </c>
      <c r="DR26" s="161" t="str">
        <f t="shared" si="17"/>
        <v>#N/A</v>
      </c>
      <c r="DS26" s="153" t="str">
        <f t="shared" si="18"/>
        <v>#N/A</v>
      </c>
      <c r="DT26" s="153" t="str">
        <f>AVERAGE(OFFSET($DS$3,0,0,'Données projet'!$E$14+1,1))-AVERAGE(OFFSET($H$3,0,0,'Données projet'!$E$14+1,1))</f>
        <v>#N/A</v>
      </c>
      <c r="DU26" s="153" t="str">
        <f t="shared" si="45"/>
        <v>#N/A</v>
      </c>
      <c r="DV26" s="154">
        <f>IF(ISNA(VLOOKUP(A26,'Données projet'!$A$165:$I$185,3,0)),0,VLOOKUP(A26,'Données projet'!$A$165:$I$185,3,0))</f>
        <v>0</v>
      </c>
      <c r="DW26" s="154">
        <f>IF(ISNA(VLOOKUP(A26,'Données projet'!$A$165:$I$185,4,0)),0,VLOOKUP(A26,'Données projet'!$A$165:$I$185,4,0))</f>
        <v>0</v>
      </c>
      <c r="DX26" s="155">
        <f>IF(ISNA(VLOOKUP(A26,'Données projet'!$A$165:$I$185,5,0)),0%,VLOOKUP(A26,'Données projet'!$A$165:$I$185,5,0)*VLOOKUP('Données projet'!$B$14,'Paramètres'!$A$1:$I$88,7,0))</f>
        <v>0</v>
      </c>
      <c r="DY26" s="155">
        <f>IF(ISNA(VLOOKUP(A26,'Données projet'!$A$165:$I$185,6,0)),0%,VLOOKUP(A26,'Données projet'!$A$165:$I$185,6,0)*VLOOKUP('Données projet'!$B$14,'Paramètres'!$A$1:$I$88,7,0))</f>
        <v>0</v>
      </c>
      <c r="DZ26" s="155">
        <f>IF(ISNA(VLOOKUP(A26,'Données projet'!$A$165:$I$185,7,0)),0%,VLOOKUP(A26,'Données projet'!$A$165:$I$185,7,0))</f>
        <v>0</v>
      </c>
      <c r="EA26" s="162" t="str">
        <f>EXP(-LN(2)/35)*EA25+(1-EXP(-LN(2)/35))/(LN(2)/35)*DW26*DX26*VLOOKUP('Données projet'!$B$14,'Paramètres'!$A$1:$I$88,3,0)*0.475*44/12</f>
        <v>#N/A</v>
      </c>
      <c r="EB26" s="162" t="str">
        <f>EXP(-LN(2)/25)*EB25+(1-EXP(-LN(2)/25))/(LN(2)/25)*Calculateur!DW26*Calculateur!DY26*VLOOKUP('Données projet'!$B$14,'Paramètres'!$A$1:$I$88,3,0)*0.475*44/12</f>
        <v>#N/A</v>
      </c>
      <c r="EC26" s="162" t="str">
        <f>EXP(-LN(2)/2)*EC25+(1-EXP(-LN(2)/2))/(LN(2)/2)*DW26*DZ26*VLOOKUP('Données projet'!$B$14,'Paramètres'!$A$1:$I$88,3,0)*0.475*44/12</f>
        <v>#N/A</v>
      </c>
      <c r="ED26" s="163" t="str">
        <f t="shared" si="19"/>
        <v>#N/A</v>
      </c>
      <c r="EE26" s="159">
        <f>('Scénario référence'!$F$8+'Scénario référence'!$F$9+'Scénario référence'!$B$17+'Scénario référence'!$B$9+'Scénario référence'!$B$10)*70+IF((45+25*(1-EXP(-0.0175*A26)))&lt;70,'Scénario référence'!$B$16*(45+25*(1-EXP(-0.0175*A26))),70*'Scénario référence'!$B$16)+IF((32+38*(1-EXP(-0.0175*A26)))&lt;70,'Scénario référence'!$B$18*(32+38*(1-EXP(-0.0175*A26))),70*'Scénario référence'!$B$18)</f>
        <v>70</v>
      </c>
      <c r="EF26" s="151">
        <f>IF(A26&gt;30,10,('Scénario référence'!$B$16+'Scénario référence'!$B$17+'Scénario référence'!$B$18+'Scénario référence'!$B$9+'Scénario référence'!$B$10)*A26*10/30+('Scénario référence'!$F$8+'Scénario référence'!$F$9)*10)</f>
        <v>7.666666667</v>
      </c>
      <c r="EG26" s="151" t="str">
        <f>VLOOKUP(A26,'Données projet'!$A$191:$I$211,2,0)</f>
        <v>#N/A</v>
      </c>
      <c r="EH26" s="151" t="str">
        <f>VLOOKUP(A26,'Données projet'!$A$191:$I$211,9,0)</f>
        <v>#N/A</v>
      </c>
      <c r="EI26" s="151" t="str">
        <f t="array" ref="EI26">INDEX(EH:EH,MIN(IF(ISNUMBER(EH26:EH222),ROW(EH26:EH222),"")))</f>
        <v/>
      </c>
      <c r="EJ26" s="151">
        <f>IF('Données projet'!$A$192&gt;35,EJ25+EI26-ER25,IF(A26&lt;'Données projet'!$A$192,$EG$205^A26,IF(A26='Données projet'!$A$192,'Données projet'!$B$192,EJ25+EI26-ER25)))</f>
        <v>0</v>
      </c>
      <c r="EK26" s="158" t="str">
        <f>EJ26*VLOOKUP('Données projet'!$B$15,'Paramètres'!$A$1:$I$88,3,0)*VLOOKUP('Données projet'!$B$15,'Paramètres'!$A$1:$I$88,5,0)</f>
        <v>#N/A</v>
      </c>
      <c r="EL26" s="150" t="str">
        <f t="shared" si="46"/>
        <v>#N/A</v>
      </c>
      <c r="EM26" s="161" t="str">
        <f t="shared" si="20"/>
        <v>#N/A</v>
      </c>
      <c r="EN26" s="153" t="str">
        <f t="shared" si="21"/>
        <v>#N/A</v>
      </c>
      <c r="EO26" s="153" t="str">
        <f>AVERAGE(OFFSET($EN$3,0,0,'Données projet'!$E$15+1,1))-AVERAGE(OFFSET($H$3,0,0,'Données projet'!$E$15+1,1))</f>
        <v>#N/A</v>
      </c>
      <c r="EP26" s="153" t="str">
        <f t="shared" si="47"/>
        <v>#N/A</v>
      </c>
      <c r="EQ26" s="154">
        <f>IF(ISNA(VLOOKUP(A26,'Données projet'!$A$191:$I$211,3,0)),0,VLOOKUP(A26,'Données projet'!$A$191:$I$211,3,0))</f>
        <v>0</v>
      </c>
      <c r="ER26" s="154">
        <f>IF(ISNA(VLOOKUP(A26,'Données projet'!$A$191:$I$211,4,0)),0,VLOOKUP(A26,'Données projet'!$A$191:$I$211,4,0))</f>
        <v>0</v>
      </c>
      <c r="ES26" s="155">
        <f>IF(ISNA(VLOOKUP(A26,'Données projet'!$A$191:$I$211,5,0)),0%,VLOOKUP(A26,'Données projet'!$A$191:$I$211,5,0)*VLOOKUP('Données projet'!$B$15,'Paramètres'!$A$1:$I$88,7,0))</f>
        <v>0</v>
      </c>
      <c r="ET26" s="155">
        <f>IF(ISNA(VLOOKUP(A26,'Données projet'!$A$191:$I$211,6,0)),0%,VLOOKUP(A26,'Données projet'!$A$191:$I$211,6,0)*VLOOKUP('Données projet'!$B$15,'Paramètres'!$A$1:$I$88,7,0))</f>
        <v>0</v>
      </c>
      <c r="EU26" s="155">
        <f>IF(ISNA(VLOOKUP(A26,'Données projet'!$A$191:$I$211,7,0)),0%,VLOOKUP(A26,'Données projet'!$A$191:$I$211,7,0))</f>
        <v>0</v>
      </c>
      <c r="EV26" s="162" t="str">
        <f>EXP(-LN(2)/35)*EV25+(1-EXP(-LN(2)/35))/(LN(2)/35)*ER26*ES26*VLOOKUP('Données projet'!$B$15,'Paramètres'!$A$1:$I$88,3,0)*0.475*44/12</f>
        <v>#N/A</v>
      </c>
      <c r="EW26" s="162" t="str">
        <f>EXP(-LN(2)/25)*EW25+(1-EXP(-LN(2)/25))/(LN(2)/25)*Calculateur!ER26*Calculateur!ET26*VLOOKUP('Données projet'!$B$15,'Paramètres'!$A$1:$I$88,3,0)*0.475*44/12</f>
        <v>#N/A</v>
      </c>
      <c r="EX26" s="162" t="str">
        <f>EXP(-LN(2)/2)*EX25+(1-EXP(-LN(2)/2))/(LN(2)/2)*ER26*EU26*VLOOKUP('Données projet'!$B$15,'Paramètres'!$A$1:$I$88,3,0)*0.475*44/12</f>
        <v>#N/A</v>
      </c>
      <c r="EY26" s="163" t="str">
        <f t="shared" si="22"/>
        <v>#N/A</v>
      </c>
      <c r="EZ26" s="159">
        <f>('Scénario référence'!$F$8+'Scénario référence'!$F$9+'Scénario référence'!$B$17+'Scénario référence'!$B$9+'Scénario référence'!$B$10)*70+IF((45+25*(1-EXP(-0.0175*A26)))&lt;70,'Scénario référence'!$B$16*(45+25*(1-EXP(-0.0175*A26))),70*'Scénario référence'!$B$16)+IF((32+38*(1-EXP(-0.0175*A26)))&lt;70,'Scénario référence'!$B$18*(32+38*(1-EXP(-0.0175*A26))),70*'Scénario référence'!$B$18)</f>
        <v>70</v>
      </c>
      <c r="FA26" s="151">
        <f>IF(A26&gt;30,10,('Scénario référence'!$B$16+'Scénario référence'!$B$17+'Scénario référence'!$B$18+'Scénario référence'!$B$9+'Scénario référence'!$B$10)*A26*10/30+('Scénario référence'!$F$8+'Scénario référence'!$F$9)*10)</f>
        <v>7.666666667</v>
      </c>
      <c r="FB26" s="151" t="str">
        <f>VLOOKUP(A26,'Données projet'!$A$217:$I$237,2,0)</f>
        <v>#N/A</v>
      </c>
      <c r="FC26" s="151" t="str">
        <f>VLOOKUP(A26,'Données projet'!$A$217:$I$237,9,0)</f>
        <v>#N/A</v>
      </c>
      <c r="FD26" s="151" t="str">
        <f t="array" ref="FD26">INDEX(FC:FC,MIN(IF(ISNUMBER(FC26:FC222),ROW(FC26:FC222),"")))</f>
        <v/>
      </c>
      <c r="FE26" s="151">
        <f>IF('Données projet'!$A$218&gt;35,FE25+FD26-FM25,IF(A26&lt;'Données projet'!$A$218,$FB$205^A26,IF(A26='Données projet'!$A$218,'Données projet'!$B$218,FE25+FD26-FM25)))</f>
        <v>0</v>
      </c>
      <c r="FF26" s="158" t="str">
        <f>FE26*VLOOKUP('Données projet'!$B$16,'Paramètres'!$A$1:$I$88,3,0)*VLOOKUP('Données projet'!$B$16,'Paramètres'!$A$1:$I$88,5,0)</f>
        <v>#N/A</v>
      </c>
      <c r="FG26" s="150" t="str">
        <f t="shared" si="48"/>
        <v>#N/A</v>
      </c>
      <c r="FH26" s="161" t="str">
        <f t="shared" si="23"/>
        <v>#N/A</v>
      </c>
      <c r="FI26" s="153" t="str">
        <f t="shared" si="24"/>
        <v>#N/A</v>
      </c>
      <c r="FJ26" s="153" t="str">
        <f>AVERAGE(OFFSET($FI$3,0,0,'Données projet'!$E$16+1,1))-AVERAGE(OFFSET($H$3,0,0,'Données projet'!$E$16+1,1))</f>
        <v>#N/A</v>
      </c>
      <c r="FK26" s="153" t="str">
        <f t="shared" si="49"/>
        <v>#N/A</v>
      </c>
      <c r="FL26" s="154">
        <f>IF(ISNA(VLOOKUP(A26,'Données projet'!$A$217:$I$237,3,0)),0,VLOOKUP(A26,'Données projet'!$A$217:$I$237,3,0))</f>
        <v>0</v>
      </c>
      <c r="FM26" s="154">
        <f>IF(ISNA(VLOOKUP(A26,'Données projet'!$A$217:$I$237,4,0)),0,VLOOKUP(A26,'Données projet'!$A$217:$I$237,4,0))</f>
        <v>0</v>
      </c>
      <c r="FN26" s="155">
        <f>IF(ISNA(VLOOKUP(A26,'Données projet'!$A$217:$I$237,5,0)),0%,VLOOKUP(A26,'Données projet'!$A$217:$I$237,5,0)*VLOOKUP('Données projet'!$B$16,'Paramètres'!$A$1:$I$88,7,0))</f>
        <v>0</v>
      </c>
      <c r="FO26" s="155">
        <f>IF(ISNA(VLOOKUP(A26,'Données projet'!$A$217:$I$237,6,0)),0%,VLOOKUP(A26,'Données projet'!$A$217:$I$237,6,0)*VLOOKUP('Données projet'!$B$16,'Paramètres'!$A$1:$I$88,7,0))</f>
        <v>0</v>
      </c>
      <c r="FP26" s="155">
        <f>IF(ISNA(VLOOKUP(A26,'Données projet'!$A$217:$I$237,7,0)),0%,VLOOKUP(A26,'Données projet'!$A$217:$I$237,7,0))</f>
        <v>0</v>
      </c>
      <c r="FQ26" s="162" t="str">
        <f>EXP(-LN(2)/35)*FQ25+(1-EXP(-LN(2)/35))/(LN(2)/35)*FM26*FN26*VLOOKUP('Données projet'!$B$16,'Paramètres'!$A$1:$I$88,3,0)*0.475*44/12</f>
        <v>#N/A</v>
      </c>
      <c r="FR26" s="162" t="str">
        <f>EXP(-LN(2)/25)*FR25+(1-EXP(-LN(2)/25))/(LN(2)/25)*Calculateur!FM26*Calculateur!FO26*VLOOKUP('Données projet'!$B$16,'Paramètres'!$A$1:$I$88,3,0)*0.475*44/12</f>
        <v>#N/A</v>
      </c>
      <c r="FS26" s="162" t="str">
        <f>EXP(-LN(2)/2)*FS25+(1-EXP(-LN(2)/2))/(LN(2)/2)*FM26*FP26*VLOOKUP('Données projet'!$B$16,'Paramètres'!$A$1:$I$88,3,0)*0.475*44/12</f>
        <v>#N/A</v>
      </c>
      <c r="FT26" s="163" t="str">
        <f t="shared" si="25"/>
        <v>#N/A</v>
      </c>
      <c r="FU26" s="159">
        <f>('Scénario référence'!$F$8+'Scénario référence'!$F$9+'Scénario référence'!$B$17+'Scénario référence'!$B$9+'Scénario référence'!$B$10)*70+IF((45+25*(1-EXP(-0.0175*A26)))&lt;70,'Scénario référence'!$B$16*(45+25*(1-EXP(-0.0175*A26))),70*'Scénario référence'!$B$16)+IF((32+38*(1-EXP(-0.0175*A26)))&lt;70,'Scénario référence'!$B$18*(32+38*(1-EXP(-0.0175*A26))),70*'Scénario référence'!$B$18)</f>
        <v>70</v>
      </c>
      <c r="FV26" s="151">
        <f>IF(A26&gt;30,10,('Scénario référence'!$B$16+'Scénario référence'!$B$17+'Scénario référence'!$B$18+'Scénario référence'!$B$9+'Scénario référence'!$B$10)*A26*10/30+('Scénario référence'!$F$8+'Scénario référence'!$F$9)*10)</f>
        <v>7.666666667</v>
      </c>
      <c r="FW26" s="151" t="str">
        <f>VLOOKUP(A26,'Données projet'!$A$243:$I$263,2,0)</f>
        <v>#N/A</v>
      </c>
      <c r="FX26" s="151" t="str">
        <f>VLOOKUP(A26,'Données projet'!$A$243:$I$263,9,0)</f>
        <v>#N/A</v>
      </c>
      <c r="FY26" s="151" t="str">
        <f t="array" ref="FY26">INDEX(FX:FX,MIN(IF(ISNUMBER(FX26:FX222),ROW(FX26:FX222),"")))</f>
        <v/>
      </c>
      <c r="FZ26" s="151">
        <f>IF('Données projet'!$A$244&gt;35,FZ25+FY26-GH25,IF(A26&lt;'Données projet'!$A$244,$FW$205^A26,IF(A26='Données projet'!$A$244,'Données projet'!$B$244,FZ25+FY26-GH25)))</f>
        <v>0</v>
      </c>
      <c r="GA26" s="158" t="str">
        <f>FZ26*VLOOKUP('Données projet'!$B$17,'Paramètres'!$A$1:$I$88,3,0)*VLOOKUP('Données projet'!$B$17,'Paramètres'!$A$1:$I$88,5,0)</f>
        <v>#N/A</v>
      </c>
      <c r="GB26" s="150" t="str">
        <f t="shared" si="50"/>
        <v>#N/A</v>
      </c>
      <c r="GC26" s="161" t="str">
        <f t="shared" si="26"/>
        <v>#N/A</v>
      </c>
      <c r="GD26" s="153" t="str">
        <f t="shared" si="27"/>
        <v>#N/A</v>
      </c>
      <c r="GE26" s="153" t="str">
        <f>AVERAGE(OFFSET($GD$3,0,0,'Données projet'!$E$17+1,1))-AVERAGE(OFFSET($H$3,0,0,'Données projet'!$E$17+1,1))</f>
        <v>#N/A</v>
      </c>
      <c r="GF26" s="153" t="str">
        <f t="shared" si="51"/>
        <v>#N/A</v>
      </c>
      <c r="GG26" s="154">
        <f>IF(ISNA(VLOOKUP(A26,'Données projet'!$A$243:$I$263,3,0)),0,VLOOKUP(A26,'Données projet'!$A$243:$I$263,3,0))</f>
        <v>0</v>
      </c>
      <c r="GH26" s="154">
        <f>IF(ISNA(VLOOKUP(A26,'Données projet'!$A$243:$I$263,4,0)),0,VLOOKUP(A26,'Données projet'!$A$243:$I$263,4,0))</f>
        <v>0</v>
      </c>
      <c r="GI26" s="155">
        <f>IF(ISNA(VLOOKUP(A26,'Données projet'!$A$243:$I$263,5,0)),0%,VLOOKUP(A26,'Données projet'!$A$243:$I$263,5,0)*VLOOKUP('Données projet'!$B$17,'Paramètres'!$A$1:$I$88,7,0))</f>
        <v>0</v>
      </c>
      <c r="GJ26" s="155">
        <f>IF(ISNA(VLOOKUP(A26,'Données projet'!$A$243:$I$263,6,0)),0%,VLOOKUP(A26,'Données projet'!$A$243:$I$263,6,0)*VLOOKUP('Données projet'!$B$17,'Paramètres'!$A$1:$I$88,7,0))</f>
        <v>0</v>
      </c>
      <c r="GK26" s="155">
        <f>IF(ISNA(VLOOKUP(A26,'Données projet'!$A$243:$I$263,7,0)),0%,VLOOKUP(A26,'Données projet'!$A$243:$I$263,7,0))</f>
        <v>0</v>
      </c>
      <c r="GL26" s="162" t="str">
        <f>EXP(-LN(2)/35)*GL25+(1-EXP(-LN(2)/35))/(LN(2)/35)*GH26*GI26*VLOOKUP('Données projet'!$B$17,'Paramètres'!$A$1:$I$88,3,0)*0.475*44/12</f>
        <v>#N/A</v>
      </c>
      <c r="GM26" s="162" t="str">
        <f>EXP(-LN(2)/25)*GM25+(1-EXP(-LN(2)/25))/(LN(2)/25)*Calculateur!GH26*Calculateur!GJ26*VLOOKUP('Données projet'!$B$17,'Paramètres'!$A$1:$I$88,3,0)*0.475*44/12</f>
        <v>#N/A</v>
      </c>
      <c r="GN26" s="162" t="str">
        <f>EXP(-LN(2)/2)*GN25+(1-EXP(-LN(2)/2))/(LN(2)/2)*GH26*GK26*VLOOKUP('Données projet'!$B$17,'Paramètres'!$A$1:$I$88,3,0)*0.475*44/12</f>
        <v>#N/A</v>
      </c>
      <c r="GO26" s="162" t="str">
        <f t="shared" si="28"/>
        <v>#N/A</v>
      </c>
      <c r="GP26" s="159">
        <f>('Scénario référence'!$F$8+'Scénario référence'!$F$9+'Scénario référence'!$B$17+'Scénario référence'!$B$9+'Scénario référence'!$B$10)*70+IF((45+25*(1-EXP(-0.0175*A26)))&lt;70,'Scénario référence'!$B$16*(45+25*(1-EXP(-0.0175*A26))),70*'Scénario référence'!$B$16)+IF((32+38*(1-EXP(-0.0175*A26)))&lt;70,'Scénario référence'!$B$18*(32+38*(1-EXP(-0.0175*A26))),70*'Scénario référence'!$B$18)</f>
        <v>70</v>
      </c>
      <c r="GQ26" s="151">
        <f>IF(A26&gt;30,10,('Scénario référence'!$B$16+'Scénario référence'!$B$17+'Scénario référence'!$B$18+'Scénario référence'!$B$9+'Scénario référence'!$B$10)*A26*10/30+('Scénario référence'!$F$8+'Scénario référence'!$F$9)*10)</f>
        <v>7.666666667</v>
      </c>
      <c r="GR26" s="151" t="str">
        <f>VLOOKUP(A26,'Données projet'!$A$269:$I$289,2,0)</f>
        <v>#N/A</v>
      </c>
      <c r="GS26" s="151" t="str">
        <f>VLOOKUP(A26,'Données projet'!$A$269:$I$289,9,0)</f>
        <v>#N/A</v>
      </c>
      <c r="GT26" s="151" t="str">
        <f t="array" ref="GT26">INDEX(GS:GS,MIN(IF(ISNUMBER(GS26:GS222),ROW(GS26:GS222),"")))</f>
        <v/>
      </c>
      <c r="GU26" s="151">
        <f>IF('Données projet'!$A$270&gt;35,GU25+GT26-HC25,IF(A26&lt;'Données projet'!$A$270,$GR$205^A26,IF(A26='Données projet'!$A$270,'Données projet'!$B$270,GU25+GT26-HC25)))</f>
        <v>0</v>
      </c>
      <c r="GV26" s="158" t="str">
        <f>GU26*VLOOKUP('Données projet'!$B$18,'Paramètres'!$A$1:$I$88,3,0)*VLOOKUP('Données projet'!$B$18,'Paramètres'!$A$1:$I$88,5,0)</f>
        <v>#N/A</v>
      </c>
      <c r="GW26" s="150" t="str">
        <f t="shared" si="52"/>
        <v>#N/A</v>
      </c>
      <c r="GX26" s="161" t="str">
        <f t="shared" si="29"/>
        <v>#N/A</v>
      </c>
      <c r="GY26" s="153" t="str">
        <f t="shared" si="30"/>
        <v>#N/A</v>
      </c>
      <c r="GZ26" s="153" t="str">
        <f>AVERAGE(OFFSET($GY$3,0,0,'Données projet'!$E$18+1,1))-AVERAGE(OFFSET($H$3,0,0,'Données projet'!$E$18+1,1))</f>
        <v>#N/A</v>
      </c>
      <c r="HA26" s="153" t="str">
        <f t="shared" si="53"/>
        <v>#N/A</v>
      </c>
      <c r="HB26" s="154">
        <f>IF(ISNA(VLOOKUP(A26,'Données projet'!$A$269:$I$289,3,0)),0,VLOOKUP(A26,'Données projet'!$A$269:$I$289,3,0))</f>
        <v>0</v>
      </c>
      <c r="HC26" s="154">
        <f>IF(ISNA(VLOOKUP(A26,'Données projet'!$A$269:$I$289,4,0)),0,VLOOKUP(A26,'Données projet'!$A$269:$I$289,4,0))</f>
        <v>0</v>
      </c>
      <c r="HD26" s="155">
        <f>IF(ISNA(VLOOKUP(A26,'Données projet'!$A$269:$I$289,5,0)),0%,VLOOKUP(A26,'Données projet'!$A$269:$I$289,5,0)*VLOOKUP('Données projet'!$B$18,'Paramètres'!$A$1:$I$88,7,0))</f>
        <v>0</v>
      </c>
      <c r="HE26" s="155">
        <f>IF(ISNA(VLOOKUP(A26,'Données projet'!$A$269:$I$289,6,0)),0%,VLOOKUP(A26,'Données projet'!$A$269:$I$289,6,0)*VLOOKUP('Données projet'!$B$18,'Paramètres'!$A$1:$I$88,7,0))</f>
        <v>0</v>
      </c>
      <c r="HF26" s="155">
        <f>IF(ISNA(VLOOKUP(A26,'Données projet'!$A$269:$I$289,7,0)),0%,VLOOKUP(A26,'Données projet'!$A$269:$I$289,7,0))</f>
        <v>0</v>
      </c>
      <c r="HG26" s="162" t="str">
        <f>EXP(-LN(2)/35)*HG25+(1-EXP(-LN(2)/35))/(LN(2)/35)*HC26*HD26*VLOOKUP('Données projet'!$B$18,'Paramètres'!$A$1:$I$88,3,0)*0.475*44/12</f>
        <v>#N/A</v>
      </c>
      <c r="HH26" s="162" t="str">
        <f>EXP(-LN(2)/25)*HH25+(1-EXP(-LN(2)/25))/(LN(2)/25)*Calculateur!HC26*Calculateur!HE26*VLOOKUP('Données projet'!$B$18,'Paramètres'!$A$1:$I$88,3,0)*0.475*44/12</f>
        <v>#N/A</v>
      </c>
      <c r="HI26" s="162" t="str">
        <f>EXP(-LN(2)/2)*HI25+(1-EXP(-LN(2)/2))/(LN(2)/2)*HC26*HF26*VLOOKUP('Données projet'!$B$18,'Paramètres'!$A$1:$I$88,3,0)*0.475*44/12</f>
        <v>#N/A</v>
      </c>
      <c r="HJ26" s="163" t="str">
        <f t="shared" si="31"/>
        <v>#N/A</v>
      </c>
    </row>
    <row r="27" ht="15.75" customHeight="1">
      <c r="A27" s="145">
        <f t="shared" si="32"/>
        <v>24</v>
      </c>
      <c r="B27" s="146">
        <f>'Scénario référence'!$B$16*5+'Scénario référence'!$B$17*0+'Scénario référence'!$B$18*5</f>
        <v>0</v>
      </c>
      <c r="C27" s="160">
        <f>Calculateur!C26+'Scénario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27" s="147">
        <f t="shared" si="33"/>
        <v>0</v>
      </c>
      <c r="E27" s="147">
        <f>'Scénario référence'!$B$16*45+('Scénario référence'!$B$17+'Scénario référence'!$F$8+'Scénario référence'!$F$9+'Scénario référence'!$B$10+'Scénario référence'!$B$9)*70+'Scénario référence'!$B$18*32</f>
        <v>70</v>
      </c>
      <c r="F27" s="147">
        <f>IF(OR('Scénario référence'!$F$8&gt;0,'Scénario référence'!$F$9&gt;0),('Scénario référence'!$F$8+'Scénario référence'!$F$9)*10,0)</f>
        <v>0</v>
      </c>
      <c r="G27" s="147">
        <f>'Scénario référence'!$B$8*B27*44/12+'Scénario référence'!$B$9*(C27+D27)/0.475*44/12+'Scénario référence'!$B$10*(C27+D27)/0.475*44/12+'Scénario référence'!$F$8*(C27+D27)/0.475*44/12+'Scénario référence'!$F$9*(C27+D27)/0.475*44/12</f>
        <v>0</v>
      </c>
      <c r="H27" s="148">
        <f t="shared" si="1"/>
        <v>256.6666667</v>
      </c>
      <c r="I27" s="149">
        <f>('Scénario référence'!$F$8+'Scénario référence'!$F$9+'Scénario référence'!$B$17+'Scénario référence'!$B$9+'Scénario référence'!$B$10)*70+IF((45+25*(1-EXP(-0.0175*A27)))&lt;70,'Scénario référence'!$B$16*(45+25*(1-EXP(-0.0175*A27))),70*'Scénario référence'!$B$16)+IF((32+38*(1-EXP(-0.0175*A27)))&lt;70,'Scénario référence'!$B$18*(32+38*(1-EXP(-0.0175*A27))),70*'Scénario référence'!$B$18)</f>
        <v>70</v>
      </c>
      <c r="J27" s="150">
        <f>IF(A27&gt;30,10,('Scénario référence'!$B$16+'Scénario référence'!$B$17+'Scénario référence'!$B$18+'Scénario référence'!$B$9+'Scénario référence'!$B$10)*A27*10/30+('Scénario référence'!$F$8+'Scénario référence'!$F$9)*10)</f>
        <v>8</v>
      </c>
      <c r="K27" s="151" t="str">
        <f>VLOOKUP(A27,'Données projet'!$A$35:$I$55,2,0)</f>
        <v>#N/A</v>
      </c>
      <c r="L27" s="151" t="str">
        <f>VLOOKUP(A27,'Données projet'!$A$35:$I$55,9,0)</f>
        <v>#N/A</v>
      </c>
      <c r="M27" s="150">
        <f t="array" ref="M27">INDEX(L:L,MIN(IF(ISNUMBER(L27:L223),ROW(L27:L223),"")))</f>
        <v>7.2</v>
      </c>
      <c r="N27" s="150">
        <f>IF('Données projet'!$A$36&gt;35,N26+M27-V26,IF(A27&lt;'Données projet'!$A$36,$K$205^A27,IF(A27='Données projet'!$A$36,'Données projet'!$B$36,N26+M27-V26)))</f>
        <v>95.8</v>
      </c>
      <c r="O27" s="150">
        <f>N27*VLOOKUP('Données projet'!$B$9,'Paramètres'!$A$1:$I$88,3,0)*VLOOKUP('Données projet'!$B$9,'Paramètres'!$A$1:$I$88,5,0)</f>
        <v>86.67984</v>
      </c>
      <c r="P27" s="150">
        <f t="shared" si="34"/>
        <v>23.76273905</v>
      </c>
      <c r="Q27" s="161">
        <f t="shared" si="2"/>
        <v>192.3541585</v>
      </c>
      <c r="R27" s="153">
        <f t="shared" si="3"/>
        <v>478.3541585</v>
      </c>
      <c r="S27" s="153">
        <f>AVERAGE(OFFSET($R$3,0,0,'Données projet'!$E$9+1,1))-AVERAGE(OFFSET($H$3,0,0,'Données projet'!$E$9+1,1))</f>
        <v>439.1985427</v>
      </c>
      <c r="T27" s="153">
        <f t="shared" si="35"/>
        <v>278.2174123</v>
      </c>
      <c r="U27" s="154">
        <f>IF(ISNA(VLOOKUP(A27,'Données projet'!$A$35:$I$55,3,0)),0,VLOOKUP(A27,'Données projet'!$A$35:$I$55,3,0))</f>
        <v>0</v>
      </c>
      <c r="V27" s="154">
        <f>IF(ISNA(VLOOKUP(A27,'Données projet'!$A$35:$I$55,4,0)),0,VLOOKUP(A27,'Données projet'!$A$35:$I$55,4,0))</f>
        <v>0</v>
      </c>
      <c r="W27" s="155">
        <f>IF(ISNA(VLOOKUP(A27,'Données projet'!$A$35:$I$55,5,0)),0%,VLOOKUP(A27,'Données projet'!$A$35:$I$55,5,0)*VLOOKUP('Données projet'!$B$9,'Paramètres'!$A$1:$I$88,7,0))</f>
        <v>0</v>
      </c>
      <c r="X27" s="155">
        <f>IF(ISNA(VLOOKUP(A27,'Données projet'!$A$35:$I$55,6,0)),0%,VLOOKUP(A27,'Données projet'!$A$35:$I$55,6,0)*VLOOKUP('Données projet'!$B$9,'Paramètres'!$A$1:$I$88,7,0))</f>
        <v>0</v>
      </c>
      <c r="Y27" s="155">
        <f>IF(ISNA(VLOOKUP(A27,'Données projet'!$A$35:$I$55,7,0)),0%,VLOOKUP(A27,'Données projet'!$A$35:$I$55,7,0))</f>
        <v>0</v>
      </c>
      <c r="Z27" s="162">
        <f>EXP(-LN(2)/35)*Z26+(1-EXP(-LN(2)/35))/(LN(2)/35)*V27*W27*VLOOKUP('Données projet'!$B$9,'Paramètres'!$A$1:$I$88,3,0)*0.475*44/12</f>
        <v>0</v>
      </c>
      <c r="AA27" s="162">
        <f>EXP(-LN(2)/25)*AA26+(1-EXP(-LN(2)/25))/(LN(2)/25)*Calculateur!V27*Calculateur!X27*VLOOKUP('Données projet'!$B$9,'Paramètres'!$A$1:$I$88,3,0)*0.475*44/12</f>
        <v>0</v>
      </c>
      <c r="AB27" s="162">
        <f>EXP(-LN(2)/2)*AB26+(1-EXP(-LN(2)/2))/(LN(2)/2)*V27*Y27*VLOOKUP('Données projet'!$B$9,'Paramètres'!$A$1:$I$88,3,0)*0.475*44/12</f>
        <v>0</v>
      </c>
      <c r="AC27" s="163">
        <f t="shared" si="4"/>
        <v>0</v>
      </c>
      <c r="AD27" s="150">
        <f>('Scénario référence'!$F$8+'Scénario référence'!$F$9+'Scénario référence'!$B$17+'Scénario référence'!$B$9+'Scénario référence'!$B$10)*70+IF((45+25*(1-EXP(-0.0175*A27)))&lt;70,'Scénario référence'!$B$16*(45+25*(1-EXP(-0.0175*A27))),70*'Scénario référence'!$B$16)+IF((32+38*(1-EXP(-0.0175*A27)))&lt;70,'Scénario référence'!$B$18*(32+38*(1-EXP(-0.0175*A27))),70*'Scénario référence'!$B$18)</f>
        <v>70</v>
      </c>
      <c r="AE27" s="150">
        <f>IF(A27&gt;30,10,('Scénario référence'!$B$16+'Scénario référence'!$B$17+'Scénario référence'!$B$18+'Scénario référence'!$B$9+'Scénario référence'!$B$10)*A27*10/30+('Scénario référence'!$F$8+'Scénario référence'!$F$9)*10)</f>
        <v>8</v>
      </c>
      <c r="AF27" s="151" t="str">
        <f>VLOOKUP(A27,'Données projet'!$A$61:$I$81,2,0)</f>
        <v>#N/A</v>
      </c>
      <c r="AG27" s="151" t="str">
        <f>VLOOKUP(A27,'Données projet'!$A$61:$I$81,9,0)</f>
        <v>#N/A</v>
      </c>
      <c r="AH27" s="150">
        <f t="array" ref="AH27">INDEX(AG:AG,MIN(IF(ISNUMBER(AG27:AG223),ROW(AG27:AG223),"")))</f>
        <v>17.2</v>
      </c>
      <c r="AI27" s="150">
        <f>IF('Données projet'!$A$62&gt;35,AI26+AH27-AQ26,IF(A27&lt;'Données projet'!$A$62,$AF$205^A27,IF(A27='Données projet'!$A$62,'Données projet'!$B$62,AI26+AH27-AQ26)))</f>
        <v>149.8</v>
      </c>
      <c r="AJ27" s="150">
        <f>AI27*VLOOKUP('Données projet'!$B$10,'Paramètres'!$A$1:$I$88,3,0)*VLOOKUP('Données projet'!$B$10,'Paramètres'!$A$1:$I$88,5,0)</f>
        <v>119.18088</v>
      </c>
      <c r="AK27" s="150">
        <f t="shared" si="36"/>
        <v>31.48387691</v>
      </c>
      <c r="AL27" s="161">
        <f t="shared" si="5"/>
        <v>262.407785</v>
      </c>
      <c r="AM27" s="153">
        <f t="shared" si="6"/>
        <v>548.407785</v>
      </c>
      <c r="AN27" s="153">
        <f>AVERAGE(OFFSET($AM$3,0,0,'Données projet'!$E$10+1,1))-AVERAGE(OFFSET($H$3,0,0,'Données projet'!$E$10+1,1))</f>
        <v>405.6113614</v>
      </c>
      <c r="AO27" s="153">
        <f t="shared" si="37"/>
        <v>393.0787141</v>
      </c>
      <c r="AP27" s="154">
        <f>IF(ISNA(VLOOKUP(A27,'Données projet'!$A$61:$I$81,3,0)),0,VLOOKUP(A27,'Données projet'!$A$61:$I$81,3,0))</f>
        <v>0</v>
      </c>
      <c r="AQ27" s="154">
        <f>IF(ISNA(VLOOKUP(A27,'Données projet'!$A$61:$I$81,4,0)),0,VLOOKUP(A27,'Données projet'!$A$61:$I$81,4,0))</f>
        <v>0</v>
      </c>
      <c r="AR27" s="155">
        <f>IF(ISNA(VLOOKUP(A27,'Données projet'!$A$61:$I$81,5,0)),0%,VLOOKUP(A27,'Données projet'!$A$61:$I$81,5,0)*VLOOKUP('Données projet'!$B$10,'Paramètres'!$A$1:$I$88,7,0))</f>
        <v>0</v>
      </c>
      <c r="AS27" s="155">
        <f>IF(ISNA(VLOOKUP(A27,'Données projet'!$A$61:$I$81,6,0)),0%,VLOOKUP(A27,'Données projet'!$A$61:$I$81,6,0)*VLOOKUP('Données projet'!$B$10,'Paramètres'!$A$1:$I$88,7,0))</f>
        <v>0</v>
      </c>
      <c r="AT27" s="155">
        <f>IF(ISNA(VLOOKUP(A27,'Données projet'!$A$61:$I$81,7,0)),0%,VLOOKUP(A27,'Données projet'!$A$61:$I$81,7,0))</f>
        <v>0</v>
      </c>
      <c r="AU27" s="162">
        <f>EXP(-LN(2)/35)*AU26+(1-EXP(-LN(2)/35))/(LN(2)/35)*AQ27*AR27*VLOOKUP('Données projet'!$B$10,'Paramètres'!$A$1:$I$88,3,0)*0.475*44/12</f>
        <v>0</v>
      </c>
      <c r="AV27" s="162">
        <f>EXP(-LN(2)/25)*AV26+(1-EXP(-LN(2)/25))/(LN(2)/25)*Calculateur!AQ27*Calculateur!AS27*VLOOKUP('Données projet'!$B$10,'Paramètres'!$A$1:$I$88,3,0)*0.475*44/12</f>
        <v>0</v>
      </c>
      <c r="AW27" s="162">
        <f>EXP(-LN(2)/2)*AW26+(1-EXP(-LN(2)/2))/(LN(2)/2)*AQ27*AT27*VLOOKUP('Données projet'!$B$10,'Paramètres'!$A$1:$I$88,3,0)*0.475*44/12</f>
        <v>4.637697632</v>
      </c>
      <c r="AX27" s="162">
        <f t="shared" si="7"/>
        <v>4.637697632</v>
      </c>
      <c r="AY27" s="157">
        <f>('Scénario référence'!$F$8+'Scénario référence'!$F$9+'Scénario référence'!$B$17+'Scénario référence'!$B$9+'Scénario référence'!$B$10)*70+IF((45+25*(1-EXP(-0.0175*A27)))&lt;70,'Scénario référence'!$B$16*(45+25*(1-EXP(-0.0175*A27))),70*'Scénario référence'!$B$16)+IF((32+38*(1-EXP(-0.0175*A27)))&lt;70,'Scénario référence'!$B$18*(32+38*(1-EXP(-0.0175*A27))),70*'Scénario référence'!$B$18)</f>
        <v>70</v>
      </c>
      <c r="AZ27" s="151">
        <f>IF(A27&gt;30,10,('Scénario référence'!$B$16+'Scénario référence'!$B$17+'Scénario référence'!$B$18+'Scénario référence'!$B$9+'Scénario référence'!$B$10)*A27*10/30+('Scénario référence'!$F$8+'Scénario référence'!$F$9)*10)</f>
        <v>8</v>
      </c>
      <c r="BA27" s="151" t="str">
        <f>VLOOKUP(A27,'Données projet'!$A$87:$I$107,2,0)</f>
        <v>#N/A</v>
      </c>
      <c r="BB27" s="151" t="str">
        <f>VLOOKUP(A27,'Données projet'!$A$87:$I$107,9,0)</f>
        <v>#N/A</v>
      </c>
      <c r="BC27" s="150" t="str">
        <f t="array" ref="BC27">INDEX(BB:BB,MIN(IF(ISNUMBER(BB27:BB223),ROW(BB27:BB223),"")))</f>
        <v/>
      </c>
      <c r="BD27" s="150">
        <f>IF('Données projet'!$A$88&gt;35,BD26+BC27-BL26,IF(A27&lt;'Données projet'!$A$88,$BA$205^A27,IF(A27='Données projet'!$A$88,'Données projet'!$B$88,BD26+BC27-BL26)))</f>
        <v>0</v>
      </c>
      <c r="BE27" s="150">
        <f>BD27*VLOOKUP('Données projet'!$B$11,'Paramètres'!$A$1:$I$88,3,0)*VLOOKUP('Données projet'!$B$11,'Paramètres'!$A$1:$I$88,5,0)</f>
        <v>0</v>
      </c>
      <c r="BF27" s="150" t="str">
        <f t="shared" si="38"/>
        <v>#NUM!</v>
      </c>
      <c r="BG27" s="161" t="str">
        <f t="shared" si="8"/>
        <v>#NUM!</v>
      </c>
      <c r="BH27" s="153" t="str">
        <f t="shared" si="9"/>
        <v>#NUM!</v>
      </c>
      <c r="BI27" s="153">
        <f>AVERAGE(OFFSET($BH$3,0,0,'Données projet'!$E$11+1,1))-AVERAGE(OFFSET($H$3,0,0,'Données projet'!$E$11+1,1))</f>
        <v>0</v>
      </c>
      <c r="BJ27" s="153">
        <f t="shared" si="39"/>
        <v>0</v>
      </c>
      <c r="BK27" s="154">
        <f>IF(ISNA(VLOOKUP(A27,'Données projet'!$A$87:$I$107,3,0)),0,VLOOKUP(A27,'Données projet'!$A$87:$I$107,3,0))</f>
        <v>0</v>
      </c>
      <c r="BL27" s="154">
        <f>IF(ISNA(VLOOKUP(A27,'Données projet'!$A$87:$I$107,4,0)),0,VLOOKUP(A27,'Données projet'!$A$87:$I$107,4,0))</f>
        <v>0</v>
      </c>
      <c r="BM27" s="155">
        <f>IF(ISNA(VLOOKUP(A27,'Données projet'!$A$87:$I$107,5,0)),0%,VLOOKUP(A27,'Données projet'!$A$87:$I$107,5,0)*VLOOKUP('Données projet'!$B$11,'Paramètres'!$A$1:$I$88,7,0))</f>
        <v>0</v>
      </c>
      <c r="BN27" s="155">
        <f>IF(ISNA(VLOOKUP(A27,'Données projet'!$A$87:$I$107,6,0)),0%,VLOOKUP(A27,'Données projet'!$A$87:$I$107,6,0)*VLOOKUP('Données projet'!$B$11,'Paramètres'!$A$1:$I$88,7,0))</f>
        <v>0</v>
      </c>
      <c r="BO27" s="155">
        <f>IF(ISNA(VLOOKUP(A27,'Données projet'!$A$87:$I$107,7,0)),0%,VLOOKUP(A27,'Données projet'!$A$87:$I$107,7,0))</f>
        <v>0</v>
      </c>
      <c r="BP27" s="162">
        <f>EXP(-LN(2)/35)*BP26+(1-EXP(-LN(2)/35))/(LN(2)/35)*BL27*BM27*VLOOKUP('Données projet'!$B$11,'Paramètres'!$A$1:$I$88,3,0)*0.475*44/12</f>
        <v>0</v>
      </c>
      <c r="BQ27" s="162">
        <f>EXP(-LN(2)/25)*BQ26+(1-EXP(-LN(2)/25))/(LN(2)/25)*Calculateur!BL27*Calculateur!BN27*VLOOKUP('Données projet'!$B$11,'Paramètres'!$A$1:$I$88,3,0)*0.475*44/12</f>
        <v>0</v>
      </c>
      <c r="BR27" s="162">
        <f>EXP(-LN(2)/2)*BR26+(1-EXP(-LN(2)/2))/(LN(2)/2)*BL27*BO27*VLOOKUP('Données projet'!$B$11,'Paramètres'!$A$1:$I$88,3,0)*0.475*44/12</f>
        <v>0</v>
      </c>
      <c r="BS27" s="163">
        <f t="shared" si="10"/>
        <v>0</v>
      </c>
      <c r="BT27" s="159">
        <f>('Scénario référence'!$F$8+'Scénario référence'!$F$9+'Scénario référence'!$B$17+'Scénario référence'!$B$9+'Scénario référence'!$B$10)*70+IF((45+25*(1-EXP(-0.0175*A27)))&lt;70,'Scénario référence'!$B$16*(45+25*(1-EXP(-0.0175*A27))),70*'Scénario référence'!$B$16)+IF((32+38*(1-EXP(-0.0175*A27)))&lt;70,'Scénario référence'!$B$18*(32+38*(1-EXP(-0.0175*A27))),70*'Scénario référence'!$B$18)</f>
        <v>70</v>
      </c>
      <c r="BU27" s="151">
        <f>IF(A27&gt;30,10,('Scénario référence'!$B$16+'Scénario référence'!$B$17+'Scénario référence'!$B$18+'Scénario référence'!$B$9+'Scénario référence'!$B$10)*A27*10/30+('Scénario référence'!$F$8+'Scénario référence'!$F$9)*10)</f>
        <v>8</v>
      </c>
      <c r="BV27" s="151" t="str">
        <f>VLOOKUP(A27,'Données projet'!$A$113:$I$133,2,0)</f>
        <v>#N/A</v>
      </c>
      <c r="BW27" s="151" t="str">
        <f>VLOOKUP(A27,'Données projet'!$A$113:$I$133,9,0)</f>
        <v>#N/A</v>
      </c>
      <c r="BX27" s="150" t="str">
        <f t="array" ref="BX27">INDEX(BW:BW,MIN(IF(ISNUMBER(BW27:BW223),ROW(BW27:BW223),"")))</f>
        <v/>
      </c>
      <c r="BY27" s="150">
        <f>IF('Données projet'!$A$114&gt;35,BY26+BX27-CG26,IF(A27&lt;'Données projet'!$A$114,$BV$205^A27,IF(A27='Données projet'!$A$114,'Données projet'!$B$114,BY26+BX27-CG26)))</f>
        <v>0</v>
      </c>
      <c r="BZ27" s="150" t="str">
        <f>BY27*VLOOKUP('Données projet'!$B$12,'Paramètres'!$A$1:$I$88,3,0)*VLOOKUP('Données projet'!$B$12,'Paramètres'!$A$1:$I$88,5,0)</f>
        <v>#N/A</v>
      </c>
      <c r="CA27" s="150" t="str">
        <f t="shared" si="40"/>
        <v>#N/A</v>
      </c>
      <c r="CB27" s="161" t="str">
        <f t="shared" si="11"/>
        <v>#N/A</v>
      </c>
      <c r="CC27" s="153" t="str">
        <f t="shared" si="12"/>
        <v>#N/A</v>
      </c>
      <c r="CD27" s="153" t="str">
        <f>AVERAGE(OFFSET($CC$3,0,0,'Données projet'!$E$12+1,1))-AVERAGE(OFFSET($H$3,0,0,'Données projet'!$E$12+1,1))</f>
        <v>#N/A</v>
      </c>
      <c r="CE27" s="153" t="str">
        <f t="shared" si="41"/>
        <v>#N/A</v>
      </c>
      <c r="CF27" s="154">
        <f>IF(ISNA(VLOOKUP(A27,'Données projet'!$A$113:$I$133,3,0)),0,VLOOKUP(A27,'Données projet'!$A$113:$I$133,3,0))</f>
        <v>0</v>
      </c>
      <c r="CG27" s="154">
        <f>IF(ISNA(VLOOKUP(A27,'Données projet'!$A$113:$I$133,4,0)),0,VLOOKUP(A27,'Données projet'!$A$113:$I$133,4,0))</f>
        <v>0</v>
      </c>
      <c r="CH27" s="155">
        <f>IF(ISNA(VLOOKUP(A27,'Données projet'!$A$113:$I$133,5,0)),0%,VLOOKUP(A27,'Données projet'!$A$113:$I$133,5,0)*VLOOKUP('Données projet'!$B$12,'Paramètres'!$A$1:$I$88,7,0))</f>
        <v>0</v>
      </c>
      <c r="CI27" s="155">
        <f>IF(ISNA(VLOOKUP(A27,'Données projet'!$A$113:$I$133,6,0)),0%,VLOOKUP(A27,'Données projet'!$A$113:$I$133,6,0)*VLOOKUP('Données projet'!$B$12,'Paramètres'!$A$1:$I$88,7,0))</f>
        <v>0</v>
      </c>
      <c r="CJ27" s="155">
        <f>IF(ISNA(VLOOKUP(A27,'Données projet'!$A$113:$I$133,7,0)),0%,VLOOKUP(A27,'Données projet'!$A$113:$I$133,7,0))</f>
        <v>0</v>
      </c>
      <c r="CK27" s="162" t="str">
        <f>EXP(-LN(2)/35)*CK26+(1-EXP(-LN(2)/35))/(LN(2)/35)*CG27*CH27*VLOOKUP('Données projet'!$B$12,'Paramètres'!$A$1:$I$88,3,0)*0.475*44/12</f>
        <v>#N/A</v>
      </c>
      <c r="CL27" s="162" t="str">
        <f>EXP(-LN(2)/25)*CL26+(1-EXP(-LN(2)/25))/(LN(2)/25)*Calculateur!CG27*Calculateur!CI27*VLOOKUP('Données projet'!$B$12,'Paramètres'!$A$1:$I$88,3,0)*0.475*44/12</f>
        <v>#N/A</v>
      </c>
      <c r="CM27" s="162" t="str">
        <f>EXP(-LN(2)/2)*CM26+(1-EXP(-LN(2)/2))/(LN(2)/2)*CG27*CJ27*VLOOKUP('Données projet'!$B$12,'Paramètres'!$A$1:$I$88,3,0)*0.475*44/12</f>
        <v>#N/A</v>
      </c>
      <c r="CN27" s="163" t="str">
        <f t="shared" si="13"/>
        <v>#N/A</v>
      </c>
      <c r="CO27" s="159">
        <f>('Scénario référence'!$F$8+'Scénario référence'!$F$9+'Scénario référence'!$B$17+'Scénario référence'!$B$9+'Scénario référence'!$B$10)*70+IF((45+25*(1-EXP(-0.0175*A27)))&lt;70,'Scénario référence'!$B$16*(45+25*(1-EXP(-0.0175*A27))),70*'Scénario référence'!$B$16)+IF((32+38*(1-EXP(-0.0175*A27)))&lt;70,'Scénario référence'!$B$18*(32+38*(1-EXP(-0.0175*A27))),70*'Scénario référence'!$B$18)</f>
        <v>70</v>
      </c>
      <c r="CP27" s="151">
        <f>IF(A27&gt;30,10,('Scénario référence'!$B$16+'Scénario référence'!$B$17+'Scénario référence'!$B$18+'Scénario référence'!$B$9+'Scénario référence'!$B$10)*A27*10/30+('Scénario référence'!$F$8+'Scénario référence'!$F$9)*10)</f>
        <v>8</v>
      </c>
      <c r="CQ27" s="151" t="str">
        <f>VLOOKUP(A27,'Données projet'!$A$139:$I$159,2,0)</f>
        <v>#N/A</v>
      </c>
      <c r="CR27" s="151" t="str">
        <f>VLOOKUP(A27,'Données projet'!$A$139:$I$159,9,0)</f>
        <v>#N/A</v>
      </c>
      <c r="CS27" s="151" t="str">
        <f t="array" ref="CS27">INDEX(CR:CR,MIN(IF(ISNUMBER(CR27:CR223),ROW(CR27:CR223),"")))</f>
        <v/>
      </c>
      <c r="CT27" s="151">
        <f>IF('Données projet'!$A$140&gt;35,CT26+CS27-DB26,IF(A27&lt;'Données projet'!$A$140,$CQ$205^A27,IF(A27='Données projet'!$A$140,'Données projet'!$B$140,CT26+CS27-DB26)))</f>
        <v>0</v>
      </c>
      <c r="CU27" s="158" t="str">
        <f>CT27*VLOOKUP('Données projet'!$B$13,'Paramètres'!$A$1:$I$88,3,0)*VLOOKUP('Données projet'!$B$13,'Paramètres'!$A$1:$I$88,5,0)</f>
        <v>#N/A</v>
      </c>
      <c r="CV27" s="150" t="str">
        <f t="shared" si="42"/>
        <v>#N/A</v>
      </c>
      <c r="CW27" s="161" t="str">
        <f t="shared" si="14"/>
        <v>#N/A</v>
      </c>
      <c r="CX27" s="153" t="str">
        <f t="shared" si="15"/>
        <v>#N/A</v>
      </c>
      <c r="CY27" s="153" t="str">
        <f>AVERAGE(OFFSET($CX$3,0,0,'Données projet'!$E$13+1,1))-AVERAGE(OFFSET($H$3,0,0,'Données projet'!$E$13+1,1))</f>
        <v>#N/A</v>
      </c>
      <c r="CZ27" s="153" t="str">
        <f t="shared" si="43"/>
        <v>#N/A</v>
      </c>
      <c r="DA27" s="154">
        <f>IF(ISNA(VLOOKUP(A27,'Données projet'!$A$139:$I$159,3,0)),0,VLOOKUP(A27,'Données projet'!$A$139:$I$159,3,0))</f>
        <v>0</v>
      </c>
      <c r="DB27" s="154">
        <f>IF(ISNA(VLOOKUP(A27,'Données projet'!$A$139:$I$159,4,0)),0,VLOOKUP(A27,'Données projet'!$A$139:$I$159,4,0))</f>
        <v>0</v>
      </c>
      <c r="DC27" s="155">
        <f>IF(ISNA(VLOOKUP(A27,'Données projet'!$A$139:$I$159,5,0)),0%,VLOOKUP(A27,'Données projet'!$A$139:$I$159,5,0)*VLOOKUP('Données projet'!$B$13,'Paramètres'!$A$1:$I$88,7,0))</f>
        <v>0</v>
      </c>
      <c r="DD27" s="155">
        <f>IF(ISNA(VLOOKUP(A27,'Données projet'!$A$139:$I$159,6,0)),0%,VLOOKUP(A27,'Données projet'!$A$139:$I$159,6,0)*VLOOKUP('Données projet'!$B$13,'Paramètres'!$A$1:$I$88,7,0))</f>
        <v>0</v>
      </c>
      <c r="DE27" s="155">
        <f>IF(ISNA(VLOOKUP(A27,'Données projet'!$A$139:$I$159,7,0)),0%,VLOOKUP(A27,'Données projet'!$A$139:$I$159,7,0))</f>
        <v>0</v>
      </c>
      <c r="DF27" s="162" t="str">
        <f>EXP(-LN(2)/35)*DF26+(1-EXP(-LN(2)/35))/(LN(2)/35)*DB27*DC27*VLOOKUP('Données projet'!$B$13,'Paramètres'!$A$1:$I$88,3,0)*0.475*44/12</f>
        <v>#N/A</v>
      </c>
      <c r="DG27" s="162" t="str">
        <f>EXP(-LN(2)/25)*DG26+(1-EXP(-LN(2)/25))/(LN(2)/25)*Calculateur!DB27*Calculateur!DD27*VLOOKUP('Données projet'!$B$13,'Paramètres'!$A$1:$I$88,3,0)*0.475*44/12</f>
        <v>#N/A</v>
      </c>
      <c r="DH27" s="162" t="str">
        <f>EXP(-LN(2)/2)*DH26+(1-EXP(-LN(2)/2))/(LN(2)/2)*DB27*DE27*VLOOKUP('Données projet'!$B$13,'Paramètres'!$A$1:$I$88,3,0)*0.475*44/12</f>
        <v>#N/A</v>
      </c>
      <c r="DI27" s="163" t="str">
        <f t="shared" si="16"/>
        <v>#N/A</v>
      </c>
      <c r="DJ27" s="159">
        <f>('Scénario référence'!$F$8+'Scénario référence'!$F$9+'Scénario référence'!$B$17+'Scénario référence'!$B$9+'Scénario référence'!$B$10)*70+IF((45+25*(1-EXP(-0.0175*A27)))&lt;70,'Scénario référence'!$B$16*(45+25*(1-EXP(-0.0175*A27))),70*'Scénario référence'!$B$16)+IF((32+38*(1-EXP(-0.0175*A27)))&lt;70,'Scénario référence'!$B$18*(32+38*(1-EXP(-0.0175*A27))),70*'Scénario référence'!$B$18)</f>
        <v>70</v>
      </c>
      <c r="DK27" s="151">
        <f>IF(A27&gt;30,10,('Scénario référence'!$B$16+'Scénario référence'!$B$17+'Scénario référence'!$B$18+'Scénario référence'!$B$9+'Scénario référence'!$B$10)*A27*10/30+('Scénario référence'!$F$8+'Scénario référence'!$F$9)*10)</f>
        <v>8</v>
      </c>
      <c r="DL27" s="151" t="str">
        <f>VLOOKUP(A27,'Données projet'!$A$165:$I$185,2,0)</f>
        <v>#N/A</v>
      </c>
      <c r="DM27" s="151" t="str">
        <f>VLOOKUP(A27,'Données projet'!$A$165:$I$185,9,0)</f>
        <v>#N/A</v>
      </c>
      <c r="DN27" s="151" t="str">
        <f t="array" ref="DN27">INDEX(DM:DM,MIN(IF(ISNUMBER(DM27:DM223),ROW(DM27:DM223),"")))</f>
        <v/>
      </c>
      <c r="DO27" s="151">
        <f>IF('Données projet'!$A$166&gt;35,DO26+DN27-DW26,IF(A27&lt;'Données projet'!$A$166,$DL$205^A27,IF(A27='Données projet'!$A$166,'Données projet'!$B$166,DO26+DN27-DW26)))</f>
        <v>0</v>
      </c>
      <c r="DP27" s="158" t="str">
        <f>DO27*VLOOKUP('Données projet'!$B$14,'Paramètres'!$A$1:$I$88,3,0)*VLOOKUP('Données projet'!$B$14,'Paramètres'!$A$1:$I$88,5,0)</f>
        <v>#N/A</v>
      </c>
      <c r="DQ27" s="150" t="str">
        <f t="shared" si="44"/>
        <v>#N/A</v>
      </c>
      <c r="DR27" s="161" t="str">
        <f t="shared" si="17"/>
        <v>#N/A</v>
      </c>
      <c r="DS27" s="153" t="str">
        <f t="shared" si="18"/>
        <v>#N/A</v>
      </c>
      <c r="DT27" s="153" t="str">
        <f>AVERAGE(OFFSET($DS$3,0,0,'Données projet'!$E$14+1,1))-AVERAGE(OFFSET($H$3,0,0,'Données projet'!$E$14+1,1))</f>
        <v>#N/A</v>
      </c>
      <c r="DU27" s="153" t="str">
        <f t="shared" si="45"/>
        <v>#N/A</v>
      </c>
      <c r="DV27" s="154">
        <f>IF(ISNA(VLOOKUP(A27,'Données projet'!$A$165:$I$185,3,0)),0,VLOOKUP(A27,'Données projet'!$A$165:$I$185,3,0))</f>
        <v>0</v>
      </c>
      <c r="DW27" s="154">
        <f>IF(ISNA(VLOOKUP(A27,'Données projet'!$A$165:$I$185,4,0)),0,VLOOKUP(A27,'Données projet'!$A$165:$I$185,4,0))</f>
        <v>0</v>
      </c>
      <c r="DX27" s="155">
        <f>IF(ISNA(VLOOKUP(A27,'Données projet'!$A$165:$I$185,5,0)),0%,VLOOKUP(A27,'Données projet'!$A$165:$I$185,5,0)*VLOOKUP('Données projet'!$B$14,'Paramètres'!$A$1:$I$88,7,0))</f>
        <v>0</v>
      </c>
      <c r="DY27" s="155">
        <f>IF(ISNA(VLOOKUP(A27,'Données projet'!$A$165:$I$185,6,0)),0%,VLOOKUP(A27,'Données projet'!$A$165:$I$185,6,0)*VLOOKUP('Données projet'!$B$14,'Paramètres'!$A$1:$I$88,7,0))</f>
        <v>0</v>
      </c>
      <c r="DZ27" s="155">
        <f>IF(ISNA(VLOOKUP(A27,'Données projet'!$A$165:$I$185,7,0)),0%,VLOOKUP(A27,'Données projet'!$A$165:$I$185,7,0))</f>
        <v>0</v>
      </c>
      <c r="EA27" s="162" t="str">
        <f>EXP(-LN(2)/35)*EA26+(1-EXP(-LN(2)/35))/(LN(2)/35)*DW27*DX27*VLOOKUP('Données projet'!$B$14,'Paramètres'!$A$1:$I$88,3,0)*0.475*44/12</f>
        <v>#N/A</v>
      </c>
      <c r="EB27" s="162" t="str">
        <f>EXP(-LN(2)/25)*EB26+(1-EXP(-LN(2)/25))/(LN(2)/25)*Calculateur!DW27*Calculateur!DY27*VLOOKUP('Données projet'!$B$14,'Paramètres'!$A$1:$I$88,3,0)*0.475*44/12</f>
        <v>#N/A</v>
      </c>
      <c r="EC27" s="162" t="str">
        <f>EXP(-LN(2)/2)*EC26+(1-EXP(-LN(2)/2))/(LN(2)/2)*DW27*DZ27*VLOOKUP('Données projet'!$B$14,'Paramètres'!$A$1:$I$88,3,0)*0.475*44/12</f>
        <v>#N/A</v>
      </c>
      <c r="ED27" s="163" t="str">
        <f t="shared" si="19"/>
        <v>#N/A</v>
      </c>
      <c r="EE27" s="159">
        <f>('Scénario référence'!$F$8+'Scénario référence'!$F$9+'Scénario référence'!$B$17+'Scénario référence'!$B$9+'Scénario référence'!$B$10)*70+IF((45+25*(1-EXP(-0.0175*A27)))&lt;70,'Scénario référence'!$B$16*(45+25*(1-EXP(-0.0175*A27))),70*'Scénario référence'!$B$16)+IF((32+38*(1-EXP(-0.0175*A27)))&lt;70,'Scénario référence'!$B$18*(32+38*(1-EXP(-0.0175*A27))),70*'Scénario référence'!$B$18)</f>
        <v>70</v>
      </c>
      <c r="EF27" s="151">
        <f>IF(A27&gt;30,10,('Scénario référence'!$B$16+'Scénario référence'!$B$17+'Scénario référence'!$B$18+'Scénario référence'!$B$9+'Scénario référence'!$B$10)*A27*10/30+('Scénario référence'!$F$8+'Scénario référence'!$F$9)*10)</f>
        <v>8</v>
      </c>
      <c r="EG27" s="151" t="str">
        <f>VLOOKUP(A27,'Données projet'!$A$191:$I$211,2,0)</f>
        <v>#N/A</v>
      </c>
      <c r="EH27" s="151" t="str">
        <f>VLOOKUP(A27,'Données projet'!$A$191:$I$211,9,0)</f>
        <v>#N/A</v>
      </c>
      <c r="EI27" s="151" t="str">
        <f t="array" ref="EI27">INDEX(EH:EH,MIN(IF(ISNUMBER(EH27:EH223),ROW(EH27:EH223),"")))</f>
        <v/>
      </c>
      <c r="EJ27" s="151">
        <f>IF('Données projet'!$A$192&gt;35,EJ26+EI27-ER26,IF(A27&lt;'Données projet'!$A$192,$EG$205^A27,IF(A27='Données projet'!$A$192,'Données projet'!$B$192,EJ26+EI27-ER26)))</f>
        <v>0</v>
      </c>
      <c r="EK27" s="158" t="str">
        <f>EJ27*VLOOKUP('Données projet'!$B$15,'Paramètres'!$A$1:$I$88,3,0)*VLOOKUP('Données projet'!$B$15,'Paramètres'!$A$1:$I$88,5,0)</f>
        <v>#N/A</v>
      </c>
      <c r="EL27" s="150" t="str">
        <f t="shared" si="46"/>
        <v>#N/A</v>
      </c>
      <c r="EM27" s="161" t="str">
        <f t="shared" si="20"/>
        <v>#N/A</v>
      </c>
      <c r="EN27" s="153" t="str">
        <f t="shared" si="21"/>
        <v>#N/A</v>
      </c>
      <c r="EO27" s="153" t="str">
        <f>AVERAGE(OFFSET($EN$3,0,0,'Données projet'!$E$15+1,1))-AVERAGE(OFFSET($H$3,0,0,'Données projet'!$E$15+1,1))</f>
        <v>#N/A</v>
      </c>
      <c r="EP27" s="153" t="str">
        <f t="shared" si="47"/>
        <v>#N/A</v>
      </c>
      <c r="EQ27" s="154">
        <f>IF(ISNA(VLOOKUP(A27,'Données projet'!$A$191:$I$211,3,0)),0,VLOOKUP(A27,'Données projet'!$A$191:$I$211,3,0))</f>
        <v>0</v>
      </c>
      <c r="ER27" s="154">
        <f>IF(ISNA(VLOOKUP(A27,'Données projet'!$A$191:$I$211,4,0)),0,VLOOKUP(A27,'Données projet'!$A$191:$I$211,4,0))</f>
        <v>0</v>
      </c>
      <c r="ES27" s="155">
        <f>IF(ISNA(VLOOKUP(A27,'Données projet'!$A$191:$I$211,5,0)),0%,VLOOKUP(A27,'Données projet'!$A$191:$I$211,5,0)*VLOOKUP('Données projet'!$B$15,'Paramètres'!$A$1:$I$88,7,0))</f>
        <v>0</v>
      </c>
      <c r="ET27" s="155">
        <f>IF(ISNA(VLOOKUP(A27,'Données projet'!$A$191:$I$211,6,0)),0%,VLOOKUP(A27,'Données projet'!$A$191:$I$211,6,0)*VLOOKUP('Données projet'!$B$15,'Paramètres'!$A$1:$I$88,7,0))</f>
        <v>0</v>
      </c>
      <c r="EU27" s="155">
        <f>IF(ISNA(VLOOKUP(A27,'Données projet'!$A$191:$I$211,7,0)),0%,VLOOKUP(A27,'Données projet'!$A$191:$I$211,7,0))</f>
        <v>0</v>
      </c>
      <c r="EV27" s="162" t="str">
        <f>EXP(-LN(2)/35)*EV26+(1-EXP(-LN(2)/35))/(LN(2)/35)*ER27*ES27*VLOOKUP('Données projet'!$B$15,'Paramètres'!$A$1:$I$88,3,0)*0.475*44/12</f>
        <v>#N/A</v>
      </c>
      <c r="EW27" s="162" t="str">
        <f>EXP(-LN(2)/25)*EW26+(1-EXP(-LN(2)/25))/(LN(2)/25)*Calculateur!ER27*Calculateur!ET27*VLOOKUP('Données projet'!$B$15,'Paramètres'!$A$1:$I$88,3,0)*0.475*44/12</f>
        <v>#N/A</v>
      </c>
      <c r="EX27" s="162" t="str">
        <f>EXP(-LN(2)/2)*EX26+(1-EXP(-LN(2)/2))/(LN(2)/2)*ER27*EU27*VLOOKUP('Données projet'!$B$15,'Paramètres'!$A$1:$I$88,3,0)*0.475*44/12</f>
        <v>#N/A</v>
      </c>
      <c r="EY27" s="163" t="str">
        <f t="shared" si="22"/>
        <v>#N/A</v>
      </c>
      <c r="EZ27" s="159">
        <f>('Scénario référence'!$F$8+'Scénario référence'!$F$9+'Scénario référence'!$B$17+'Scénario référence'!$B$9+'Scénario référence'!$B$10)*70+IF((45+25*(1-EXP(-0.0175*A27)))&lt;70,'Scénario référence'!$B$16*(45+25*(1-EXP(-0.0175*A27))),70*'Scénario référence'!$B$16)+IF((32+38*(1-EXP(-0.0175*A27)))&lt;70,'Scénario référence'!$B$18*(32+38*(1-EXP(-0.0175*A27))),70*'Scénario référence'!$B$18)</f>
        <v>70</v>
      </c>
      <c r="FA27" s="151">
        <f>IF(A27&gt;30,10,('Scénario référence'!$B$16+'Scénario référence'!$B$17+'Scénario référence'!$B$18+'Scénario référence'!$B$9+'Scénario référence'!$B$10)*A27*10/30+('Scénario référence'!$F$8+'Scénario référence'!$F$9)*10)</f>
        <v>8</v>
      </c>
      <c r="FB27" s="151" t="str">
        <f>VLOOKUP(A27,'Données projet'!$A$217:$I$237,2,0)</f>
        <v>#N/A</v>
      </c>
      <c r="FC27" s="151" t="str">
        <f>VLOOKUP(A27,'Données projet'!$A$217:$I$237,9,0)</f>
        <v>#N/A</v>
      </c>
      <c r="FD27" s="151" t="str">
        <f t="array" ref="FD27">INDEX(FC:FC,MIN(IF(ISNUMBER(FC27:FC223),ROW(FC27:FC223),"")))</f>
        <v/>
      </c>
      <c r="FE27" s="151">
        <f>IF('Données projet'!$A$218&gt;35,FE26+FD27-FM26,IF(A27&lt;'Données projet'!$A$218,$FB$205^A27,IF(A27='Données projet'!$A$218,'Données projet'!$B$218,FE26+FD27-FM26)))</f>
        <v>0</v>
      </c>
      <c r="FF27" s="158" t="str">
        <f>FE27*VLOOKUP('Données projet'!$B$16,'Paramètres'!$A$1:$I$88,3,0)*VLOOKUP('Données projet'!$B$16,'Paramètres'!$A$1:$I$88,5,0)</f>
        <v>#N/A</v>
      </c>
      <c r="FG27" s="150" t="str">
        <f t="shared" si="48"/>
        <v>#N/A</v>
      </c>
      <c r="FH27" s="161" t="str">
        <f t="shared" si="23"/>
        <v>#N/A</v>
      </c>
      <c r="FI27" s="153" t="str">
        <f t="shared" si="24"/>
        <v>#N/A</v>
      </c>
      <c r="FJ27" s="153" t="str">
        <f>AVERAGE(OFFSET($FI$3,0,0,'Données projet'!$E$16+1,1))-AVERAGE(OFFSET($H$3,0,0,'Données projet'!$E$16+1,1))</f>
        <v>#N/A</v>
      </c>
      <c r="FK27" s="153" t="str">
        <f t="shared" si="49"/>
        <v>#N/A</v>
      </c>
      <c r="FL27" s="154">
        <f>IF(ISNA(VLOOKUP(A27,'Données projet'!$A$217:$I$237,3,0)),0,VLOOKUP(A27,'Données projet'!$A$217:$I$237,3,0))</f>
        <v>0</v>
      </c>
      <c r="FM27" s="154">
        <f>IF(ISNA(VLOOKUP(A27,'Données projet'!$A$217:$I$237,4,0)),0,VLOOKUP(A27,'Données projet'!$A$217:$I$237,4,0))</f>
        <v>0</v>
      </c>
      <c r="FN27" s="155">
        <f>IF(ISNA(VLOOKUP(A27,'Données projet'!$A$217:$I$237,5,0)),0%,VLOOKUP(A27,'Données projet'!$A$217:$I$237,5,0)*VLOOKUP('Données projet'!$B$16,'Paramètres'!$A$1:$I$88,7,0))</f>
        <v>0</v>
      </c>
      <c r="FO27" s="155">
        <f>IF(ISNA(VLOOKUP(A27,'Données projet'!$A$217:$I$237,6,0)),0%,VLOOKUP(A27,'Données projet'!$A$217:$I$237,6,0)*VLOOKUP('Données projet'!$B$16,'Paramètres'!$A$1:$I$88,7,0))</f>
        <v>0</v>
      </c>
      <c r="FP27" s="155">
        <f>IF(ISNA(VLOOKUP(A27,'Données projet'!$A$217:$I$237,7,0)),0%,VLOOKUP(A27,'Données projet'!$A$217:$I$237,7,0))</f>
        <v>0</v>
      </c>
      <c r="FQ27" s="162" t="str">
        <f>EXP(-LN(2)/35)*FQ26+(1-EXP(-LN(2)/35))/(LN(2)/35)*FM27*FN27*VLOOKUP('Données projet'!$B$16,'Paramètres'!$A$1:$I$88,3,0)*0.475*44/12</f>
        <v>#N/A</v>
      </c>
      <c r="FR27" s="162" t="str">
        <f>EXP(-LN(2)/25)*FR26+(1-EXP(-LN(2)/25))/(LN(2)/25)*Calculateur!FM27*Calculateur!FO27*VLOOKUP('Données projet'!$B$16,'Paramètres'!$A$1:$I$88,3,0)*0.475*44/12</f>
        <v>#N/A</v>
      </c>
      <c r="FS27" s="162" t="str">
        <f>EXP(-LN(2)/2)*FS26+(1-EXP(-LN(2)/2))/(LN(2)/2)*FM27*FP27*VLOOKUP('Données projet'!$B$16,'Paramètres'!$A$1:$I$88,3,0)*0.475*44/12</f>
        <v>#N/A</v>
      </c>
      <c r="FT27" s="163" t="str">
        <f t="shared" si="25"/>
        <v>#N/A</v>
      </c>
      <c r="FU27" s="159">
        <f>('Scénario référence'!$F$8+'Scénario référence'!$F$9+'Scénario référence'!$B$17+'Scénario référence'!$B$9+'Scénario référence'!$B$10)*70+IF((45+25*(1-EXP(-0.0175*A27)))&lt;70,'Scénario référence'!$B$16*(45+25*(1-EXP(-0.0175*A27))),70*'Scénario référence'!$B$16)+IF((32+38*(1-EXP(-0.0175*A27)))&lt;70,'Scénario référence'!$B$18*(32+38*(1-EXP(-0.0175*A27))),70*'Scénario référence'!$B$18)</f>
        <v>70</v>
      </c>
      <c r="FV27" s="151">
        <f>IF(A27&gt;30,10,('Scénario référence'!$B$16+'Scénario référence'!$B$17+'Scénario référence'!$B$18+'Scénario référence'!$B$9+'Scénario référence'!$B$10)*A27*10/30+('Scénario référence'!$F$8+'Scénario référence'!$F$9)*10)</f>
        <v>8</v>
      </c>
      <c r="FW27" s="151" t="str">
        <f>VLOOKUP(A27,'Données projet'!$A$243:$I$263,2,0)</f>
        <v>#N/A</v>
      </c>
      <c r="FX27" s="151" t="str">
        <f>VLOOKUP(A27,'Données projet'!$A$243:$I$263,9,0)</f>
        <v>#N/A</v>
      </c>
      <c r="FY27" s="151" t="str">
        <f t="array" ref="FY27">INDEX(FX:FX,MIN(IF(ISNUMBER(FX27:FX223),ROW(FX27:FX223),"")))</f>
        <v/>
      </c>
      <c r="FZ27" s="151">
        <f>IF('Données projet'!$A$244&gt;35,FZ26+FY27-GH26,IF(A27&lt;'Données projet'!$A$244,$FW$205^A27,IF(A27='Données projet'!$A$244,'Données projet'!$B$244,FZ26+FY27-GH26)))</f>
        <v>0</v>
      </c>
      <c r="GA27" s="158" t="str">
        <f>FZ27*VLOOKUP('Données projet'!$B$17,'Paramètres'!$A$1:$I$88,3,0)*VLOOKUP('Données projet'!$B$17,'Paramètres'!$A$1:$I$88,5,0)</f>
        <v>#N/A</v>
      </c>
      <c r="GB27" s="150" t="str">
        <f t="shared" si="50"/>
        <v>#N/A</v>
      </c>
      <c r="GC27" s="161" t="str">
        <f t="shared" si="26"/>
        <v>#N/A</v>
      </c>
      <c r="GD27" s="153" t="str">
        <f t="shared" si="27"/>
        <v>#N/A</v>
      </c>
      <c r="GE27" s="153" t="str">
        <f>AVERAGE(OFFSET($GD$3,0,0,'Données projet'!$E$17+1,1))-AVERAGE(OFFSET($H$3,0,0,'Données projet'!$E$17+1,1))</f>
        <v>#N/A</v>
      </c>
      <c r="GF27" s="153" t="str">
        <f t="shared" si="51"/>
        <v>#N/A</v>
      </c>
      <c r="GG27" s="154">
        <f>IF(ISNA(VLOOKUP(A27,'Données projet'!$A$243:$I$263,3,0)),0,VLOOKUP(A27,'Données projet'!$A$243:$I$263,3,0))</f>
        <v>0</v>
      </c>
      <c r="GH27" s="154">
        <f>IF(ISNA(VLOOKUP(A27,'Données projet'!$A$243:$I$263,4,0)),0,VLOOKUP(A27,'Données projet'!$A$243:$I$263,4,0))</f>
        <v>0</v>
      </c>
      <c r="GI27" s="155">
        <f>IF(ISNA(VLOOKUP(A27,'Données projet'!$A$243:$I$263,5,0)),0%,VLOOKUP(A27,'Données projet'!$A$243:$I$263,5,0)*VLOOKUP('Données projet'!$B$17,'Paramètres'!$A$1:$I$88,7,0))</f>
        <v>0</v>
      </c>
      <c r="GJ27" s="155">
        <f>IF(ISNA(VLOOKUP(A27,'Données projet'!$A$243:$I$263,6,0)),0%,VLOOKUP(A27,'Données projet'!$A$243:$I$263,6,0)*VLOOKUP('Données projet'!$B$17,'Paramètres'!$A$1:$I$88,7,0))</f>
        <v>0</v>
      </c>
      <c r="GK27" s="155">
        <f>IF(ISNA(VLOOKUP(A27,'Données projet'!$A$243:$I$263,7,0)),0%,VLOOKUP(A27,'Données projet'!$A$243:$I$263,7,0))</f>
        <v>0</v>
      </c>
      <c r="GL27" s="162" t="str">
        <f>EXP(-LN(2)/35)*GL26+(1-EXP(-LN(2)/35))/(LN(2)/35)*GH27*GI27*VLOOKUP('Données projet'!$B$17,'Paramètres'!$A$1:$I$88,3,0)*0.475*44/12</f>
        <v>#N/A</v>
      </c>
      <c r="GM27" s="162" t="str">
        <f>EXP(-LN(2)/25)*GM26+(1-EXP(-LN(2)/25))/(LN(2)/25)*Calculateur!GH27*Calculateur!GJ27*VLOOKUP('Données projet'!$B$17,'Paramètres'!$A$1:$I$88,3,0)*0.475*44/12</f>
        <v>#N/A</v>
      </c>
      <c r="GN27" s="162" t="str">
        <f>EXP(-LN(2)/2)*GN26+(1-EXP(-LN(2)/2))/(LN(2)/2)*GH27*GK27*VLOOKUP('Données projet'!$B$17,'Paramètres'!$A$1:$I$88,3,0)*0.475*44/12</f>
        <v>#N/A</v>
      </c>
      <c r="GO27" s="162" t="str">
        <f t="shared" si="28"/>
        <v>#N/A</v>
      </c>
      <c r="GP27" s="159">
        <f>('Scénario référence'!$F$8+'Scénario référence'!$F$9+'Scénario référence'!$B$17+'Scénario référence'!$B$9+'Scénario référence'!$B$10)*70+IF((45+25*(1-EXP(-0.0175*A27)))&lt;70,'Scénario référence'!$B$16*(45+25*(1-EXP(-0.0175*A27))),70*'Scénario référence'!$B$16)+IF((32+38*(1-EXP(-0.0175*A27)))&lt;70,'Scénario référence'!$B$18*(32+38*(1-EXP(-0.0175*A27))),70*'Scénario référence'!$B$18)</f>
        <v>70</v>
      </c>
      <c r="GQ27" s="151">
        <f>IF(A27&gt;30,10,('Scénario référence'!$B$16+'Scénario référence'!$B$17+'Scénario référence'!$B$18+'Scénario référence'!$B$9+'Scénario référence'!$B$10)*A27*10/30+('Scénario référence'!$F$8+'Scénario référence'!$F$9)*10)</f>
        <v>8</v>
      </c>
      <c r="GR27" s="151" t="str">
        <f>VLOOKUP(A27,'Données projet'!$A$269:$I$289,2,0)</f>
        <v>#N/A</v>
      </c>
      <c r="GS27" s="151" t="str">
        <f>VLOOKUP(A27,'Données projet'!$A$269:$I$289,9,0)</f>
        <v>#N/A</v>
      </c>
      <c r="GT27" s="151" t="str">
        <f t="array" ref="GT27">INDEX(GS:GS,MIN(IF(ISNUMBER(GS27:GS223),ROW(GS27:GS223),"")))</f>
        <v/>
      </c>
      <c r="GU27" s="151">
        <f>IF('Données projet'!$A$270&gt;35,GU26+GT27-HC26,IF(A27&lt;'Données projet'!$A$270,$GR$205^A27,IF(A27='Données projet'!$A$270,'Données projet'!$B$270,GU26+GT27-HC26)))</f>
        <v>0</v>
      </c>
      <c r="GV27" s="158" t="str">
        <f>GU27*VLOOKUP('Données projet'!$B$18,'Paramètres'!$A$1:$I$88,3,0)*VLOOKUP('Données projet'!$B$18,'Paramètres'!$A$1:$I$88,5,0)</f>
        <v>#N/A</v>
      </c>
      <c r="GW27" s="150" t="str">
        <f t="shared" si="52"/>
        <v>#N/A</v>
      </c>
      <c r="GX27" s="161" t="str">
        <f t="shared" si="29"/>
        <v>#N/A</v>
      </c>
      <c r="GY27" s="153" t="str">
        <f t="shared" si="30"/>
        <v>#N/A</v>
      </c>
      <c r="GZ27" s="153" t="str">
        <f>AVERAGE(OFFSET($GY$3,0,0,'Données projet'!$E$18+1,1))-AVERAGE(OFFSET($H$3,0,0,'Données projet'!$E$18+1,1))</f>
        <v>#N/A</v>
      </c>
      <c r="HA27" s="153" t="str">
        <f t="shared" si="53"/>
        <v>#N/A</v>
      </c>
      <c r="HB27" s="154">
        <f>IF(ISNA(VLOOKUP(A27,'Données projet'!$A$269:$I$289,3,0)),0,VLOOKUP(A27,'Données projet'!$A$269:$I$289,3,0))</f>
        <v>0</v>
      </c>
      <c r="HC27" s="154">
        <f>IF(ISNA(VLOOKUP(A27,'Données projet'!$A$269:$I$289,4,0)),0,VLOOKUP(A27,'Données projet'!$A$269:$I$289,4,0))</f>
        <v>0</v>
      </c>
      <c r="HD27" s="155">
        <f>IF(ISNA(VLOOKUP(A27,'Données projet'!$A$269:$I$289,5,0)),0%,VLOOKUP(A27,'Données projet'!$A$269:$I$289,5,0)*VLOOKUP('Données projet'!$B$18,'Paramètres'!$A$1:$I$88,7,0))</f>
        <v>0</v>
      </c>
      <c r="HE27" s="155">
        <f>IF(ISNA(VLOOKUP(A27,'Données projet'!$A$269:$I$289,6,0)),0%,VLOOKUP(A27,'Données projet'!$A$269:$I$289,6,0)*VLOOKUP('Données projet'!$B$18,'Paramètres'!$A$1:$I$88,7,0))</f>
        <v>0</v>
      </c>
      <c r="HF27" s="155">
        <f>IF(ISNA(VLOOKUP(A27,'Données projet'!$A$269:$I$289,7,0)),0%,VLOOKUP(A27,'Données projet'!$A$269:$I$289,7,0))</f>
        <v>0</v>
      </c>
      <c r="HG27" s="162" t="str">
        <f>EXP(-LN(2)/35)*HG26+(1-EXP(-LN(2)/35))/(LN(2)/35)*HC27*HD27*VLOOKUP('Données projet'!$B$18,'Paramètres'!$A$1:$I$88,3,0)*0.475*44/12</f>
        <v>#N/A</v>
      </c>
      <c r="HH27" s="162" t="str">
        <f>EXP(-LN(2)/25)*HH26+(1-EXP(-LN(2)/25))/(LN(2)/25)*Calculateur!HC27*Calculateur!HE27*VLOOKUP('Données projet'!$B$18,'Paramètres'!$A$1:$I$88,3,0)*0.475*44/12</f>
        <v>#N/A</v>
      </c>
      <c r="HI27" s="162" t="str">
        <f>EXP(-LN(2)/2)*HI26+(1-EXP(-LN(2)/2))/(LN(2)/2)*HC27*HF27*VLOOKUP('Données projet'!$B$18,'Paramètres'!$A$1:$I$88,3,0)*0.475*44/12</f>
        <v>#N/A</v>
      </c>
      <c r="HJ27" s="163" t="str">
        <f t="shared" si="31"/>
        <v>#N/A</v>
      </c>
    </row>
    <row r="28" ht="15.75" customHeight="1">
      <c r="A28" s="145">
        <f t="shared" si="32"/>
        <v>25</v>
      </c>
      <c r="B28" s="146">
        <f>'Scénario référence'!$B$16*5+'Scénario référence'!$B$17*0+'Scénario référence'!$B$18*5</f>
        <v>0</v>
      </c>
      <c r="C28" s="160">
        <f>Calculateur!C27+'Scénario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28" s="147">
        <f t="shared" si="33"/>
        <v>0</v>
      </c>
      <c r="E28" s="147">
        <f>'Scénario référence'!$B$16*45+('Scénario référence'!$B$17+'Scénario référence'!$F$8+'Scénario référence'!$F$9+'Scénario référence'!$B$10+'Scénario référence'!$B$9)*70+'Scénario référence'!$B$18*32</f>
        <v>70</v>
      </c>
      <c r="F28" s="147">
        <f>IF(OR('Scénario référence'!$F$8&gt;0,'Scénario référence'!$F$9&gt;0),('Scénario référence'!$F$8+'Scénario référence'!$F$9)*10,0)</f>
        <v>0</v>
      </c>
      <c r="G28" s="147">
        <f>'Scénario référence'!$B$8*B28*44/12+'Scénario référence'!$B$9*(C28+D28)/0.475*44/12+'Scénario référence'!$B$10*(C28+D28)/0.475*44/12+'Scénario référence'!$F$8*(C28+D28)/0.475*44/12+'Scénario référence'!$F$9*(C28+D28)/0.475*44/12</f>
        <v>0</v>
      </c>
      <c r="H28" s="148">
        <f t="shared" si="1"/>
        <v>256.6666667</v>
      </c>
      <c r="I28" s="149">
        <f>('Scénario référence'!$F$8+'Scénario référence'!$F$9+'Scénario référence'!$B$17+'Scénario référence'!$B$9+'Scénario référence'!$B$10)*70+IF((45+25*(1-EXP(-0.0175*A28)))&lt;70,'Scénario référence'!$B$16*(45+25*(1-EXP(-0.0175*A28))),70*'Scénario référence'!$B$16)+IF((32+38*(1-EXP(-0.0175*A28)))&lt;70,'Scénario référence'!$B$18*(32+38*(1-EXP(-0.0175*A28))),70*'Scénario référence'!$B$18)</f>
        <v>70</v>
      </c>
      <c r="J28" s="150">
        <f>IF(A28&gt;30,10,('Scénario référence'!$B$16+'Scénario référence'!$B$17+'Scénario référence'!$B$18+'Scénario référence'!$B$9+'Scénario référence'!$B$10)*A28*10/30+('Scénario référence'!$F$8+'Scénario référence'!$F$9)*10)</f>
        <v>8.333333333</v>
      </c>
      <c r="K28" s="165">
        <f>VLOOKUP(A28,'Données projet'!$A$35:$I$55,2,0)</f>
        <v>103</v>
      </c>
      <c r="L28" s="150">
        <f>VLOOKUP(A28,'Données projet'!$A$35:$I$55,9,0)</f>
        <v>7.2</v>
      </c>
      <c r="M28" s="150">
        <f t="array" ref="M28">INDEX(L:L,MIN(IF(ISNUMBER(L28:L224),ROW(L28:L224),"")))</f>
        <v>7.2</v>
      </c>
      <c r="N28" s="150">
        <f>IF('Données projet'!$A$36&gt;35,N27+M28-V27,IF(A28&lt;'Données projet'!$A$36,$K$205^A28,IF(A28='Données projet'!$A$36,'Données projet'!$B$36,N27+M28-V27)))</f>
        <v>103</v>
      </c>
      <c r="O28" s="150">
        <f>N28*VLOOKUP('Données projet'!$B$9,'Paramètres'!$A$1:$I$88,3,0)*VLOOKUP('Données projet'!$B$9,'Paramètres'!$A$1:$I$88,5,0)</f>
        <v>93.1944</v>
      </c>
      <c r="P28" s="150">
        <f t="shared" si="34"/>
        <v>25.33406654</v>
      </c>
      <c r="Q28" s="161">
        <f t="shared" si="2"/>
        <v>206.4370792</v>
      </c>
      <c r="R28" s="153">
        <f t="shared" si="3"/>
        <v>493.6593014</v>
      </c>
      <c r="S28" s="153">
        <f>AVERAGE(OFFSET($R$3,0,0,'Données projet'!$E$9+1,1))-AVERAGE(OFFSET($H$3,0,0,'Données projet'!$E$9+1,1))</f>
        <v>439.1985427</v>
      </c>
      <c r="T28" s="153">
        <f t="shared" si="35"/>
        <v>278.2174123</v>
      </c>
      <c r="U28" s="154">
        <f>IF(ISNA(VLOOKUP(A28,'Données projet'!$A$35:$I$55,3,0)),0,VLOOKUP(A28,'Données projet'!$A$35:$I$55,3,0))</f>
        <v>2</v>
      </c>
      <c r="V28" s="164">
        <f>IF(ISNA(VLOOKUP(A28,'Données projet'!$A$35:$I$55,4,0)),0,VLOOKUP(A28,'Données projet'!$A$35:$I$55,4,0))</f>
        <v>28</v>
      </c>
      <c r="W28" s="155">
        <f>IF(ISNA(VLOOKUP(A28,'Données projet'!$A$35:$I$55,5,0)),0%,VLOOKUP(A28,'Données projet'!$A$35:$I$55,5,0)*VLOOKUP('Données projet'!$B$9,'Paramètres'!$A$1:$I$88,7,0))</f>
        <v>0</v>
      </c>
      <c r="X28" s="155">
        <f>IF(ISNA(VLOOKUP(A28,'Données projet'!$A$35:$I$55,6,0)),0%,VLOOKUP(A28,'Données projet'!$A$35:$I$55,6,0)*VLOOKUP('Données projet'!$B$9,'Paramètres'!$A$1:$I$88,7,0))</f>
        <v>0.086</v>
      </c>
      <c r="Y28" s="155" t="str">
        <f>IF(ISNA(VLOOKUP(A28,'Données projet'!$A$35:$I$55,7,0)),0%,VLOOKUP(A28,'Données projet'!$A$35:$I$55,7,0))</f>
        <v/>
      </c>
      <c r="Z28" s="162">
        <f>EXP(-LN(2)/35)*Z27+(1-EXP(-LN(2)/35))/(LN(2)/35)*V28*W28*VLOOKUP('Données projet'!$B$9,'Paramètres'!$A$1:$I$88,3,0)*0.475*44/12</f>
        <v>0</v>
      </c>
      <c r="AA28" s="162">
        <f>EXP(-LN(2)/25)*AA27+(1-EXP(-LN(2)/25))/(LN(2)/25)*Calculateur!V28*Calculateur!X28*VLOOKUP('Données projet'!$B$9,'Paramètres'!$A$1:$I$88,3,0)*0.475*44/12</f>
        <v>2.399069485</v>
      </c>
      <c r="AB28" s="162">
        <f>EXP(-LN(2)/2)*AB27+(1-EXP(-LN(2)/2))/(LN(2)/2)*V28*Y28*VLOOKUP('Données projet'!$B$9,'Paramètres'!$A$1:$I$88,3,0)*0.475*44/12</f>
        <v>0</v>
      </c>
      <c r="AC28" s="163">
        <f t="shared" si="4"/>
        <v>2.399069485</v>
      </c>
      <c r="AD28" s="150">
        <f>('Scénario référence'!$F$8+'Scénario référence'!$F$9+'Scénario référence'!$B$17+'Scénario référence'!$B$9+'Scénario référence'!$B$10)*70+IF((45+25*(1-EXP(-0.0175*A28)))&lt;70,'Scénario référence'!$B$16*(45+25*(1-EXP(-0.0175*A28))),70*'Scénario référence'!$B$16)+IF((32+38*(1-EXP(-0.0175*A28)))&lt;70,'Scénario référence'!$B$18*(32+38*(1-EXP(-0.0175*A28))),70*'Scénario référence'!$B$18)</f>
        <v>70</v>
      </c>
      <c r="AE28" s="150">
        <f>IF(A28&gt;30,10,('Scénario référence'!$B$16+'Scénario référence'!$B$17+'Scénario référence'!$B$18+'Scénario référence'!$B$9+'Scénario référence'!$B$10)*A28*10/30+('Scénario référence'!$F$8+'Scénario référence'!$F$9)*10)</f>
        <v>8.333333333</v>
      </c>
      <c r="AF28" s="151">
        <f>VLOOKUP(A28,'Données projet'!$A$61:$I$81,2,0)</f>
        <v>167</v>
      </c>
      <c r="AG28" s="150">
        <f>VLOOKUP(A28,'Données projet'!$A$61:$I$81,9,0)</f>
        <v>17.2</v>
      </c>
      <c r="AH28" s="150">
        <f t="array" ref="AH28">INDEX(AG:AG,MIN(IF(ISNUMBER(AG28:AG224),ROW(AG28:AG224),"")))</f>
        <v>17.2</v>
      </c>
      <c r="AI28" s="150">
        <f>IF('Données projet'!$A$62&gt;35,AI27+AH28-AQ27,IF(A28&lt;'Données projet'!$A$62,$AF$205^A28,IF(A28='Données projet'!$A$62,'Données projet'!$B$62,AI27+AH28-AQ27)))</f>
        <v>167</v>
      </c>
      <c r="AJ28" s="150">
        <f>AI28*VLOOKUP('Données projet'!$B$10,'Paramètres'!$A$1:$I$88,3,0)*VLOOKUP('Données projet'!$B$10,'Paramètres'!$A$1:$I$88,5,0)</f>
        <v>132.8652</v>
      </c>
      <c r="AK28" s="150">
        <f t="shared" si="36"/>
        <v>34.65758057</v>
      </c>
      <c r="AL28" s="161">
        <f t="shared" si="5"/>
        <v>291.7688428</v>
      </c>
      <c r="AM28" s="153">
        <f t="shared" si="6"/>
        <v>578.991065</v>
      </c>
      <c r="AN28" s="153">
        <f>AVERAGE(OFFSET($AM$3,0,0,'Données projet'!$E$10+1,1))-AVERAGE(OFFSET($H$3,0,0,'Données projet'!$E$10+1,1))</f>
        <v>405.6113614</v>
      </c>
      <c r="AO28" s="153">
        <f t="shared" si="37"/>
        <v>393.0787141</v>
      </c>
      <c r="AP28" s="154">
        <f>IF(ISNA(VLOOKUP(A28,'Données projet'!$A$61:$I$81,3,0)),0,VLOOKUP(A28,'Données projet'!$A$61:$I$81,3,0))</f>
        <v>4</v>
      </c>
      <c r="AQ28" s="164">
        <f>IF(ISNA(VLOOKUP(A28,'Données projet'!$A$61:$I$81,4,0)),0,VLOOKUP(A28,'Données projet'!$A$61:$I$81,4,0))</f>
        <v>42</v>
      </c>
      <c r="AR28" s="155">
        <f>IF(ISNA(VLOOKUP(A28,'Données projet'!$A$61:$I$81,5,0)),0%,VLOOKUP(A28,'Données projet'!$A$61:$I$81,5,0)*VLOOKUP('Données projet'!$B$10,'Paramètres'!$A$1:$I$88,7,0))</f>
        <v>0</v>
      </c>
      <c r="AS28" s="155">
        <f>IF(ISNA(VLOOKUP(A28,'Données projet'!$A$61:$I$81,6,0)),0%,VLOOKUP(A28,'Données projet'!$A$61:$I$81,6,0)*VLOOKUP('Données projet'!$B$10,'Paramètres'!$A$1:$I$88,7,0))</f>
        <v>0.265</v>
      </c>
      <c r="AT28" s="155" t="str">
        <f>IF(ISNA(VLOOKUP(A28,'Données projet'!$A$61:$I$81,7,0)),0%,VLOOKUP(A28,'Données projet'!$A$61:$I$81,7,0))</f>
        <v/>
      </c>
      <c r="AU28" s="162">
        <f>EXP(-LN(2)/35)*AU27+(1-EXP(-LN(2)/35))/(LN(2)/35)*AQ28*AR28*VLOOKUP('Données projet'!$B$10,'Paramètres'!$A$1:$I$88,3,0)*0.475*44/12</f>
        <v>0</v>
      </c>
      <c r="AV28" s="162">
        <f>EXP(-LN(2)/25)*AV27+(1-EXP(-LN(2)/25))/(LN(2)/25)*Calculateur!AQ28*Calculateur!AS28*VLOOKUP('Données projet'!$B$10,'Paramètres'!$A$1:$I$88,3,0)*0.475*44/12</f>
        <v>9.750428255</v>
      </c>
      <c r="AW28" s="162">
        <f>EXP(-LN(2)/2)*AW27+(1-EXP(-LN(2)/2))/(LN(2)/2)*AQ28*AT28*VLOOKUP('Données projet'!$B$10,'Paramètres'!$A$1:$I$88,3,0)*0.475*44/12</f>
        <v>3.279347444</v>
      </c>
      <c r="AX28" s="162">
        <f t="shared" si="7"/>
        <v>13.0297757</v>
      </c>
      <c r="AY28" s="157">
        <f>('Scénario référence'!$F$8+'Scénario référence'!$F$9+'Scénario référence'!$B$17+'Scénario référence'!$B$9+'Scénario référence'!$B$10)*70+IF((45+25*(1-EXP(-0.0175*A28)))&lt;70,'Scénario référence'!$B$16*(45+25*(1-EXP(-0.0175*A28))),70*'Scénario référence'!$B$16)+IF((32+38*(1-EXP(-0.0175*A28)))&lt;70,'Scénario référence'!$B$18*(32+38*(1-EXP(-0.0175*A28))),70*'Scénario référence'!$B$18)</f>
        <v>70</v>
      </c>
      <c r="AZ28" s="151">
        <f>IF(A28&gt;30,10,('Scénario référence'!$B$16+'Scénario référence'!$B$17+'Scénario référence'!$B$18+'Scénario référence'!$B$9+'Scénario référence'!$B$10)*A28*10/30+('Scénario référence'!$F$8+'Scénario référence'!$F$9)*10)</f>
        <v>8.333333333</v>
      </c>
      <c r="BA28" s="151" t="str">
        <f>VLOOKUP(A28,'Données projet'!$A$87:$I$107,2,0)</f>
        <v>#N/A</v>
      </c>
      <c r="BB28" s="150" t="str">
        <f>VLOOKUP(A28,'Données projet'!$A$87:$I$107,9,0)</f>
        <v>#N/A</v>
      </c>
      <c r="BC28" s="150" t="str">
        <f t="array" ref="BC28">INDEX(BB:BB,MIN(IF(ISNUMBER(BB28:BB224),ROW(BB28:BB224),"")))</f>
        <v/>
      </c>
      <c r="BD28" s="150">
        <f>IF('Données projet'!$A$88&gt;35,BD27+BC28-BL27,IF(A28&lt;'Données projet'!$A$88,$BA$205^A28,IF(A28='Données projet'!$A$88,'Données projet'!$B$88,BD27+BC28-BL27)))</f>
        <v>0</v>
      </c>
      <c r="BE28" s="150">
        <f>BD28*VLOOKUP('Données projet'!$B$11,'Paramètres'!$A$1:$I$88,3,0)*VLOOKUP('Données projet'!$B$11,'Paramètres'!$A$1:$I$88,5,0)</f>
        <v>0</v>
      </c>
      <c r="BF28" s="150" t="str">
        <f t="shared" si="38"/>
        <v>#NUM!</v>
      </c>
      <c r="BG28" s="161" t="str">
        <f t="shared" si="8"/>
        <v>#NUM!</v>
      </c>
      <c r="BH28" s="153" t="str">
        <f t="shared" si="9"/>
        <v>#NUM!</v>
      </c>
      <c r="BI28" s="153">
        <f>AVERAGE(OFFSET($BH$3,0,0,'Données projet'!$E$11+1,1))-AVERAGE(OFFSET($H$3,0,0,'Données projet'!$E$11+1,1))</f>
        <v>0</v>
      </c>
      <c r="BJ28" s="153">
        <f t="shared" si="39"/>
        <v>0</v>
      </c>
      <c r="BK28" s="154">
        <f>IF(ISNA(VLOOKUP(A28,'Données projet'!$A$87:$I$107,3,0)),0,VLOOKUP(A28,'Données projet'!$A$87:$I$107,3,0))</f>
        <v>0</v>
      </c>
      <c r="BL28" s="154">
        <f>IF(ISNA(VLOOKUP(A28,'Données projet'!$A$87:$I$107,4,0)),0,VLOOKUP(A28,'Données projet'!$A$87:$I$107,4,0))</f>
        <v>0</v>
      </c>
      <c r="BM28" s="155">
        <f>IF(ISNA(VLOOKUP(A28,'Données projet'!$A$87:$I$107,5,0)),0%,VLOOKUP(A28,'Données projet'!$A$87:$I$107,5,0)*VLOOKUP('Données projet'!$B$11,'Paramètres'!$A$1:$I$88,7,0))</f>
        <v>0</v>
      </c>
      <c r="BN28" s="155">
        <f>IF(ISNA(VLOOKUP(A28,'Données projet'!$A$87:$I$107,6,0)),0%,VLOOKUP(A28,'Données projet'!$A$87:$I$107,6,0)*VLOOKUP('Données projet'!$B$11,'Paramètres'!$A$1:$I$88,7,0))</f>
        <v>0</v>
      </c>
      <c r="BO28" s="155">
        <f>IF(ISNA(VLOOKUP(A28,'Données projet'!$A$87:$I$107,7,0)),0%,VLOOKUP(A28,'Données projet'!$A$87:$I$107,7,0))</f>
        <v>0</v>
      </c>
      <c r="BP28" s="162">
        <f>EXP(-LN(2)/35)*BP27+(1-EXP(-LN(2)/35))/(LN(2)/35)*BL28*BM28*VLOOKUP('Données projet'!$B$11,'Paramètres'!$A$1:$I$88,3,0)*0.475*44/12</f>
        <v>0</v>
      </c>
      <c r="BQ28" s="162">
        <f>EXP(-LN(2)/25)*BQ27+(1-EXP(-LN(2)/25))/(LN(2)/25)*Calculateur!BL28*Calculateur!BN28*VLOOKUP('Données projet'!$B$11,'Paramètres'!$A$1:$I$88,3,0)*0.475*44/12</f>
        <v>0</v>
      </c>
      <c r="BR28" s="162">
        <f>EXP(-LN(2)/2)*BR27+(1-EXP(-LN(2)/2))/(LN(2)/2)*BL28*BO28*VLOOKUP('Données projet'!$B$11,'Paramètres'!$A$1:$I$88,3,0)*0.475*44/12</f>
        <v>0</v>
      </c>
      <c r="BS28" s="163">
        <f t="shared" si="10"/>
        <v>0</v>
      </c>
      <c r="BT28" s="159">
        <f>('Scénario référence'!$F$8+'Scénario référence'!$F$9+'Scénario référence'!$B$17+'Scénario référence'!$B$9+'Scénario référence'!$B$10)*70+IF((45+25*(1-EXP(-0.0175*A28)))&lt;70,'Scénario référence'!$B$16*(45+25*(1-EXP(-0.0175*A28))),70*'Scénario référence'!$B$16)+IF((32+38*(1-EXP(-0.0175*A28)))&lt;70,'Scénario référence'!$B$18*(32+38*(1-EXP(-0.0175*A28))),70*'Scénario référence'!$B$18)</f>
        <v>70</v>
      </c>
      <c r="BU28" s="151">
        <f>IF(A28&gt;30,10,('Scénario référence'!$B$16+'Scénario référence'!$B$17+'Scénario référence'!$B$18+'Scénario référence'!$B$9+'Scénario référence'!$B$10)*A28*10/30+('Scénario référence'!$F$8+'Scénario référence'!$F$9)*10)</f>
        <v>8.333333333</v>
      </c>
      <c r="BV28" s="151" t="str">
        <f>VLOOKUP(A28,'Données projet'!$A$113:$I$133,2,0)</f>
        <v>#N/A</v>
      </c>
      <c r="BW28" s="150" t="str">
        <f>VLOOKUP(A28,'Données projet'!$A$113:$I$133,9,0)</f>
        <v>#N/A</v>
      </c>
      <c r="BX28" s="150" t="str">
        <f t="array" ref="BX28">INDEX(BW:BW,MIN(IF(ISNUMBER(BW28:BW224),ROW(BW28:BW224),"")))</f>
        <v/>
      </c>
      <c r="BY28" s="150">
        <f>IF('Données projet'!$A$114&gt;35,BY27+BX28-CG27,IF(A28&lt;'Données projet'!$A$114,$BV$205^A28,IF(A28='Données projet'!$A$114,'Données projet'!$B$114,BY27+BX28-CG27)))</f>
        <v>0</v>
      </c>
      <c r="BZ28" s="150" t="str">
        <f>BY28*VLOOKUP('Données projet'!$B$12,'Paramètres'!$A$1:$I$88,3,0)*VLOOKUP('Données projet'!$B$12,'Paramètres'!$A$1:$I$88,5,0)</f>
        <v>#N/A</v>
      </c>
      <c r="CA28" s="150" t="str">
        <f t="shared" si="40"/>
        <v>#N/A</v>
      </c>
      <c r="CB28" s="161" t="str">
        <f t="shared" si="11"/>
        <v>#N/A</v>
      </c>
      <c r="CC28" s="153" t="str">
        <f t="shared" si="12"/>
        <v>#N/A</v>
      </c>
      <c r="CD28" s="153" t="str">
        <f>AVERAGE(OFFSET($CC$3,0,0,'Données projet'!$E$12+1,1))-AVERAGE(OFFSET($H$3,0,0,'Données projet'!$E$12+1,1))</f>
        <v>#N/A</v>
      </c>
      <c r="CE28" s="153" t="str">
        <f t="shared" si="41"/>
        <v>#N/A</v>
      </c>
      <c r="CF28" s="154">
        <f>IF(ISNA(VLOOKUP(A28,'Données projet'!$A$113:$I$133,3,0)),0,VLOOKUP(A28,'Données projet'!$A$113:$I$133,3,0))</f>
        <v>0</v>
      </c>
      <c r="CG28" s="154">
        <f>IF(ISNA(VLOOKUP(A28,'Données projet'!$A$113:$I$133,4,0)),0,VLOOKUP(A28,'Données projet'!$A$113:$I$133,4,0))</f>
        <v>0</v>
      </c>
      <c r="CH28" s="155">
        <f>IF(ISNA(VLOOKUP(A28,'Données projet'!$A$113:$I$133,5,0)),0%,VLOOKUP(A28,'Données projet'!$A$113:$I$133,5,0)*VLOOKUP('Données projet'!$B$12,'Paramètres'!$A$1:$I$88,7,0))</f>
        <v>0</v>
      </c>
      <c r="CI28" s="155">
        <f>IF(ISNA(VLOOKUP(A28,'Données projet'!$A$113:$I$133,6,0)),0%,VLOOKUP(A28,'Données projet'!$A$113:$I$133,6,0)*VLOOKUP('Données projet'!$B$12,'Paramètres'!$A$1:$I$88,7,0))</f>
        <v>0</v>
      </c>
      <c r="CJ28" s="155">
        <f>IF(ISNA(VLOOKUP(A28,'Données projet'!$A$113:$I$133,7,0)),0%,VLOOKUP(A28,'Données projet'!$A$113:$I$133,7,0))</f>
        <v>0</v>
      </c>
      <c r="CK28" s="162" t="str">
        <f>EXP(-LN(2)/35)*CK27+(1-EXP(-LN(2)/35))/(LN(2)/35)*CG28*CH28*VLOOKUP('Données projet'!$B$12,'Paramètres'!$A$1:$I$88,3,0)*0.475*44/12</f>
        <v>#N/A</v>
      </c>
      <c r="CL28" s="162" t="str">
        <f>EXP(-LN(2)/25)*CL27+(1-EXP(-LN(2)/25))/(LN(2)/25)*Calculateur!CG28*Calculateur!CI28*VLOOKUP('Données projet'!$B$12,'Paramètres'!$A$1:$I$88,3,0)*0.475*44/12</f>
        <v>#N/A</v>
      </c>
      <c r="CM28" s="162" t="str">
        <f>EXP(-LN(2)/2)*CM27+(1-EXP(-LN(2)/2))/(LN(2)/2)*CG28*CJ28*VLOOKUP('Données projet'!$B$12,'Paramètres'!$A$1:$I$88,3,0)*0.475*44/12</f>
        <v>#N/A</v>
      </c>
      <c r="CN28" s="163" t="str">
        <f t="shared" si="13"/>
        <v>#N/A</v>
      </c>
      <c r="CO28" s="159">
        <f>('Scénario référence'!$F$8+'Scénario référence'!$F$9+'Scénario référence'!$B$17+'Scénario référence'!$B$9+'Scénario référence'!$B$10)*70+IF((45+25*(1-EXP(-0.0175*A28)))&lt;70,'Scénario référence'!$B$16*(45+25*(1-EXP(-0.0175*A28))),70*'Scénario référence'!$B$16)+IF((32+38*(1-EXP(-0.0175*A28)))&lt;70,'Scénario référence'!$B$18*(32+38*(1-EXP(-0.0175*A28))),70*'Scénario référence'!$B$18)</f>
        <v>70</v>
      </c>
      <c r="CP28" s="151">
        <f>IF(A28&gt;30,10,('Scénario référence'!$B$16+'Scénario référence'!$B$17+'Scénario référence'!$B$18+'Scénario référence'!$B$9+'Scénario référence'!$B$10)*A28*10/30+('Scénario référence'!$F$8+'Scénario référence'!$F$9)*10)</f>
        <v>8.333333333</v>
      </c>
      <c r="CQ28" s="151" t="str">
        <f>VLOOKUP(A28,'Données projet'!$A$139:$I$159,2,0)</f>
        <v>#N/A</v>
      </c>
      <c r="CR28" s="151" t="str">
        <f>VLOOKUP(A28,'Données projet'!$A$139:$I$159,9,0)</f>
        <v>#N/A</v>
      </c>
      <c r="CS28" s="151" t="str">
        <f t="array" ref="CS28">INDEX(CR:CR,MIN(IF(ISNUMBER(CR28:CR224),ROW(CR28:CR224),"")))</f>
        <v/>
      </c>
      <c r="CT28" s="151">
        <f>IF('Données projet'!$A$140&gt;35,CT27+CS28-DB27,IF(A28&lt;'Données projet'!$A$140,$CQ$205^A28,IF(A28='Données projet'!$A$140,'Données projet'!$B$140,CT27+CS28-DB27)))</f>
        <v>0</v>
      </c>
      <c r="CU28" s="158" t="str">
        <f>CT28*VLOOKUP('Données projet'!$B$13,'Paramètres'!$A$1:$I$88,3,0)*VLOOKUP('Données projet'!$B$13,'Paramètres'!$A$1:$I$88,5,0)</f>
        <v>#N/A</v>
      </c>
      <c r="CV28" s="150" t="str">
        <f t="shared" si="42"/>
        <v>#N/A</v>
      </c>
      <c r="CW28" s="161" t="str">
        <f t="shared" si="14"/>
        <v>#N/A</v>
      </c>
      <c r="CX28" s="153" t="str">
        <f t="shared" si="15"/>
        <v>#N/A</v>
      </c>
      <c r="CY28" s="153" t="str">
        <f>AVERAGE(OFFSET($CX$3,0,0,'Données projet'!$E$13+1,1))-AVERAGE(OFFSET($H$3,0,0,'Données projet'!$E$13+1,1))</f>
        <v>#N/A</v>
      </c>
      <c r="CZ28" s="153" t="str">
        <f t="shared" si="43"/>
        <v>#N/A</v>
      </c>
      <c r="DA28" s="154">
        <f>IF(ISNA(VLOOKUP(A28,'Données projet'!$A$139:$I$159,3,0)),0,VLOOKUP(A28,'Données projet'!$A$139:$I$159,3,0))</f>
        <v>0</v>
      </c>
      <c r="DB28" s="154">
        <f>IF(ISNA(VLOOKUP(A28,'Données projet'!$A$139:$I$159,4,0)),0,VLOOKUP(A28,'Données projet'!$A$139:$I$159,4,0))</f>
        <v>0</v>
      </c>
      <c r="DC28" s="155">
        <f>IF(ISNA(VLOOKUP(A28,'Données projet'!$A$139:$I$159,5,0)),0%,VLOOKUP(A28,'Données projet'!$A$139:$I$159,5,0)*VLOOKUP('Données projet'!$B$13,'Paramètres'!$A$1:$I$88,7,0))</f>
        <v>0</v>
      </c>
      <c r="DD28" s="155">
        <f>IF(ISNA(VLOOKUP(A28,'Données projet'!$A$139:$I$159,6,0)),0%,VLOOKUP(A28,'Données projet'!$A$139:$I$159,6,0)*VLOOKUP('Données projet'!$B$13,'Paramètres'!$A$1:$I$88,7,0))</f>
        <v>0</v>
      </c>
      <c r="DE28" s="155">
        <f>IF(ISNA(VLOOKUP(A28,'Données projet'!$A$139:$I$159,7,0)),0%,VLOOKUP(A28,'Données projet'!$A$139:$I$159,7,0))</f>
        <v>0</v>
      </c>
      <c r="DF28" s="162" t="str">
        <f>EXP(-LN(2)/35)*DF27+(1-EXP(-LN(2)/35))/(LN(2)/35)*DB28*DC28*VLOOKUP('Données projet'!$B$13,'Paramètres'!$A$1:$I$88,3,0)*0.475*44/12</f>
        <v>#N/A</v>
      </c>
      <c r="DG28" s="162" t="str">
        <f>EXP(-LN(2)/25)*DG27+(1-EXP(-LN(2)/25))/(LN(2)/25)*Calculateur!DB28*Calculateur!DD28*VLOOKUP('Données projet'!$B$13,'Paramètres'!$A$1:$I$88,3,0)*0.475*44/12</f>
        <v>#N/A</v>
      </c>
      <c r="DH28" s="162" t="str">
        <f>EXP(-LN(2)/2)*DH27+(1-EXP(-LN(2)/2))/(LN(2)/2)*DB28*DE28*VLOOKUP('Données projet'!$B$13,'Paramètres'!$A$1:$I$88,3,0)*0.475*44/12</f>
        <v>#N/A</v>
      </c>
      <c r="DI28" s="163" t="str">
        <f t="shared" si="16"/>
        <v>#N/A</v>
      </c>
      <c r="DJ28" s="159">
        <f>('Scénario référence'!$F$8+'Scénario référence'!$F$9+'Scénario référence'!$B$17+'Scénario référence'!$B$9+'Scénario référence'!$B$10)*70+IF((45+25*(1-EXP(-0.0175*A28)))&lt;70,'Scénario référence'!$B$16*(45+25*(1-EXP(-0.0175*A28))),70*'Scénario référence'!$B$16)+IF((32+38*(1-EXP(-0.0175*A28)))&lt;70,'Scénario référence'!$B$18*(32+38*(1-EXP(-0.0175*A28))),70*'Scénario référence'!$B$18)</f>
        <v>70</v>
      </c>
      <c r="DK28" s="151">
        <f>IF(A28&gt;30,10,('Scénario référence'!$B$16+'Scénario référence'!$B$17+'Scénario référence'!$B$18+'Scénario référence'!$B$9+'Scénario référence'!$B$10)*A28*10/30+('Scénario référence'!$F$8+'Scénario référence'!$F$9)*10)</f>
        <v>8.333333333</v>
      </c>
      <c r="DL28" s="151" t="str">
        <f>VLOOKUP(A28,'Données projet'!$A$165:$I$185,2,0)</f>
        <v>#N/A</v>
      </c>
      <c r="DM28" s="151" t="str">
        <f>VLOOKUP(A28,'Données projet'!$A$165:$I$185,9,0)</f>
        <v>#N/A</v>
      </c>
      <c r="DN28" s="151" t="str">
        <f t="array" ref="DN28">INDEX(DM:DM,MIN(IF(ISNUMBER(DM28:DM224),ROW(DM28:DM224),"")))</f>
        <v/>
      </c>
      <c r="DO28" s="151">
        <f>IF('Données projet'!$A$166&gt;35,DO27+DN28-DW27,IF(A28&lt;'Données projet'!$A$166,$DL$205^A28,IF(A28='Données projet'!$A$166,'Données projet'!$B$166,DO27+DN28-DW27)))</f>
        <v>0</v>
      </c>
      <c r="DP28" s="158" t="str">
        <f>DO28*VLOOKUP('Données projet'!$B$14,'Paramètres'!$A$1:$I$88,3,0)*VLOOKUP('Données projet'!$B$14,'Paramètres'!$A$1:$I$88,5,0)</f>
        <v>#N/A</v>
      </c>
      <c r="DQ28" s="150" t="str">
        <f t="shared" si="44"/>
        <v>#N/A</v>
      </c>
      <c r="DR28" s="161" t="str">
        <f t="shared" si="17"/>
        <v>#N/A</v>
      </c>
      <c r="DS28" s="153" t="str">
        <f t="shared" si="18"/>
        <v>#N/A</v>
      </c>
      <c r="DT28" s="153" t="str">
        <f>AVERAGE(OFFSET($DS$3,0,0,'Données projet'!$E$14+1,1))-AVERAGE(OFFSET($H$3,0,0,'Données projet'!$E$14+1,1))</f>
        <v>#N/A</v>
      </c>
      <c r="DU28" s="153" t="str">
        <f t="shared" si="45"/>
        <v>#N/A</v>
      </c>
      <c r="DV28" s="154">
        <f>IF(ISNA(VLOOKUP(A28,'Données projet'!$A$165:$I$185,3,0)),0,VLOOKUP(A28,'Données projet'!$A$165:$I$185,3,0))</f>
        <v>0</v>
      </c>
      <c r="DW28" s="154">
        <f>IF(ISNA(VLOOKUP(A28,'Données projet'!$A$165:$I$185,4,0)),0,VLOOKUP(A28,'Données projet'!$A$165:$I$185,4,0))</f>
        <v>0</v>
      </c>
      <c r="DX28" s="155">
        <f>IF(ISNA(VLOOKUP(A28,'Données projet'!$A$165:$I$185,5,0)),0%,VLOOKUP(A28,'Données projet'!$A$165:$I$185,5,0)*VLOOKUP('Données projet'!$B$14,'Paramètres'!$A$1:$I$88,7,0))</f>
        <v>0</v>
      </c>
      <c r="DY28" s="155">
        <f>IF(ISNA(VLOOKUP(A28,'Données projet'!$A$165:$I$185,6,0)),0%,VLOOKUP(A28,'Données projet'!$A$165:$I$185,6,0)*VLOOKUP('Données projet'!$B$14,'Paramètres'!$A$1:$I$88,7,0))</f>
        <v>0</v>
      </c>
      <c r="DZ28" s="155">
        <f>IF(ISNA(VLOOKUP(A28,'Données projet'!$A$165:$I$185,7,0)),0%,VLOOKUP(A28,'Données projet'!$A$165:$I$185,7,0))</f>
        <v>0</v>
      </c>
      <c r="EA28" s="162" t="str">
        <f>EXP(-LN(2)/35)*EA27+(1-EXP(-LN(2)/35))/(LN(2)/35)*DW28*DX28*VLOOKUP('Données projet'!$B$14,'Paramètres'!$A$1:$I$88,3,0)*0.475*44/12</f>
        <v>#N/A</v>
      </c>
      <c r="EB28" s="162" t="str">
        <f>EXP(-LN(2)/25)*EB27+(1-EXP(-LN(2)/25))/(LN(2)/25)*Calculateur!DW28*Calculateur!DY28*VLOOKUP('Données projet'!$B$14,'Paramètres'!$A$1:$I$88,3,0)*0.475*44/12</f>
        <v>#N/A</v>
      </c>
      <c r="EC28" s="162" t="str">
        <f>EXP(-LN(2)/2)*EC27+(1-EXP(-LN(2)/2))/(LN(2)/2)*DW28*DZ28*VLOOKUP('Données projet'!$B$14,'Paramètres'!$A$1:$I$88,3,0)*0.475*44/12</f>
        <v>#N/A</v>
      </c>
      <c r="ED28" s="163" t="str">
        <f t="shared" si="19"/>
        <v>#N/A</v>
      </c>
      <c r="EE28" s="159">
        <f>('Scénario référence'!$F$8+'Scénario référence'!$F$9+'Scénario référence'!$B$17+'Scénario référence'!$B$9+'Scénario référence'!$B$10)*70+IF((45+25*(1-EXP(-0.0175*A28)))&lt;70,'Scénario référence'!$B$16*(45+25*(1-EXP(-0.0175*A28))),70*'Scénario référence'!$B$16)+IF((32+38*(1-EXP(-0.0175*A28)))&lt;70,'Scénario référence'!$B$18*(32+38*(1-EXP(-0.0175*A28))),70*'Scénario référence'!$B$18)</f>
        <v>70</v>
      </c>
      <c r="EF28" s="151">
        <f>IF(A28&gt;30,10,('Scénario référence'!$B$16+'Scénario référence'!$B$17+'Scénario référence'!$B$18+'Scénario référence'!$B$9+'Scénario référence'!$B$10)*A28*10/30+('Scénario référence'!$F$8+'Scénario référence'!$F$9)*10)</f>
        <v>8.333333333</v>
      </c>
      <c r="EG28" s="151" t="str">
        <f>VLOOKUP(A28,'Données projet'!$A$191:$I$211,2,0)</f>
        <v>#N/A</v>
      </c>
      <c r="EH28" s="151" t="str">
        <f>VLOOKUP(A28,'Données projet'!$A$191:$I$211,9,0)</f>
        <v>#N/A</v>
      </c>
      <c r="EI28" s="151" t="str">
        <f t="array" ref="EI28">INDEX(EH:EH,MIN(IF(ISNUMBER(EH28:EH224),ROW(EH28:EH224),"")))</f>
        <v/>
      </c>
      <c r="EJ28" s="151">
        <f>IF('Données projet'!$A$192&gt;35,EJ27+EI28-ER27,IF(A28&lt;'Données projet'!$A$192,$EG$205^A28,IF(A28='Données projet'!$A$192,'Données projet'!$B$192,EJ27+EI28-ER27)))</f>
        <v>0</v>
      </c>
      <c r="EK28" s="158" t="str">
        <f>EJ28*VLOOKUP('Données projet'!$B$15,'Paramètres'!$A$1:$I$88,3,0)*VLOOKUP('Données projet'!$B$15,'Paramètres'!$A$1:$I$88,5,0)</f>
        <v>#N/A</v>
      </c>
      <c r="EL28" s="150" t="str">
        <f t="shared" si="46"/>
        <v>#N/A</v>
      </c>
      <c r="EM28" s="161" t="str">
        <f t="shared" si="20"/>
        <v>#N/A</v>
      </c>
      <c r="EN28" s="153" t="str">
        <f t="shared" si="21"/>
        <v>#N/A</v>
      </c>
      <c r="EO28" s="153" t="str">
        <f>AVERAGE(OFFSET($EN$3,0,0,'Données projet'!$E$15+1,1))-AVERAGE(OFFSET($H$3,0,0,'Données projet'!$E$15+1,1))</f>
        <v>#N/A</v>
      </c>
      <c r="EP28" s="153" t="str">
        <f t="shared" si="47"/>
        <v>#N/A</v>
      </c>
      <c r="EQ28" s="154">
        <f>IF(ISNA(VLOOKUP(A28,'Données projet'!$A$191:$I$211,3,0)),0,VLOOKUP(A28,'Données projet'!$A$191:$I$211,3,0))</f>
        <v>0</v>
      </c>
      <c r="ER28" s="154">
        <f>IF(ISNA(VLOOKUP(A28,'Données projet'!$A$191:$I$211,4,0)),0,VLOOKUP(A28,'Données projet'!$A$191:$I$211,4,0))</f>
        <v>0</v>
      </c>
      <c r="ES28" s="155">
        <f>IF(ISNA(VLOOKUP(A28,'Données projet'!$A$191:$I$211,5,0)),0%,VLOOKUP(A28,'Données projet'!$A$191:$I$211,5,0)*VLOOKUP('Données projet'!$B$15,'Paramètres'!$A$1:$I$88,7,0))</f>
        <v>0</v>
      </c>
      <c r="ET28" s="155">
        <f>IF(ISNA(VLOOKUP(A28,'Données projet'!$A$191:$I$211,6,0)),0%,VLOOKUP(A28,'Données projet'!$A$191:$I$211,6,0)*VLOOKUP('Données projet'!$B$15,'Paramètres'!$A$1:$I$88,7,0))</f>
        <v>0</v>
      </c>
      <c r="EU28" s="155">
        <f>IF(ISNA(VLOOKUP(A28,'Données projet'!$A$191:$I$211,7,0)),0%,VLOOKUP(A28,'Données projet'!$A$191:$I$211,7,0))</f>
        <v>0</v>
      </c>
      <c r="EV28" s="162" t="str">
        <f>EXP(-LN(2)/35)*EV27+(1-EXP(-LN(2)/35))/(LN(2)/35)*ER28*ES28*VLOOKUP('Données projet'!$B$15,'Paramètres'!$A$1:$I$88,3,0)*0.475*44/12</f>
        <v>#N/A</v>
      </c>
      <c r="EW28" s="162" t="str">
        <f>EXP(-LN(2)/25)*EW27+(1-EXP(-LN(2)/25))/(LN(2)/25)*Calculateur!ER28*Calculateur!ET28*VLOOKUP('Données projet'!$B$15,'Paramètres'!$A$1:$I$88,3,0)*0.475*44/12</f>
        <v>#N/A</v>
      </c>
      <c r="EX28" s="162" t="str">
        <f>EXP(-LN(2)/2)*EX27+(1-EXP(-LN(2)/2))/(LN(2)/2)*ER28*EU28*VLOOKUP('Données projet'!$B$15,'Paramètres'!$A$1:$I$88,3,0)*0.475*44/12</f>
        <v>#N/A</v>
      </c>
      <c r="EY28" s="163" t="str">
        <f t="shared" si="22"/>
        <v>#N/A</v>
      </c>
      <c r="EZ28" s="159">
        <f>('Scénario référence'!$F$8+'Scénario référence'!$F$9+'Scénario référence'!$B$17+'Scénario référence'!$B$9+'Scénario référence'!$B$10)*70+IF((45+25*(1-EXP(-0.0175*A28)))&lt;70,'Scénario référence'!$B$16*(45+25*(1-EXP(-0.0175*A28))),70*'Scénario référence'!$B$16)+IF((32+38*(1-EXP(-0.0175*A28)))&lt;70,'Scénario référence'!$B$18*(32+38*(1-EXP(-0.0175*A28))),70*'Scénario référence'!$B$18)</f>
        <v>70</v>
      </c>
      <c r="FA28" s="151">
        <f>IF(A28&gt;30,10,('Scénario référence'!$B$16+'Scénario référence'!$B$17+'Scénario référence'!$B$18+'Scénario référence'!$B$9+'Scénario référence'!$B$10)*A28*10/30+('Scénario référence'!$F$8+'Scénario référence'!$F$9)*10)</f>
        <v>8.333333333</v>
      </c>
      <c r="FB28" s="151" t="str">
        <f>VLOOKUP(A28,'Données projet'!$A$217:$I$237,2,0)</f>
        <v>#N/A</v>
      </c>
      <c r="FC28" s="151" t="str">
        <f>VLOOKUP(A28,'Données projet'!$A$217:$I$237,9,0)</f>
        <v>#N/A</v>
      </c>
      <c r="FD28" s="151" t="str">
        <f t="array" ref="FD28">INDEX(FC:FC,MIN(IF(ISNUMBER(FC28:FC224),ROW(FC28:FC224),"")))</f>
        <v/>
      </c>
      <c r="FE28" s="151">
        <f>IF('Données projet'!$A$218&gt;35,FE27+FD28-FM27,IF(A28&lt;'Données projet'!$A$218,$FB$205^A28,IF(A28='Données projet'!$A$218,'Données projet'!$B$218,FE27+FD28-FM27)))</f>
        <v>0</v>
      </c>
      <c r="FF28" s="158" t="str">
        <f>FE28*VLOOKUP('Données projet'!$B$16,'Paramètres'!$A$1:$I$88,3,0)*VLOOKUP('Données projet'!$B$16,'Paramètres'!$A$1:$I$88,5,0)</f>
        <v>#N/A</v>
      </c>
      <c r="FG28" s="150" t="str">
        <f t="shared" si="48"/>
        <v>#N/A</v>
      </c>
      <c r="FH28" s="161" t="str">
        <f t="shared" si="23"/>
        <v>#N/A</v>
      </c>
      <c r="FI28" s="153" t="str">
        <f t="shared" si="24"/>
        <v>#N/A</v>
      </c>
      <c r="FJ28" s="153" t="str">
        <f>AVERAGE(OFFSET($FI$3,0,0,'Données projet'!$E$16+1,1))-AVERAGE(OFFSET($H$3,0,0,'Données projet'!$E$16+1,1))</f>
        <v>#N/A</v>
      </c>
      <c r="FK28" s="153" t="str">
        <f t="shared" si="49"/>
        <v>#N/A</v>
      </c>
      <c r="FL28" s="154">
        <f>IF(ISNA(VLOOKUP(A28,'Données projet'!$A$217:$I$237,3,0)),0,VLOOKUP(A28,'Données projet'!$A$217:$I$237,3,0))</f>
        <v>0</v>
      </c>
      <c r="FM28" s="154">
        <f>IF(ISNA(VLOOKUP(A28,'Données projet'!$A$217:$I$237,4,0)),0,VLOOKUP(A28,'Données projet'!$A$217:$I$237,4,0))</f>
        <v>0</v>
      </c>
      <c r="FN28" s="155">
        <f>IF(ISNA(VLOOKUP(A28,'Données projet'!$A$217:$I$237,5,0)),0%,VLOOKUP(A28,'Données projet'!$A$217:$I$237,5,0)*VLOOKUP('Données projet'!$B$16,'Paramètres'!$A$1:$I$88,7,0))</f>
        <v>0</v>
      </c>
      <c r="FO28" s="155">
        <f>IF(ISNA(VLOOKUP(A28,'Données projet'!$A$217:$I$237,6,0)),0%,VLOOKUP(A28,'Données projet'!$A$217:$I$237,6,0)*VLOOKUP('Données projet'!$B$16,'Paramètres'!$A$1:$I$88,7,0))</f>
        <v>0</v>
      </c>
      <c r="FP28" s="155">
        <f>IF(ISNA(VLOOKUP(A28,'Données projet'!$A$217:$I$237,7,0)),0%,VLOOKUP(A28,'Données projet'!$A$217:$I$237,7,0))</f>
        <v>0</v>
      </c>
      <c r="FQ28" s="162" t="str">
        <f>EXP(-LN(2)/35)*FQ27+(1-EXP(-LN(2)/35))/(LN(2)/35)*FM28*FN28*VLOOKUP('Données projet'!$B$16,'Paramètres'!$A$1:$I$88,3,0)*0.475*44/12</f>
        <v>#N/A</v>
      </c>
      <c r="FR28" s="162" t="str">
        <f>EXP(-LN(2)/25)*FR27+(1-EXP(-LN(2)/25))/(LN(2)/25)*Calculateur!FM28*Calculateur!FO28*VLOOKUP('Données projet'!$B$16,'Paramètres'!$A$1:$I$88,3,0)*0.475*44/12</f>
        <v>#N/A</v>
      </c>
      <c r="FS28" s="162" t="str">
        <f>EXP(-LN(2)/2)*FS27+(1-EXP(-LN(2)/2))/(LN(2)/2)*FM28*FP28*VLOOKUP('Données projet'!$B$16,'Paramètres'!$A$1:$I$88,3,0)*0.475*44/12</f>
        <v>#N/A</v>
      </c>
      <c r="FT28" s="163" t="str">
        <f t="shared" si="25"/>
        <v>#N/A</v>
      </c>
      <c r="FU28" s="159">
        <f>('Scénario référence'!$F$8+'Scénario référence'!$F$9+'Scénario référence'!$B$17+'Scénario référence'!$B$9+'Scénario référence'!$B$10)*70+IF((45+25*(1-EXP(-0.0175*A28)))&lt;70,'Scénario référence'!$B$16*(45+25*(1-EXP(-0.0175*A28))),70*'Scénario référence'!$B$16)+IF((32+38*(1-EXP(-0.0175*A28)))&lt;70,'Scénario référence'!$B$18*(32+38*(1-EXP(-0.0175*A28))),70*'Scénario référence'!$B$18)</f>
        <v>70</v>
      </c>
      <c r="FV28" s="151">
        <f>IF(A28&gt;30,10,('Scénario référence'!$B$16+'Scénario référence'!$B$17+'Scénario référence'!$B$18+'Scénario référence'!$B$9+'Scénario référence'!$B$10)*A28*10/30+('Scénario référence'!$F$8+'Scénario référence'!$F$9)*10)</f>
        <v>8.333333333</v>
      </c>
      <c r="FW28" s="151" t="str">
        <f>VLOOKUP(A28,'Données projet'!$A$243:$I$263,2,0)</f>
        <v>#N/A</v>
      </c>
      <c r="FX28" s="151" t="str">
        <f>VLOOKUP(A28,'Données projet'!$A$243:$I$263,9,0)</f>
        <v>#N/A</v>
      </c>
      <c r="FY28" s="151" t="str">
        <f t="array" ref="FY28">INDEX(FX:FX,MIN(IF(ISNUMBER(FX28:FX224),ROW(FX28:FX224),"")))</f>
        <v/>
      </c>
      <c r="FZ28" s="151">
        <f>IF('Données projet'!$A$244&gt;35,FZ27+FY28-GH27,IF(A28&lt;'Données projet'!$A$244,$FW$205^A28,IF(A28='Données projet'!$A$244,'Données projet'!$B$244,FZ27+FY28-GH27)))</f>
        <v>0</v>
      </c>
      <c r="GA28" s="158" t="str">
        <f>FZ28*VLOOKUP('Données projet'!$B$17,'Paramètres'!$A$1:$I$88,3,0)*VLOOKUP('Données projet'!$B$17,'Paramètres'!$A$1:$I$88,5,0)</f>
        <v>#N/A</v>
      </c>
      <c r="GB28" s="150" t="str">
        <f t="shared" si="50"/>
        <v>#N/A</v>
      </c>
      <c r="GC28" s="161" t="str">
        <f t="shared" si="26"/>
        <v>#N/A</v>
      </c>
      <c r="GD28" s="153" t="str">
        <f t="shared" si="27"/>
        <v>#N/A</v>
      </c>
      <c r="GE28" s="153" t="str">
        <f>AVERAGE(OFFSET($GD$3,0,0,'Données projet'!$E$17+1,1))-AVERAGE(OFFSET($H$3,0,0,'Données projet'!$E$17+1,1))</f>
        <v>#N/A</v>
      </c>
      <c r="GF28" s="153" t="str">
        <f t="shared" si="51"/>
        <v>#N/A</v>
      </c>
      <c r="GG28" s="154">
        <f>IF(ISNA(VLOOKUP(A28,'Données projet'!$A$243:$I$263,3,0)),0,VLOOKUP(A28,'Données projet'!$A$243:$I$263,3,0))</f>
        <v>0</v>
      </c>
      <c r="GH28" s="154">
        <f>IF(ISNA(VLOOKUP(A28,'Données projet'!$A$243:$I$263,4,0)),0,VLOOKUP(A28,'Données projet'!$A$243:$I$263,4,0))</f>
        <v>0</v>
      </c>
      <c r="GI28" s="155">
        <f>IF(ISNA(VLOOKUP(A28,'Données projet'!$A$243:$I$263,5,0)),0%,VLOOKUP(A28,'Données projet'!$A$243:$I$263,5,0)*VLOOKUP('Données projet'!$B$17,'Paramètres'!$A$1:$I$88,7,0))</f>
        <v>0</v>
      </c>
      <c r="GJ28" s="155">
        <f>IF(ISNA(VLOOKUP(A28,'Données projet'!$A$243:$I$263,6,0)),0%,VLOOKUP(A28,'Données projet'!$A$243:$I$263,6,0)*VLOOKUP('Données projet'!$B$17,'Paramètres'!$A$1:$I$88,7,0))</f>
        <v>0</v>
      </c>
      <c r="GK28" s="155">
        <f>IF(ISNA(VLOOKUP(A28,'Données projet'!$A$243:$I$263,7,0)),0%,VLOOKUP(A28,'Données projet'!$A$243:$I$263,7,0))</f>
        <v>0</v>
      </c>
      <c r="GL28" s="162" t="str">
        <f>EXP(-LN(2)/35)*GL27+(1-EXP(-LN(2)/35))/(LN(2)/35)*GH28*GI28*VLOOKUP('Données projet'!$B$17,'Paramètres'!$A$1:$I$88,3,0)*0.475*44/12</f>
        <v>#N/A</v>
      </c>
      <c r="GM28" s="162" t="str">
        <f>EXP(-LN(2)/25)*GM27+(1-EXP(-LN(2)/25))/(LN(2)/25)*Calculateur!GH28*Calculateur!GJ28*VLOOKUP('Données projet'!$B$17,'Paramètres'!$A$1:$I$88,3,0)*0.475*44/12</f>
        <v>#N/A</v>
      </c>
      <c r="GN28" s="162" t="str">
        <f>EXP(-LN(2)/2)*GN27+(1-EXP(-LN(2)/2))/(LN(2)/2)*GH28*GK28*VLOOKUP('Données projet'!$B$17,'Paramètres'!$A$1:$I$88,3,0)*0.475*44/12</f>
        <v>#N/A</v>
      </c>
      <c r="GO28" s="162" t="str">
        <f t="shared" si="28"/>
        <v>#N/A</v>
      </c>
      <c r="GP28" s="159">
        <f>('Scénario référence'!$F$8+'Scénario référence'!$F$9+'Scénario référence'!$B$17+'Scénario référence'!$B$9+'Scénario référence'!$B$10)*70+IF((45+25*(1-EXP(-0.0175*A28)))&lt;70,'Scénario référence'!$B$16*(45+25*(1-EXP(-0.0175*A28))),70*'Scénario référence'!$B$16)+IF((32+38*(1-EXP(-0.0175*A28)))&lt;70,'Scénario référence'!$B$18*(32+38*(1-EXP(-0.0175*A28))),70*'Scénario référence'!$B$18)</f>
        <v>70</v>
      </c>
      <c r="GQ28" s="151">
        <f>IF(A28&gt;30,10,('Scénario référence'!$B$16+'Scénario référence'!$B$17+'Scénario référence'!$B$18+'Scénario référence'!$B$9+'Scénario référence'!$B$10)*A28*10/30+('Scénario référence'!$F$8+'Scénario référence'!$F$9)*10)</f>
        <v>8.333333333</v>
      </c>
      <c r="GR28" s="151" t="str">
        <f>VLOOKUP(A28,'Données projet'!$A$269:$I$289,2,0)</f>
        <v>#N/A</v>
      </c>
      <c r="GS28" s="151" t="str">
        <f>VLOOKUP(A28,'Données projet'!$A$269:$I$289,9,0)</f>
        <v>#N/A</v>
      </c>
      <c r="GT28" s="151" t="str">
        <f t="array" ref="GT28">INDEX(GS:GS,MIN(IF(ISNUMBER(GS28:GS224),ROW(GS28:GS224),"")))</f>
        <v/>
      </c>
      <c r="GU28" s="151">
        <f>IF('Données projet'!$A$270&gt;35,GU27+GT28-HC27,IF(A28&lt;'Données projet'!$A$270,$GR$205^A28,IF(A28='Données projet'!$A$270,'Données projet'!$B$270,GU27+GT28-HC27)))</f>
        <v>0</v>
      </c>
      <c r="GV28" s="158" t="str">
        <f>GU28*VLOOKUP('Données projet'!$B$18,'Paramètres'!$A$1:$I$88,3,0)*VLOOKUP('Données projet'!$B$18,'Paramètres'!$A$1:$I$88,5,0)</f>
        <v>#N/A</v>
      </c>
      <c r="GW28" s="150" t="str">
        <f t="shared" si="52"/>
        <v>#N/A</v>
      </c>
      <c r="GX28" s="161" t="str">
        <f t="shared" si="29"/>
        <v>#N/A</v>
      </c>
      <c r="GY28" s="153" t="str">
        <f t="shared" si="30"/>
        <v>#N/A</v>
      </c>
      <c r="GZ28" s="153" t="str">
        <f>AVERAGE(OFFSET($GY$3,0,0,'Données projet'!$E$18+1,1))-AVERAGE(OFFSET($H$3,0,0,'Données projet'!$E$18+1,1))</f>
        <v>#N/A</v>
      </c>
      <c r="HA28" s="153" t="str">
        <f t="shared" si="53"/>
        <v>#N/A</v>
      </c>
      <c r="HB28" s="154">
        <f>IF(ISNA(VLOOKUP(A28,'Données projet'!$A$269:$I$289,3,0)),0,VLOOKUP(A28,'Données projet'!$A$269:$I$289,3,0))</f>
        <v>0</v>
      </c>
      <c r="HC28" s="154">
        <f>IF(ISNA(VLOOKUP(A28,'Données projet'!$A$269:$I$289,4,0)),0,VLOOKUP(A28,'Données projet'!$A$269:$I$289,4,0))</f>
        <v>0</v>
      </c>
      <c r="HD28" s="155">
        <f>IF(ISNA(VLOOKUP(A28,'Données projet'!$A$269:$I$289,5,0)),0%,VLOOKUP(A28,'Données projet'!$A$269:$I$289,5,0)*VLOOKUP('Données projet'!$B$18,'Paramètres'!$A$1:$I$88,7,0))</f>
        <v>0</v>
      </c>
      <c r="HE28" s="155">
        <f>IF(ISNA(VLOOKUP(A28,'Données projet'!$A$269:$I$289,6,0)),0%,VLOOKUP(A28,'Données projet'!$A$269:$I$289,6,0)*VLOOKUP('Données projet'!$B$18,'Paramètres'!$A$1:$I$88,7,0))</f>
        <v>0</v>
      </c>
      <c r="HF28" s="155">
        <f>IF(ISNA(VLOOKUP(A28,'Données projet'!$A$269:$I$289,7,0)),0%,VLOOKUP(A28,'Données projet'!$A$269:$I$289,7,0))</f>
        <v>0</v>
      </c>
      <c r="HG28" s="162" t="str">
        <f>EXP(-LN(2)/35)*HG27+(1-EXP(-LN(2)/35))/(LN(2)/35)*HC28*HD28*VLOOKUP('Données projet'!$B$18,'Paramètres'!$A$1:$I$88,3,0)*0.475*44/12</f>
        <v>#N/A</v>
      </c>
      <c r="HH28" s="162" t="str">
        <f>EXP(-LN(2)/25)*HH27+(1-EXP(-LN(2)/25))/(LN(2)/25)*Calculateur!HC28*Calculateur!HE28*VLOOKUP('Données projet'!$B$18,'Paramètres'!$A$1:$I$88,3,0)*0.475*44/12</f>
        <v>#N/A</v>
      </c>
      <c r="HI28" s="162" t="str">
        <f>EXP(-LN(2)/2)*HI27+(1-EXP(-LN(2)/2))/(LN(2)/2)*HC28*HF28*VLOOKUP('Données projet'!$B$18,'Paramètres'!$A$1:$I$88,3,0)*0.475*44/12</f>
        <v>#N/A</v>
      </c>
      <c r="HJ28" s="163" t="str">
        <f t="shared" si="31"/>
        <v>#N/A</v>
      </c>
    </row>
    <row r="29" ht="15.75" customHeight="1">
      <c r="A29" s="145">
        <f t="shared" si="32"/>
        <v>26</v>
      </c>
      <c r="B29" s="146">
        <f>'Scénario référence'!$B$16*5+'Scénario référence'!$B$17*0+'Scénario référence'!$B$18*5</f>
        <v>0</v>
      </c>
      <c r="C29" s="160">
        <f>Calculateur!C28+'Scénario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29" s="147">
        <f t="shared" si="33"/>
        <v>0</v>
      </c>
      <c r="E29" s="147">
        <f>'Scénario référence'!$B$16*45+('Scénario référence'!$B$17+'Scénario référence'!$F$8+'Scénario référence'!$F$9+'Scénario référence'!$B$10+'Scénario référence'!$B$9)*70+'Scénario référence'!$B$18*32</f>
        <v>70</v>
      </c>
      <c r="F29" s="147">
        <f>IF(OR('Scénario référence'!$F$8&gt;0,'Scénario référence'!$F$9&gt;0),('Scénario référence'!$F$8+'Scénario référence'!$F$9)*10,0)</f>
        <v>0</v>
      </c>
      <c r="G29" s="147">
        <f>'Scénario référence'!$B$8*B29*44/12+'Scénario référence'!$B$9*(C29+D29)/0.475*44/12+'Scénario référence'!$B$10*(C29+D29)/0.475*44/12+'Scénario référence'!$F$8*(C29+D29)/0.475*44/12+'Scénario référence'!$F$9*(C29+D29)/0.475*44/12</f>
        <v>0</v>
      </c>
      <c r="H29" s="148">
        <f t="shared" si="1"/>
        <v>256.6666667</v>
      </c>
      <c r="I29" s="149">
        <f>('Scénario référence'!$F$8+'Scénario référence'!$F$9+'Scénario référence'!$B$17+'Scénario référence'!$B$9+'Scénario référence'!$B$10)*70+IF((45+25*(1-EXP(-0.0175*A29)))&lt;70,'Scénario référence'!$B$16*(45+25*(1-EXP(-0.0175*A29))),70*'Scénario référence'!$B$16)+IF((32+38*(1-EXP(-0.0175*A29)))&lt;70,'Scénario référence'!$B$18*(32+38*(1-EXP(-0.0175*A29))),70*'Scénario référence'!$B$18)</f>
        <v>70</v>
      </c>
      <c r="J29" s="150">
        <f>IF(A29&gt;30,10,('Scénario référence'!$B$16+'Scénario référence'!$B$17+'Scénario référence'!$B$18+'Scénario référence'!$B$9+'Scénario référence'!$B$10)*A29*10/30+('Scénario référence'!$F$8+'Scénario référence'!$F$9)*10)</f>
        <v>8.666666667</v>
      </c>
      <c r="K29" s="151" t="str">
        <f>VLOOKUP(A29,'Données projet'!$A$35:$I$55,2,0)</f>
        <v>#N/A</v>
      </c>
      <c r="L29" s="151" t="str">
        <f>VLOOKUP(A29,'Données projet'!$A$35:$I$55,9,0)</f>
        <v>#N/A</v>
      </c>
      <c r="M29" s="150">
        <f t="array" ref="M29">INDEX(L:L,MIN(IF(ISNUMBER(L29:L225),ROW(L29:L225),"")))</f>
        <v>9.2</v>
      </c>
      <c r="N29" s="150">
        <f>IF('Données projet'!$A$36&gt;35,N28+M29-V28,IF(A29&lt;'Données projet'!$A$36,$K$205^A29,IF(A29='Données projet'!$A$36,'Données projet'!$B$36,N28+M29-V28)))</f>
        <v>84.2</v>
      </c>
      <c r="O29" s="150">
        <f>N29*VLOOKUP('Données projet'!$B$9,'Paramètres'!$A$1:$I$88,3,0)*VLOOKUP('Données projet'!$B$9,'Paramètres'!$A$1:$I$88,5,0)</f>
        <v>76.18416</v>
      </c>
      <c r="P29" s="150">
        <f t="shared" si="34"/>
        <v>21.20155423</v>
      </c>
      <c r="Q29" s="161">
        <f t="shared" si="2"/>
        <v>169.6134523</v>
      </c>
      <c r="R29" s="153">
        <f t="shared" si="3"/>
        <v>458.0578967</v>
      </c>
      <c r="S29" s="153">
        <f>AVERAGE(OFFSET($R$3,0,0,'Données projet'!$E$9+1,1))-AVERAGE(OFFSET($H$3,0,0,'Données projet'!$E$9+1,1))</f>
        <v>439.1985427</v>
      </c>
      <c r="T29" s="153">
        <f t="shared" si="35"/>
        <v>278.2174123</v>
      </c>
      <c r="U29" s="154">
        <f>IF(ISNA(VLOOKUP(A29,'Données projet'!$A$35:$I$55,3,0)),0,VLOOKUP(A29,'Données projet'!$A$35:$I$55,3,0))</f>
        <v>0</v>
      </c>
      <c r="V29" s="154">
        <f>IF(ISNA(VLOOKUP(A29,'Données projet'!$A$35:$I$55,4,0)),0,VLOOKUP(A29,'Données projet'!$A$35:$I$55,4,0))</f>
        <v>0</v>
      </c>
      <c r="W29" s="155">
        <f>IF(ISNA(VLOOKUP(A29,'Données projet'!$A$35:$I$55,5,0)),0%,VLOOKUP(A29,'Données projet'!$A$35:$I$55,5,0)*VLOOKUP('Données projet'!$B$9,'Paramètres'!$A$1:$I$88,7,0))</f>
        <v>0</v>
      </c>
      <c r="X29" s="155">
        <f>IF(ISNA(VLOOKUP(A29,'Données projet'!$A$35:$I$55,6,0)),0%,VLOOKUP(A29,'Données projet'!$A$35:$I$55,6,0)*VLOOKUP('Données projet'!$B$9,'Paramètres'!$A$1:$I$88,7,0))</f>
        <v>0</v>
      </c>
      <c r="Y29" s="155">
        <f>IF(ISNA(VLOOKUP(A29,'Données projet'!$A$35:$I$55,7,0)),0%,VLOOKUP(A29,'Données projet'!$A$35:$I$55,7,0))</f>
        <v>0</v>
      </c>
      <c r="Z29" s="162">
        <f>EXP(-LN(2)/35)*Z28+(1-EXP(-LN(2)/35))/(LN(2)/35)*V29*W29*VLOOKUP('Données projet'!$B$9,'Paramètres'!$A$1:$I$88,3,0)*0.475*44/12</f>
        <v>0</v>
      </c>
      <c r="AA29" s="162">
        <f>EXP(-LN(2)/25)*AA28+(1-EXP(-LN(2)/25))/(LN(2)/25)*Calculateur!V29*Calculateur!X29*VLOOKUP('Données projet'!$B$9,'Paramètres'!$A$1:$I$88,3,0)*0.475*44/12</f>
        <v>2.333466804</v>
      </c>
      <c r="AB29" s="162">
        <f>EXP(-LN(2)/2)*AB28+(1-EXP(-LN(2)/2))/(LN(2)/2)*V29*Y29*VLOOKUP('Données projet'!$B$9,'Paramètres'!$A$1:$I$88,3,0)*0.475*44/12</f>
        <v>0</v>
      </c>
      <c r="AC29" s="163">
        <f t="shared" si="4"/>
        <v>2.333466804</v>
      </c>
      <c r="AD29" s="150">
        <f>('Scénario référence'!$F$8+'Scénario référence'!$F$9+'Scénario référence'!$B$17+'Scénario référence'!$B$9+'Scénario référence'!$B$10)*70+IF((45+25*(1-EXP(-0.0175*A29)))&lt;70,'Scénario référence'!$B$16*(45+25*(1-EXP(-0.0175*A29))),70*'Scénario référence'!$B$16)+IF((32+38*(1-EXP(-0.0175*A29)))&lt;70,'Scénario référence'!$B$18*(32+38*(1-EXP(-0.0175*A29))),70*'Scénario référence'!$B$18)</f>
        <v>70</v>
      </c>
      <c r="AE29" s="150">
        <f>IF(A29&gt;30,10,('Scénario référence'!$B$16+'Scénario référence'!$B$17+'Scénario référence'!$B$18+'Scénario référence'!$B$9+'Scénario référence'!$B$10)*A29*10/30+('Scénario référence'!$F$8+'Scénario référence'!$F$9)*10)</f>
        <v>8.666666667</v>
      </c>
      <c r="AF29" s="151" t="str">
        <f>VLOOKUP(A29,'Données projet'!$A$61:$I$81,2,0)</f>
        <v>#N/A</v>
      </c>
      <c r="AG29" s="151" t="str">
        <f>VLOOKUP(A29,'Données projet'!$A$61:$I$81,9,0)</f>
        <v>#N/A</v>
      </c>
      <c r="AH29" s="150">
        <f t="array" ref="AH29">INDEX(AG:AG,MIN(IF(ISNUMBER(AG29:AG225),ROW(AG29:AG225),"")))</f>
        <v>16</v>
      </c>
      <c r="AI29" s="150">
        <f>IF('Données projet'!$A$62&gt;35,AI28+AH29-AQ28,IF(A29&lt;'Données projet'!$A$62,$AF$205^A29,IF(A29='Données projet'!$A$62,'Données projet'!$B$62,AI28+AH29-AQ28)))</f>
        <v>141</v>
      </c>
      <c r="AJ29" s="150">
        <f>AI29*VLOOKUP('Données projet'!$B$10,'Paramètres'!$A$1:$I$88,3,0)*VLOOKUP('Données projet'!$B$10,'Paramètres'!$A$1:$I$88,5,0)</f>
        <v>112.1796</v>
      </c>
      <c r="AK29" s="150">
        <f t="shared" si="36"/>
        <v>29.84392745</v>
      </c>
      <c r="AL29" s="161">
        <f t="shared" si="5"/>
        <v>247.3576436</v>
      </c>
      <c r="AM29" s="153">
        <f t="shared" si="6"/>
        <v>535.8020881</v>
      </c>
      <c r="AN29" s="153">
        <f>AVERAGE(OFFSET($AM$3,0,0,'Données projet'!$E$10+1,1))-AVERAGE(OFFSET($H$3,0,0,'Données projet'!$E$10+1,1))</f>
        <v>405.6113614</v>
      </c>
      <c r="AO29" s="153">
        <f t="shared" si="37"/>
        <v>393.0787141</v>
      </c>
      <c r="AP29" s="154">
        <f>IF(ISNA(VLOOKUP(A29,'Données projet'!$A$61:$I$81,3,0)),0,VLOOKUP(A29,'Données projet'!$A$61:$I$81,3,0))</f>
        <v>0</v>
      </c>
      <c r="AQ29" s="154">
        <f>IF(ISNA(VLOOKUP(A29,'Données projet'!$A$61:$I$81,4,0)),0,VLOOKUP(A29,'Données projet'!$A$61:$I$81,4,0))</f>
        <v>0</v>
      </c>
      <c r="AR29" s="155">
        <f>IF(ISNA(VLOOKUP(A29,'Données projet'!$A$61:$I$81,5,0)),0%,VLOOKUP(A29,'Données projet'!$A$61:$I$81,5,0)*VLOOKUP('Données projet'!$B$10,'Paramètres'!$A$1:$I$88,7,0))</f>
        <v>0</v>
      </c>
      <c r="AS29" s="155">
        <f>IF(ISNA(VLOOKUP(A29,'Données projet'!$A$61:$I$81,6,0)),0%,VLOOKUP(A29,'Données projet'!$A$61:$I$81,6,0)*VLOOKUP('Données projet'!$B$10,'Paramètres'!$A$1:$I$88,7,0))</f>
        <v>0</v>
      </c>
      <c r="AT29" s="155">
        <f>IF(ISNA(VLOOKUP(A29,'Données projet'!$A$61:$I$81,7,0)),0%,VLOOKUP(A29,'Données projet'!$A$61:$I$81,7,0))</f>
        <v>0</v>
      </c>
      <c r="AU29" s="162">
        <f>EXP(-LN(2)/35)*AU28+(1-EXP(-LN(2)/35))/(LN(2)/35)*AQ29*AR29*VLOOKUP('Données projet'!$B$10,'Paramètres'!$A$1:$I$88,3,0)*0.475*44/12</f>
        <v>0</v>
      </c>
      <c r="AV29" s="162">
        <f>EXP(-LN(2)/25)*AV28+(1-EXP(-LN(2)/25))/(LN(2)/25)*Calculateur!AQ29*Calculateur!AS29*VLOOKUP('Données projet'!$B$10,'Paramètres'!$A$1:$I$88,3,0)*0.475*44/12</f>
        <v>9.483802281</v>
      </c>
      <c r="AW29" s="162">
        <f>EXP(-LN(2)/2)*AW28+(1-EXP(-LN(2)/2))/(LN(2)/2)*AQ29*AT29*VLOOKUP('Données projet'!$B$10,'Paramètres'!$A$1:$I$88,3,0)*0.475*44/12</f>
        <v>2.318848816</v>
      </c>
      <c r="AX29" s="162">
        <f t="shared" si="7"/>
        <v>11.8026511</v>
      </c>
      <c r="AY29" s="157">
        <f>('Scénario référence'!$F$8+'Scénario référence'!$F$9+'Scénario référence'!$B$17+'Scénario référence'!$B$9+'Scénario référence'!$B$10)*70+IF((45+25*(1-EXP(-0.0175*A29)))&lt;70,'Scénario référence'!$B$16*(45+25*(1-EXP(-0.0175*A29))),70*'Scénario référence'!$B$16)+IF((32+38*(1-EXP(-0.0175*A29)))&lt;70,'Scénario référence'!$B$18*(32+38*(1-EXP(-0.0175*A29))),70*'Scénario référence'!$B$18)</f>
        <v>70</v>
      </c>
      <c r="AZ29" s="151">
        <f>IF(A29&gt;30,10,('Scénario référence'!$B$16+'Scénario référence'!$B$17+'Scénario référence'!$B$18+'Scénario référence'!$B$9+'Scénario référence'!$B$10)*A29*10/30+('Scénario référence'!$F$8+'Scénario référence'!$F$9)*10)</f>
        <v>8.666666667</v>
      </c>
      <c r="BA29" s="151" t="str">
        <f>VLOOKUP(A29,'Données projet'!$A$87:$I$107,2,0)</f>
        <v>#N/A</v>
      </c>
      <c r="BB29" s="151" t="str">
        <f>VLOOKUP(A29,'Données projet'!$A$87:$I$107,9,0)</f>
        <v>#N/A</v>
      </c>
      <c r="BC29" s="150" t="str">
        <f t="array" ref="BC29">INDEX(BB:BB,MIN(IF(ISNUMBER(BB29:BB225),ROW(BB29:BB225),"")))</f>
        <v/>
      </c>
      <c r="BD29" s="150">
        <f>IF('Données projet'!$A$88&gt;35,BD28+BC29-BL28,IF(A29&lt;'Données projet'!$A$88,$BA$205^A29,IF(A29='Données projet'!$A$88,'Données projet'!$B$88,BD28+BC29-BL28)))</f>
        <v>0</v>
      </c>
      <c r="BE29" s="150">
        <f>BD29*VLOOKUP('Données projet'!$B$11,'Paramètres'!$A$1:$I$88,3,0)*VLOOKUP('Données projet'!$B$11,'Paramètres'!$A$1:$I$88,5,0)</f>
        <v>0</v>
      </c>
      <c r="BF29" s="150" t="str">
        <f t="shared" si="38"/>
        <v>#NUM!</v>
      </c>
      <c r="BG29" s="161" t="str">
        <f t="shared" si="8"/>
        <v>#NUM!</v>
      </c>
      <c r="BH29" s="153" t="str">
        <f t="shared" si="9"/>
        <v>#NUM!</v>
      </c>
      <c r="BI29" s="153">
        <f>AVERAGE(OFFSET($BH$3,0,0,'Données projet'!$E$11+1,1))-AVERAGE(OFFSET($H$3,0,0,'Données projet'!$E$11+1,1))</f>
        <v>0</v>
      </c>
      <c r="BJ29" s="153">
        <f t="shared" si="39"/>
        <v>0</v>
      </c>
      <c r="BK29" s="154">
        <f>IF(ISNA(VLOOKUP(A29,'Données projet'!$A$87:$I$107,3,0)),0,VLOOKUP(A29,'Données projet'!$A$87:$I$107,3,0))</f>
        <v>0</v>
      </c>
      <c r="BL29" s="154">
        <f>IF(ISNA(VLOOKUP(A29,'Données projet'!$A$87:$I$107,4,0)),0,VLOOKUP(A29,'Données projet'!$A$87:$I$107,4,0))</f>
        <v>0</v>
      </c>
      <c r="BM29" s="155">
        <f>IF(ISNA(VLOOKUP(A29,'Données projet'!$A$87:$I$107,5,0)),0%,VLOOKUP(A29,'Données projet'!$A$87:$I$107,5,0)*VLOOKUP('Données projet'!$B$11,'Paramètres'!$A$1:$I$88,7,0))</f>
        <v>0</v>
      </c>
      <c r="BN29" s="155">
        <f>IF(ISNA(VLOOKUP(A29,'Données projet'!$A$87:$I$107,6,0)),0%,VLOOKUP(A29,'Données projet'!$A$87:$I$107,6,0)*VLOOKUP('Données projet'!$B$11,'Paramètres'!$A$1:$I$88,7,0))</f>
        <v>0</v>
      </c>
      <c r="BO29" s="155">
        <f>IF(ISNA(VLOOKUP(A29,'Données projet'!$A$87:$I$107,7,0)),0%,VLOOKUP(A29,'Données projet'!$A$87:$I$107,7,0))</f>
        <v>0</v>
      </c>
      <c r="BP29" s="162">
        <f>EXP(-LN(2)/35)*BP28+(1-EXP(-LN(2)/35))/(LN(2)/35)*BL29*BM29*VLOOKUP('Données projet'!$B$11,'Paramètres'!$A$1:$I$88,3,0)*0.475*44/12</f>
        <v>0</v>
      </c>
      <c r="BQ29" s="162">
        <f>EXP(-LN(2)/25)*BQ28+(1-EXP(-LN(2)/25))/(LN(2)/25)*Calculateur!BL29*Calculateur!BN29*VLOOKUP('Données projet'!$B$11,'Paramètres'!$A$1:$I$88,3,0)*0.475*44/12</f>
        <v>0</v>
      </c>
      <c r="BR29" s="162">
        <f>EXP(-LN(2)/2)*BR28+(1-EXP(-LN(2)/2))/(LN(2)/2)*BL29*BO29*VLOOKUP('Données projet'!$B$11,'Paramètres'!$A$1:$I$88,3,0)*0.475*44/12</f>
        <v>0</v>
      </c>
      <c r="BS29" s="163">
        <f t="shared" si="10"/>
        <v>0</v>
      </c>
      <c r="BT29" s="159">
        <f>('Scénario référence'!$F$8+'Scénario référence'!$F$9+'Scénario référence'!$B$17+'Scénario référence'!$B$9+'Scénario référence'!$B$10)*70+IF((45+25*(1-EXP(-0.0175*A29)))&lt;70,'Scénario référence'!$B$16*(45+25*(1-EXP(-0.0175*A29))),70*'Scénario référence'!$B$16)+IF((32+38*(1-EXP(-0.0175*A29)))&lt;70,'Scénario référence'!$B$18*(32+38*(1-EXP(-0.0175*A29))),70*'Scénario référence'!$B$18)</f>
        <v>70</v>
      </c>
      <c r="BU29" s="151">
        <f>IF(A29&gt;30,10,('Scénario référence'!$B$16+'Scénario référence'!$B$17+'Scénario référence'!$B$18+'Scénario référence'!$B$9+'Scénario référence'!$B$10)*A29*10/30+('Scénario référence'!$F$8+'Scénario référence'!$F$9)*10)</f>
        <v>8.666666667</v>
      </c>
      <c r="BV29" s="151" t="str">
        <f>VLOOKUP(A29,'Données projet'!$A$113:$I$133,2,0)</f>
        <v>#N/A</v>
      </c>
      <c r="BW29" s="151" t="str">
        <f>VLOOKUP(A29,'Données projet'!$A$113:$I$133,9,0)</f>
        <v>#N/A</v>
      </c>
      <c r="BX29" s="150" t="str">
        <f t="array" ref="BX29">INDEX(BW:BW,MIN(IF(ISNUMBER(BW29:BW225),ROW(BW29:BW225),"")))</f>
        <v/>
      </c>
      <c r="BY29" s="150">
        <f>IF('Données projet'!$A$114&gt;35,BY28+BX29-CG28,IF(A29&lt;'Données projet'!$A$114,$BV$205^A29,IF(A29='Données projet'!$A$114,'Données projet'!$B$114,BY28+BX29-CG28)))</f>
        <v>0</v>
      </c>
      <c r="BZ29" s="150" t="str">
        <f>BY29*VLOOKUP('Données projet'!$B$12,'Paramètres'!$A$1:$I$88,3,0)*VLOOKUP('Données projet'!$B$12,'Paramètres'!$A$1:$I$88,5,0)</f>
        <v>#N/A</v>
      </c>
      <c r="CA29" s="150" t="str">
        <f t="shared" si="40"/>
        <v>#N/A</v>
      </c>
      <c r="CB29" s="161" t="str">
        <f t="shared" si="11"/>
        <v>#N/A</v>
      </c>
      <c r="CC29" s="153" t="str">
        <f t="shared" si="12"/>
        <v>#N/A</v>
      </c>
      <c r="CD29" s="153" t="str">
        <f>AVERAGE(OFFSET($CC$3,0,0,'Données projet'!$E$12+1,1))-AVERAGE(OFFSET($H$3,0,0,'Données projet'!$E$12+1,1))</f>
        <v>#N/A</v>
      </c>
      <c r="CE29" s="153" t="str">
        <f t="shared" si="41"/>
        <v>#N/A</v>
      </c>
      <c r="CF29" s="154">
        <f>IF(ISNA(VLOOKUP(A29,'Données projet'!$A$113:$I$133,3,0)),0,VLOOKUP(A29,'Données projet'!$A$113:$I$133,3,0))</f>
        <v>0</v>
      </c>
      <c r="CG29" s="154">
        <f>IF(ISNA(VLOOKUP(A29,'Données projet'!$A$113:$I$133,4,0)),0,VLOOKUP(A29,'Données projet'!$A$113:$I$133,4,0))</f>
        <v>0</v>
      </c>
      <c r="CH29" s="155">
        <f>IF(ISNA(VLOOKUP(A29,'Données projet'!$A$113:$I$133,5,0)),0%,VLOOKUP(A29,'Données projet'!$A$113:$I$133,5,0)*VLOOKUP('Données projet'!$B$12,'Paramètres'!$A$1:$I$88,7,0))</f>
        <v>0</v>
      </c>
      <c r="CI29" s="155">
        <f>IF(ISNA(VLOOKUP(A29,'Données projet'!$A$113:$I$133,6,0)),0%,VLOOKUP(A29,'Données projet'!$A$113:$I$133,6,0)*VLOOKUP('Données projet'!$B$12,'Paramètres'!$A$1:$I$88,7,0))</f>
        <v>0</v>
      </c>
      <c r="CJ29" s="155">
        <f>IF(ISNA(VLOOKUP(A29,'Données projet'!$A$113:$I$133,7,0)),0%,VLOOKUP(A29,'Données projet'!$A$113:$I$133,7,0))</f>
        <v>0</v>
      </c>
      <c r="CK29" s="162" t="str">
        <f>EXP(-LN(2)/35)*CK28+(1-EXP(-LN(2)/35))/(LN(2)/35)*CG29*CH29*VLOOKUP('Données projet'!$B$12,'Paramètres'!$A$1:$I$88,3,0)*0.475*44/12</f>
        <v>#N/A</v>
      </c>
      <c r="CL29" s="162" t="str">
        <f>EXP(-LN(2)/25)*CL28+(1-EXP(-LN(2)/25))/(LN(2)/25)*Calculateur!CG29*Calculateur!CI29*VLOOKUP('Données projet'!$B$12,'Paramètres'!$A$1:$I$88,3,0)*0.475*44/12</f>
        <v>#N/A</v>
      </c>
      <c r="CM29" s="162" t="str">
        <f>EXP(-LN(2)/2)*CM28+(1-EXP(-LN(2)/2))/(LN(2)/2)*CG29*CJ29*VLOOKUP('Données projet'!$B$12,'Paramètres'!$A$1:$I$88,3,0)*0.475*44/12</f>
        <v>#N/A</v>
      </c>
      <c r="CN29" s="163" t="str">
        <f t="shared" si="13"/>
        <v>#N/A</v>
      </c>
      <c r="CO29" s="159">
        <f>('Scénario référence'!$F$8+'Scénario référence'!$F$9+'Scénario référence'!$B$17+'Scénario référence'!$B$9+'Scénario référence'!$B$10)*70+IF((45+25*(1-EXP(-0.0175*A29)))&lt;70,'Scénario référence'!$B$16*(45+25*(1-EXP(-0.0175*A29))),70*'Scénario référence'!$B$16)+IF((32+38*(1-EXP(-0.0175*A29)))&lt;70,'Scénario référence'!$B$18*(32+38*(1-EXP(-0.0175*A29))),70*'Scénario référence'!$B$18)</f>
        <v>70</v>
      </c>
      <c r="CP29" s="151">
        <f>IF(A29&gt;30,10,('Scénario référence'!$B$16+'Scénario référence'!$B$17+'Scénario référence'!$B$18+'Scénario référence'!$B$9+'Scénario référence'!$B$10)*A29*10/30+('Scénario référence'!$F$8+'Scénario référence'!$F$9)*10)</f>
        <v>8.666666667</v>
      </c>
      <c r="CQ29" s="151" t="str">
        <f>VLOOKUP(A29,'Données projet'!$A$139:$I$159,2,0)</f>
        <v>#N/A</v>
      </c>
      <c r="CR29" s="151" t="str">
        <f>VLOOKUP(A29,'Données projet'!$A$139:$I$159,9,0)</f>
        <v>#N/A</v>
      </c>
      <c r="CS29" s="151" t="str">
        <f t="array" ref="CS29">INDEX(CR:CR,MIN(IF(ISNUMBER(CR29:CR225),ROW(CR29:CR225),"")))</f>
        <v/>
      </c>
      <c r="CT29" s="151">
        <f>IF('Données projet'!$A$140&gt;35,CT28+CS29-DB28,IF(A29&lt;'Données projet'!$A$140,$CQ$205^A29,IF(A29='Données projet'!$A$140,'Données projet'!$B$140,CT28+CS29-DB28)))</f>
        <v>0</v>
      </c>
      <c r="CU29" s="158" t="str">
        <f>CT29*VLOOKUP('Données projet'!$B$13,'Paramètres'!$A$1:$I$88,3,0)*VLOOKUP('Données projet'!$B$13,'Paramètres'!$A$1:$I$88,5,0)</f>
        <v>#N/A</v>
      </c>
      <c r="CV29" s="150" t="str">
        <f t="shared" si="42"/>
        <v>#N/A</v>
      </c>
      <c r="CW29" s="161" t="str">
        <f t="shared" si="14"/>
        <v>#N/A</v>
      </c>
      <c r="CX29" s="153" t="str">
        <f t="shared" si="15"/>
        <v>#N/A</v>
      </c>
      <c r="CY29" s="153" t="str">
        <f>AVERAGE(OFFSET($CX$3,0,0,'Données projet'!$E$13+1,1))-AVERAGE(OFFSET($H$3,0,0,'Données projet'!$E$13+1,1))</f>
        <v>#N/A</v>
      </c>
      <c r="CZ29" s="153" t="str">
        <f t="shared" si="43"/>
        <v>#N/A</v>
      </c>
      <c r="DA29" s="154">
        <f>IF(ISNA(VLOOKUP(A29,'Données projet'!$A$139:$I$159,3,0)),0,VLOOKUP(A29,'Données projet'!$A$139:$I$159,3,0))</f>
        <v>0</v>
      </c>
      <c r="DB29" s="154">
        <f>IF(ISNA(VLOOKUP(A29,'Données projet'!$A$139:$I$159,4,0)),0,VLOOKUP(A29,'Données projet'!$A$139:$I$159,4,0))</f>
        <v>0</v>
      </c>
      <c r="DC29" s="155">
        <f>IF(ISNA(VLOOKUP(A29,'Données projet'!$A$139:$I$159,5,0)),0%,VLOOKUP(A29,'Données projet'!$A$139:$I$159,5,0)*VLOOKUP('Données projet'!$B$13,'Paramètres'!$A$1:$I$88,7,0))</f>
        <v>0</v>
      </c>
      <c r="DD29" s="155">
        <f>IF(ISNA(VLOOKUP(A29,'Données projet'!$A$139:$I$159,6,0)),0%,VLOOKUP(A29,'Données projet'!$A$139:$I$159,6,0)*VLOOKUP('Données projet'!$B$13,'Paramètres'!$A$1:$I$88,7,0))</f>
        <v>0</v>
      </c>
      <c r="DE29" s="155">
        <f>IF(ISNA(VLOOKUP(A29,'Données projet'!$A$139:$I$159,7,0)),0%,VLOOKUP(A29,'Données projet'!$A$139:$I$159,7,0))</f>
        <v>0</v>
      </c>
      <c r="DF29" s="162" t="str">
        <f>EXP(-LN(2)/35)*DF28+(1-EXP(-LN(2)/35))/(LN(2)/35)*DB29*DC29*VLOOKUP('Données projet'!$B$13,'Paramètres'!$A$1:$I$88,3,0)*0.475*44/12</f>
        <v>#N/A</v>
      </c>
      <c r="DG29" s="162" t="str">
        <f>EXP(-LN(2)/25)*DG28+(1-EXP(-LN(2)/25))/(LN(2)/25)*Calculateur!DB29*Calculateur!DD29*VLOOKUP('Données projet'!$B$13,'Paramètres'!$A$1:$I$88,3,0)*0.475*44/12</f>
        <v>#N/A</v>
      </c>
      <c r="DH29" s="162" t="str">
        <f>EXP(-LN(2)/2)*DH28+(1-EXP(-LN(2)/2))/(LN(2)/2)*DB29*DE29*VLOOKUP('Données projet'!$B$13,'Paramètres'!$A$1:$I$88,3,0)*0.475*44/12</f>
        <v>#N/A</v>
      </c>
      <c r="DI29" s="163" t="str">
        <f t="shared" si="16"/>
        <v>#N/A</v>
      </c>
      <c r="DJ29" s="159">
        <f>('Scénario référence'!$F$8+'Scénario référence'!$F$9+'Scénario référence'!$B$17+'Scénario référence'!$B$9+'Scénario référence'!$B$10)*70+IF((45+25*(1-EXP(-0.0175*A29)))&lt;70,'Scénario référence'!$B$16*(45+25*(1-EXP(-0.0175*A29))),70*'Scénario référence'!$B$16)+IF((32+38*(1-EXP(-0.0175*A29)))&lt;70,'Scénario référence'!$B$18*(32+38*(1-EXP(-0.0175*A29))),70*'Scénario référence'!$B$18)</f>
        <v>70</v>
      </c>
      <c r="DK29" s="151">
        <f>IF(A29&gt;30,10,('Scénario référence'!$B$16+'Scénario référence'!$B$17+'Scénario référence'!$B$18+'Scénario référence'!$B$9+'Scénario référence'!$B$10)*A29*10/30+('Scénario référence'!$F$8+'Scénario référence'!$F$9)*10)</f>
        <v>8.666666667</v>
      </c>
      <c r="DL29" s="151" t="str">
        <f>VLOOKUP(A29,'Données projet'!$A$165:$I$185,2,0)</f>
        <v>#N/A</v>
      </c>
      <c r="DM29" s="151" t="str">
        <f>VLOOKUP(A29,'Données projet'!$A$165:$I$185,9,0)</f>
        <v>#N/A</v>
      </c>
      <c r="DN29" s="151" t="str">
        <f t="array" ref="DN29">INDEX(DM:DM,MIN(IF(ISNUMBER(DM29:DM225),ROW(DM29:DM225),"")))</f>
        <v/>
      </c>
      <c r="DO29" s="151">
        <f>IF('Données projet'!$A$166&gt;35,DO28+DN29-DW28,IF(A29&lt;'Données projet'!$A$166,$DL$205^A29,IF(A29='Données projet'!$A$166,'Données projet'!$B$166,DO28+DN29-DW28)))</f>
        <v>0</v>
      </c>
      <c r="DP29" s="158" t="str">
        <f>DO29*VLOOKUP('Données projet'!$B$14,'Paramètres'!$A$1:$I$88,3,0)*VLOOKUP('Données projet'!$B$14,'Paramètres'!$A$1:$I$88,5,0)</f>
        <v>#N/A</v>
      </c>
      <c r="DQ29" s="150" t="str">
        <f t="shared" si="44"/>
        <v>#N/A</v>
      </c>
      <c r="DR29" s="161" t="str">
        <f t="shared" si="17"/>
        <v>#N/A</v>
      </c>
      <c r="DS29" s="153" t="str">
        <f t="shared" si="18"/>
        <v>#N/A</v>
      </c>
      <c r="DT29" s="153" t="str">
        <f>AVERAGE(OFFSET($DS$3,0,0,'Données projet'!$E$14+1,1))-AVERAGE(OFFSET($H$3,0,0,'Données projet'!$E$14+1,1))</f>
        <v>#N/A</v>
      </c>
      <c r="DU29" s="153" t="str">
        <f t="shared" si="45"/>
        <v>#N/A</v>
      </c>
      <c r="DV29" s="154">
        <f>IF(ISNA(VLOOKUP(A29,'Données projet'!$A$165:$I$185,3,0)),0,VLOOKUP(A29,'Données projet'!$A$165:$I$185,3,0))</f>
        <v>0</v>
      </c>
      <c r="DW29" s="154">
        <f>IF(ISNA(VLOOKUP(A29,'Données projet'!$A$165:$I$185,4,0)),0,VLOOKUP(A29,'Données projet'!$A$165:$I$185,4,0))</f>
        <v>0</v>
      </c>
      <c r="DX29" s="155">
        <f>IF(ISNA(VLOOKUP(A29,'Données projet'!$A$165:$I$185,5,0)),0%,VLOOKUP(A29,'Données projet'!$A$165:$I$185,5,0)*VLOOKUP('Données projet'!$B$14,'Paramètres'!$A$1:$I$88,7,0))</f>
        <v>0</v>
      </c>
      <c r="DY29" s="155">
        <f>IF(ISNA(VLOOKUP(A29,'Données projet'!$A$165:$I$185,6,0)),0%,VLOOKUP(A29,'Données projet'!$A$165:$I$185,6,0)*VLOOKUP('Données projet'!$B$14,'Paramètres'!$A$1:$I$88,7,0))</f>
        <v>0</v>
      </c>
      <c r="DZ29" s="155">
        <f>IF(ISNA(VLOOKUP(A29,'Données projet'!$A$165:$I$185,7,0)),0%,VLOOKUP(A29,'Données projet'!$A$165:$I$185,7,0))</f>
        <v>0</v>
      </c>
      <c r="EA29" s="162" t="str">
        <f>EXP(-LN(2)/35)*EA28+(1-EXP(-LN(2)/35))/(LN(2)/35)*DW29*DX29*VLOOKUP('Données projet'!$B$14,'Paramètres'!$A$1:$I$88,3,0)*0.475*44/12</f>
        <v>#N/A</v>
      </c>
      <c r="EB29" s="162" t="str">
        <f>EXP(-LN(2)/25)*EB28+(1-EXP(-LN(2)/25))/(LN(2)/25)*Calculateur!DW29*Calculateur!DY29*VLOOKUP('Données projet'!$B$14,'Paramètres'!$A$1:$I$88,3,0)*0.475*44/12</f>
        <v>#N/A</v>
      </c>
      <c r="EC29" s="162" t="str">
        <f>EXP(-LN(2)/2)*EC28+(1-EXP(-LN(2)/2))/(LN(2)/2)*DW29*DZ29*VLOOKUP('Données projet'!$B$14,'Paramètres'!$A$1:$I$88,3,0)*0.475*44/12</f>
        <v>#N/A</v>
      </c>
      <c r="ED29" s="163" t="str">
        <f t="shared" si="19"/>
        <v>#N/A</v>
      </c>
      <c r="EE29" s="159">
        <f>('Scénario référence'!$F$8+'Scénario référence'!$F$9+'Scénario référence'!$B$17+'Scénario référence'!$B$9+'Scénario référence'!$B$10)*70+IF((45+25*(1-EXP(-0.0175*A29)))&lt;70,'Scénario référence'!$B$16*(45+25*(1-EXP(-0.0175*A29))),70*'Scénario référence'!$B$16)+IF((32+38*(1-EXP(-0.0175*A29)))&lt;70,'Scénario référence'!$B$18*(32+38*(1-EXP(-0.0175*A29))),70*'Scénario référence'!$B$18)</f>
        <v>70</v>
      </c>
      <c r="EF29" s="151">
        <f>IF(A29&gt;30,10,('Scénario référence'!$B$16+'Scénario référence'!$B$17+'Scénario référence'!$B$18+'Scénario référence'!$B$9+'Scénario référence'!$B$10)*A29*10/30+('Scénario référence'!$F$8+'Scénario référence'!$F$9)*10)</f>
        <v>8.666666667</v>
      </c>
      <c r="EG29" s="151" t="str">
        <f>VLOOKUP(A29,'Données projet'!$A$191:$I$211,2,0)</f>
        <v>#N/A</v>
      </c>
      <c r="EH29" s="151" t="str">
        <f>VLOOKUP(A29,'Données projet'!$A$191:$I$211,9,0)</f>
        <v>#N/A</v>
      </c>
      <c r="EI29" s="151" t="str">
        <f t="array" ref="EI29">INDEX(EH:EH,MIN(IF(ISNUMBER(EH29:EH225),ROW(EH29:EH225),"")))</f>
        <v/>
      </c>
      <c r="EJ29" s="151">
        <f>IF('Données projet'!$A$192&gt;35,EJ28+EI29-ER28,IF(A29&lt;'Données projet'!$A$192,$EG$205^A29,IF(A29='Données projet'!$A$192,'Données projet'!$B$192,EJ28+EI29-ER28)))</f>
        <v>0</v>
      </c>
      <c r="EK29" s="158" t="str">
        <f>EJ29*VLOOKUP('Données projet'!$B$15,'Paramètres'!$A$1:$I$88,3,0)*VLOOKUP('Données projet'!$B$15,'Paramètres'!$A$1:$I$88,5,0)</f>
        <v>#N/A</v>
      </c>
      <c r="EL29" s="150" t="str">
        <f t="shared" si="46"/>
        <v>#N/A</v>
      </c>
      <c r="EM29" s="161" t="str">
        <f t="shared" si="20"/>
        <v>#N/A</v>
      </c>
      <c r="EN29" s="153" t="str">
        <f t="shared" si="21"/>
        <v>#N/A</v>
      </c>
      <c r="EO29" s="153" t="str">
        <f>AVERAGE(OFFSET($EN$3,0,0,'Données projet'!$E$15+1,1))-AVERAGE(OFFSET($H$3,0,0,'Données projet'!$E$15+1,1))</f>
        <v>#N/A</v>
      </c>
      <c r="EP29" s="153" t="str">
        <f t="shared" si="47"/>
        <v>#N/A</v>
      </c>
      <c r="EQ29" s="154">
        <f>IF(ISNA(VLOOKUP(A29,'Données projet'!$A$191:$I$211,3,0)),0,VLOOKUP(A29,'Données projet'!$A$191:$I$211,3,0))</f>
        <v>0</v>
      </c>
      <c r="ER29" s="154">
        <f>IF(ISNA(VLOOKUP(A29,'Données projet'!$A$191:$I$211,4,0)),0,VLOOKUP(A29,'Données projet'!$A$191:$I$211,4,0))</f>
        <v>0</v>
      </c>
      <c r="ES29" s="155">
        <f>IF(ISNA(VLOOKUP(A29,'Données projet'!$A$191:$I$211,5,0)),0%,VLOOKUP(A29,'Données projet'!$A$191:$I$211,5,0)*VLOOKUP('Données projet'!$B$15,'Paramètres'!$A$1:$I$88,7,0))</f>
        <v>0</v>
      </c>
      <c r="ET29" s="155">
        <f>IF(ISNA(VLOOKUP(A29,'Données projet'!$A$191:$I$211,6,0)),0%,VLOOKUP(A29,'Données projet'!$A$191:$I$211,6,0)*VLOOKUP('Données projet'!$B$15,'Paramètres'!$A$1:$I$88,7,0))</f>
        <v>0</v>
      </c>
      <c r="EU29" s="155">
        <f>IF(ISNA(VLOOKUP(A29,'Données projet'!$A$191:$I$211,7,0)),0%,VLOOKUP(A29,'Données projet'!$A$191:$I$211,7,0))</f>
        <v>0</v>
      </c>
      <c r="EV29" s="162" t="str">
        <f>EXP(-LN(2)/35)*EV28+(1-EXP(-LN(2)/35))/(LN(2)/35)*ER29*ES29*VLOOKUP('Données projet'!$B$15,'Paramètres'!$A$1:$I$88,3,0)*0.475*44/12</f>
        <v>#N/A</v>
      </c>
      <c r="EW29" s="162" t="str">
        <f>EXP(-LN(2)/25)*EW28+(1-EXP(-LN(2)/25))/(LN(2)/25)*Calculateur!ER29*Calculateur!ET29*VLOOKUP('Données projet'!$B$15,'Paramètres'!$A$1:$I$88,3,0)*0.475*44/12</f>
        <v>#N/A</v>
      </c>
      <c r="EX29" s="162" t="str">
        <f>EXP(-LN(2)/2)*EX28+(1-EXP(-LN(2)/2))/(LN(2)/2)*ER29*EU29*VLOOKUP('Données projet'!$B$15,'Paramètres'!$A$1:$I$88,3,0)*0.475*44/12</f>
        <v>#N/A</v>
      </c>
      <c r="EY29" s="163" t="str">
        <f t="shared" si="22"/>
        <v>#N/A</v>
      </c>
      <c r="EZ29" s="159">
        <f>('Scénario référence'!$F$8+'Scénario référence'!$F$9+'Scénario référence'!$B$17+'Scénario référence'!$B$9+'Scénario référence'!$B$10)*70+IF((45+25*(1-EXP(-0.0175*A29)))&lt;70,'Scénario référence'!$B$16*(45+25*(1-EXP(-0.0175*A29))),70*'Scénario référence'!$B$16)+IF((32+38*(1-EXP(-0.0175*A29)))&lt;70,'Scénario référence'!$B$18*(32+38*(1-EXP(-0.0175*A29))),70*'Scénario référence'!$B$18)</f>
        <v>70</v>
      </c>
      <c r="FA29" s="151">
        <f>IF(A29&gt;30,10,('Scénario référence'!$B$16+'Scénario référence'!$B$17+'Scénario référence'!$B$18+'Scénario référence'!$B$9+'Scénario référence'!$B$10)*A29*10/30+('Scénario référence'!$F$8+'Scénario référence'!$F$9)*10)</f>
        <v>8.666666667</v>
      </c>
      <c r="FB29" s="151" t="str">
        <f>VLOOKUP(A29,'Données projet'!$A$217:$I$237,2,0)</f>
        <v>#N/A</v>
      </c>
      <c r="FC29" s="151" t="str">
        <f>VLOOKUP(A29,'Données projet'!$A$217:$I$237,9,0)</f>
        <v>#N/A</v>
      </c>
      <c r="FD29" s="151" t="str">
        <f t="array" ref="FD29">INDEX(FC:FC,MIN(IF(ISNUMBER(FC29:FC225),ROW(FC29:FC225),"")))</f>
        <v/>
      </c>
      <c r="FE29" s="151">
        <f>IF('Données projet'!$A$218&gt;35,FE28+FD29-FM28,IF(A29&lt;'Données projet'!$A$218,$FB$205^A29,IF(A29='Données projet'!$A$218,'Données projet'!$B$218,FE28+FD29-FM28)))</f>
        <v>0</v>
      </c>
      <c r="FF29" s="158" t="str">
        <f>FE29*VLOOKUP('Données projet'!$B$16,'Paramètres'!$A$1:$I$88,3,0)*VLOOKUP('Données projet'!$B$16,'Paramètres'!$A$1:$I$88,5,0)</f>
        <v>#N/A</v>
      </c>
      <c r="FG29" s="150" t="str">
        <f t="shared" si="48"/>
        <v>#N/A</v>
      </c>
      <c r="FH29" s="161" t="str">
        <f t="shared" si="23"/>
        <v>#N/A</v>
      </c>
      <c r="FI29" s="153" t="str">
        <f t="shared" si="24"/>
        <v>#N/A</v>
      </c>
      <c r="FJ29" s="153" t="str">
        <f>AVERAGE(OFFSET($FI$3,0,0,'Données projet'!$E$16+1,1))-AVERAGE(OFFSET($H$3,0,0,'Données projet'!$E$16+1,1))</f>
        <v>#N/A</v>
      </c>
      <c r="FK29" s="153" t="str">
        <f t="shared" si="49"/>
        <v>#N/A</v>
      </c>
      <c r="FL29" s="154">
        <f>IF(ISNA(VLOOKUP(A29,'Données projet'!$A$217:$I$237,3,0)),0,VLOOKUP(A29,'Données projet'!$A$217:$I$237,3,0))</f>
        <v>0</v>
      </c>
      <c r="FM29" s="154">
        <f>IF(ISNA(VLOOKUP(A29,'Données projet'!$A$217:$I$237,4,0)),0,VLOOKUP(A29,'Données projet'!$A$217:$I$237,4,0))</f>
        <v>0</v>
      </c>
      <c r="FN29" s="155">
        <f>IF(ISNA(VLOOKUP(A29,'Données projet'!$A$217:$I$237,5,0)),0%,VLOOKUP(A29,'Données projet'!$A$217:$I$237,5,0)*VLOOKUP('Données projet'!$B$16,'Paramètres'!$A$1:$I$88,7,0))</f>
        <v>0</v>
      </c>
      <c r="FO29" s="155">
        <f>IF(ISNA(VLOOKUP(A29,'Données projet'!$A$217:$I$237,6,0)),0%,VLOOKUP(A29,'Données projet'!$A$217:$I$237,6,0)*VLOOKUP('Données projet'!$B$16,'Paramètres'!$A$1:$I$88,7,0))</f>
        <v>0</v>
      </c>
      <c r="FP29" s="155">
        <f>IF(ISNA(VLOOKUP(A29,'Données projet'!$A$217:$I$237,7,0)),0%,VLOOKUP(A29,'Données projet'!$A$217:$I$237,7,0))</f>
        <v>0</v>
      </c>
      <c r="FQ29" s="162" t="str">
        <f>EXP(-LN(2)/35)*FQ28+(1-EXP(-LN(2)/35))/(LN(2)/35)*FM29*FN29*VLOOKUP('Données projet'!$B$16,'Paramètres'!$A$1:$I$88,3,0)*0.475*44/12</f>
        <v>#N/A</v>
      </c>
      <c r="FR29" s="162" t="str">
        <f>EXP(-LN(2)/25)*FR28+(1-EXP(-LN(2)/25))/(LN(2)/25)*Calculateur!FM29*Calculateur!FO29*VLOOKUP('Données projet'!$B$16,'Paramètres'!$A$1:$I$88,3,0)*0.475*44/12</f>
        <v>#N/A</v>
      </c>
      <c r="FS29" s="162" t="str">
        <f>EXP(-LN(2)/2)*FS28+(1-EXP(-LN(2)/2))/(LN(2)/2)*FM29*FP29*VLOOKUP('Données projet'!$B$16,'Paramètres'!$A$1:$I$88,3,0)*0.475*44/12</f>
        <v>#N/A</v>
      </c>
      <c r="FT29" s="163" t="str">
        <f t="shared" si="25"/>
        <v>#N/A</v>
      </c>
      <c r="FU29" s="159">
        <f>('Scénario référence'!$F$8+'Scénario référence'!$F$9+'Scénario référence'!$B$17+'Scénario référence'!$B$9+'Scénario référence'!$B$10)*70+IF((45+25*(1-EXP(-0.0175*A29)))&lt;70,'Scénario référence'!$B$16*(45+25*(1-EXP(-0.0175*A29))),70*'Scénario référence'!$B$16)+IF((32+38*(1-EXP(-0.0175*A29)))&lt;70,'Scénario référence'!$B$18*(32+38*(1-EXP(-0.0175*A29))),70*'Scénario référence'!$B$18)</f>
        <v>70</v>
      </c>
      <c r="FV29" s="151">
        <f>IF(A29&gt;30,10,('Scénario référence'!$B$16+'Scénario référence'!$B$17+'Scénario référence'!$B$18+'Scénario référence'!$B$9+'Scénario référence'!$B$10)*A29*10/30+('Scénario référence'!$F$8+'Scénario référence'!$F$9)*10)</f>
        <v>8.666666667</v>
      </c>
      <c r="FW29" s="151" t="str">
        <f>VLOOKUP(A29,'Données projet'!$A$243:$I$263,2,0)</f>
        <v>#N/A</v>
      </c>
      <c r="FX29" s="151" t="str">
        <f>VLOOKUP(A29,'Données projet'!$A$243:$I$263,9,0)</f>
        <v>#N/A</v>
      </c>
      <c r="FY29" s="151" t="str">
        <f t="array" ref="FY29">INDEX(FX:FX,MIN(IF(ISNUMBER(FX29:FX225),ROW(FX29:FX225),"")))</f>
        <v/>
      </c>
      <c r="FZ29" s="151">
        <f>IF('Données projet'!$A$244&gt;35,FZ28+FY29-GH28,IF(A29&lt;'Données projet'!$A$244,$FW$205^A29,IF(A29='Données projet'!$A$244,'Données projet'!$B$244,FZ28+FY29-GH28)))</f>
        <v>0</v>
      </c>
      <c r="GA29" s="158" t="str">
        <f>FZ29*VLOOKUP('Données projet'!$B$17,'Paramètres'!$A$1:$I$88,3,0)*VLOOKUP('Données projet'!$B$17,'Paramètres'!$A$1:$I$88,5,0)</f>
        <v>#N/A</v>
      </c>
      <c r="GB29" s="150" t="str">
        <f t="shared" si="50"/>
        <v>#N/A</v>
      </c>
      <c r="GC29" s="161" t="str">
        <f t="shared" si="26"/>
        <v>#N/A</v>
      </c>
      <c r="GD29" s="153" t="str">
        <f t="shared" si="27"/>
        <v>#N/A</v>
      </c>
      <c r="GE29" s="153" t="str">
        <f>AVERAGE(OFFSET($GD$3,0,0,'Données projet'!$E$17+1,1))-AVERAGE(OFFSET($H$3,0,0,'Données projet'!$E$17+1,1))</f>
        <v>#N/A</v>
      </c>
      <c r="GF29" s="153" t="str">
        <f t="shared" si="51"/>
        <v>#N/A</v>
      </c>
      <c r="GG29" s="154">
        <f>IF(ISNA(VLOOKUP(A29,'Données projet'!$A$243:$I$263,3,0)),0,VLOOKUP(A29,'Données projet'!$A$243:$I$263,3,0))</f>
        <v>0</v>
      </c>
      <c r="GH29" s="154">
        <f>IF(ISNA(VLOOKUP(A29,'Données projet'!$A$243:$I$263,4,0)),0,VLOOKUP(A29,'Données projet'!$A$243:$I$263,4,0))</f>
        <v>0</v>
      </c>
      <c r="GI29" s="155">
        <f>IF(ISNA(VLOOKUP(A29,'Données projet'!$A$243:$I$263,5,0)),0%,VLOOKUP(A29,'Données projet'!$A$243:$I$263,5,0)*VLOOKUP('Données projet'!$B$17,'Paramètres'!$A$1:$I$88,7,0))</f>
        <v>0</v>
      </c>
      <c r="GJ29" s="155">
        <f>IF(ISNA(VLOOKUP(A29,'Données projet'!$A$243:$I$263,6,0)),0%,VLOOKUP(A29,'Données projet'!$A$243:$I$263,6,0)*VLOOKUP('Données projet'!$B$17,'Paramètres'!$A$1:$I$88,7,0))</f>
        <v>0</v>
      </c>
      <c r="GK29" s="155">
        <f>IF(ISNA(VLOOKUP(A29,'Données projet'!$A$243:$I$263,7,0)),0%,VLOOKUP(A29,'Données projet'!$A$243:$I$263,7,0))</f>
        <v>0</v>
      </c>
      <c r="GL29" s="162" t="str">
        <f>EXP(-LN(2)/35)*GL28+(1-EXP(-LN(2)/35))/(LN(2)/35)*GH29*GI29*VLOOKUP('Données projet'!$B$17,'Paramètres'!$A$1:$I$88,3,0)*0.475*44/12</f>
        <v>#N/A</v>
      </c>
      <c r="GM29" s="162" t="str">
        <f>EXP(-LN(2)/25)*GM28+(1-EXP(-LN(2)/25))/(LN(2)/25)*Calculateur!GH29*Calculateur!GJ29*VLOOKUP('Données projet'!$B$17,'Paramètres'!$A$1:$I$88,3,0)*0.475*44/12</f>
        <v>#N/A</v>
      </c>
      <c r="GN29" s="162" t="str">
        <f>EXP(-LN(2)/2)*GN28+(1-EXP(-LN(2)/2))/(LN(2)/2)*GH29*GK29*VLOOKUP('Données projet'!$B$17,'Paramètres'!$A$1:$I$88,3,0)*0.475*44/12</f>
        <v>#N/A</v>
      </c>
      <c r="GO29" s="162" t="str">
        <f t="shared" si="28"/>
        <v>#N/A</v>
      </c>
      <c r="GP29" s="159">
        <f>('Scénario référence'!$F$8+'Scénario référence'!$F$9+'Scénario référence'!$B$17+'Scénario référence'!$B$9+'Scénario référence'!$B$10)*70+IF((45+25*(1-EXP(-0.0175*A29)))&lt;70,'Scénario référence'!$B$16*(45+25*(1-EXP(-0.0175*A29))),70*'Scénario référence'!$B$16)+IF((32+38*(1-EXP(-0.0175*A29)))&lt;70,'Scénario référence'!$B$18*(32+38*(1-EXP(-0.0175*A29))),70*'Scénario référence'!$B$18)</f>
        <v>70</v>
      </c>
      <c r="GQ29" s="151">
        <f>IF(A29&gt;30,10,('Scénario référence'!$B$16+'Scénario référence'!$B$17+'Scénario référence'!$B$18+'Scénario référence'!$B$9+'Scénario référence'!$B$10)*A29*10/30+('Scénario référence'!$F$8+'Scénario référence'!$F$9)*10)</f>
        <v>8.666666667</v>
      </c>
      <c r="GR29" s="151" t="str">
        <f>VLOOKUP(A29,'Données projet'!$A$269:$I$289,2,0)</f>
        <v>#N/A</v>
      </c>
      <c r="GS29" s="151" t="str">
        <f>VLOOKUP(A29,'Données projet'!$A$269:$I$289,9,0)</f>
        <v>#N/A</v>
      </c>
      <c r="GT29" s="151" t="str">
        <f t="array" ref="GT29">INDEX(GS:GS,MIN(IF(ISNUMBER(GS29:GS225),ROW(GS29:GS225),"")))</f>
        <v/>
      </c>
      <c r="GU29" s="151">
        <f>IF('Données projet'!$A$270&gt;35,GU28+GT29-HC28,IF(A29&lt;'Données projet'!$A$270,$GR$205^A29,IF(A29='Données projet'!$A$270,'Données projet'!$B$270,GU28+GT29-HC28)))</f>
        <v>0</v>
      </c>
      <c r="GV29" s="158" t="str">
        <f>GU29*VLOOKUP('Données projet'!$B$18,'Paramètres'!$A$1:$I$88,3,0)*VLOOKUP('Données projet'!$B$18,'Paramètres'!$A$1:$I$88,5,0)</f>
        <v>#N/A</v>
      </c>
      <c r="GW29" s="150" t="str">
        <f t="shared" si="52"/>
        <v>#N/A</v>
      </c>
      <c r="GX29" s="161" t="str">
        <f t="shared" si="29"/>
        <v>#N/A</v>
      </c>
      <c r="GY29" s="153" t="str">
        <f t="shared" si="30"/>
        <v>#N/A</v>
      </c>
      <c r="GZ29" s="153" t="str">
        <f>AVERAGE(OFFSET($GY$3,0,0,'Données projet'!$E$18+1,1))-AVERAGE(OFFSET($H$3,0,0,'Données projet'!$E$18+1,1))</f>
        <v>#N/A</v>
      </c>
      <c r="HA29" s="153" t="str">
        <f t="shared" si="53"/>
        <v>#N/A</v>
      </c>
      <c r="HB29" s="154">
        <f>IF(ISNA(VLOOKUP(A29,'Données projet'!$A$269:$I$289,3,0)),0,VLOOKUP(A29,'Données projet'!$A$269:$I$289,3,0))</f>
        <v>0</v>
      </c>
      <c r="HC29" s="154">
        <f>IF(ISNA(VLOOKUP(A29,'Données projet'!$A$269:$I$289,4,0)),0,VLOOKUP(A29,'Données projet'!$A$269:$I$289,4,0))</f>
        <v>0</v>
      </c>
      <c r="HD29" s="155">
        <f>IF(ISNA(VLOOKUP(A29,'Données projet'!$A$269:$I$289,5,0)),0%,VLOOKUP(A29,'Données projet'!$A$269:$I$289,5,0)*VLOOKUP('Données projet'!$B$18,'Paramètres'!$A$1:$I$88,7,0))</f>
        <v>0</v>
      </c>
      <c r="HE29" s="155">
        <f>IF(ISNA(VLOOKUP(A29,'Données projet'!$A$269:$I$289,6,0)),0%,VLOOKUP(A29,'Données projet'!$A$269:$I$289,6,0)*VLOOKUP('Données projet'!$B$18,'Paramètres'!$A$1:$I$88,7,0))</f>
        <v>0</v>
      </c>
      <c r="HF29" s="155">
        <f>IF(ISNA(VLOOKUP(A29,'Données projet'!$A$269:$I$289,7,0)),0%,VLOOKUP(A29,'Données projet'!$A$269:$I$289,7,0))</f>
        <v>0</v>
      </c>
      <c r="HG29" s="162" t="str">
        <f>EXP(-LN(2)/35)*HG28+(1-EXP(-LN(2)/35))/(LN(2)/35)*HC29*HD29*VLOOKUP('Données projet'!$B$18,'Paramètres'!$A$1:$I$88,3,0)*0.475*44/12</f>
        <v>#N/A</v>
      </c>
      <c r="HH29" s="162" t="str">
        <f>EXP(-LN(2)/25)*HH28+(1-EXP(-LN(2)/25))/(LN(2)/25)*Calculateur!HC29*Calculateur!HE29*VLOOKUP('Données projet'!$B$18,'Paramètres'!$A$1:$I$88,3,0)*0.475*44/12</f>
        <v>#N/A</v>
      </c>
      <c r="HI29" s="162" t="str">
        <f>EXP(-LN(2)/2)*HI28+(1-EXP(-LN(2)/2))/(LN(2)/2)*HC29*HF29*VLOOKUP('Données projet'!$B$18,'Paramètres'!$A$1:$I$88,3,0)*0.475*44/12</f>
        <v>#N/A</v>
      </c>
      <c r="HJ29" s="163" t="str">
        <f t="shared" si="31"/>
        <v>#N/A</v>
      </c>
    </row>
    <row r="30" ht="15.75" customHeight="1">
      <c r="A30" s="145">
        <f t="shared" si="32"/>
        <v>27</v>
      </c>
      <c r="B30" s="146">
        <f>'Scénario référence'!$B$16*5+'Scénario référence'!$B$17*0+'Scénario référence'!$B$18*5</f>
        <v>0</v>
      </c>
      <c r="C30" s="160">
        <f>Calculateur!C29+'Scénario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30" s="147">
        <f t="shared" si="33"/>
        <v>0</v>
      </c>
      <c r="E30" s="147">
        <f>'Scénario référence'!$B$16*45+('Scénario référence'!$B$17+'Scénario référence'!$F$8+'Scénario référence'!$F$9+'Scénario référence'!$B$10+'Scénario référence'!$B$9)*70+'Scénario référence'!$B$18*32</f>
        <v>70</v>
      </c>
      <c r="F30" s="147">
        <f>IF(OR('Scénario référence'!$F$8&gt;0,'Scénario référence'!$F$9&gt;0),('Scénario référence'!$F$8+'Scénario référence'!$F$9)*10,0)</f>
        <v>0</v>
      </c>
      <c r="G30" s="147">
        <f>'Scénario référence'!$B$8*B30*44/12+'Scénario référence'!$B$9*(C30+D30)/0.475*44/12+'Scénario référence'!$B$10*(C30+D30)/0.475*44/12+'Scénario référence'!$F$8*(C30+D30)/0.475*44/12+'Scénario référence'!$F$9*(C30+D30)/0.475*44/12</f>
        <v>0</v>
      </c>
      <c r="H30" s="148">
        <f t="shared" si="1"/>
        <v>256.6666667</v>
      </c>
      <c r="I30" s="149">
        <f>('Scénario référence'!$F$8+'Scénario référence'!$F$9+'Scénario référence'!$B$17+'Scénario référence'!$B$9+'Scénario référence'!$B$10)*70+IF((45+25*(1-EXP(-0.0175*A30)))&lt;70,'Scénario référence'!$B$16*(45+25*(1-EXP(-0.0175*A30))),70*'Scénario référence'!$B$16)+IF((32+38*(1-EXP(-0.0175*A30)))&lt;70,'Scénario référence'!$B$18*(32+38*(1-EXP(-0.0175*A30))),70*'Scénario référence'!$B$18)</f>
        <v>70</v>
      </c>
      <c r="J30" s="150">
        <f>IF(A30&gt;30,10,('Scénario référence'!$B$16+'Scénario référence'!$B$17+'Scénario référence'!$B$18+'Scénario référence'!$B$9+'Scénario référence'!$B$10)*A30*10/30+('Scénario référence'!$F$8+'Scénario référence'!$F$9)*10)</f>
        <v>9</v>
      </c>
      <c r="K30" s="151" t="str">
        <f>VLOOKUP(A30,'Données projet'!$A$35:$I$55,2,0)</f>
        <v>#N/A</v>
      </c>
      <c r="L30" s="151" t="str">
        <f>VLOOKUP(A30,'Données projet'!$A$35:$I$55,9,0)</f>
        <v>#N/A</v>
      </c>
      <c r="M30" s="150">
        <f t="array" ref="M30">INDEX(L:L,MIN(IF(ISNUMBER(L30:L226),ROW(L30:L226),"")))</f>
        <v>9.2</v>
      </c>
      <c r="N30" s="150">
        <f>IF('Données projet'!$A$36&gt;35,N29+M30-V29,IF(A30&lt;'Données projet'!$A$36,$K$205^A30,IF(A30='Données projet'!$A$36,'Données projet'!$B$36,N29+M30-V29)))</f>
        <v>93.4</v>
      </c>
      <c r="O30" s="150">
        <f>N30*VLOOKUP('Données projet'!$B$9,'Paramètres'!$A$1:$I$88,3,0)*VLOOKUP('Données projet'!$B$9,'Paramètres'!$A$1:$I$88,5,0)</f>
        <v>84.50832</v>
      </c>
      <c r="P30" s="150">
        <f t="shared" si="34"/>
        <v>23.23595009</v>
      </c>
      <c r="Q30" s="161">
        <f t="shared" si="2"/>
        <v>187.6546037</v>
      </c>
      <c r="R30" s="153">
        <f t="shared" si="3"/>
        <v>477.3212704</v>
      </c>
      <c r="S30" s="153">
        <f>AVERAGE(OFFSET($R$3,0,0,'Données projet'!$E$9+1,1))-AVERAGE(OFFSET($H$3,0,0,'Données projet'!$E$9+1,1))</f>
        <v>439.1985427</v>
      </c>
      <c r="T30" s="153">
        <f t="shared" si="35"/>
        <v>278.2174123</v>
      </c>
      <c r="U30" s="154">
        <f>IF(ISNA(VLOOKUP(A30,'Données projet'!$A$35:$I$55,3,0)),0,VLOOKUP(A30,'Données projet'!$A$35:$I$55,3,0))</f>
        <v>0</v>
      </c>
      <c r="V30" s="154">
        <f>IF(ISNA(VLOOKUP(A30,'Données projet'!$A$35:$I$55,4,0)),0,VLOOKUP(A30,'Données projet'!$A$35:$I$55,4,0))</f>
        <v>0</v>
      </c>
      <c r="W30" s="155">
        <f>IF(ISNA(VLOOKUP(A30,'Données projet'!$A$35:$I$55,5,0)),0%,VLOOKUP(A30,'Données projet'!$A$35:$I$55,5,0)*VLOOKUP('Données projet'!$B$9,'Paramètres'!$A$1:$I$88,7,0))</f>
        <v>0</v>
      </c>
      <c r="X30" s="155">
        <f>IF(ISNA(VLOOKUP(A30,'Données projet'!$A$35:$I$55,6,0)),0%,VLOOKUP(A30,'Données projet'!$A$35:$I$55,6,0)*VLOOKUP('Données projet'!$B$9,'Paramètres'!$A$1:$I$88,7,0))</f>
        <v>0</v>
      </c>
      <c r="Y30" s="155">
        <f>IF(ISNA(VLOOKUP(A30,'Données projet'!$A$35:$I$55,7,0)),0%,VLOOKUP(A30,'Données projet'!$A$35:$I$55,7,0))</f>
        <v>0</v>
      </c>
      <c r="Z30" s="162">
        <f>EXP(-LN(2)/35)*Z29+(1-EXP(-LN(2)/35))/(LN(2)/35)*V30*W30*VLOOKUP('Données projet'!$B$9,'Paramètres'!$A$1:$I$88,3,0)*0.475*44/12</f>
        <v>0</v>
      </c>
      <c r="AA30" s="162">
        <f>EXP(-LN(2)/25)*AA29+(1-EXP(-LN(2)/25))/(LN(2)/25)*Calculateur!V30*Calculateur!X30*VLOOKUP('Données projet'!$B$9,'Paramètres'!$A$1:$I$88,3,0)*0.475*44/12</f>
        <v>2.269658031</v>
      </c>
      <c r="AB30" s="162">
        <f>EXP(-LN(2)/2)*AB29+(1-EXP(-LN(2)/2))/(LN(2)/2)*V30*Y30*VLOOKUP('Données projet'!$B$9,'Paramètres'!$A$1:$I$88,3,0)*0.475*44/12</f>
        <v>0</v>
      </c>
      <c r="AC30" s="163">
        <f t="shared" si="4"/>
        <v>2.269658031</v>
      </c>
      <c r="AD30" s="150">
        <f>('Scénario référence'!$F$8+'Scénario référence'!$F$9+'Scénario référence'!$B$17+'Scénario référence'!$B$9+'Scénario référence'!$B$10)*70+IF((45+25*(1-EXP(-0.0175*A30)))&lt;70,'Scénario référence'!$B$16*(45+25*(1-EXP(-0.0175*A30))),70*'Scénario référence'!$B$16)+IF((32+38*(1-EXP(-0.0175*A30)))&lt;70,'Scénario référence'!$B$18*(32+38*(1-EXP(-0.0175*A30))),70*'Scénario référence'!$B$18)</f>
        <v>70</v>
      </c>
      <c r="AE30" s="150">
        <f>IF(A30&gt;30,10,('Scénario référence'!$B$16+'Scénario référence'!$B$17+'Scénario référence'!$B$18+'Scénario référence'!$B$9+'Scénario référence'!$B$10)*A30*10/30+('Scénario référence'!$F$8+'Scénario référence'!$F$9)*10)</f>
        <v>9</v>
      </c>
      <c r="AF30" s="151" t="str">
        <f>VLOOKUP(A30,'Données projet'!$A$61:$I$81,2,0)</f>
        <v>#N/A</v>
      </c>
      <c r="AG30" s="151" t="str">
        <f>VLOOKUP(A30,'Données projet'!$A$61:$I$81,9,0)</f>
        <v>#N/A</v>
      </c>
      <c r="AH30" s="150">
        <f t="array" ref="AH30">INDEX(AG:AG,MIN(IF(ISNUMBER(AG30:AG226),ROW(AG30:AG226),"")))</f>
        <v>16</v>
      </c>
      <c r="AI30" s="150">
        <f>IF('Données projet'!$A$62&gt;35,AI29+AH30-AQ29,IF(A30&lt;'Données projet'!$A$62,$AF$205^A30,IF(A30='Données projet'!$A$62,'Données projet'!$B$62,AI29+AH30-AQ29)))</f>
        <v>157</v>
      </c>
      <c r="AJ30" s="150">
        <f>AI30*VLOOKUP('Données projet'!$B$10,'Paramètres'!$A$1:$I$88,3,0)*VLOOKUP('Données projet'!$B$10,'Paramètres'!$A$1:$I$88,5,0)</f>
        <v>124.9092</v>
      </c>
      <c r="AK30" s="150">
        <f t="shared" si="36"/>
        <v>32.81730402</v>
      </c>
      <c r="AL30" s="161">
        <f t="shared" si="5"/>
        <v>274.7069945</v>
      </c>
      <c r="AM30" s="153">
        <f t="shared" si="6"/>
        <v>564.3736612</v>
      </c>
      <c r="AN30" s="153">
        <f>AVERAGE(OFFSET($AM$3,0,0,'Données projet'!$E$10+1,1))-AVERAGE(OFFSET($H$3,0,0,'Données projet'!$E$10+1,1))</f>
        <v>405.6113614</v>
      </c>
      <c r="AO30" s="153">
        <f t="shared" si="37"/>
        <v>393.0787141</v>
      </c>
      <c r="AP30" s="154">
        <f>IF(ISNA(VLOOKUP(A30,'Données projet'!$A$61:$I$81,3,0)),0,VLOOKUP(A30,'Données projet'!$A$61:$I$81,3,0))</f>
        <v>0</v>
      </c>
      <c r="AQ30" s="154">
        <f>IF(ISNA(VLOOKUP(A30,'Données projet'!$A$61:$I$81,4,0)),0,VLOOKUP(A30,'Données projet'!$A$61:$I$81,4,0))</f>
        <v>0</v>
      </c>
      <c r="AR30" s="155">
        <f>IF(ISNA(VLOOKUP(A30,'Données projet'!$A$61:$I$81,5,0)),0%,VLOOKUP(A30,'Données projet'!$A$61:$I$81,5,0)*VLOOKUP('Données projet'!$B$10,'Paramètres'!$A$1:$I$88,7,0))</f>
        <v>0</v>
      </c>
      <c r="AS30" s="155">
        <f>IF(ISNA(VLOOKUP(A30,'Données projet'!$A$61:$I$81,6,0)),0%,VLOOKUP(A30,'Données projet'!$A$61:$I$81,6,0)*VLOOKUP('Données projet'!$B$10,'Paramètres'!$A$1:$I$88,7,0))</f>
        <v>0</v>
      </c>
      <c r="AT30" s="155">
        <f>IF(ISNA(VLOOKUP(A30,'Données projet'!$A$61:$I$81,7,0)),0%,VLOOKUP(A30,'Données projet'!$A$61:$I$81,7,0))</f>
        <v>0</v>
      </c>
      <c r="AU30" s="162">
        <f>EXP(-LN(2)/35)*AU29+(1-EXP(-LN(2)/35))/(LN(2)/35)*AQ30*AR30*VLOOKUP('Données projet'!$B$10,'Paramètres'!$A$1:$I$88,3,0)*0.475*44/12</f>
        <v>0</v>
      </c>
      <c r="AV30" s="162">
        <f>EXP(-LN(2)/25)*AV29+(1-EXP(-LN(2)/25))/(LN(2)/25)*Calculateur!AQ30*Calculateur!AS30*VLOOKUP('Données projet'!$B$10,'Paramètres'!$A$1:$I$88,3,0)*0.475*44/12</f>
        <v>9.224467209</v>
      </c>
      <c r="AW30" s="162">
        <f>EXP(-LN(2)/2)*AW29+(1-EXP(-LN(2)/2))/(LN(2)/2)*AQ30*AT30*VLOOKUP('Données projet'!$B$10,'Paramètres'!$A$1:$I$88,3,0)*0.475*44/12</f>
        <v>1.639673722</v>
      </c>
      <c r="AX30" s="162">
        <f t="shared" si="7"/>
        <v>10.86414093</v>
      </c>
      <c r="AY30" s="157">
        <f>('Scénario référence'!$F$8+'Scénario référence'!$F$9+'Scénario référence'!$B$17+'Scénario référence'!$B$9+'Scénario référence'!$B$10)*70+IF((45+25*(1-EXP(-0.0175*A30)))&lt;70,'Scénario référence'!$B$16*(45+25*(1-EXP(-0.0175*A30))),70*'Scénario référence'!$B$16)+IF((32+38*(1-EXP(-0.0175*A30)))&lt;70,'Scénario référence'!$B$18*(32+38*(1-EXP(-0.0175*A30))),70*'Scénario référence'!$B$18)</f>
        <v>70</v>
      </c>
      <c r="AZ30" s="151">
        <f>IF(A30&gt;30,10,('Scénario référence'!$B$16+'Scénario référence'!$B$17+'Scénario référence'!$B$18+'Scénario référence'!$B$9+'Scénario référence'!$B$10)*A30*10/30+('Scénario référence'!$F$8+'Scénario référence'!$F$9)*10)</f>
        <v>9</v>
      </c>
      <c r="BA30" s="151" t="str">
        <f>VLOOKUP(A30,'Données projet'!$A$87:$I$107,2,0)</f>
        <v>#N/A</v>
      </c>
      <c r="BB30" s="151" t="str">
        <f>VLOOKUP(A30,'Données projet'!$A$87:$I$107,9,0)</f>
        <v>#N/A</v>
      </c>
      <c r="BC30" s="150" t="str">
        <f t="array" ref="BC30">INDEX(BB:BB,MIN(IF(ISNUMBER(BB30:BB226),ROW(BB30:BB226),"")))</f>
        <v/>
      </c>
      <c r="BD30" s="150">
        <f>IF('Données projet'!$A$88&gt;35,BD29+BC30-BL29,IF(A30&lt;'Données projet'!$A$88,$BA$205^A30,IF(A30='Données projet'!$A$88,'Données projet'!$B$88,BD29+BC30-BL29)))</f>
        <v>0</v>
      </c>
      <c r="BE30" s="150">
        <f>BD30*VLOOKUP('Données projet'!$B$11,'Paramètres'!$A$1:$I$88,3,0)*VLOOKUP('Données projet'!$B$11,'Paramètres'!$A$1:$I$88,5,0)</f>
        <v>0</v>
      </c>
      <c r="BF30" s="150" t="str">
        <f t="shared" si="38"/>
        <v>#NUM!</v>
      </c>
      <c r="BG30" s="161" t="str">
        <f t="shared" si="8"/>
        <v>#NUM!</v>
      </c>
      <c r="BH30" s="153" t="str">
        <f t="shared" si="9"/>
        <v>#NUM!</v>
      </c>
      <c r="BI30" s="153">
        <f>AVERAGE(OFFSET($BH$3,0,0,'Données projet'!$E$11+1,1))-AVERAGE(OFFSET($H$3,0,0,'Données projet'!$E$11+1,1))</f>
        <v>0</v>
      </c>
      <c r="BJ30" s="153">
        <f t="shared" si="39"/>
        <v>0</v>
      </c>
      <c r="BK30" s="154">
        <f>IF(ISNA(VLOOKUP(A30,'Données projet'!$A$87:$I$107,3,0)),0,VLOOKUP(A30,'Données projet'!$A$87:$I$107,3,0))</f>
        <v>0</v>
      </c>
      <c r="BL30" s="154">
        <f>IF(ISNA(VLOOKUP(A30,'Données projet'!$A$87:$I$107,4,0)),0,VLOOKUP(A30,'Données projet'!$A$87:$I$107,4,0))</f>
        <v>0</v>
      </c>
      <c r="BM30" s="155">
        <f>IF(ISNA(VLOOKUP(A30,'Données projet'!$A$87:$I$107,5,0)),0%,VLOOKUP(A30,'Données projet'!$A$87:$I$107,5,0)*VLOOKUP('Données projet'!$B$11,'Paramètres'!$A$1:$I$88,7,0))</f>
        <v>0</v>
      </c>
      <c r="BN30" s="155">
        <f>IF(ISNA(VLOOKUP(A30,'Données projet'!$A$87:$I$107,6,0)),0%,VLOOKUP(A30,'Données projet'!$A$87:$I$107,6,0)*VLOOKUP('Données projet'!$B$11,'Paramètres'!$A$1:$I$88,7,0))</f>
        <v>0</v>
      </c>
      <c r="BO30" s="155">
        <f>IF(ISNA(VLOOKUP(A30,'Données projet'!$A$87:$I$107,7,0)),0%,VLOOKUP(A30,'Données projet'!$A$87:$I$107,7,0))</f>
        <v>0</v>
      </c>
      <c r="BP30" s="162">
        <f>EXP(-LN(2)/35)*BP29+(1-EXP(-LN(2)/35))/(LN(2)/35)*BL30*BM30*VLOOKUP('Données projet'!$B$11,'Paramètres'!$A$1:$I$88,3,0)*0.475*44/12</f>
        <v>0</v>
      </c>
      <c r="BQ30" s="162">
        <f>EXP(-LN(2)/25)*BQ29+(1-EXP(-LN(2)/25))/(LN(2)/25)*Calculateur!BL30*Calculateur!BN30*VLOOKUP('Données projet'!$B$11,'Paramètres'!$A$1:$I$88,3,0)*0.475*44/12</f>
        <v>0</v>
      </c>
      <c r="BR30" s="162">
        <f>EXP(-LN(2)/2)*BR29+(1-EXP(-LN(2)/2))/(LN(2)/2)*BL30*BO30*VLOOKUP('Données projet'!$B$11,'Paramètres'!$A$1:$I$88,3,0)*0.475*44/12</f>
        <v>0</v>
      </c>
      <c r="BS30" s="163">
        <f t="shared" si="10"/>
        <v>0</v>
      </c>
      <c r="BT30" s="159">
        <f>('Scénario référence'!$F$8+'Scénario référence'!$F$9+'Scénario référence'!$B$17+'Scénario référence'!$B$9+'Scénario référence'!$B$10)*70+IF((45+25*(1-EXP(-0.0175*A30)))&lt;70,'Scénario référence'!$B$16*(45+25*(1-EXP(-0.0175*A30))),70*'Scénario référence'!$B$16)+IF((32+38*(1-EXP(-0.0175*A30)))&lt;70,'Scénario référence'!$B$18*(32+38*(1-EXP(-0.0175*A30))),70*'Scénario référence'!$B$18)</f>
        <v>70</v>
      </c>
      <c r="BU30" s="151">
        <f>IF(A30&gt;30,10,('Scénario référence'!$B$16+'Scénario référence'!$B$17+'Scénario référence'!$B$18+'Scénario référence'!$B$9+'Scénario référence'!$B$10)*A30*10/30+('Scénario référence'!$F$8+'Scénario référence'!$F$9)*10)</f>
        <v>9</v>
      </c>
      <c r="BV30" s="151" t="str">
        <f>VLOOKUP(A30,'Données projet'!$A$113:$I$133,2,0)</f>
        <v>#N/A</v>
      </c>
      <c r="BW30" s="151" t="str">
        <f>VLOOKUP(A30,'Données projet'!$A$113:$I$133,9,0)</f>
        <v>#N/A</v>
      </c>
      <c r="BX30" s="150" t="str">
        <f t="array" ref="BX30">INDEX(BW:BW,MIN(IF(ISNUMBER(BW30:BW226),ROW(BW30:BW226),"")))</f>
        <v/>
      </c>
      <c r="BY30" s="150">
        <f>IF('Données projet'!$A$114&gt;35,BY29+BX30-CG29,IF(A30&lt;'Données projet'!$A$114,$BV$205^A30,IF(A30='Données projet'!$A$114,'Données projet'!$B$114,BY29+BX30-CG29)))</f>
        <v>0</v>
      </c>
      <c r="BZ30" s="150" t="str">
        <f>BY30*VLOOKUP('Données projet'!$B$12,'Paramètres'!$A$1:$I$88,3,0)*VLOOKUP('Données projet'!$B$12,'Paramètres'!$A$1:$I$88,5,0)</f>
        <v>#N/A</v>
      </c>
      <c r="CA30" s="150" t="str">
        <f t="shared" si="40"/>
        <v>#N/A</v>
      </c>
      <c r="CB30" s="161" t="str">
        <f t="shared" si="11"/>
        <v>#N/A</v>
      </c>
      <c r="CC30" s="153" t="str">
        <f t="shared" si="12"/>
        <v>#N/A</v>
      </c>
      <c r="CD30" s="153" t="str">
        <f>AVERAGE(OFFSET($CC$3,0,0,'Données projet'!$E$12+1,1))-AVERAGE(OFFSET($H$3,0,0,'Données projet'!$E$12+1,1))</f>
        <v>#N/A</v>
      </c>
      <c r="CE30" s="153" t="str">
        <f t="shared" si="41"/>
        <v>#N/A</v>
      </c>
      <c r="CF30" s="154">
        <f>IF(ISNA(VLOOKUP(A30,'Données projet'!$A$113:$I$133,3,0)),0,VLOOKUP(A30,'Données projet'!$A$113:$I$133,3,0))</f>
        <v>0</v>
      </c>
      <c r="CG30" s="154">
        <f>IF(ISNA(VLOOKUP(A30,'Données projet'!$A$113:$I$133,4,0)),0,VLOOKUP(A30,'Données projet'!$A$113:$I$133,4,0))</f>
        <v>0</v>
      </c>
      <c r="CH30" s="155">
        <f>IF(ISNA(VLOOKUP(A30,'Données projet'!$A$113:$I$133,5,0)),0%,VLOOKUP(A30,'Données projet'!$A$113:$I$133,5,0)*VLOOKUP('Données projet'!$B$12,'Paramètres'!$A$1:$I$88,7,0))</f>
        <v>0</v>
      </c>
      <c r="CI30" s="155">
        <f>IF(ISNA(VLOOKUP(A30,'Données projet'!$A$113:$I$133,6,0)),0%,VLOOKUP(A30,'Données projet'!$A$113:$I$133,6,0)*VLOOKUP('Données projet'!$B$12,'Paramètres'!$A$1:$I$88,7,0))</f>
        <v>0</v>
      </c>
      <c r="CJ30" s="155">
        <f>IF(ISNA(VLOOKUP(A30,'Données projet'!$A$113:$I$133,7,0)),0%,VLOOKUP(A30,'Données projet'!$A$113:$I$133,7,0))</f>
        <v>0</v>
      </c>
      <c r="CK30" s="162" t="str">
        <f>EXP(-LN(2)/35)*CK29+(1-EXP(-LN(2)/35))/(LN(2)/35)*CG30*CH30*VLOOKUP('Données projet'!$B$12,'Paramètres'!$A$1:$I$88,3,0)*0.475*44/12</f>
        <v>#N/A</v>
      </c>
      <c r="CL30" s="162" t="str">
        <f>EXP(-LN(2)/25)*CL29+(1-EXP(-LN(2)/25))/(LN(2)/25)*Calculateur!CG30*Calculateur!CI30*VLOOKUP('Données projet'!$B$12,'Paramètres'!$A$1:$I$88,3,0)*0.475*44/12</f>
        <v>#N/A</v>
      </c>
      <c r="CM30" s="162" t="str">
        <f>EXP(-LN(2)/2)*CM29+(1-EXP(-LN(2)/2))/(LN(2)/2)*CG30*CJ30*VLOOKUP('Données projet'!$B$12,'Paramètres'!$A$1:$I$88,3,0)*0.475*44/12</f>
        <v>#N/A</v>
      </c>
      <c r="CN30" s="163" t="str">
        <f t="shared" si="13"/>
        <v>#N/A</v>
      </c>
      <c r="CO30" s="159">
        <f>('Scénario référence'!$F$8+'Scénario référence'!$F$9+'Scénario référence'!$B$17+'Scénario référence'!$B$9+'Scénario référence'!$B$10)*70+IF((45+25*(1-EXP(-0.0175*A30)))&lt;70,'Scénario référence'!$B$16*(45+25*(1-EXP(-0.0175*A30))),70*'Scénario référence'!$B$16)+IF((32+38*(1-EXP(-0.0175*A30)))&lt;70,'Scénario référence'!$B$18*(32+38*(1-EXP(-0.0175*A30))),70*'Scénario référence'!$B$18)</f>
        <v>70</v>
      </c>
      <c r="CP30" s="151">
        <f>IF(A30&gt;30,10,('Scénario référence'!$B$16+'Scénario référence'!$B$17+'Scénario référence'!$B$18+'Scénario référence'!$B$9+'Scénario référence'!$B$10)*A30*10/30+('Scénario référence'!$F$8+'Scénario référence'!$F$9)*10)</f>
        <v>9</v>
      </c>
      <c r="CQ30" s="151" t="str">
        <f>VLOOKUP(A30,'Données projet'!$A$139:$I$159,2,0)</f>
        <v>#N/A</v>
      </c>
      <c r="CR30" s="151" t="str">
        <f>VLOOKUP(A30,'Données projet'!$A$139:$I$159,9,0)</f>
        <v>#N/A</v>
      </c>
      <c r="CS30" s="151" t="str">
        <f t="array" ref="CS30">INDEX(CR:CR,MIN(IF(ISNUMBER(CR30:CR226),ROW(CR30:CR226),"")))</f>
        <v/>
      </c>
      <c r="CT30" s="151">
        <f>IF('Données projet'!$A$140&gt;35,CT29+CS30-DB29,IF(A30&lt;'Données projet'!$A$140,$CQ$205^A30,IF(A30='Données projet'!$A$140,'Données projet'!$B$140,CT29+CS30-DB29)))</f>
        <v>0</v>
      </c>
      <c r="CU30" s="158" t="str">
        <f>CT30*VLOOKUP('Données projet'!$B$13,'Paramètres'!$A$1:$I$88,3,0)*VLOOKUP('Données projet'!$B$13,'Paramètres'!$A$1:$I$88,5,0)</f>
        <v>#N/A</v>
      </c>
      <c r="CV30" s="150" t="str">
        <f t="shared" si="42"/>
        <v>#N/A</v>
      </c>
      <c r="CW30" s="161" t="str">
        <f t="shared" si="14"/>
        <v>#N/A</v>
      </c>
      <c r="CX30" s="153" t="str">
        <f t="shared" si="15"/>
        <v>#N/A</v>
      </c>
      <c r="CY30" s="153" t="str">
        <f>AVERAGE(OFFSET($CX$3,0,0,'Données projet'!$E$13+1,1))-AVERAGE(OFFSET($H$3,0,0,'Données projet'!$E$13+1,1))</f>
        <v>#N/A</v>
      </c>
      <c r="CZ30" s="153" t="str">
        <f t="shared" si="43"/>
        <v>#N/A</v>
      </c>
      <c r="DA30" s="154">
        <f>IF(ISNA(VLOOKUP(A30,'Données projet'!$A$139:$I$159,3,0)),0,VLOOKUP(A30,'Données projet'!$A$139:$I$159,3,0))</f>
        <v>0</v>
      </c>
      <c r="DB30" s="154">
        <f>IF(ISNA(VLOOKUP(A30,'Données projet'!$A$139:$I$159,4,0)),0,VLOOKUP(A30,'Données projet'!$A$139:$I$159,4,0))</f>
        <v>0</v>
      </c>
      <c r="DC30" s="155">
        <f>IF(ISNA(VLOOKUP(A30,'Données projet'!$A$139:$I$159,5,0)),0%,VLOOKUP(A30,'Données projet'!$A$139:$I$159,5,0)*VLOOKUP('Données projet'!$B$13,'Paramètres'!$A$1:$I$88,7,0))</f>
        <v>0</v>
      </c>
      <c r="DD30" s="155">
        <f>IF(ISNA(VLOOKUP(A30,'Données projet'!$A$139:$I$159,6,0)),0%,VLOOKUP(A30,'Données projet'!$A$139:$I$159,6,0)*VLOOKUP('Données projet'!$B$13,'Paramètres'!$A$1:$I$88,7,0))</f>
        <v>0</v>
      </c>
      <c r="DE30" s="155">
        <f>IF(ISNA(VLOOKUP(A30,'Données projet'!$A$139:$I$159,7,0)),0%,VLOOKUP(A30,'Données projet'!$A$139:$I$159,7,0))</f>
        <v>0</v>
      </c>
      <c r="DF30" s="162" t="str">
        <f>EXP(-LN(2)/35)*DF29+(1-EXP(-LN(2)/35))/(LN(2)/35)*DB30*DC30*VLOOKUP('Données projet'!$B$13,'Paramètres'!$A$1:$I$88,3,0)*0.475*44/12</f>
        <v>#N/A</v>
      </c>
      <c r="DG30" s="162" t="str">
        <f>EXP(-LN(2)/25)*DG29+(1-EXP(-LN(2)/25))/(LN(2)/25)*Calculateur!DB30*Calculateur!DD30*VLOOKUP('Données projet'!$B$13,'Paramètres'!$A$1:$I$88,3,0)*0.475*44/12</f>
        <v>#N/A</v>
      </c>
      <c r="DH30" s="162" t="str">
        <f>EXP(-LN(2)/2)*DH29+(1-EXP(-LN(2)/2))/(LN(2)/2)*DB30*DE30*VLOOKUP('Données projet'!$B$13,'Paramètres'!$A$1:$I$88,3,0)*0.475*44/12</f>
        <v>#N/A</v>
      </c>
      <c r="DI30" s="163" t="str">
        <f t="shared" si="16"/>
        <v>#N/A</v>
      </c>
      <c r="DJ30" s="159">
        <f>('Scénario référence'!$F$8+'Scénario référence'!$F$9+'Scénario référence'!$B$17+'Scénario référence'!$B$9+'Scénario référence'!$B$10)*70+IF((45+25*(1-EXP(-0.0175*A30)))&lt;70,'Scénario référence'!$B$16*(45+25*(1-EXP(-0.0175*A30))),70*'Scénario référence'!$B$16)+IF((32+38*(1-EXP(-0.0175*A30)))&lt;70,'Scénario référence'!$B$18*(32+38*(1-EXP(-0.0175*A30))),70*'Scénario référence'!$B$18)</f>
        <v>70</v>
      </c>
      <c r="DK30" s="151">
        <f>IF(A30&gt;30,10,('Scénario référence'!$B$16+'Scénario référence'!$B$17+'Scénario référence'!$B$18+'Scénario référence'!$B$9+'Scénario référence'!$B$10)*A30*10/30+('Scénario référence'!$F$8+'Scénario référence'!$F$9)*10)</f>
        <v>9</v>
      </c>
      <c r="DL30" s="151" t="str">
        <f>VLOOKUP(A30,'Données projet'!$A$165:$I$185,2,0)</f>
        <v>#N/A</v>
      </c>
      <c r="DM30" s="151" t="str">
        <f>VLOOKUP(A30,'Données projet'!$A$165:$I$185,9,0)</f>
        <v>#N/A</v>
      </c>
      <c r="DN30" s="151" t="str">
        <f t="array" ref="DN30">INDEX(DM:DM,MIN(IF(ISNUMBER(DM30:DM226),ROW(DM30:DM226),"")))</f>
        <v/>
      </c>
      <c r="DO30" s="151">
        <f>IF('Données projet'!$A$166&gt;35,DO29+DN30-DW29,IF(A30&lt;'Données projet'!$A$166,$DL$205^A30,IF(A30='Données projet'!$A$166,'Données projet'!$B$166,DO29+DN30-DW29)))</f>
        <v>0</v>
      </c>
      <c r="DP30" s="158" t="str">
        <f>DO30*VLOOKUP('Données projet'!$B$14,'Paramètres'!$A$1:$I$88,3,0)*VLOOKUP('Données projet'!$B$14,'Paramètres'!$A$1:$I$88,5,0)</f>
        <v>#N/A</v>
      </c>
      <c r="DQ30" s="150" t="str">
        <f t="shared" si="44"/>
        <v>#N/A</v>
      </c>
      <c r="DR30" s="161" t="str">
        <f t="shared" si="17"/>
        <v>#N/A</v>
      </c>
      <c r="DS30" s="153" t="str">
        <f t="shared" si="18"/>
        <v>#N/A</v>
      </c>
      <c r="DT30" s="153" t="str">
        <f>AVERAGE(OFFSET($DS$3,0,0,'Données projet'!$E$14+1,1))-AVERAGE(OFFSET($H$3,0,0,'Données projet'!$E$14+1,1))</f>
        <v>#N/A</v>
      </c>
      <c r="DU30" s="153" t="str">
        <f t="shared" si="45"/>
        <v>#N/A</v>
      </c>
      <c r="DV30" s="154">
        <f>IF(ISNA(VLOOKUP(A30,'Données projet'!$A$165:$I$185,3,0)),0,VLOOKUP(A30,'Données projet'!$A$165:$I$185,3,0))</f>
        <v>0</v>
      </c>
      <c r="DW30" s="154">
        <f>IF(ISNA(VLOOKUP(A30,'Données projet'!$A$165:$I$185,4,0)),0,VLOOKUP(A30,'Données projet'!$A$165:$I$185,4,0))</f>
        <v>0</v>
      </c>
      <c r="DX30" s="155">
        <f>IF(ISNA(VLOOKUP(A30,'Données projet'!$A$165:$I$185,5,0)),0%,VLOOKUP(A30,'Données projet'!$A$165:$I$185,5,0)*VLOOKUP('Données projet'!$B$14,'Paramètres'!$A$1:$I$88,7,0))</f>
        <v>0</v>
      </c>
      <c r="DY30" s="155">
        <f>IF(ISNA(VLOOKUP(A30,'Données projet'!$A$165:$I$185,6,0)),0%,VLOOKUP(A30,'Données projet'!$A$165:$I$185,6,0)*VLOOKUP('Données projet'!$B$14,'Paramètres'!$A$1:$I$88,7,0))</f>
        <v>0</v>
      </c>
      <c r="DZ30" s="155">
        <f>IF(ISNA(VLOOKUP(A30,'Données projet'!$A$165:$I$185,7,0)),0%,VLOOKUP(A30,'Données projet'!$A$165:$I$185,7,0))</f>
        <v>0</v>
      </c>
      <c r="EA30" s="162" t="str">
        <f>EXP(-LN(2)/35)*EA29+(1-EXP(-LN(2)/35))/(LN(2)/35)*DW30*DX30*VLOOKUP('Données projet'!$B$14,'Paramètres'!$A$1:$I$88,3,0)*0.475*44/12</f>
        <v>#N/A</v>
      </c>
      <c r="EB30" s="162" t="str">
        <f>EXP(-LN(2)/25)*EB29+(1-EXP(-LN(2)/25))/(LN(2)/25)*Calculateur!DW30*Calculateur!DY30*VLOOKUP('Données projet'!$B$14,'Paramètres'!$A$1:$I$88,3,0)*0.475*44/12</f>
        <v>#N/A</v>
      </c>
      <c r="EC30" s="162" t="str">
        <f>EXP(-LN(2)/2)*EC29+(1-EXP(-LN(2)/2))/(LN(2)/2)*DW30*DZ30*VLOOKUP('Données projet'!$B$14,'Paramètres'!$A$1:$I$88,3,0)*0.475*44/12</f>
        <v>#N/A</v>
      </c>
      <c r="ED30" s="163" t="str">
        <f t="shared" si="19"/>
        <v>#N/A</v>
      </c>
      <c r="EE30" s="159">
        <f>('Scénario référence'!$F$8+'Scénario référence'!$F$9+'Scénario référence'!$B$17+'Scénario référence'!$B$9+'Scénario référence'!$B$10)*70+IF((45+25*(1-EXP(-0.0175*A30)))&lt;70,'Scénario référence'!$B$16*(45+25*(1-EXP(-0.0175*A30))),70*'Scénario référence'!$B$16)+IF((32+38*(1-EXP(-0.0175*A30)))&lt;70,'Scénario référence'!$B$18*(32+38*(1-EXP(-0.0175*A30))),70*'Scénario référence'!$B$18)</f>
        <v>70</v>
      </c>
      <c r="EF30" s="151">
        <f>IF(A30&gt;30,10,('Scénario référence'!$B$16+'Scénario référence'!$B$17+'Scénario référence'!$B$18+'Scénario référence'!$B$9+'Scénario référence'!$B$10)*A30*10/30+('Scénario référence'!$F$8+'Scénario référence'!$F$9)*10)</f>
        <v>9</v>
      </c>
      <c r="EG30" s="151" t="str">
        <f>VLOOKUP(A30,'Données projet'!$A$191:$I$211,2,0)</f>
        <v>#N/A</v>
      </c>
      <c r="EH30" s="151" t="str">
        <f>VLOOKUP(A30,'Données projet'!$A$191:$I$211,9,0)</f>
        <v>#N/A</v>
      </c>
      <c r="EI30" s="151" t="str">
        <f t="array" ref="EI30">INDEX(EH:EH,MIN(IF(ISNUMBER(EH30:EH226),ROW(EH30:EH226),"")))</f>
        <v/>
      </c>
      <c r="EJ30" s="151">
        <f>IF('Données projet'!$A$192&gt;35,EJ29+EI30-ER29,IF(A30&lt;'Données projet'!$A$192,$EG$205^A30,IF(A30='Données projet'!$A$192,'Données projet'!$B$192,EJ29+EI30-ER29)))</f>
        <v>0</v>
      </c>
      <c r="EK30" s="158" t="str">
        <f>EJ30*VLOOKUP('Données projet'!$B$15,'Paramètres'!$A$1:$I$88,3,0)*VLOOKUP('Données projet'!$B$15,'Paramètres'!$A$1:$I$88,5,0)</f>
        <v>#N/A</v>
      </c>
      <c r="EL30" s="150" t="str">
        <f t="shared" si="46"/>
        <v>#N/A</v>
      </c>
      <c r="EM30" s="161" t="str">
        <f t="shared" si="20"/>
        <v>#N/A</v>
      </c>
      <c r="EN30" s="153" t="str">
        <f t="shared" si="21"/>
        <v>#N/A</v>
      </c>
      <c r="EO30" s="153" t="str">
        <f>AVERAGE(OFFSET($EN$3,0,0,'Données projet'!$E$15+1,1))-AVERAGE(OFFSET($H$3,0,0,'Données projet'!$E$15+1,1))</f>
        <v>#N/A</v>
      </c>
      <c r="EP30" s="153" t="str">
        <f t="shared" si="47"/>
        <v>#N/A</v>
      </c>
      <c r="EQ30" s="154">
        <f>IF(ISNA(VLOOKUP(A30,'Données projet'!$A$191:$I$211,3,0)),0,VLOOKUP(A30,'Données projet'!$A$191:$I$211,3,0))</f>
        <v>0</v>
      </c>
      <c r="ER30" s="154">
        <f>IF(ISNA(VLOOKUP(A30,'Données projet'!$A$191:$I$211,4,0)),0,VLOOKUP(A30,'Données projet'!$A$191:$I$211,4,0))</f>
        <v>0</v>
      </c>
      <c r="ES30" s="155">
        <f>IF(ISNA(VLOOKUP(A30,'Données projet'!$A$191:$I$211,5,0)),0%,VLOOKUP(A30,'Données projet'!$A$191:$I$211,5,0)*VLOOKUP('Données projet'!$B$15,'Paramètres'!$A$1:$I$88,7,0))</f>
        <v>0</v>
      </c>
      <c r="ET30" s="155">
        <f>IF(ISNA(VLOOKUP(A30,'Données projet'!$A$191:$I$211,6,0)),0%,VLOOKUP(A30,'Données projet'!$A$191:$I$211,6,0)*VLOOKUP('Données projet'!$B$15,'Paramètres'!$A$1:$I$88,7,0))</f>
        <v>0</v>
      </c>
      <c r="EU30" s="155">
        <f>IF(ISNA(VLOOKUP(A30,'Données projet'!$A$191:$I$211,7,0)),0%,VLOOKUP(A30,'Données projet'!$A$191:$I$211,7,0))</f>
        <v>0</v>
      </c>
      <c r="EV30" s="162" t="str">
        <f>EXP(-LN(2)/35)*EV29+(1-EXP(-LN(2)/35))/(LN(2)/35)*ER30*ES30*VLOOKUP('Données projet'!$B$15,'Paramètres'!$A$1:$I$88,3,0)*0.475*44/12</f>
        <v>#N/A</v>
      </c>
      <c r="EW30" s="162" t="str">
        <f>EXP(-LN(2)/25)*EW29+(1-EXP(-LN(2)/25))/(LN(2)/25)*Calculateur!ER30*Calculateur!ET30*VLOOKUP('Données projet'!$B$15,'Paramètres'!$A$1:$I$88,3,0)*0.475*44/12</f>
        <v>#N/A</v>
      </c>
      <c r="EX30" s="162" t="str">
        <f>EXP(-LN(2)/2)*EX29+(1-EXP(-LN(2)/2))/(LN(2)/2)*ER30*EU30*VLOOKUP('Données projet'!$B$15,'Paramètres'!$A$1:$I$88,3,0)*0.475*44/12</f>
        <v>#N/A</v>
      </c>
      <c r="EY30" s="163" t="str">
        <f t="shared" si="22"/>
        <v>#N/A</v>
      </c>
      <c r="EZ30" s="159">
        <f>('Scénario référence'!$F$8+'Scénario référence'!$F$9+'Scénario référence'!$B$17+'Scénario référence'!$B$9+'Scénario référence'!$B$10)*70+IF((45+25*(1-EXP(-0.0175*A30)))&lt;70,'Scénario référence'!$B$16*(45+25*(1-EXP(-0.0175*A30))),70*'Scénario référence'!$B$16)+IF((32+38*(1-EXP(-0.0175*A30)))&lt;70,'Scénario référence'!$B$18*(32+38*(1-EXP(-0.0175*A30))),70*'Scénario référence'!$B$18)</f>
        <v>70</v>
      </c>
      <c r="FA30" s="151">
        <f>IF(A30&gt;30,10,('Scénario référence'!$B$16+'Scénario référence'!$B$17+'Scénario référence'!$B$18+'Scénario référence'!$B$9+'Scénario référence'!$B$10)*A30*10/30+('Scénario référence'!$F$8+'Scénario référence'!$F$9)*10)</f>
        <v>9</v>
      </c>
      <c r="FB30" s="151" t="str">
        <f>VLOOKUP(A30,'Données projet'!$A$217:$I$237,2,0)</f>
        <v>#N/A</v>
      </c>
      <c r="FC30" s="151" t="str">
        <f>VLOOKUP(A30,'Données projet'!$A$217:$I$237,9,0)</f>
        <v>#N/A</v>
      </c>
      <c r="FD30" s="151" t="str">
        <f t="array" ref="FD30">INDEX(FC:FC,MIN(IF(ISNUMBER(FC30:FC226),ROW(FC30:FC226),"")))</f>
        <v/>
      </c>
      <c r="FE30" s="151">
        <f>IF('Données projet'!$A$218&gt;35,FE29+FD30-FM29,IF(A30&lt;'Données projet'!$A$218,$FB$205^A30,IF(A30='Données projet'!$A$218,'Données projet'!$B$218,FE29+FD30-FM29)))</f>
        <v>0</v>
      </c>
      <c r="FF30" s="158" t="str">
        <f>FE30*VLOOKUP('Données projet'!$B$16,'Paramètres'!$A$1:$I$88,3,0)*VLOOKUP('Données projet'!$B$16,'Paramètres'!$A$1:$I$88,5,0)</f>
        <v>#N/A</v>
      </c>
      <c r="FG30" s="150" t="str">
        <f t="shared" si="48"/>
        <v>#N/A</v>
      </c>
      <c r="FH30" s="161" t="str">
        <f t="shared" si="23"/>
        <v>#N/A</v>
      </c>
      <c r="FI30" s="153" t="str">
        <f t="shared" si="24"/>
        <v>#N/A</v>
      </c>
      <c r="FJ30" s="153" t="str">
        <f>AVERAGE(OFFSET($FI$3,0,0,'Données projet'!$E$16+1,1))-AVERAGE(OFFSET($H$3,0,0,'Données projet'!$E$16+1,1))</f>
        <v>#N/A</v>
      </c>
      <c r="FK30" s="153" t="str">
        <f t="shared" si="49"/>
        <v>#N/A</v>
      </c>
      <c r="FL30" s="154">
        <f>IF(ISNA(VLOOKUP(A30,'Données projet'!$A$217:$I$237,3,0)),0,VLOOKUP(A30,'Données projet'!$A$217:$I$237,3,0))</f>
        <v>0</v>
      </c>
      <c r="FM30" s="154">
        <f>IF(ISNA(VLOOKUP(A30,'Données projet'!$A$217:$I$237,4,0)),0,VLOOKUP(A30,'Données projet'!$A$217:$I$237,4,0))</f>
        <v>0</v>
      </c>
      <c r="FN30" s="155">
        <f>IF(ISNA(VLOOKUP(A30,'Données projet'!$A$217:$I$237,5,0)),0%,VLOOKUP(A30,'Données projet'!$A$217:$I$237,5,0)*VLOOKUP('Données projet'!$B$16,'Paramètres'!$A$1:$I$88,7,0))</f>
        <v>0</v>
      </c>
      <c r="FO30" s="155">
        <f>IF(ISNA(VLOOKUP(A30,'Données projet'!$A$217:$I$237,6,0)),0%,VLOOKUP(A30,'Données projet'!$A$217:$I$237,6,0)*VLOOKUP('Données projet'!$B$16,'Paramètres'!$A$1:$I$88,7,0))</f>
        <v>0</v>
      </c>
      <c r="FP30" s="155">
        <f>IF(ISNA(VLOOKUP(A30,'Données projet'!$A$217:$I$237,7,0)),0%,VLOOKUP(A30,'Données projet'!$A$217:$I$237,7,0))</f>
        <v>0</v>
      </c>
      <c r="FQ30" s="162" t="str">
        <f>EXP(-LN(2)/35)*FQ29+(1-EXP(-LN(2)/35))/(LN(2)/35)*FM30*FN30*VLOOKUP('Données projet'!$B$16,'Paramètres'!$A$1:$I$88,3,0)*0.475*44/12</f>
        <v>#N/A</v>
      </c>
      <c r="FR30" s="162" t="str">
        <f>EXP(-LN(2)/25)*FR29+(1-EXP(-LN(2)/25))/(LN(2)/25)*Calculateur!FM30*Calculateur!FO30*VLOOKUP('Données projet'!$B$16,'Paramètres'!$A$1:$I$88,3,0)*0.475*44/12</f>
        <v>#N/A</v>
      </c>
      <c r="FS30" s="162" t="str">
        <f>EXP(-LN(2)/2)*FS29+(1-EXP(-LN(2)/2))/(LN(2)/2)*FM30*FP30*VLOOKUP('Données projet'!$B$16,'Paramètres'!$A$1:$I$88,3,0)*0.475*44/12</f>
        <v>#N/A</v>
      </c>
      <c r="FT30" s="163" t="str">
        <f t="shared" si="25"/>
        <v>#N/A</v>
      </c>
      <c r="FU30" s="159">
        <f>('Scénario référence'!$F$8+'Scénario référence'!$F$9+'Scénario référence'!$B$17+'Scénario référence'!$B$9+'Scénario référence'!$B$10)*70+IF((45+25*(1-EXP(-0.0175*A30)))&lt;70,'Scénario référence'!$B$16*(45+25*(1-EXP(-0.0175*A30))),70*'Scénario référence'!$B$16)+IF((32+38*(1-EXP(-0.0175*A30)))&lt;70,'Scénario référence'!$B$18*(32+38*(1-EXP(-0.0175*A30))),70*'Scénario référence'!$B$18)</f>
        <v>70</v>
      </c>
      <c r="FV30" s="151">
        <f>IF(A30&gt;30,10,('Scénario référence'!$B$16+'Scénario référence'!$B$17+'Scénario référence'!$B$18+'Scénario référence'!$B$9+'Scénario référence'!$B$10)*A30*10/30+('Scénario référence'!$F$8+'Scénario référence'!$F$9)*10)</f>
        <v>9</v>
      </c>
      <c r="FW30" s="151" t="str">
        <f>VLOOKUP(A30,'Données projet'!$A$243:$I$263,2,0)</f>
        <v>#N/A</v>
      </c>
      <c r="FX30" s="151" t="str">
        <f>VLOOKUP(A30,'Données projet'!$A$243:$I$263,9,0)</f>
        <v>#N/A</v>
      </c>
      <c r="FY30" s="151" t="str">
        <f t="array" ref="FY30">INDEX(FX:FX,MIN(IF(ISNUMBER(FX30:FX226),ROW(FX30:FX226),"")))</f>
        <v/>
      </c>
      <c r="FZ30" s="151">
        <f>IF('Données projet'!$A$244&gt;35,FZ29+FY30-GH29,IF(A30&lt;'Données projet'!$A$244,$FW$205^A30,IF(A30='Données projet'!$A$244,'Données projet'!$B$244,FZ29+FY30-GH29)))</f>
        <v>0</v>
      </c>
      <c r="GA30" s="158" t="str">
        <f>FZ30*VLOOKUP('Données projet'!$B$17,'Paramètres'!$A$1:$I$88,3,0)*VLOOKUP('Données projet'!$B$17,'Paramètres'!$A$1:$I$88,5,0)</f>
        <v>#N/A</v>
      </c>
      <c r="GB30" s="150" t="str">
        <f t="shared" si="50"/>
        <v>#N/A</v>
      </c>
      <c r="GC30" s="161" t="str">
        <f t="shared" si="26"/>
        <v>#N/A</v>
      </c>
      <c r="GD30" s="153" t="str">
        <f t="shared" si="27"/>
        <v>#N/A</v>
      </c>
      <c r="GE30" s="153" t="str">
        <f>AVERAGE(OFFSET($GD$3,0,0,'Données projet'!$E$17+1,1))-AVERAGE(OFFSET($H$3,0,0,'Données projet'!$E$17+1,1))</f>
        <v>#N/A</v>
      </c>
      <c r="GF30" s="153" t="str">
        <f t="shared" si="51"/>
        <v>#N/A</v>
      </c>
      <c r="GG30" s="154">
        <f>IF(ISNA(VLOOKUP(A30,'Données projet'!$A$243:$I$263,3,0)),0,VLOOKUP(A30,'Données projet'!$A$243:$I$263,3,0))</f>
        <v>0</v>
      </c>
      <c r="GH30" s="154">
        <f>IF(ISNA(VLOOKUP(A30,'Données projet'!$A$243:$I$263,4,0)),0,VLOOKUP(A30,'Données projet'!$A$243:$I$263,4,0))</f>
        <v>0</v>
      </c>
      <c r="GI30" s="155">
        <f>IF(ISNA(VLOOKUP(A30,'Données projet'!$A$243:$I$263,5,0)),0%,VLOOKUP(A30,'Données projet'!$A$243:$I$263,5,0)*VLOOKUP('Données projet'!$B$17,'Paramètres'!$A$1:$I$88,7,0))</f>
        <v>0</v>
      </c>
      <c r="GJ30" s="155">
        <f>IF(ISNA(VLOOKUP(A30,'Données projet'!$A$243:$I$263,6,0)),0%,VLOOKUP(A30,'Données projet'!$A$243:$I$263,6,0)*VLOOKUP('Données projet'!$B$17,'Paramètres'!$A$1:$I$88,7,0))</f>
        <v>0</v>
      </c>
      <c r="GK30" s="155">
        <f>IF(ISNA(VLOOKUP(A30,'Données projet'!$A$243:$I$263,7,0)),0%,VLOOKUP(A30,'Données projet'!$A$243:$I$263,7,0))</f>
        <v>0</v>
      </c>
      <c r="GL30" s="162" t="str">
        <f>EXP(-LN(2)/35)*GL29+(1-EXP(-LN(2)/35))/(LN(2)/35)*GH30*GI30*VLOOKUP('Données projet'!$B$17,'Paramètres'!$A$1:$I$88,3,0)*0.475*44/12</f>
        <v>#N/A</v>
      </c>
      <c r="GM30" s="162" t="str">
        <f>EXP(-LN(2)/25)*GM29+(1-EXP(-LN(2)/25))/(LN(2)/25)*Calculateur!GH30*Calculateur!GJ30*VLOOKUP('Données projet'!$B$17,'Paramètres'!$A$1:$I$88,3,0)*0.475*44/12</f>
        <v>#N/A</v>
      </c>
      <c r="GN30" s="162" t="str">
        <f>EXP(-LN(2)/2)*GN29+(1-EXP(-LN(2)/2))/(LN(2)/2)*GH30*GK30*VLOOKUP('Données projet'!$B$17,'Paramètres'!$A$1:$I$88,3,0)*0.475*44/12</f>
        <v>#N/A</v>
      </c>
      <c r="GO30" s="162" t="str">
        <f t="shared" si="28"/>
        <v>#N/A</v>
      </c>
      <c r="GP30" s="159">
        <f>('Scénario référence'!$F$8+'Scénario référence'!$F$9+'Scénario référence'!$B$17+'Scénario référence'!$B$9+'Scénario référence'!$B$10)*70+IF((45+25*(1-EXP(-0.0175*A30)))&lt;70,'Scénario référence'!$B$16*(45+25*(1-EXP(-0.0175*A30))),70*'Scénario référence'!$B$16)+IF((32+38*(1-EXP(-0.0175*A30)))&lt;70,'Scénario référence'!$B$18*(32+38*(1-EXP(-0.0175*A30))),70*'Scénario référence'!$B$18)</f>
        <v>70</v>
      </c>
      <c r="GQ30" s="151">
        <f>IF(A30&gt;30,10,('Scénario référence'!$B$16+'Scénario référence'!$B$17+'Scénario référence'!$B$18+'Scénario référence'!$B$9+'Scénario référence'!$B$10)*A30*10/30+('Scénario référence'!$F$8+'Scénario référence'!$F$9)*10)</f>
        <v>9</v>
      </c>
      <c r="GR30" s="151" t="str">
        <f>VLOOKUP(A30,'Données projet'!$A$269:$I$289,2,0)</f>
        <v>#N/A</v>
      </c>
      <c r="GS30" s="151" t="str">
        <f>VLOOKUP(A30,'Données projet'!$A$269:$I$289,9,0)</f>
        <v>#N/A</v>
      </c>
      <c r="GT30" s="151" t="str">
        <f t="array" ref="GT30">INDEX(GS:GS,MIN(IF(ISNUMBER(GS30:GS226),ROW(GS30:GS226),"")))</f>
        <v/>
      </c>
      <c r="GU30" s="151">
        <f>IF('Données projet'!$A$270&gt;35,GU29+GT30-HC29,IF(A30&lt;'Données projet'!$A$270,$GR$205^A30,IF(A30='Données projet'!$A$270,'Données projet'!$B$270,GU29+GT30-HC29)))</f>
        <v>0</v>
      </c>
      <c r="GV30" s="158" t="str">
        <f>GU30*VLOOKUP('Données projet'!$B$18,'Paramètres'!$A$1:$I$88,3,0)*VLOOKUP('Données projet'!$B$18,'Paramètres'!$A$1:$I$88,5,0)</f>
        <v>#N/A</v>
      </c>
      <c r="GW30" s="150" t="str">
        <f t="shared" si="52"/>
        <v>#N/A</v>
      </c>
      <c r="GX30" s="161" t="str">
        <f t="shared" si="29"/>
        <v>#N/A</v>
      </c>
      <c r="GY30" s="153" t="str">
        <f t="shared" si="30"/>
        <v>#N/A</v>
      </c>
      <c r="GZ30" s="153" t="str">
        <f>AVERAGE(OFFSET($GY$3,0,0,'Données projet'!$E$18+1,1))-AVERAGE(OFFSET($H$3,0,0,'Données projet'!$E$18+1,1))</f>
        <v>#N/A</v>
      </c>
      <c r="HA30" s="153" t="str">
        <f t="shared" si="53"/>
        <v>#N/A</v>
      </c>
      <c r="HB30" s="154">
        <f>IF(ISNA(VLOOKUP(A30,'Données projet'!$A$269:$I$289,3,0)),0,VLOOKUP(A30,'Données projet'!$A$269:$I$289,3,0))</f>
        <v>0</v>
      </c>
      <c r="HC30" s="154">
        <f>IF(ISNA(VLOOKUP(A30,'Données projet'!$A$269:$I$289,4,0)),0,VLOOKUP(A30,'Données projet'!$A$269:$I$289,4,0))</f>
        <v>0</v>
      </c>
      <c r="HD30" s="155">
        <f>IF(ISNA(VLOOKUP(A30,'Données projet'!$A$269:$I$289,5,0)),0%,VLOOKUP(A30,'Données projet'!$A$269:$I$289,5,0)*VLOOKUP('Données projet'!$B$18,'Paramètres'!$A$1:$I$88,7,0))</f>
        <v>0</v>
      </c>
      <c r="HE30" s="155">
        <f>IF(ISNA(VLOOKUP(A30,'Données projet'!$A$269:$I$289,6,0)),0%,VLOOKUP(A30,'Données projet'!$A$269:$I$289,6,0)*VLOOKUP('Données projet'!$B$18,'Paramètres'!$A$1:$I$88,7,0))</f>
        <v>0</v>
      </c>
      <c r="HF30" s="155">
        <f>IF(ISNA(VLOOKUP(A30,'Données projet'!$A$269:$I$289,7,0)),0%,VLOOKUP(A30,'Données projet'!$A$269:$I$289,7,0))</f>
        <v>0</v>
      </c>
      <c r="HG30" s="162" t="str">
        <f>EXP(-LN(2)/35)*HG29+(1-EXP(-LN(2)/35))/(LN(2)/35)*HC30*HD30*VLOOKUP('Données projet'!$B$18,'Paramètres'!$A$1:$I$88,3,0)*0.475*44/12</f>
        <v>#N/A</v>
      </c>
      <c r="HH30" s="162" t="str">
        <f>EXP(-LN(2)/25)*HH29+(1-EXP(-LN(2)/25))/(LN(2)/25)*Calculateur!HC30*Calculateur!HE30*VLOOKUP('Données projet'!$B$18,'Paramètres'!$A$1:$I$88,3,0)*0.475*44/12</f>
        <v>#N/A</v>
      </c>
      <c r="HI30" s="162" t="str">
        <f>EXP(-LN(2)/2)*HI29+(1-EXP(-LN(2)/2))/(LN(2)/2)*HC30*HF30*VLOOKUP('Données projet'!$B$18,'Paramètres'!$A$1:$I$88,3,0)*0.475*44/12</f>
        <v>#N/A</v>
      </c>
      <c r="HJ30" s="163" t="str">
        <f t="shared" si="31"/>
        <v>#N/A</v>
      </c>
    </row>
    <row r="31" ht="15.75" customHeight="1">
      <c r="A31" s="145">
        <f t="shared" si="32"/>
        <v>28</v>
      </c>
      <c r="B31" s="146">
        <f>'Scénario référence'!$B$16*5+'Scénario référence'!$B$17*0+'Scénario référence'!$B$18*5</f>
        <v>0</v>
      </c>
      <c r="C31" s="160">
        <f>Calculateur!C30+'Scénario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31" s="147">
        <f t="shared" si="33"/>
        <v>0</v>
      </c>
      <c r="E31" s="147">
        <f>'Scénario référence'!$B$16*45+('Scénario référence'!$B$17+'Scénario référence'!$F$8+'Scénario référence'!$F$9+'Scénario référence'!$B$10+'Scénario référence'!$B$9)*70+'Scénario référence'!$B$18*32</f>
        <v>70</v>
      </c>
      <c r="F31" s="147">
        <f>IF(OR('Scénario référence'!$F$8&gt;0,'Scénario référence'!$F$9&gt;0),('Scénario référence'!$F$8+'Scénario référence'!$F$9)*10,0)</f>
        <v>0</v>
      </c>
      <c r="G31" s="147">
        <f>'Scénario référence'!$B$8*B31*44/12+'Scénario référence'!$B$9*(C31+D31)/0.475*44/12+'Scénario référence'!$B$10*(C31+D31)/0.475*44/12+'Scénario référence'!$F$8*(C31+D31)/0.475*44/12+'Scénario référence'!$F$9*(C31+D31)/0.475*44/12</f>
        <v>0</v>
      </c>
      <c r="H31" s="148">
        <f t="shared" si="1"/>
        <v>256.6666667</v>
      </c>
      <c r="I31" s="149">
        <f>('Scénario référence'!$F$8+'Scénario référence'!$F$9+'Scénario référence'!$B$17+'Scénario référence'!$B$9+'Scénario référence'!$B$10)*70+IF((45+25*(1-EXP(-0.0175*A31)))&lt;70,'Scénario référence'!$B$16*(45+25*(1-EXP(-0.0175*A31))),70*'Scénario référence'!$B$16)+IF((32+38*(1-EXP(-0.0175*A31)))&lt;70,'Scénario référence'!$B$18*(32+38*(1-EXP(-0.0175*A31))),70*'Scénario référence'!$B$18)</f>
        <v>70</v>
      </c>
      <c r="J31" s="150">
        <f>IF(A31&gt;30,10,('Scénario référence'!$B$16+'Scénario référence'!$B$17+'Scénario référence'!$B$18+'Scénario référence'!$B$9+'Scénario référence'!$B$10)*A31*10/30+('Scénario référence'!$F$8+'Scénario référence'!$F$9)*10)</f>
        <v>9.333333333</v>
      </c>
      <c r="K31" s="151" t="str">
        <f>VLOOKUP(A31,'Données projet'!$A$35:$I$55,2,0)</f>
        <v>#N/A</v>
      </c>
      <c r="L31" s="151" t="str">
        <f>VLOOKUP(A31,'Données projet'!$A$35:$I$55,9,0)</f>
        <v>#N/A</v>
      </c>
      <c r="M31" s="150">
        <f t="array" ref="M31">INDEX(L:L,MIN(IF(ISNUMBER(L31:L227),ROW(L31:L227),"")))</f>
        <v>9.2</v>
      </c>
      <c r="N31" s="150">
        <f>IF('Données projet'!$A$36&gt;35,N30+M31-V30,IF(A31&lt;'Données projet'!$A$36,$K$205^A31,IF(A31='Données projet'!$A$36,'Données projet'!$B$36,N30+M31-V30)))</f>
        <v>102.6</v>
      </c>
      <c r="O31" s="150">
        <f>N31*VLOOKUP('Données projet'!$B$9,'Paramètres'!$A$1:$I$88,3,0)*VLOOKUP('Données projet'!$B$9,'Paramètres'!$A$1:$I$88,5,0)</f>
        <v>92.83248</v>
      </c>
      <c r="P31" s="150">
        <f t="shared" si="34"/>
        <v>25.24711412</v>
      </c>
      <c r="Q31" s="161">
        <f t="shared" si="2"/>
        <v>205.6552931</v>
      </c>
      <c r="R31" s="153">
        <f t="shared" si="3"/>
        <v>496.544182</v>
      </c>
      <c r="S31" s="153">
        <f>AVERAGE(OFFSET($R$3,0,0,'Données projet'!$E$9+1,1))-AVERAGE(OFFSET($H$3,0,0,'Données projet'!$E$9+1,1))</f>
        <v>439.1985427</v>
      </c>
      <c r="T31" s="153">
        <f t="shared" si="35"/>
        <v>278.2174123</v>
      </c>
      <c r="U31" s="154">
        <f>IF(ISNA(VLOOKUP(A31,'Données projet'!$A$35:$I$55,3,0)),0,VLOOKUP(A31,'Données projet'!$A$35:$I$55,3,0))</f>
        <v>0</v>
      </c>
      <c r="V31" s="154">
        <f>IF(ISNA(VLOOKUP(A31,'Données projet'!$A$35:$I$55,4,0)),0,VLOOKUP(A31,'Données projet'!$A$35:$I$55,4,0))</f>
        <v>0</v>
      </c>
      <c r="W31" s="155">
        <f>IF(ISNA(VLOOKUP(A31,'Données projet'!$A$35:$I$55,5,0)),0%,VLOOKUP(A31,'Données projet'!$A$35:$I$55,5,0)*VLOOKUP('Données projet'!$B$9,'Paramètres'!$A$1:$I$88,7,0))</f>
        <v>0</v>
      </c>
      <c r="X31" s="155">
        <f>IF(ISNA(VLOOKUP(A31,'Données projet'!$A$35:$I$55,6,0)),0%,VLOOKUP(A31,'Données projet'!$A$35:$I$55,6,0)*VLOOKUP('Données projet'!$B$9,'Paramètres'!$A$1:$I$88,7,0))</f>
        <v>0</v>
      </c>
      <c r="Y31" s="155">
        <f>IF(ISNA(VLOOKUP(A31,'Données projet'!$A$35:$I$55,7,0)),0%,VLOOKUP(A31,'Données projet'!$A$35:$I$55,7,0))</f>
        <v>0</v>
      </c>
      <c r="Z31" s="162">
        <f>EXP(-LN(2)/35)*Z30+(1-EXP(-LN(2)/35))/(LN(2)/35)*V31*W31*VLOOKUP('Données projet'!$B$9,'Paramètres'!$A$1:$I$88,3,0)*0.475*44/12</f>
        <v>0</v>
      </c>
      <c r="AA31" s="162">
        <f>EXP(-LN(2)/25)*AA30+(1-EXP(-LN(2)/25))/(LN(2)/25)*Calculateur!V31*Calculateur!X31*VLOOKUP('Données projet'!$B$9,'Paramètres'!$A$1:$I$88,3,0)*0.475*44/12</f>
        <v>2.207594113</v>
      </c>
      <c r="AB31" s="162">
        <f>EXP(-LN(2)/2)*AB30+(1-EXP(-LN(2)/2))/(LN(2)/2)*V31*Y31*VLOOKUP('Données projet'!$B$9,'Paramètres'!$A$1:$I$88,3,0)*0.475*44/12</f>
        <v>0</v>
      </c>
      <c r="AC31" s="163">
        <f t="shared" si="4"/>
        <v>2.207594113</v>
      </c>
      <c r="AD31" s="150">
        <f>('Scénario référence'!$F$8+'Scénario référence'!$F$9+'Scénario référence'!$B$17+'Scénario référence'!$B$9+'Scénario référence'!$B$10)*70+IF((45+25*(1-EXP(-0.0175*A31)))&lt;70,'Scénario référence'!$B$16*(45+25*(1-EXP(-0.0175*A31))),70*'Scénario référence'!$B$16)+IF((32+38*(1-EXP(-0.0175*A31)))&lt;70,'Scénario référence'!$B$18*(32+38*(1-EXP(-0.0175*A31))),70*'Scénario référence'!$B$18)</f>
        <v>70</v>
      </c>
      <c r="AE31" s="150">
        <f>IF(A31&gt;30,10,('Scénario référence'!$B$16+'Scénario référence'!$B$17+'Scénario référence'!$B$18+'Scénario référence'!$B$9+'Scénario référence'!$B$10)*A31*10/30+('Scénario référence'!$F$8+'Scénario référence'!$F$9)*10)</f>
        <v>9.333333333</v>
      </c>
      <c r="AF31" s="151" t="str">
        <f>VLOOKUP(A31,'Données projet'!$A$61:$I$81,2,0)</f>
        <v>#N/A</v>
      </c>
      <c r="AG31" s="151" t="str">
        <f>VLOOKUP(A31,'Données projet'!$A$61:$I$81,9,0)</f>
        <v>#N/A</v>
      </c>
      <c r="AH31" s="150">
        <f t="array" ref="AH31">INDEX(AG:AG,MIN(IF(ISNUMBER(AG31:AG227),ROW(AG31:AG227),"")))</f>
        <v>16</v>
      </c>
      <c r="AI31" s="150">
        <f>IF('Données projet'!$A$62&gt;35,AI30+AH31-AQ30,IF(A31&lt;'Données projet'!$A$62,$AF$205^A31,IF(A31='Données projet'!$A$62,'Données projet'!$B$62,AI30+AH31-AQ30)))</f>
        <v>173</v>
      </c>
      <c r="AJ31" s="150">
        <f>AI31*VLOOKUP('Données projet'!$B$10,'Paramètres'!$A$1:$I$88,3,0)*VLOOKUP('Données projet'!$B$10,'Paramètres'!$A$1:$I$88,5,0)</f>
        <v>137.6388</v>
      </c>
      <c r="AK31" s="150">
        <f t="shared" si="36"/>
        <v>35.75555341</v>
      </c>
      <c r="AL31" s="161">
        <f t="shared" si="5"/>
        <v>301.9951655</v>
      </c>
      <c r="AM31" s="153">
        <f t="shared" si="6"/>
        <v>592.8840544</v>
      </c>
      <c r="AN31" s="153">
        <f>AVERAGE(OFFSET($AM$3,0,0,'Données projet'!$E$10+1,1))-AVERAGE(OFFSET($H$3,0,0,'Données projet'!$E$10+1,1))</f>
        <v>405.6113614</v>
      </c>
      <c r="AO31" s="153">
        <f t="shared" si="37"/>
        <v>393.0787141</v>
      </c>
      <c r="AP31" s="154">
        <f>IF(ISNA(VLOOKUP(A31,'Données projet'!$A$61:$I$81,3,0)),0,VLOOKUP(A31,'Données projet'!$A$61:$I$81,3,0))</f>
        <v>0</v>
      </c>
      <c r="AQ31" s="154">
        <f>IF(ISNA(VLOOKUP(A31,'Données projet'!$A$61:$I$81,4,0)),0,VLOOKUP(A31,'Données projet'!$A$61:$I$81,4,0))</f>
        <v>0</v>
      </c>
      <c r="AR31" s="155">
        <f>IF(ISNA(VLOOKUP(A31,'Données projet'!$A$61:$I$81,5,0)),0%,VLOOKUP(A31,'Données projet'!$A$61:$I$81,5,0)*VLOOKUP('Données projet'!$B$10,'Paramètres'!$A$1:$I$88,7,0))</f>
        <v>0</v>
      </c>
      <c r="AS31" s="155">
        <f>IF(ISNA(VLOOKUP(A31,'Données projet'!$A$61:$I$81,6,0)),0%,VLOOKUP(A31,'Données projet'!$A$61:$I$81,6,0)*VLOOKUP('Données projet'!$B$10,'Paramètres'!$A$1:$I$88,7,0))</f>
        <v>0</v>
      </c>
      <c r="AT31" s="155">
        <f>IF(ISNA(VLOOKUP(A31,'Données projet'!$A$61:$I$81,7,0)),0%,VLOOKUP(A31,'Données projet'!$A$61:$I$81,7,0))</f>
        <v>0</v>
      </c>
      <c r="AU31" s="162">
        <f>EXP(-LN(2)/35)*AU30+(1-EXP(-LN(2)/35))/(LN(2)/35)*AQ31*AR31*VLOOKUP('Données projet'!$B$10,'Paramètres'!$A$1:$I$88,3,0)*0.475*44/12</f>
        <v>0</v>
      </c>
      <c r="AV31" s="162">
        <f>EXP(-LN(2)/25)*AV30+(1-EXP(-LN(2)/25))/(LN(2)/25)*Calculateur!AQ31*Calculateur!AS31*VLOOKUP('Données projet'!$B$10,'Paramètres'!$A$1:$I$88,3,0)*0.475*44/12</f>
        <v>8.972223668</v>
      </c>
      <c r="AW31" s="162">
        <f>EXP(-LN(2)/2)*AW30+(1-EXP(-LN(2)/2))/(LN(2)/2)*AQ31*AT31*VLOOKUP('Données projet'!$B$10,'Paramètres'!$A$1:$I$88,3,0)*0.475*44/12</f>
        <v>1.159424408</v>
      </c>
      <c r="AX31" s="162">
        <f t="shared" si="7"/>
        <v>10.13164808</v>
      </c>
      <c r="AY31" s="157">
        <f>('Scénario référence'!$F$8+'Scénario référence'!$F$9+'Scénario référence'!$B$17+'Scénario référence'!$B$9+'Scénario référence'!$B$10)*70+IF((45+25*(1-EXP(-0.0175*A31)))&lt;70,'Scénario référence'!$B$16*(45+25*(1-EXP(-0.0175*A31))),70*'Scénario référence'!$B$16)+IF((32+38*(1-EXP(-0.0175*A31)))&lt;70,'Scénario référence'!$B$18*(32+38*(1-EXP(-0.0175*A31))),70*'Scénario référence'!$B$18)</f>
        <v>70</v>
      </c>
      <c r="AZ31" s="151">
        <f>IF(A31&gt;30,10,('Scénario référence'!$B$16+'Scénario référence'!$B$17+'Scénario référence'!$B$18+'Scénario référence'!$B$9+'Scénario référence'!$B$10)*A31*10/30+('Scénario référence'!$F$8+'Scénario référence'!$F$9)*10)</f>
        <v>9.333333333</v>
      </c>
      <c r="BA31" s="151" t="str">
        <f>VLOOKUP(A31,'Données projet'!$A$87:$I$107,2,0)</f>
        <v>#N/A</v>
      </c>
      <c r="BB31" s="151" t="str">
        <f>VLOOKUP(A31,'Données projet'!$A$87:$I$107,9,0)</f>
        <v>#N/A</v>
      </c>
      <c r="BC31" s="150" t="str">
        <f t="array" ref="BC31">INDEX(BB:BB,MIN(IF(ISNUMBER(BB31:BB227),ROW(BB31:BB227),"")))</f>
        <v/>
      </c>
      <c r="BD31" s="150">
        <f>IF('Données projet'!$A$88&gt;35,BD30+BC31-BL30,IF(A31&lt;'Données projet'!$A$88,$BA$205^A31,IF(A31='Données projet'!$A$88,'Données projet'!$B$88,BD30+BC31-BL30)))</f>
        <v>0</v>
      </c>
      <c r="BE31" s="150">
        <f>BD31*VLOOKUP('Données projet'!$B$11,'Paramètres'!$A$1:$I$88,3,0)*VLOOKUP('Données projet'!$B$11,'Paramètres'!$A$1:$I$88,5,0)</f>
        <v>0</v>
      </c>
      <c r="BF31" s="150" t="str">
        <f t="shared" si="38"/>
        <v>#NUM!</v>
      </c>
      <c r="BG31" s="161" t="str">
        <f t="shared" si="8"/>
        <v>#NUM!</v>
      </c>
      <c r="BH31" s="153" t="str">
        <f t="shared" si="9"/>
        <v>#NUM!</v>
      </c>
      <c r="BI31" s="153">
        <f>AVERAGE(OFFSET($BH$3,0,0,'Données projet'!$E$11+1,1))-AVERAGE(OFFSET($H$3,0,0,'Données projet'!$E$11+1,1))</f>
        <v>0</v>
      </c>
      <c r="BJ31" s="153">
        <f t="shared" si="39"/>
        <v>0</v>
      </c>
      <c r="BK31" s="154">
        <f>IF(ISNA(VLOOKUP(A31,'Données projet'!$A$87:$I$107,3,0)),0,VLOOKUP(A31,'Données projet'!$A$87:$I$107,3,0))</f>
        <v>0</v>
      </c>
      <c r="BL31" s="154">
        <f>IF(ISNA(VLOOKUP(A31,'Données projet'!$A$87:$I$107,4,0)),0,VLOOKUP(A31,'Données projet'!$A$87:$I$107,4,0))</f>
        <v>0</v>
      </c>
      <c r="BM31" s="155">
        <f>IF(ISNA(VLOOKUP(A31,'Données projet'!$A$87:$I$107,5,0)),0%,VLOOKUP(A31,'Données projet'!$A$87:$I$107,5,0)*VLOOKUP('Données projet'!$B$11,'Paramètres'!$A$1:$I$88,7,0))</f>
        <v>0</v>
      </c>
      <c r="BN31" s="155">
        <f>IF(ISNA(VLOOKUP(A31,'Données projet'!$A$87:$I$107,6,0)),0%,VLOOKUP(A31,'Données projet'!$A$87:$I$107,6,0)*VLOOKUP('Données projet'!$B$11,'Paramètres'!$A$1:$I$88,7,0))</f>
        <v>0</v>
      </c>
      <c r="BO31" s="155">
        <f>IF(ISNA(VLOOKUP(A31,'Données projet'!$A$87:$I$107,7,0)),0%,VLOOKUP(A31,'Données projet'!$A$87:$I$107,7,0))</f>
        <v>0</v>
      </c>
      <c r="BP31" s="162">
        <f>EXP(-LN(2)/35)*BP30+(1-EXP(-LN(2)/35))/(LN(2)/35)*BL31*BM31*VLOOKUP('Données projet'!$B$11,'Paramètres'!$A$1:$I$88,3,0)*0.475*44/12</f>
        <v>0</v>
      </c>
      <c r="BQ31" s="162">
        <f>EXP(-LN(2)/25)*BQ30+(1-EXP(-LN(2)/25))/(LN(2)/25)*Calculateur!BL31*Calculateur!BN31*VLOOKUP('Données projet'!$B$11,'Paramètres'!$A$1:$I$88,3,0)*0.475*44/12</f>
        <v>0</v>
      </c>
      <c r="BR31" s="162">
        <f>EXP(-LN(2)/2)*BR30+(1-EXP(-LN(2)/2))/(LN(2)/2)*BL31*BO31*VLOOKUP('Données projet'!$B$11,'Paramètres'!$A$1:$I$88,3,0)*0.475*44/12</f>
        <v>0</v>
      </c>
      <c r="BS31" s="163">
        <f t="shared" si="10"/>
        <v>0</v>
      </c>
      <c r="BT31" s="159">
        <f>('Scénario référence'!$F$8+'Scénario référence'!$F$9+'Scénario référence'!$B$17+'Scénario référence'!$B$9+'Scénario référence'!$B$10)*70+IF((45+25*(1-EXP(-0.0175*A31)))&lt;70,'Scénario référence'!$B$16*(45+25*(1-EXP(-0.0175*A31))),70*'Scénario référence'!$B$16)+IF((32+38*(1-EXP(-0.0175*A31)))&lt;70,'Scénario référence'!$B$18*(32+38*(1-EXP(-0.0175*A31))),70*'Scénario référence'!$B$18)</f>
        <v>70</v>
      </c>
      <c r="BU31" s="151">
        <f>IF(A31&gt;30,10,('Scénario référence'!$B$16+'Scénario référence'!$B$17+'Scénario référence'!$B$18+'Scénario référence'!$B$9+'Scénario référence'!$B$10)*A31*10/30+('Scénario référence'!$F$8+'Scénario référence'!$F$9)*10)</f>
        <v>9.333333333</v>
      </c>
      <c r="BV31" s="151" t="str">
        <f>VLOOKUP(A31,'Données projet'!$A$113:$I$133,2,0)</f>
        <v>#N/A</v>
      </c>
      <c r="BW31" s="151" t="str">
        <f>VLOOKUP(A31,'Données projet'!$A$113:$I$133,9,0)</f>
        <v>#N/A</v>
      </c>
      <c r="BX31" s="150" t="str">
        <f t="array" ref="BX31">INDEX(BW:BW,MIN(IF(ISNUMBER(BW31:BW227),ROW(BW31:BW227),"")))</f>
        <v/>
      </c>
      <c r="BY31" s="150">
        <f>IF('Données projet'!$A$114&gt;35,BY30+BX31-CG30,IF(A31&lt;'Données projet'!$A$114,$BV$205^A31,IF(A31='Données projet'!$A$114,'Données projet'!$B$114,BY30+BX31-CG30)))</f>
        <v>0</v>
      </c>
      <c r="BZ31" s="150" t="str">
        <f>BY31*VLOOKUP('Données projet'!$B$12,'Paramètres'!$A$1:$I$88,3,0)*VLOOKUP('Données projet'!$B$12,'Paramètres'!$A$1:$I$88,5,0)</f>
        <v>#N/A</v>
      </c>
      <c r="CA31" s="150" t="str">
        <f t="shared" si="40"/>
        <v>#N/A</v>
      </c>
      <c r="CB31" s="161" t="str">
        <f t="shared" si="11"/>
        <v>#N/A</v>
      </c>
      <c r="CC31" s="153" t="str">
        <f t="shared" si="12"/>
        <v>#N/A</v>
      </c>
      <c r="CD31" s="153" t="str">
        <f>AVERAGE(OFFSET($CC$3,0,0,'Données projet'!$E$12+1,1))-AVERAGE(OFFSET($H$3,0,0,'Données projet'!$E$12+1,1))</f>
        <v>#N/A</v>
      </c>
      <c r="CE31" s="153" t="str">
        <f t="shared" si="41"/>
        <v>#N/A</v>
      </c>
      <c r="CF31" s="154">
        <f>IF(ISNA(VLOOKUP(A31,'Données projet'!$A$113:$I$133,3,0)),0,VLOOKUP(A31,'Données projet'!$A$113:$I$133,3,0))</f>
        <v>0</v>
      </c>
      <c r="CG31" s="154">
        <f>IF(ISNA(VLOOKUP(A31,'Données projet'!$A$113:$I$133,4,0)),0,VLOOKUP(A31,'Données projet'!$A$113:$I$133,4,0))</f>
        <v>0</v>
      </c>
      <c r="CH31" s="155">
        <f>IF(ISNA(VLOOKUP(A31,'Données projet'!$A$113:$I$133,5,0)),0%,VLOOKUP(A31,'Données projet'!$A$113:$I$133,5,0)*VLOOKUP('Données projet'!$B$12,'Paramètres'!$A$1:$I$88,7,0))</f>
        <v>0</v>
      </c>
      <c r="CI31" s="155">
        <f>IF(ISNA(VLOOKUP(A31,'Données projet'!$A$113:$I$133,6,0)),0%,VLOOKUP(A31,'Données projet'!$A$113:$I$133,6,0)*VLOOKUP('Données projet'!$B$12,'Paramètres'!$A$1:$I$88,7,0))</f>
        <v>0</v>
      </c>
      <c r="CJ31" s="155">
        <f>IF(ISNA(VLOOKUP(A31,'Données projet'!$A$113:$I$133,7,0)),0%,VLOOKUP(A31,'Données projet'!$A$113:$I$133,7,0))</f>
        <v>0</v>
      </c>
      <c r="CK31" s="162" t="str">
        <f>EXP(-LN(2)/35)*CK30+(1-EXP(-LN(2)/35))/(LN(2)/35)*CG31*CH31*VLOOKUP('Données projet'!$B$12,'Paramètres'!$A$1:$I$88,3,0)*0.475*44/12</f>
        <v>#N/A</v>
      </c>
      <c r="CL31" s="162" t="str">
        <f>EXP(-LN(2)/25)*CL30+(1-EXP(-LN(2)/25))/(LN(2)/25)*Calculateur!CG31*Calculateur!CI31*VLOOKUP('Données projet'!$B$12,'Paramètres'!$A$1:$I$88,3,0)*0.475*44/12</f>
        <v>#N/A</v>
      </c>
      <c r="CM31" s="162" t="str">
        <f>EXP(-LN(2)/2)*CM30+(1-EXP(-LN(2)/2))/(LN(2)/2)*CG31*CJ31*VLOOKUP('Données projet'!$B$12,'Paramètres'!$A$1:$I$88,3,0)*0.475*44/12</f>
        <v>#N/A</v>
      </c>
      <c r="CN31" s="163" t="str">
        <f t="shared" si="13"/>
        <v>#N/A</v>
      </c>
      <c r="CO31" s="159">
        <f>('Scénario référence'!$F$8+'Scénario référence'!$F$9+'Scénario référence'!$B$17+'Scénario référence'!$B$9+'Scénario référence'!$B$10)*70+IF((45+25*(1-EXP(-0.0175*A31)))&lt;70,'Scénario référence'!$B$16*(45+25*(1-EXP(-0.0175*A31))),70*'Scénario référence'!$B$16)+IF((32+38*(1-EXP(-0.0175*A31)))&lt;70,'Scénario référence'!$B$18*(32+38*(1-EXP(-0.0175*A31))),70*'Scénario référence'!$B$18)</f>
        <v>70</v>
      </c>
      <c r="CP31" s="151">
        <f>IF(A31&gt;30,10,('Scénario référence'!$B$16+'Scénario référence'!$B$17+'Scénario référence'!$B$18+'Scénario référence'!$B$9+'Scénario référence'!$B$10)*A31*10/30+('Scénario référence'!$F$8+'Scénario référence'!$F$9)*10)</f>
        <v>9.333333333</v>
      </c>
      <c r="CQ31" s="151" t="str">
        <f>VLOOKUP(A31,'Données projet'!$A$139:$I$159,2,0)</f>
        <v>#N/A</v>
      </c>
      <c r="CR31" s="151" t="str">
        <f>VLOOKUP(A31,'Données projet'!$A$139:$I$159,9,0)</f>
        <v>#N/A</v>
      </c>
      <c r="CS31" s="151" t="str">
        <f t="array" ref="CS31">INDEX(CR:CR,MIN(IF(ISNUMBER(CR31:CR227),ROW(CR31:CR227),"")))</f>
        <v/>
      </c>
      <c r="CT31" s="151">
        <f>IF('Données projet'!$A$140&gt;35,CT30+CS31-DB30,IF(A31&lt;'Données projet'!$A$140,$CQ$205^A31,IF(A31='Données projet'!$A$140,'Données projet'!$B$140,CT30+CS31-DB30)))</f>
        <v>0</v>
      </c>
      <c r="CU31" s="158" t="str">
        <f>CT31*VLOOKUP('Données projet'!$B$13,'Paramètres'!$A$1:$I$88,3,0)*VLOOKUP('Données projet'!$B$13,'Paramètres'!$A$1:$I$88,5,0)</f>
        <v>#N/A</v>
      </c>
      <c r="CV31" s="150" t="str">
        <f t="shared" si="42"/>
        <v>#N/A</v>
      </c>
      <c r="CW31" s="161" t="str">
        <f t="shared" si="14"/>
        <v>#N/A</v>
      </c>
      <c r="CX31" s="153" t="str">
        <f t="shared" si="15"/>
        <v>#N/A</v>
      </c>
      <c r="CY31" s="153" t="str">
        <f>AVERAGE(OFFSET($CX$3,0,0,'Données projet'!$E$13+1,1))-AVERAGE(OFFSET($H$3,0,0,'Données projet'!$E$13+1,1))</f>
        <v>#N/A</v>
      </c>
      <c r="CZ31" s="153" t="str">
        <f t="shared" si="43"/>
        <v>#N/A</v>
      </c>
      <c r="DA31" s="154">
        <f>IF(ISNA(VLOOKUP(A31,'Données projet'!$A$139:$I$159,3,0)),0,VLOOKUP(A31,'Données projet'!$A$139:$I$159,3,0))</f>
        <v>0</v>
      </c>
      <c r="DB31" s="154">
        <f>IF(ISNA(VLOOKUP(A31,'Données projet'!$A$139:$I$159,4,0)),0,VLOOKUP(A31,'Données projet'!$A$139:$I$159,4,0))</f>
        <v>0</v>
      </c>
      <c r="DC31" s="155">
        <f>IF(ISNA(VLOOKUP(A31,'Données projet'!$A$139:$I$159,5,0)),0%,VLOOKUP(A31,'Données projet'!$A$139:$I$159,5,0)*VLOOKUP('Données projet'!$B$13,'Paramètres'!$A$1:$I$88,7,0))</f>
        <v>0</v>
      </c>
      <c r="DD31" s="155">
        <f>IF(ISNA(VLOOKUP(A31,'Données projet'!$A$139:$I$159,6,0)),0%,VLOOKUP(A31,'Données projet'!$A$139:$I$159,6,0)*VLOOKUP('Données projet'!$B$13,'Paramètres'!$A$1:$I$88,7,0))</f>
        <v>0</v>
      </c>
      <c r="DE31" s="155">
        <f>IF(ISNA(VLOOKUP(A31,'Données projet'!$A$139:$I$159,7,0)),0%,VLOOKUP(A31,'Données projet'!$A$139:$I$159,7,0))</f>
        <v>0</v>
      </c>
      <c r="DF31" s="162" t="str">
        <f>EXP(-LN(2)/35)*DF30+(1-EXP(-LN(2)/35))/(LN(2)/35)*DB31*DC31*VLOOKUP('Données projet'!$B$13,'Paramètres'!$A$1:$I$88,3,0)*0.475*44/12</f>
        <v>#N/A</v>
      </c>
      <c r="DG31" s="162" t="str">
        <f>EXP(-LN(2)/25)*DG30+(1-EXP(-LN(2)/25))/(LN(2)/25)*Calculateur!DB31*Calculateur!DD31*VLOOKUP('Données projet'!$B$13,'Paramètres'!$A$1:$I$88,3,0)*0.475*44/12</f>
        <v>#N/A</v>
      </c>
      <c r="DH31" s="162" t="str">
        <f>EXP(-LN(2)/2)*DH30+(1-EXP(-LN(2)/2))/(LN(2)/2)*DB31*DE31*VLOOKUP('Données projet'!$B$13,'Paramètres'!$A$1:$I$88,3,0)*0.475*44/12</f>
        <v>#N/A</v>
      </c>
      <c r="DI31" s="163" t="str">
        <f t="shared" si="16"/>
        <v>#N/A</v>
      </c>
      <c r="DJ31" s="159">
        <f>('Scénario référence'!$F$8+'Scénario référence'!$F$9+'Scénario référence'!$B$17+'Scénario référence'!$B$9+'Scénario référence'!$B$10)*70+IF((45+25*(1-EXP(-0.0175*A31)))&lt;70,'Scénario référence'!$B$16*(45+25*(1-EXP(-0.0175*A31))),70*'Scénario référence'!$B$16)+IF((32+38*(1-EXP(-0.0175*A31)))&lt;70,'Scénario référence'!$B$18*(32+38*(1-EXP(-0.0175*A31))),70*'Scénario référence'!$B$18)</f>
        <v>70</v>
      </c>
      <c r="DK31" s="151">
        <f>IF(A31&gt;30,10,('Scénario référence'!$B$16+'Scénario référence'!$B$17+'Scénario référence'!$B$18+'Scénario référence'!$B$9+'Scénario référence'!$B$10)*A31*10/30+('Scénario référence'!$F$8+'Scénario référence'!$F$9)*10)</f>
        <v>9.333333333</v>
      </c>
      <c r="DL31" s="151" t="str">
        <f>VLOOKUP(A31,'Données projet'!$A$165:$I$185,2,0)</f>
        <v>#N/A</v>
      </c>
      <c r="DM31" s="151" t="str">
        <f>VLOOKUP(A31,'Données projet'!$A$165:$I$185,9,0)</f>
        <v>#N/A</v>
      </c>
      <c r="DN31" s="151" t="str">
        <f t="array" ref="DN31">INDEX(DM:DM,MIN(IF(ISNUMBER(DM31:DM227),ROW(DM31:DM227),"")))</f>
        <v/>
      </c>
      <c r="DO31" s="151">
        <f>IF('Données projet'!$A$166&gt;35,DO30+DN31-DW30,IF(A31&lt;'Données projet'!$A$166,$DL$205^A31,IF(A31='Données projet'!$A$166,'Données projet'!$B$166,DO30+DN31-DW30)))</f>
        <v>0</v>
      </c>
      <c r="DP31" s="158" t="str">
        <f>DO31*VLOOKUP('Données projet'!$B$14,'Paramètres'!$A$1:$I$88,3,0)*VLOOKUP('Données projet'!$B$14,'Paramètres'!$A$1:$I$88,5,0)</f>
        <v>#N/A</v>
      </c>
      <c r="DQ31" s="150" t="str">
        <f t="shared" si="44"/>
        <v>#N/A</v>
      </c>
      <c r="DR31" s="161" t="str">
        <f t="shared" si="17"/>
        <v>#N/A</v>
      </c>
      <c r="DS31" s="153" t="str">
        <f t="shared" si="18"/>
        <v>#N/A</v>
      </c>
      <c r="DT31" s="153" t="str">
        <f>AVERAGE(OFFSET($DS$3,0,0,'Données projet'!$E$14+1,1))-AVERAGE(OFFSET($H$3,0,0,'Données projet'!$E$14+1,1))</f>
        <v>#N/A</v>
      </c>
      <c r="DU31" s="153" t="str">
        <f t="shared" si="45"/>
        <v>#N/A</v>
      </c>
      <c r="DV31" s="154">
        <f>IF(ISNA(VLOOKUP(A31,'Données projet'!$A$165:$I$185,3,0)),0,VLOOKUP(A31,'Données projet'!$A$165:$I$185,3,0))</f>
        <v>0</v>
      </c>
      <c r="DW31" s="154">
        <f>IF(ISNA(VLOOKUP(A31,'Données projet'!$A$165:$I$185,4,0)),0,VLOOKUP(A31,'Données projet'!$A$165:$I$185,4,0))</f>
        <v>0</v>
      </c>
      <c r="DX31" s="155">
        <f>IF(ISNA(VLOOKUP(A31,'Données projet'!$A$165:$I$185,5,0)),0%,VLOOKUP(A31,'Données projet'!$A$165:$I$185,5,0)*VLOOKUP('Données projet'!$B$14,'Paramètres'!$A$1:$I$88,7,0))</f>
        <v>0</v>
      </c>
      <c r="DY31" s="155">
        <f>IF(ISNA(VLOOKUP(A31,'Données projet'!$A$165:$I$185,6,0)),0%,VLOOKUP(A31,'Données projet'!$A$165:$I$185,6,0)*VLOOKUP('Données projet'!$B$14,'Paramètres'!$A$1:$I$88,7,0))</f>
        <v>0</v>
      </c>
      <c r="DZ31" s="155">
        <f>IF(ISNA(VLOOKUP(A31,'Données projet'!$A$165:$I$185,7,0)),0%,VLOOKUP(A31,'Données projet'!$A$165:$I$185,7,0))</f>
        <v>0</v>
      </c>
      <c r="EA31" s="162" t="str">
        <f>EXP(-LN(2)/35)*EA30+(1-EXP(-LN(2)/35))/(LN(2)/35)*DW31*DX31*VLOOKUP('Données projet'!$B$14,'Paramètres'!$A$1:$I$88,3,0)*0.475*44/12</f>
        <v>#N/A</v>
      </c>
      <c r="EB31" s="162" t="str">
        <f>EXP(-LN(2)/25)*EB30+(1-EXP(-LN(2)/25))/(LN(2)/25)*Calculateur!DW31*Calculateur!DY31*VLOOKUP('Données projet'!$B$14,'Paramètres'!$A$1:$I$88,3,0)*0.475*44/12</f>
        <v>#N/A</v>
      </c>
      <c r="EC31" s="162" t="str">
        <f>EXP(-LN(2)/2)*EC30+(1-EXP(-LN(2)/2))/(LN(2)/2)*DW31*DZ31*VLOOKUP('Données projet'!$B$14,'Paramètres'!$A$1:$I$88,3,0)*0.475*44/12</f>
        <v>#N/A</v>
      </c>
      <c r="ED31" s="163" t="str">
        <f t="shared" si="19"/>
        <v>#N/A</v>
      </c>
      <c r="EE31" s="159">
        <f>('Scénario référence'!$F$8+'Scénario référence'!$F$9+'Scénario référence'!$B$17+'Scénario référence'!$B$9+'Scénario référence'!$B$10)*70+IF((45+25*(1-EXP(-0.0175*A31)))&lt;70,'Scénario référence'!$B$16*(45+25*(1-EXP(-0.0175*A31))),70*'Scénario référence'!$B$16)+IF((32+38*(1-EXP(-0.0175*A31)))&lt;70,'Scénario référence'!$B$18*(32+38*(1-EXP(-0.0175*A31))),70*'Scénario référence'!$B$18)</f>
        <v>70</v>
      </c>
      <c r="EF31" s="151">
        <f>IF(A31&gt;30,10,('Scénario référence'!$B$16+'Scénario référence'!$B$17+'Scénario référence'!$B$18+'Scénario référence'!$B$9+'Scénario référence'!$B$10)*A31*10/30+('Scénario référence'!$F$8+'Scénario référence'!$F$9)*10)</f>
        <v>9.333333333</v>
      </c>
      <c r="EG31" s="151" t="str">
        <f>VLOOKUP(A31,'Données projet'!$A$191:$I$211,2,0)</f>
        <v>#N/A</v>
      </c>
      <c r="EH31" s="151" t="str">
        <f>VLOOKUP(A31,'Données projet'!$A$191:$I$211,9,0)</f>
        <v>#N/A</v>
      </c>
      <c r="EI31" s="151" t="str">
        <f t="array" ref="EI31">INDEX(EH:EH,MIN(IF(ISNUMBER(EH31:EH227),ROW(EH31:EH227),"")))</f>
        <v/>
      </c>
      <c r="EJ31" s="151">
        <f>IF('Données projet'!$A$192&gt;35,EJ30+EI31-ER30,IF(A31&lt;'Données projet'!$A$192,$EG$205^A31,IF(A31='Données projet'!$A$192,'Données projet'!$B$192,EJ30+EI31-ER30)))</f>
        <v>0</v>
      </c>
      <c r="EK31" s="158" t="str">
        <f>EJ31*VLOOKUP('Données projet'!$B$15,'Paramètres'!$A$1:$I$88,3,0)*VLOOKUP('Données projet'!$B$15,'Paramètres'!$A$1:$I$88,5,0)</f>
        <v>#N/A</v>
      </c>
      <c r="EL31" s="150" t="str">
        <f t="shared" si="46"/>
        <v>#N/A</v>
      </c>
      <c r="EM31" s="161" t="str">
        <f t="shared" si="20"/>
        <v>#N/A</v>
      </c>
      <c r="EN31" s="153" t="str">
        <f t="shared" si="21"/>
        <v>#N/A</v>
      </c>
      <c r="EO31" s="153" t="str">
        <f>AVERAGE(OFFSET($EN$3,0,0,'Données projet'!$E$15+1,1))-AVERAGE(OFFSET($H$3,0,0,'Données projet'!$E$15+1,1))</f>
        <v>#N/A</v>
      </c>
      <c r="EP31" s="153" t="str">
        <f t="shared" si="47"/>
        <v>#N/A</v>
      </c>
      <c r="EQ31" s="154">
        <f>IF(ISNA(VLOOKUP(A31,'Données projet'!$A$191:$I$211,3,0)),0,VLOOKUP(A31,'Données projet'!$A$191:$I$211,3,0))</f>
        <v>0</v>
      </c>
      <c r="ER31" s="154">
        <f>IF(ISNA(VLOOKUP(A31,'Données projet'!$A$191:$I$211,4,0)),0,VLOOKUP(A31,'Données projet'!$A$191:$I$211,4,0))</f>
        <v>0</v>
      </c>
      <c r="ES31" s="155">
        <f>IF(ISNA(VLOOKUP(A31,'Données projet'!$A$191:$I$211,5,0)),0%,VLOOKUP(A31,'Données projet'!$A$191:$I$211,5,0)*VLOOKUP('Données projet'!$B$15,'Paramètres'!$A$1:$I$88,7,0))</f>
        <v>0</v>
      </c>
      <c r="ET31" s="155">
        <f>IF(ISNA(VLOOKUP(A31,'Données projet'!$A$191:$I$211,6,0)),0%,VLOOKUP(A31,'Données projet'!$A$191:$I$211,6,0)*VLOOKUP('Données projet'!$B$15,'Paramètres'!$A$1:$I$88,7,0))</f>
        <v>0</v>
      </c>
      <c r="EU31" s="155">
        <f>IF(ISNA(VLOOKUP(A31,'Données projet'!$A$191:$I$211,7,0)),0%,VLOOKUP(A31,'Données projet'!$A$191:$I$211,7,0))</f>
        <v>0</v>
      </c>
      <c r="EV31" s="162" t="str">
        <f>EXP(-LN(2)/35)*EV30+(1-EXP(-LN(2)/35))/(LN(2)/35)*ER31*ES31*VLOOKUP('Données projet'!$B$15,'Paramètres'!$A$1:$I$88,3,0)*0.475*44/12</f>
        <v>#N/A</v>
      </c>
      <c r="EW31" s="162" t="str">
        <f>EXP(-LN(2)/25)*EW30+(1-EXP(-LN(2)/25))/(LN(2)/25)*Calculateur!ER31*Calculateur!ET31*VLOOKUP('Données projet'!$B$15,'Paramètres'!$A$1:$I$88,3,0)*0.475*44/12</f>
        <v>#N/A</v>
      </c>
      <c r="EX31" s="162" t="str">
        <f>EXP(-LN(2)/2)*EX30+(1-EXP(-LN(2)/2))/(LN(2)/2)*ER31*EU31*VLOOKUP('Données projet'!$B$15,'Paramètres'!$A$1:$I$88,3,0)*0.475*44/12</f>
        <v>#N/A</v>
      </c>
      <c r="EY31" s="163" t="str">
        <f t="shared" si="22"/>
        <v>#N/A</v>
      </c>
      <c r="EZ31" s="159">
        <f>('Scénario référence'!$F$8+'Scénario référence'!$F$9+'Scénario référence'!$B$17+'Scénario référence'!$B$9+'Scénario référence'!$B$10)*70+IF((45+25*(1-EXP(-0.0175*A31)))&lt;70,'Scénario référence'!$B$16*(45+25*(1-EXP(-0.0175*A31))),70*'Scénario référence'!$B$16)+IF((32+38*(1-EXP(-0.0175*A31)))&lt;70,'Scénario référence'!$B$18*(32+38*(1-EXP(-0.0175*A31))),70*'Scénario référence'!$B$18)</f>
        <v>70</v>
      </c>
      <c r="FA31" s="151">
        <f>IF(A31&gt;30,10,('Scénario référence'!$B$16+'Scénario référence'!$B$17+'Scénario référence'!$B$18+'Scénario référence'!$B$9+'Scénario référence'!$B$10)*A31*10/30+('Scénario référence'!$F$8+'Scénario référence'!$F$9)*10)</f>
        <v>9.333333333</v>
      </c>
      <c r="FB31" s="151" t="str">
        <f>VLOOKUP(A31,'Données projet'!$A$217:$I$237,2,0)</f>
        <v>#N/A</v>
      </c>
      <c r="FC31" s="151" t="str">
        <f>VLOOKUP(A31,'Données projet'!$A$217:$I$237,9,0)</f>
        <v>#N/A</v>
      </c>
      <c r="FD31" s="151" t="str">
        <f t="array" ref="FD31">INDEX(FC:FC,MIN(IF(ISNUMBER(FC31:FC227),ROW(FC31:FC227),"")))</f>
        <v/>
      </c>
      <c r="FE31" s="151">
        <f>IF('Données projet'!$A$218&gt;35,FE30+FD31-FM30,IF(A31&lt;'Données projet'!$A$218,$FB$205^A31,IF(A31='Données projet'!$A$218,'Données projet'!$B$218,FE30+FD31-FM30)))</f>
        <v>0</v>
      </c>
      <c r="FF31" s="158" t="str">
        <f>FE31*VLOOKUP('Données projet'!$B$16,'Paramètres'!$A$1:$I$88,3,0)*VLOOKUP('Données projet'!$B$16,'Paramètres'!$A$1:$I$88,5,0)</f>
        <v>#N/A</v>
      </c>
      <c r="FG31" s="150" t="str">
        <f t="shared" si="48"/>
        <v>#N/A</v>
      </c>
      <c r="FH31" s="161" t="str">
        <f t="shared" si="23"/>
        <v>#N/A</v>
      </c>
      <c r="FI31" s="153" t="str">
        <f t="shared" si="24"/>
        <v>#N/A</v>
      </c>
      <c r="FJ31" s="153" t="str">
        <f>AVERAGE(OFFSET($FI$3,0,0,'Données projet'!$E$16+1,1))-AVERAGE(OFFSET($H$3,0,0,'Données projet'!$E$16+1,1))</f>
        <v>#N/A</v>
      </c>
      <c r="FK31" s="153" t="str">
        <f t="shared" si="49"/>
        <v>#N/A</v>
      </c>
      <c r="FL31" s="154">
        <f>IF(ISNA(VLOOKUP(A31,'Données projet'!$A$217:$I$237,3,0)),0,VLOOKUP(A31,'Données projet'!$A$217:$I$237,3,0))</f>
        <v>0</v>
      </c>
      <c r="FM31" s="154">
        <f>IF(ISNA(VLOOKUP(A31,'Données projet'!$A$217:$I$237,4,0)),0,VLOOKUP(A31,'Données projet'!$A$217:$I$237,4,0))</f>
        <v>0</v>
      </c>
      <c r="FN31" s="155">
        <f>IF(ISNA(VLOOKUP(A31,'Données projet'!$A$217:$I$237,5,0)),0%,VLOOKUP(A31,'Données projet'!$A$217:$I$237,5,0)*VLOOKUP('Données projet'!$B$16,'Paramètres'!$A$1:$I$88,7,0))</f>
        <v>0</v>
      </c>
      <c r="FO31" s="155">
        <f>IF(ISNA(VLOOKUP(A31,'Données projet'!$A$217:$I$237,6,0)),0%,VLOOKUP(A31,'Données projet'!$A$217:$I$237,6,0)*VLOOKUP('Données projet'!$B$16,'Paramètres'!$A$1:$I$88,7,0))</f>
        <v>0</v>
      </c>
      <c r="FP31" s="155">
        <f>IF(ISNA(VLOOKUP(A31,'Données projet'!$A$217:$I$237,7,0)),0%,VLOOKUP(A31,'Données projet'!$A$217:$I$237,7,0))</f>
        <v>0</v>
      </c>
      <c r="FQ31" s="162" t="str">
        <f>EXP(-LN(2)/35)*FQ30+(1-EXP(-LN(2)/35))/(LN(2)/35)*FM31*FN31*VLOOKUP('Données projet'!$B$16,'Paramètres'!$A$1:$I$88,3,0)*0.475*44/12</f>
        <v>#N/A</v>
      </c>
      <c r="FR31" s="162" t="str">
        <f>EXP(-LN(2)/25)*FR30+(1-EXP(-LN(2)/25))/(LN(2)/25)*Calculateur!FM31*Calculateur!FO31*VLOOKUP('Données projet'!$B$16,'Paramètres'!$A$1:$I$88,3,0)*0.475*44/12</f>
        <v>#N/A</v>
      </c>
      <c r="FS31" s="162" t="str">
        <f>EXP(-LN(2)/2)*FS30+(1-EXP(-LN(2)/2))/(LN(2)/2)*FM31*FP31*VLOOKUP('Données projet'!$B$16,'Paramètres'!$A$1:$I$88,3,0)*0.475*44/12</f>
        <v>#N/A</v>
      </c>
      <c r="FT31" s="163" t="str">
        <f t="shared" si="25"/>
        <v>#N/A</v>
      </c>
      <c r="FU31" s="159">
        <f>('Scénario référence'!$F$8+'Scénario référence'!$F$9+'Scénario référence'!$B$17+'Scénario référence'!$B$9+'Scénario référence'!$B$10)*70+IF((45+25*(1-EXP(-0.0175*A31)))&lt;70,'Scénario référence'!$B$16*(45+25*(1-EXP(-0.0175*A31))),70*'Scénario référence'!$B$16)+IF((32+38*(1-EXP(-0.0175*A31)))&lt;70,'Scénario référence'!$B$18*(32+38*(1-EXP(-0.0175*A31))),70*'Scénario référence'!$B$18)</f>
        <v>70</v>
      </c>
      <c r="FV31" s="151">
        <f>IF(A31&gt;30,10,('Scénario référence'!$B$16+'Scénario référence'!$B$17+'Scénario référence'!$B$18+'Scénario référence'!$B$9+'Scénario référence'!$B$10)*A31*10/30+('Scénario référence'!$F$8+'Scénario référence'!$F$9)*10)</f>
        <v>9.333333333</v>
      </c>
      <c r="FW31" s="151" t="str">
        <f>VLOOKUP(A31,'Données projet'!$A$243:$I$263,2,0)</f>
        <v>#N/A</v>
      </c>
      <c r="FX31" s="151" t="str">
        <f>VLOOKUP(A31,'Données projet'!$A$243:$I$263,9,0)</f>
        <v>#N/A</v>
      </c>
      <c r="FY31" s="151" t="str">
        <f t="array" ref="FY31">INDEX(FX:FX,MIN(IF(ISNUMBER(FX31:FX227),ROW(FX31:FX227),"")))</f>
        <v/>
      </c>
      <c r="FZ31" s="151">
        <f>IF('Données projet'!$A$244&gt;35,FZ30+FY31-GH30,IF(A31&lt;'Données projet'!$A$244,$FW$205^A31,IF(A31='Données projet'!$A$244,'Données projet'!$B$244,FZ30+FY31-GH30)))</f>
        <v>0</v>
      </c>
      <c r="GA31" s="158" t="str">
        <f>FZ31*VLOOKUP('Données projet'!$B$17,'Paramètres'!$A$1:$I$88,3,0)*VLOOKUP('Données projet'!$B$17,'Paramètres'!$A$1:$I$88,5,0)</f>
        <v>#N/A</v>
      </c>
      <c r="GB31" s="150" t="str">
        <f t="shared" si="50"/>
        <v>#N/A</v>
      </c>
      <c r="GC31" s="161" t="str">
        <f t="shared" si="26"/>
        <v>#N/A</v>
      </c>
      <c r="GD31" s="153" t="str">
        <f t="shared" si="27"/>
        <v>#N/A</v>
      </c>
      <c r="GE31" s="153" t="str">
        <f>AVERAGE(OFFSET($GD$3,0,0,'Données projet'!$E$17+1,1))-AVERAGE(OFFSET($H$3,0,0,'Données projet'!$E$17+1,1))</f>
        <v>#N/A</v>
      </c>
      <c r="GF31" s="153" t="str">
        <f t="shared" si="51"/>
        <v>#N/A</v>
      </c>
      <c r="GG31" s="154">
        <f>IF(ISNA(VLOOKUP(A31,'Données projet'!$A$243:$I$263,3,0)),0,VLOOKUP(A31,'Données projet'!$A$243:$I$263,3,0))</f>
        <v>0</v>
      </c>
      <c r="GH31" s="154">
        <f>IF(ISNA(VLOOKUP(A31,'Données projet'!$A$243:$I$263,4,0)),0,VLOOKUP(A31,'Données projet'!$A$243:$I$263,4,0))</f>
        <v>0</v>
      </c>
      <c r="GI31" s="155">
        <f>IF(ISNA(VLOOKUP(A31,'Données projet'!$A$243:$I$263,5,0)),0%,VLOOKUP(A31,'Données projet'!$A$243:$I$263,5,0)*VLOOKUP('Données projet'!$B$17,'Paramètres'!$A$1:$I$88,7,0))</f>
        <v>0</v>
      </c>
      <c r="GJ31" s="155">
        <f>IF(ISNA(VLOOKUP(A31,'Données projet'!$A$243:$I$263,6,0)),0%,VLOOKUP(A31,'Données projet'!$A$243:$I$263,6,0)*VLOOKUP('Données projet'!$B$17,'Paramètres'!$A$1:$I$88,7,0))</f>
        <v>0</v>
      </c>
      <c r="GK31" s="155">
        <f>IF(ISNA(VLOOKUP(A31,'Données projet'!$A$243:$I$263,7,0)),0%,VLOOKUP(A31,'Données projet'!$A$243:$I$263,7,0))</f>
        <v>0</v>
      </c>
      <c r="GL31" s="162" t="str">
        <f>EXP(-LN(2)/35)*GL30+(1-EXP(-LN(2)/35))/(LN(2)/35)*GH31*GI31*VLOOKUP('Données projet'!$B$17,'Paramètres'!$A$1:$I$88,3,0)*0.475*44/12</f>
        <v>#N/A</v>
      </c>
      <c r="GM31" s="162" t="str">
        <f>EXP(-LN(2)/25)*GM30+(1-EXP(-LN(2)/25))/(LN(2)/25)*Calculateur!GH31*Calculateur!GJ31*VLOOKUP('Données projet'!$B$17,'Paramètres'!$A$1:$I$88,3,0)*0.475*44/12</f>
        <v>#N/A</v>
      </c>
      <c r="GN31" s="162" t="str">
        <f>EXP(-LN(2)/2)*GN30+(1-EXP(-LN(2)/2))/(LN(2)/2)*GH31*GK31*VLOOKUP('Données projet'!$B$17,'Paramètres'!$A$1:$I$88,3,0)*0.475*44/12</f>
        <v>#N/A</v>
      </c>
      <c r="GO31" s="162" t="str">
        <f t="shared" si="28"/>
        <v>#N/A</v>
      </c>
      <c r="GP31" s="159">
        <f>('Scénario référence'!$F$8+'Scénario référence'!$F$9+'Scénario référence'!$B$17+'Scénario référence'!$B$9+'Scénario référence'!$B$10)*70+IF((45+25*(1-EXP(-0.0175*A31)))&lt;70,'Scénario référence'!$B$16*(45+25*(1-EXP(-0.0175*A31))),70*'Scénario référence'!$B$16)+IF((32+38*(1-EXP(-0.0175*A31)))&lt;70,'Scénario référence'!$B$18*(32+38*(1-EXP(-0.0175*A31))),70*'Scénario référence'!$B$18)</f>
        <v>70</v>
      </c>
      <c r="GQ31" s="151">
        <f>IF(A31&gt;30,10,('Scénario référence'!$B$16+'Scénario référence'!$B$17+'Scénario référence'!$B$18+'Scénario référence'!$B$9+'Scénario référence'!$B$10)*A31*10/30+('Scénario référence'!$F$8+'Scénario référence'!$F$9)*10)</f>
        <v>9.333333333</v>
      </c>
      <c r="GR31" s="151" t="str">
        <f>VLOOKUP(A31,'Données projet'!$A$269:$I$289,2,0)</f>
        <v>#N/A</v>
      </c>
      <c r="GS31" s="151" t="str">
        <f>VLOOKUP(A31,'Données projet'!$A$269:$I$289,9,0)</f>
        <v>#N/A</v>
      </c>
      <c r="GT31" s="151" t="str">
        <f t="array" ref="GT31">INDEX(GS:GS,MIN(IF(ISNUMBER(GS31:GS227),ROW(GS31:GS227),"")))</f>
        <v/>
      </c>
      <c r="GU31" s="151">
        <f>IF('Données projet'!$A$270&gt;35,GU30+GT31-HC30,IF(A31&lt;'Données projet'!$A$270,$GR$205^A31,IF(A31='Données projet'!$A$270,'Données projet'!$B$270,GU30+GT31-HC30)))</f>
        <v>0</v>
      </c>
      <c r="GV31" s="158" t="str">
        <f>GU31*VLOOKUP('Données projet'!$B$18,'Paramètres'!$A$1:$I$88,3,0)*VLOOKUP('Données projet'!$B$18,'Paramètres'!$A$1:$I$88,5,0)</f>
        <v>#N/A</v>
      </c>
      <c r="GW31" s="150" t="str">
        <f t="shared" si="52"/>
        <v>#N/A</v>
      </c>
      <c r="GX31" s="161" t="str">
        <f t="shared" si="29"/>
        <v>#N/A</v>
      </c>
      <c r="GY31" s="153" t="str">
        <f t="shared" si="30"/>
        <v>#N/A</v>
      </c>
      <c r="GZ31" s="153" t="str">
        <f>AVERAGE(OFFSET($GY$3,0,0,'Données projet'!$E$18+1,1))-AVERAGE(OFFSET($H$3,0,0,'Données projet'!$E$18+1,1))</f>
        <v>#N/A</v>
      </c>
      <c r="HA31" s="153" t="str">
        <f t="shared" si="53"/>
        <v>#N/A</v>
      </c>
      <c r="HB31" s="154">
        <f>IF(ISNA(VLOOKUP(A31,'Données projet'!$A$269:$I$289,3,0)),0,VLOOKUP(A31,'Données projet'!$A$269:$I$289,3,0))</f>
        <v>0</v>
      </c>
      <c r="HC31" s="154">
        <f>IF(ISNA(VLOOKUP(A31,'Données projet'!$A$269:$I$289,4,0)),0,VLOOKUP(A31,'Données projet'!$A$269:$I$289,4,0))</f>
        <v>0</v>
      </c>
      <c r="HD31" s="155">
        <f>IF(ISNA(VLOOKUP(A31,'Données projet'!$A$269:$I$289,5,0)),0%,VLOOKUP(A31,'Données projet'!$A$269:$I$289,5,0)*VLOOKUP('Données projet'!$B$18,'Paramètres'!$A$1:$I$88,7,0))</f>
        <v>0</v>
      </c>
      <c r="HE31" s="155">
        <f>IF(ISNA(VLOOKUP(A31,'Données projet'!$A$269:$I$289,6,0)),0%,VLOOKUP(A31,'Données projet'!$A$269:$I$289,6,0)*VLOOKUP('Données projet'!$B$18,'Paramètres'!$A$1:$I$88,7,0))</f>
        <v>0</v>
      </c>
      <c r="HF31" s="155">
        <f>IF(ISNA(VLOOKUP(A31,'Données projet'!$A$269:$I$289,7,0)),0%,VLOOKUP(A31,'Données projet'!$A$269:$I$289,7,0))</f>
        <v>0</v>
      </c>
      <c r="HG31" s="162" t="str">
        <f>EXP(-LN(2)/35)*HG30+(1-EXP(-LN(2)/35))/(LN(2)/35)*HC31*HD31*VLOOKUP('Données projet'!$B$18,'Paramètres'!$A$1:$I$88,3,0)*0.475*44/12</f>
        <v>#N/A</v>
      </c>
      <c r="HH31" s="162" t="str">
        <f>EXP(-LN(2)/25)*HH30+(1-EXP(-LN(2)/25))/(LN(2)/25)*Calculateur!HC31*Calculateur!HE31*VLOOKUP('Données projet'!$B$18,'Paramètres'!$A$1:$I$88,3,0)*0.475*44/12</f>
        <v>#N/A</v>
      </c>
      <c r="HI31" s="162" t="str">
        <f>EXP(-LN(2)/2)*HI30+(1-EXP(-LN(2)/2))/(LN(2)/2)*HC31*HF31*VLOOKUP('Données projet'!$B$18,'Paramètres'!$A$1:$I$88,3,0)*0.475*44/12</f>
        <v>#N/A</v>
      </c>
      <c r="HJ31" s="163" t="str">
        <f t="shared" si="31"/>
        <v>#N/A</v>
      </c>
    </row>
    <row r="32" ht="15.75" customHeight="1">
      <c r="A32" s="145">
        <f t="shared" si="32"/>
        <v>29</v>
      </c>
      <c r="B32" s="146">
        <f>'Scénario référence'!$B$16*5+'Scénario référence'!$B$17*0+'Scénario référence'!$B$18*5</f>
        <v>0</v>
      </c>
      <c r="C32" s="160">
        <f>Calculateur!C31+'Scénario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32" s="147">
        <f t="shared" si="33"/>
        <v>0</v>
      </c>
      <c r="E32" s="147">
        <f>'Scénario référence'!$B$16*45+('Scénario référence'!$B$17+'Scénario référence'!$F$8+'Scénario référence'!$F$9+'Scénario référence'!$B$10+'Scénario référence'!$B$9)*70+'Scénario référence'!$B$18*32</f>
        <v>70</v>
      </c>
      <c r="F32" s="147">
        <f>IF(OR('Scénario référence'!$F$8&gt;0,'Scénario référence'!$F$9&gt;0),('Scénario référence'!$F$8+'Scénario référence'!$F$9)*10,0)</f>
        <v>0</v>
      </c>
      <c r="G32" s="147">
        <f>'Scénario référence'!$B$8*B32*44/12+'Scénario référence'!$B$9*(C32+D32)/0.475*44/12+'Scénario référence'!$B$10*(C32+D32)/0.475*44/12+'Scénario référence'!$F$8*(C32+D32)/0.475*44/12+'Scénario référence'!$F$9*(C32+D32)/0.475*44/12</f>
        <v>0</v>
      </c>
      <c r="H32" s="148">
        <f t="shared" si="1"/>
        <v>256.6666667</v>
      </c>
      <c r="I32" s="149">
        <f>('Scénario référence'!$F$8+'Scénario référence'!$F$9+'Scénario référence'!$B$17+'Scénario référence'!$B$9+'Scénario référence'!$B$10)*70+IF((45+25*(1-EXP(-0.0175*A32)))&lt;70,'Scénario référence'!$B$16*(45+25*(1-EXP(-0.0175*A32))),70*'Scénario référence'!$B$16)+IF((32+38*(1-EXP(-0.0175*A32)))&lt;70,'Scénario référence'!$B$18*(32+38*(1-EXP(-0.0175*A32))),70*'Scénario référence'!$B$18)</f>
        <v>70</v>
      </c>
      <c r="J32" s="150">
        <f>IF(A32&gt;30,10,('Scénario référence'!$B$16+'Scénario référence'!$B$17+'Scénario référence'!$B$18+'Scénario référence'!$B$9+'Scénario référence'!$B$10)*A32*10/30+('Scénario référence'!$F$8+'Scénario référence'!$F$9)*10)</f>
        <v>9.666666667</v>
      </c>
      <c r="K32" s="151" t="str">
        <f>VLOOKUP(A32,'Données projet'!$A$35:$I$55,2,0)</f>
        <v>#N/A</v>
      </c>
      <c r="L32" s="151" t="str">
        <f>VLOOKUP(A32,'Données projet'!$A$35:$I$55,9,0)</f>
        <v>#N/A</v>
      </c>
      <c r="M32" s="150">
        <f t="array" ref="M32">INDEX(L:L,MIN(IF(ISNUMBER(L32:L228),ROW(L32:L228),"")))</f>
        <v>9.2</v>
      </c>
      <c r="N32" s="150">
        <f>IF('Données projet'!$A$36&gt;35,N31+M32-V31,IF(A32&lt;'Données projet'!$A$36,$K$205^A32,IF(A32='Données projet'!$A$36,'Données projet'!$B$36,N31+M32-V31)))</f>
        <v>111.8</v>
      </c>
      <c r="O32" s="150">
        <f>N32*VLOOKUP('Données projet'!$B$9,'Paramètres'!$A$1:$I$88,3,0)*VLOOKUP('Données projet'!$B$9,'Paramètres'!$A$1:$I$88,5,0)</f>
        <v>101.15664</v>
      </c>
      <c r="P32" s="150">
        <f t="shared" si="34"/>
        <v>27.23736638</v>
      </c>
      <c r="Q32" s="161">
        <f t="shared" si="2"/>
        <v>223.6195611</v>
      </c>
      <c r="R32" s="153">
        <f t="shared" si="3"/>
        <v>515.7306722</v>
      </c>
      <c r="S32" s="153">
        <f>AVERAGE(OFFSET($R$3,0,0,'Données projet'!$E$9+1,1))-AVERAGE(OFFSET($H$3,0,0,'Données projet'!$E$9+1,1))</f>
        <v>439.1985427</v>
      </c>
      <c r="T32" s="153">
        <f t="shared" si="35"/>
        <v>278.2174123</v>
      </c>
      <c r="U32" s="154">
        <f>IF(ISNA(VLOOKUP(A32,'Données projet'!$A$35:$I$55,3,0)),0,VLOOKUP(A32,'Données projet'!$A$35:$I$55,3,0))</f>
        <v>0</v>
      </c>
      <c r="V32" s="154">
        <f>IF(ISNA(VLOOKUP(A32,'Données projet'!$A$35:$I$55,4,0)),0,VLOOKUP(A32,'Données projet'!$A$35:$I$55,4,0))</f>
        <v>0</v>
      </c>
      <c r="W32" s="155">
        <f>IF(ISNA(VLOOKUP(A32,'Données projet'!$A$35:$I$55,5,0)),0%,VLOOKUP(A32,'Données projet'!$A$35:$I$55,5,0)*VLOOKUP('Données projet'!$B$9,'Paramètres'!$A$1:$I$88,7,0))</f>
        <v>0</v>
      </c>
      <c r="X32" s="155">
        <f>IF(ISNA(VLOOKUP(A32,'Données projet'!$A$35:$I$55,6,0)),0%,VLOOKUP(A32,'Données projet'!$A$35:$I$55,6,0)*VLOOKUP('Données projet'!$B$9,'Paramètres'!$A$1:$I$88,7,0))</f>
        <v>0</v>
      </c>
      <c r="Y32" s="155">
        <f>IF(ISNA(VLOOKUP(A32,'Données projet'!$A$35:$I$55,7,0)),0%,VLOOKUP(A32,'Données projet'!$A$35:$I$55,7,0))</f>
        <v>0</v>
      </c>
      <c r="Z32" s="162">
        <f>EXP(-LN(2)/35)*Z31+(1-EXP(-LN(2)/35))/(LN(2)/35)*V32*W32*VLOOKUP('Données projet'!$B$9,'Paramètres'!$A$1:$I$88,3,0)*0.475*44/12</f>
        <v>0</v>
      </c>
      <c r="AA32" s="162">
        <f>EXP(-LN(2)/25)*AA31+(1-EXP(-LN(2)/25))/(LN(2)/25)*Calculateur!V32*Calculateur!X32*VLOOKUP('Données projet'!$B$9,'Paramètres'!$A$1:$I$88,3,0)*0.475*44/12</f>
        <v>2.147227336</v>
      </c>
      <c r="AB32" s="162">
        <f>EXP(-LN(2)/2)*AB31+(1-EXP(-LN(2)/2))/(LN(2)/2)*V32*Y32*VLOOKUP('Données projet'!$B$9,'Paramètres'!$A$1:$I$88,3,0)*0.475*44/12</f>
        <v>0</v>
      </c>
      <c r="AC32" s="163">
        <f t="shared" si="4"/>
        <v>2.147227336</v>
      </c>
      <c r="AD32" s="150">
        <f>('Scénario référence'!$F$8+'Scénario référence'!$F$9+'Scénario référence'!$B$17+'Scénario référence'!$B$9+'Scénario référence'!$B$10)*70+IF((45+25*(1-EXP(-0.0175*A32)))&lt;70,'Scénario référence'!$B$16*(45+25*(1-EXP(-0.0175*A32))),70*'Scénario référence'!$B$16)+IF((32+38*(1-EXP(-0.0175*A32)))&lt;70,'Scénario référence'!$B$18*(32+38*(1-EXP(-0.0175*A32))),70*'Scénario référence'!$B$18)</f>
        <v>70</v>
      </c>
      <c r="AE32" s="150">
        <f>IF(A32&gt;30,10,('Scénario référence'!$B$16+'Scénario référence'!$B$17+'Scénario référence'!$B$18+'Scénario référence'!$B$9+'Scénario référence'!$B$10)*A32*10/30+('Scénario référence'!$F$8+'Scénario référence'!$F$9)*10)</f>
        <v>9.666666667</v>
      </c>
      <c r="AF32" s="151" t="str">
        <f>VLOOKUP(A32,'Données projet'!$A$61:$I$81,2,0)</f>
        <v>#N/A</v>
      </c>
      <c r="AG32" s="151" t="str">
        <f>VLOOKUP(A32,'Données projet'!$A$61:$I$81,9,0)</f>
        <v>#N/A</v>
      </c>
      <c r="AH32" s="150">
        <f t="array" ref="AH32">INDEX(AG:AG,MIN(IF(ISNUMBER(AG32:AG228),ROW(AG32:AG228),"")))</f>
        <v>16</v>
      </c>
      <c r="AI32" s="150">
        <f>IF('Données projet'!$A$62&gt;35,AI31+AH32-AQ31,IF(A32&lt;'Données projet'!$A$62,$AF$205^A32,IF(A32='Données projet'!$A$62,'Données projet'!$B$62,AI31+AH32-AQ31)))</f>
        <v>189</v>
      </c>
      <c r="AJ32" s="150">
        <f>AI32*VLOOKUP('Données projet'!$B$10,'Paramètres'!$A$1:$I$88,3,0)*VLOOKUP('Données projet'!$B$10,'Paramètres'!$A$1:$I$88,5,0)</f>
        <v>150.3684</v>
      </c>
      <c r="AK32" s="150">
        <f t="shared" si="36"/>
        <v>38.66229389</v>
      </c>
      <c r="AL32" s="161">
        <f t="shared" si="5"/>
        <v>329.2284585</v>
      </c>
      <c r="AM32" s="153">
        <f t="shared" si="6"/>
        <v>621.3395696</v>
      </c>
      <c r="AN32" s="153">
        <f>AVERAGE(OFFSET($AM$3,0,0,'Données projet'!$E$10+1,1))-AVERAGE(OFFSET($H$3,0,0,'Données projet'!$E$10+1,1))</f>
        <v>405.6113614</v>
      </c>
      <c r="AO32" s="153">
        <f t="shared" si="37"/>
        <v>393.0787141</v>
      </c>
      <c r="AP32" s="154">
        <f>IF(ISNA(VLOOKUP(A32,'Données projet'!$A$61:$I$81,3,0)),0,VLOOKUP(A32,'Données projet'!$A$61:$I$81,3,0))</f>
        <v>0</v>
      </c>
      <c r="AQ32" s="154">
        <f>IF(ISNA(VLOOKUP(A32,'Données projet'!$A$61:$I$81,4,0)),0,VLOOKUP(A32,'Données projet'!$A$61:$I$81,4,0))</f>
        <v>0</v>
      </c>
      <c r="AR32" s="155">
        <f>IF(ISNA(VLOOKUP(A32,'Données projet'!$A$61:$I$81,5,0)),0%,VLOOKUP(A32,'Données projet'!$A$61:$I$81,5,0)*VLOOKUP('Données projet'!$B$10,'Paramètres'!$A$1:$I$88,7,0))</f>
        <v>0</v>
      </c>
      <c r="AS32" s="155">
        <f>IF(ISNA(VLOOKUP(A32,'Données projet'!$A$61:$I$81,6,0)),0%,VLOOKUP(A32,'Données projet'!$A$61:$I$81,6,0)*VLOOKUP('Données projet'!$B$10,'Paramètres'!$A$1:$I$88,7,0))</f>
        <v>0</v>
      </c>
      <c r="AT32" s="155">
        <f>IF(ISNA(VLOOKUP(A32,'Données projet'!$A$61:$I$81,7,0)),0%,VLOOKUP(A32,'Données projet'!$A$61:$I$81,7,0))</f>
        <v>0</v>
      </c>
      <c r="AU32" s="162">
        <f>EXP(-LN(2)/35)*AU31+(1-EXP(-LN(2)/35))/(LN(2)/35)*AQ32*AR32*VLOOKUP('Données projet'!$B$10,'Paramètres'!$A$1:$I$88,3,0)*0.475*44/12</f>
        <v>0</v>
      </c>
      <c r="AV32" s="162">
        <f>EXP(-LN(2)/25)*AV31+(1-EXP(-LN(2)/25))/(LN(2)/25)*Calculateur!AQ32*Calculateur!AS32*VLOOKUP('Données projet'!$B$10,'Paramètres'!$A$1:$I$88,3,0)*0.475*44/12</f>
        <v>8.72687774</v>
      </c>
      <c r="AW32" s="162">
        <f>EXP(-LN(2)/2)*AW31+(1-EXP(-LN(2)/2))/(LN(2)/2)*AQ32*AT32*VLOOKUP('Données projet'!$B$10,'Paramètres'!$A$1:$I$88,3,0)*0.475*44/12</f>
        <v>0.8198368611</v>
      </c>
      <c r="AX32" s="162">
        <f t="shared" si="7"/>
        <v>9.546714601</v>
      </c>
      <c r="AY32" s="157">
        <f>('Scénario référence'!$F$8+'Scénario référence'!$F$9+'Scénario référence'!$B$17+'Scénario référence'!$B$9+'Scénario référence'!$B$10)*70+IF((45+25*(1-EXP(-0.0175*A32)))&lt;70,'Scénario référence'!$B$16*(45+25*(1-EXP(-0.0175*A32))),70*'Scénario référence'!$B$16)+IF((32+38*(1-EXP(-0.0175*A32)))&lt;70,'Scénario référence'!$B$18*(32+38*(1-EXP(-0.0175*A32))),70*'Scénario référence'!$B$18)</f>
        <v>70</v>
      </c>
      <c r="AZ32" s="151">
        <f>IF(A32&gt;30,10,('Scénario référence'!$B$16+'Scénario référence'!$B$17+'Scénario référence'!$B$18+'Scénario référence'!$B$9+'Scénario référence'!$B$10)*A32*10/30+('Scénario référence'!$F$8+'Scénario référence'!$F$9)*10)</f>
        <v>9.666666667</v>
      </c>
      <c r="BA32" s="151" t="str">
        <f>VLOOKUP(A32,'Données projet'!$A$87:$I$107,2,0)</f>
        <v>#N/A</v>
      </c>
      <c r="BB32" s="151" t="str">
        <f>VLOOKUP(A32,'Données projet'!$A$87:$I$107,9,0)</f>
        <v>#N/A</v>
      </c>
      <c r="BC32" s="150" t="str">
        <f t="array" ref="BC32">INDEX(BB:BB,MIN(IF(ISNUMBER(BB32:BB228),ROW(BB32:BB228),"")))</f>
        <v/>
      </c>
      <c r="BD32" s="150">
        <f>IF('Données projet'!$A$88&gt;35,BD31+BC32-BL31,IF(A32&lt;'Données projet'!$A$88,$BA$205^A32,IF(A32='Données projet'!$A$88,'Données projet'!$B$88,BD31+BC32-BL31)))</f>
        <v>0</v>
      </c>
      <c r="BE32" s="150">
        <f>BD32*VLOOKUP('Données projet'!$B$11,'Paramètres'!$A$1:$I$88,3,0)*VLOOKUP('Données projet'!$B$11,'Paramètres'!$A$1:$I$88,5,0)</f>
        <v>0</v>
      </c>
      <c r="BF32" s="150" t="str">
        <f t="shared" si="38"/>
        <v>#NUM!</v>
      </c>
      <c r="BG32" s="161" t="str">
        <f t="shared" si="8"/>
        <v>#NUM!</v>
      </c>
      <c r="BH32" s="153" t="str">
        <f t="shared" si="9"/>
        <v>#NUM!</v>
      </c>
      <c r="BI32" s="153">
        <f>AVERAGE(OFFSET($BH$3,0,0,'Données projet'!$E$11+1,1))-AVERAGE(OFFSET($H$3,0,0,'Données projet'!$E$11+1,1))</f>
        <v>0</v>
      </c>
      <c r="BJ32" s="153">
        <f t="shared" si="39"/>
        <v>0</v>
      </c>
      <c r="BK32" s="154">
        <f>IF(ISNA(VLOOKUP(A32,'Données projet'!$A$87:$I$107,3,0)),0,VLOOKUP(A32,'Données projet'!$A$87:$I$107,3,0))</f>
        <v>0</v>
      </c>
      <c r="BL32" s="154">
        <f>IF(ISNA(VLOOKUP(A32,'Données projet'!$A$87:$I$107,4,0)),0,VLOOKUP(A32,'Données projet'!$A$87:$I$107,4,0))</f>
        <v>0</v>
      </c>
      <c r="BM32" s="155">
        <f>IF(ISNA(VLOOKUP(A32,'Données projet'!$A$87:$I$107,5,0)),0%,VLOOKUP(A32,'Données projet'!$A$87:$I$107,5,0)*VLOOKUP('Données projet'!$B$11,'Paramètres'!$A$1:$I$88,7,0))</f>
        <v>0</v>
      </c>
      <c r="BN32" s="155">
        <f>IF(ISNA(VLOOKUP(A32,'Données projet'!$A$87:$I$107,6,0)),0%,VLOOKUP(A32,'Données projet'!$A$87:$I$107,6,0)*VLOOKUP('Données projet'!$B$11,'Paramètres'!$A$1:$I$88,7,0))</f>
        <v>0</v>
      </c>
      <c r="BO32" s="155">
        <f>IF(ISNA(VLOOKUP(A32,'Données projet'!$A$87:$I$107,7,0)),0%,VLOOKUP(A32,'Données projet'!$A$87:$I$107,7,0))</f>
        <v>0</v>
      </c>
      <c r="BP32" s="162">
        <f>EXP(-LN(2)/35)*BP31+(1-EXP(-LN(2)/35))/(LN(2)/35)*BL32*BM32*VLOOKUP('Données projet'!$B$11,'Paramètres'!$A$1:$I$88,3,0)*0.475*44/12</f>
        <v>0</v>
      </c>
      <c r="BQ32" s="162">
        <f>EXP(-LN(2)/25)*BQ31+(1-EXP(-LN(2)/25))/(LN(2)/25)*Calculateur!BL32*Calculateur!BN32*VLOOKUP('Données projet'!$B$11,'Paramètres'!$A$1:$I$88,3,0)*0.475*44/12</f>
        <v>0</v>
      </c>
      <c r="BR32" s="162">
        <f>EXP(-LN(2)/2)*BR31+(1-EXP(-LN(2)/2))/(LN(2)/2)*BL32*BO32*VLOOKUP('Données projet'!$B$11,'Paramètres'!$A$1:$I$88,3,0)*0.475*44/12</f>
        <v>0</v>
      </c>
      <c r="BS32" s="163">
        <f t="shared" si="10"/>
        <v>0</v>
      </c>
      <c r="BT32" s="159">
        <f>('Scénario référence'!$F$8+'Scénario référence'!$F$9+'Scénario référence'!$B$17+'Scénario référence'!$B$9+'Scénario référence'!$B$10)*70+IF((45+25*(1-EXP(-0.0175*A32)))&lt;70,'Scénario référence'!$B$16*(45+25*(1-EXP(-0.0175*A32))),70*'Scénario référence'!$B$16)+IF((32+38*(1-EXP(-0.0175*A32)))&lt;70,'Scénario référence'!$B$18*(32+38*(1-EXP(-0.0175*A32))),70*'Scénario référence'!$B$18)</f>
        <v>70</v>
      </c>
      <c r="BU32" s="151">
        <f>IF(A32&gt;30,10,('Scénario référence'!$B$16+'Scénario référence'!$B$17+'Scénario référence'!$B$18+'Scénario référence'!$B$9+'Scénario référence'!$B$10)*A32*10/30+('Scénario référence'!$F$8+'Scénario référence'!$F$9)*10)</f>
        <v>9.666666667</v>
      </c>
      <c r="BV32" s="151" t="str">
        <f>VLOOKUP(A32,'Données projet'!$A$113:$I$133,2,0)</f>
        <v>#N/A</v>
      </c>
      <c r="BW32" s="151" t="str">
        <f>VLOOKUP(A32,'Données projet'!$A$113:$I$133,9,0)</f>
        <v>#N/A</v>
      </c>
      <c r="BX32" s="150" t="str">
        <f t="array" ref="BX32">INDEX(BW:BW,MIN(IF(ISNUMBER(BW32:BW228),ROW(BW32:BW228),"")))</f>
        <v/>
      </c>
      <c r="BY32" s="150">
        <f>IF('Données projet'!$A$114&gt;35,BY31+BX32-CG31,IF(A32&lt;'Données projet'!$A$114,$BV$205^A32,IF(A32='Données projet'!$A$114,'Données projet'!$B$114,BY31+BX32-CG31)))</f>
        <v>0</v>
      </c>
      <c r="BZ32" s="150" t="str">
        <f>BY32*VLOOKUP('Données projet'!$B$12,'Paramètres'!$A$1:$I$88,3,0)*VLOOKUP('Données projet'!$B$12,'Paramètres'!$A$1:$I$88,5,0)</f>
        <v>#N/A</v>
      </c>
      <c r="CA32" s="150" t="str">
        <f t="shared" si="40"/>
        <v>#N/A</v>
      </c>
      <c r="CB32" s="161" t="str">
        <f t="shared" si="11"/>
        <v>#N/A</v>
      </c>
      <c r="CC32" s="153" t="str">
        <f t="shared" si="12"/>
        <v>#N/A</v>
      </c>
      <c r="CD32" s="153" t="str">
        <f>AVERAGE(OFFSET($CC$3,0,0,'Données projet'!$E$12+1,1))-AVERAGE(OFFSET($H$3,0,0,'Données projet'!$E$12+1,1))</f>
        <v>#N/A</v>
      </c>
      <c r="CE32" s="153" t="str">
        <f t="shared" si="41"/>
        <v>#N/A</v>
      </c>
      <c r="CF32" s="154">
        <f>IF(ISNA(VLOOKUP(A32,'Données projet'!$A$113:$I$133,3,0)),0,VLOOKUP(A32,'Données projet'!$A$113:$I$133,3,0))</f>
        <v>0</v>
      </c>
      <c r="CG32" s="154">
        <f>IF(ISNA(VLOOKUP(A32,'Données projet'!$A$113:$I$133,4,0)),0,VLOOKUP(A32,'Données projet'!$A$113:$I$133,4,0))</f>
        <v>0</v>
      </c>
      <c r="CH32" s="155">
        <f>IF(ISNA(VLOOKUP(A32,'Données projet'!$A$113:$I$133,5,0)),0%,VLOOKUP(A32,'Données projet'!$A$113:$I$133,5,0)*VLOOKUP('Données projet'!$B$12,'Paramètres'!$A$1:$I$88,7,0))</f>
        <v>0</v>
      </c>
      <c r="CI32" s="155">
        <f>IF(ISNA(VLOOKUP(A32,'Données projet'!$A$113:$I$133,6,0)),0%,VLOOKUP(A32,'Données projet'!$A$113:$I$133,6,0)*VLOOKUP('Données projet'!$B$12,'Paramètres'!$A$1:$I$88,7,0))</f>
        <v>0</v>
      </c>
      <c r="CJ32" s="155">
        <f>IF(ISNA(VLOOKUP(A32,'Données projet'!$A$113:$I$133,7,0)),0%,VLOOKUP(A32,'Données projet'!$A$113:$I$133,7,0))</f>
        <v>0</v>
      </c>
      <c r="CK32" s="162" t="str">
        <f>EXP(-LN(2)/35)*CK31+(1-EXP(-LN(2)/35))/(LN(2)/35)*CG32*CH32*VLOOKUP('Données projet'!$B$12,'Paramètres'!$A$1:$I$88,3,0)*0.475*44/12</f>
        <v>#N/A</v>
      </c>
      <c r="CL32" s="162" t="str">
        <f>EXP(-LN(2)/25)*CL31+(1-EXP(-LN(2)/25))/(LN(2)/25)*Calculateur!CG32*Calculateur!CI32*VLOOKUP('Données projet'!$B$12,'Paramètres'!$A$1:$I$88,3,0)*0.475*44/12</f>
        <v>#N/A</v>
      </c>
      <c r="CM32" s="162" t="str">
        <f>EXP(-LN(2)/2)*CM31+(1-EXP(-LN(2)/2))/(LN(2)/2)*CG32*CJ32*VLOOKUP('Données projet'!$B$12,'Paramètres'!$A$1:$I$88,3,0)*0.475*44/12</f>
        <v>#N/A</v>
      </c>
      <c r="CN32" s="163" t="str">
        <f t="shared" si="13"/>
        <v>#N/A</v>
      </c>
      <c r="CO32" s="159">
        <f>('Scénario référence'!$F$8+'Scénario référence'!$F$9+'Scénario référence'!$B$17+'Scénario référence'!$B$9+'Scénario référence'!$B$10)*70+IF((45+25*(1-EXP(-0.0175*A32)))&lt;70,'Scénario référence'!$B$16*(45+25*(1-EXP(-0.0175*A32))),70*'Scénario référence'!$B$16)+IF((32+38*(1-EXP(-0.0175*A32)))&lt;70,'Scénario référence'!$B$18*(32+38*(1-EXP(-0.0175*A32))),70*'Scénario référence'!$B$18)</f>
        <v>70</v>
      </c>
      <c r="CP32" s="151">
        <f>IF(A32&gt;30,10,('Scénario référence'!$B$16+'Scénario référence'!$B$17+'Scénario référence'!$B$18+'Scénario référence'!$B$9+'Scénario référence'!$B$10)*A32*10/30+('Scénario référence'!$F$8+'Scénario référence'!$F$9)*10)</f>
        <v>9.666666667</v>
      </c>
      <c r="CQ32" s="151" t="str">
        <f>VLOOKUP(A32,'Données projet'!$A$139:$I$159,2,0)</f>
        <v>#N/A</v>
      </c>
      <c r="CR32" s="151" t="str">
        <f>VLOOKUP(A32,'Données projet'!$A$139:$I$159,9,0)</f>
        <v>#N/A</v>
      </c>
      <c r="CS32" s="151" t="str">
        <f t="array" ref="CS32">INDEX(CR:CR,MIN(IF(ISNUMBER(CR32:CR228),ROW(CR32:CR228),"")))</f>
        <v/>
      </c>
      <c r="CT32" s="151">
        <f>IF('Données projet'!$A$140&gt;35,CT31+CS32-DB31,IF(A32&lt;'Données projet'!$A$140,$CQ$205^A32,IF(A32='Données projet'!$A$140,'Données projet'!$B$140,CT31+CS32-DB31)))</f>
        <v>0</v>
      </c>
      <c r="CU32" s="158" t="str">
        <f>CT32*VLOOKUP('Données projet'!$B$13,'Paramètres'!$A$1:$I$88,3,0)*VLOOKUP('Données projet'!$B$13,'Paramètres'!$A$1:$I$88,5,0)</f>
        <v>#N/A</v>
      </c>
      <c r="CV32" s="150" t="str">
        <f t="shared" si="42"/>
        <v>#N/A</v>
      </c>
      <c r="CW32" s="161" t="str">
        <f t="shared" si="14"/>
        <v>#N/A</v>
      </c>
      <c r="CX32" s="153" t="str">
        <f t="shared" si="15"/>
        <v>#N/A</v>
      </c>
      <c r="CY32" s="153" t="str">
        <f>AVERAGE(OFFSET($CX$3,0,0,'Données projet'!$E$13+1,1))-AVERAGE(OFFSET($H$3,0,0,'Données projet'!$E$13+1,1))</f>
        <v>#N/A</v>
      </c>
      <c r="CZ32" s="153" t="str">
        <f t="shared" si="43"/>
        <v>#N/A</v>
      </c>
      <c r="DA32" s="154">
        <f>IF(ISNA(VLOOKUP(A32,'Données projet'!$A$139:$I$159,3,0)),0,VLOOKUP(A32,'Données projet'!$A$139:$I$159,3,0))</f>
        <v>0</v>
      </c>
      <c r="DB32" s="154">
        <f>IF(ISNA(VLOOKUP(A32,'Données projet'!$A$139:$I$159,4,0)),0,VLOOKUP(A32,'Données projet'!$A$139:$I$159,4,0))</f>
        <v>0</v>
      </c>
      <c r="DC32" s="155">
        <f>IF(ISNA(VLOOKUP(A32,'Données projet'!$A$139:$I$159,5,0)),0%,VLOOKUP(A32,'Données projet'!$A$139:$I$159,5,0)*VLOOKUP('Données projet'!$B$13,'Paramètres'!$A$1:$I$88,7,0))</f>
        <v>0</v>
      </c>
      <c r="DD32" s="155">
        <f>IF(ISNA(VLOOKUP(A32,'Données projet'!$A$139:$I$159,6,0)),0%,VLOOKUP(A32,'Données projet'!$A$139:$I$159,6,0)*VLOOKUP('Données projet'!$B$13,'Paramètres'!$A$1:$I$88,7,0))</f>
        <v>0</v>
      </c>
      <c r="DE32" s="155">
        <f>IF(ISNA(VLOOKUP(A32,'Données projet'!$A$139:$I$159,7,0)),0%,VLOOKUP(A32,'Données projet'!$A$139:$I$159,7,0))</f>
        <v>0</v>
      </c>
      <c r="DF32" s="162" t="str">
        <f>EXP(-LN(2)/35)*DF31+(1-EXP(-LN(2)/35))/(LN(2)/35)*DB32*DC32*VLOOKUP('Données projet'!$B$13,'Paramètres'!$A$1:$I$88,3,0)*0.475*44/12</f>
        <v>#N/A</v>
      </c>
      <c r="DG32" s="162" t="str">
        <f>EXP(-LN(2)/25)*DG31+(1-EXP(-LN(2)/25))/(LN(2)/25)*Calculateur!DB32*Calculateur!DD32*VLOOKUP('Données projet'!$B$13,'Paramètres'!$A$1:$I$88,3,0)*0.475*44/12</f>
        <v>#N/A</v>
      </c>
      <c r="DH32" s="162" t="str">
        <f>EXP(-LN(2)/2)*DH31+(1-EXP(-LN(2)/2))/(LN(2)/2)*DB32*DE32*VLOOKUP('Données projet'!$B$13,'Paramètres'!$A$1:$I$88,3,0)*0.475*44/12</f>
        <v>#N/A</v>
      </c>
      <c r="DI32" s="163" t="str">
        <f t="shared" si="16"/>
        <v>#N/A</v>
      </c>
      <c r="DJ32" s="159">
        <f>('Scénario référence'!$F$8+'Scénario référence'!$F$9+'Scénario référence'!$B$17+'Scénario référence'!$B$9+'Scénario référence'!$B$10)*70+IF((45+25*(1-EXP(-0.0175*A32)))&lt;70,'Scénario référence'!$B$16*(45+25*(1-EXP(-0.0175*A32))),70*'Scénario référence'!$B$16)+IF((32+38*(1-EXP(-0.0175*A32)))&lt;70,'Scénario référence'!$B$18*(32+38*(1-EXP(-0.0175*A32))),70*'Scénario référence'!$B$18)</f>
        <v>70</v>
      </c>
      <c r="DK32" s="151">
        <f>IF(A32&gt;30,10,('Scénario référence'!$B$16+'Scénario référence'!$B$17+'Scénario référence'!$B$18+'Scénario référence'!$B$9+'Scénario référence'!$B$10)*A32*10/30+('Scénario référence'!$F$8+'Scénario référence'!$F$9)*10)</f>
        <v>9.666666667</v>
      </c>
      <c r="DL32" s="151" t="str">
        <f>VLOOKUP(A32,'Données projet'!$A$165:$I$185,2,0)</f>
        <v>#N/A</v>
      </c>
      <c r="DM32" s="151" t="str">
        <f>VLOOKUP(A32,'Données projet'!$A$165:$I$185,9,0)</f>
        <v>#N/A</v>
      </c>
      <c r="DN32" s="151" t="str">
        <f t="array" ref="DN32">INDEX(DM:DM,MIN(IF(ISNUMBER(DM32:DM228),ROW(DM32:DM228),"")))</f>
        <v/>
      </c>
      <c r="DO32" s="151">
        <f>IF('Données projet'!$A$166&gt;35,DO31+DN32-DW31,IF(A32&lt;'Données projet'!$A$166,$DL$205^A32,IF(A32='Données projet'!$A$166,'Données projet'!$B$166,DO31+DN32-DW31)))</f>
        <v>0</v>
      </c>
      <c r="DP32" s="158" t="str">
        <f>DO32*VLOOKUP('Données projet'!$B$14,'Paramètres'!$A$1:$I$88,3,0)*VLOOKUP('Données projet'!$B$14,'Paramètres'!$A$1:$I$88,5,0)</f>
        <v>#N/A</v>
      </c>
      <c r="DQ32" s="150" t="str">
        <f t="shared" si="44"/>
        <v>#N/A</v>
      </c>
      <c r="DR32" s="161" t="str">
        <f t="shared" si="17"/>
        <v>#N/A</v>
      </c>
      <c r="DS32" s="153" t="str">
        <f t="shared" si="18"/>
        <v>#N/A</v>
      </c>
      <c r="DT32" s="153" t="str">
        <f>AVERAGE(OFFSET($DS$3,0,0,'Données projet'!$E$14+1,1))-AVERAGE(OFFSET($H$3,0,0,'Données projet'!$E$14+1,1))</f>
        <v>#N/A</v>
      </c>
      <c r="DU32" s="153" t="str">
        <f t="shared" si="45"/>
        <v>#N/A</v>
      </c>
      <c r="DV32" s="154">
        <f>IF(ISNA(VLOOKUP(A32,'Données projet'!$A$165:$I$185,3,0)),0,VLOOKUP(A32,'Données projet'!$A$165:$I$185,3,0))</f>
        <v>0</v>
      </c>
      <c r="DW32" s="154">
        <f>IF(ISNA(VLOOKUP(A32,'Données projet'!$A$165:$I$185,4,0)),0,VLOOKUP(A32,'Données projet'!$A$165:$I$185,4,0))</f>
        <v>0</v>
      </c>
      <c r="DX32" s="155">
        <f>IF(ISNA(VLOOKUP(A32,'Données projet'!$A$165:$I$185,5,0)),0%,VLOOKUP(A32,'Données projet'!$A$165:$I$185,5,0)*VLOOKUP('Données projet'!$B$14,'Paramètres'!$A$1:$I$88,7,0))</f>
        <v>0</v>
      </c>
      <c r="DY32" s="155">
        <f>IF(ISNA(VLOOKUP(A32,'Données projet'!$A$165:$I$185,6,0)),0%,VLOOKUP(A32,'Données projet'!$A$165:$I$185,6,0)*VLOOKUP('Données projet'!$B$14,'Paramètres'!$A$1:$I$88,7,0))</f>
        <v>0</v>
      </c>
      <c r="DZ32" s="155">
        <f>IF(ISNA(VLOOKUP(A32,'Données projet'!$A$165:$I$185,7,0)),0%,VLOOKUP(A32,'Données projet'!$A$165:$I$185,7,0))</f>
        <v>0</v>
      </c>
      <c r="EA32" s="162" t="str">
        <f>EXP(-LN(2)/35)*EA31+(1-EXP(-LN(2)/35))/(LN(2)/35)*DW32*DX32*VLOOKUP('Données projet'!$B$14,'Paramètres'!$A$1:$I$88,3,0)*0.475*44/12</f>
        <v>#N/A</v>
      </c>
      <c r="EB32" s="162" t="str">
        <f>EXP(-LN(2)/25)*EB31+(1-EXP(-LN(2)/25))/(LN(2)/25)*Calculateur!DW32*Calculateur!DY32*VLOOKUP('Données projet'!$B$14,'Paramètres'!$A$1:$I$88,3,0)*0.475*44/12</f>
        <v>#N/A</v>
      </c>
      <c r="EC32" s="162" t="str">
        <f>EXP(-LN(2)/2)*EC31+(1-EXP(-LN(2)/2))/(LN(2)/2)*DW32*DZ32*VLOOKUP('Données projet'!$B$14,'Paramètres'!$A$1:$I$88,3,0)*0.475*44/12</f>
        <v>#N/A</v>
      </c>
      <c r="ED32" s="163" t="str">
        <f t="shared" si="19"/>
        <v>#N/A</v>
      </c>
      <c r="EE32" s="159">
        <f>('Scénario référence'!$F$8+'Scénario référence'!$F$9+'Scénario référence'!$B$17+'Scénario référence'!$B$9+'Scénario référence'!$B$10)*70+IF((45+25*(1-EXP(-0.0175*A32)))&lt;70,'Scénario référence'!$B$16*(45+25*(1-EXP(-0.0175*A32))),70*'Scénario référence'!$B$16)+IF((32+38*(1-EXP(-0.0175*A32)))&lt;70,'Scénario référence'!$B$18*(32+38*(1-EXP(-0.0175*A32))),70*'Scénario référence'!$B$18)</f>
        <v>70</v>
      </c>
      <c r="EF32" s="151">
        <f>IF(A32&gt;30,10,('Scénario référence'!$B$16+'Scénario référence'!$B$17+'Scénario référence'!$B$18+'Scénario référence'!$B$9+'Scénario référence'!$B$10)*A32*10/30+('Scénario référence'!$F$8+'Scénario référence'!$F$9)*10)</f>
        <v>9.666666667</v>
      </c>
      <c r="EG32" s="151" t="str">
        <f>VLOOKUP(A32,'Données projet'!$A$191:$I$211,2,0)</f>
        <v>#N/A</v>
      </c>
      <c r="EH32" s="151" t="str">
        <f>VLOOKUP(A32,'Données projet'!$A$191:$I$211,9,0)</f>
        <v>#N/A</v>
      </c>
      <c r="EI32" s="151" t="str">
        <f t="array" ref="EI32">INDEX(EH:EH,MIN(IF(ISNUMBER(EH32:EH228),ROW(EH32:EH228),"")))</f>
        <v/>
      </c>
      <c r="EJ32" s="151">
        <f>IF('Données projet'!$A$192&gt;35,EJ31+EI32-ER31,IF(A32&lt;'Données projet'!$A$192,$EG$205^A32,IF(A32='Données projet'!$A$192,'Données projet'!$B$192,EJ31+EI32-ER31)))</f>
        <v>0</v>
      </c>
      <c r="EK32" s="158" t="str">
        <f>EJ32*VLOOKUP('Données projet'!$B$15,'Paramètres'!$A$1:$I$88,3,0)*VLOOKUP('Données projet'!$B$15,'Paramètres'!$A$1:$I$88,5,0)</f>
        <v>#N/A</v>
      </c>
      <c r="EL32" s="150" t="str">
        <f t="shared" si="46"/>
        <v>#N/A</v>
      </c>
      <c r="EM32" s="161" t="str">
        <f t="shared" si="20"/>
        <v>#N/A</v>
      </c>
      <c r="EN32" s="153" t="str">
        <f t="shared" si="21"/>
        <v>#N/A</v>
      </c>
      <c r="EO32" s="153" t="str">
        <f>AVERAGE(OFFSET($EN$3,0,0,'Données projet'!$E$15+1,1))-AVERAGE(OFFSET($H$3,0,0,'Données projet'!$E$15+1,1))</f>
        <v>#N/A</v>
      </c>
      <c r="EP32" s="153" t="str">
        <f t="shared" si="47"/>
        <v>#N/A</v>
      </c>
      <c r="EQ32" s="154">
        <f>IF(ISNA(VLOOKUP(A32,'Données projet'!$A$191:$I$211,3,0)),0,VLOOKUP(A32,'Données projet'!$A$191:$I$211,3,0))</f>
        <v>0</v>
      </c>
      <c r="ER32" s="154">
        <f>IF(ISNA(VLOOKUP(A32,'Données projet'!$A$191:$I$211,4,0)),0,VLOOKUP(A32,'Données projet'!$A$191:$I$211,4,0))</f>
        <v>0</v>
      </c>
      <c r="ES32" s="155">
        <f>IF(ISNA(VLOOKUP(A32,'Données projet'!$A$191:$I$211,5,0)),0%,VLOOKUP(A32,'Données projet'!$A$191:$I$211,5,0)*VLOOKUP('Données projet'!$B$15,'Paramètres'!$A$1:$I$88,7,0))</f>
        <v>0</v>
      </c>
      <c r="ET32" s="155">
        <f>IF(ISNA(VLOOKUP(A32,'Données projet'!$A$191:$I$211,6,0)),0%,VLOOKUP(A32,'Données projet'!$A$191:$I$211,6,0)*VLOOKUP('Données projet'!$B$15,'Paramètres'!$A$1:$I$88,7,0))</f>
        <v>0</v>
      </c>
      <c r="EU32" s="155">
        <f>IF(ISNA(VLOOKUP(A32,'Données projet'!$A$191:$I$211,7,0)),0%,VLOOKUP(A32,'Données projet'!$A$191:$I$211,7,0))</f>
        <v>0</v>
      </c>
      <c r="EV32" s="162" t="str">
        <f>EXP(-LN(2)/35)*EV31+(1-EXP(-LN(2)/35))/(LN(2)/35)*ER32*ES32*VLOOKUP('Données projet'!$B$15,'Paramètres'!$A$1:$I$88,3,0)*0.475*44/12</f>
        <v>#N/A</v>
      </c>
      <c r="EW32" s="162" t="str">
        <f>EXP(-LN(2)/25)*EW31+(1-EXP(-LN(2)/25))/(LN(2)/25)*Calculateur!ER32*Calculateur!ET32*VLOOKUP('Données projet'!$B$15,'Paramètres'!$A$1:$I$88,3,0)*0.475*44/12</f>
        <v>#N/A</v>
      </c>
      <c r="EX32" s="162" t="str">
        <f>EXP(-LN(2)/2)*EX31+(1-EXP(-LN(2)/2))/(LN(2)/2)*ER32*EU32*VLOOKUP('Données projet'!$B$15,'Paramètres'!$A$1:$I$88,3,0)*0.475*44/12</f>
        <v>#N/A</v>
      </c>
      <c r="EY32" s="163" t="str">
        <f t="shared" si="22"/>
        <v>#N/A</v>
      </c>
      <c r="EZ32" s="159">
        <f>('Scénario référence'!$F$8+'Scénario référence'!$F$9+'Scénario référence'!$B$17+'Scénario référence'!$B$9+'Scénario référence'!$B$10)*70+IF((45+25*(1-EXP(-0.0175*A32)))&lt;70,'Scénario référence'!$B$16*(45+25*(1-EXP(-0.0175*A32))),70*'Scénario référence'!$B$16)+IF((32+38*(1-EXP(-0.0175*A32)))&lt;70,'Scénario référence'!$B$18*(32+38*(1-EXP(-0.0175*A32))),70*'Scénario référence'!$B$18)</f>
        <v>70</v>
      </c>
      <c r="FA32" s="151">
        <f>IF(A32&gt;30,10,('Scénario référence'!$B$16+'Scénario référence'!$B$17+'Scénario référence'!$B$18+'Scénario référence'!$B$9+'Scénario référence'!$B$10)*A32*10/30+('Scénario référence'!$F$8+'Scénario référence'!$F$9)*10)</f>
        <v>9.666666667</v>
      </c>
      <c r="FB32" s="151" t="str">
        <f>VLOOKUP(A32,'Données projet'!$A$217:$I$237,2,0)</f>
        <v>#N/A</v>
      </c>
      <c r="FC32" s="151" t="str">
        <f>VLOOKUP(A32,'Données projet'!$A$217:$I$237,9,0)</f>
        <v>#N/A</v>
      </c>
      <c r="FD32" s="151" t="str">
        <f t="array" ref="FD32">INDEX(FC:FC,MIN(IF(ISNUMBER(FC32:FC228),ROW(FC32:FC228),"")))</f>
        <v/>
      </c>
      <c r="FE32" s="151">
        <f>IF('Données projet'!$A$218&gt;35,FE31+FD32-FM31,IF(A32&lt;'Données projet'!$A$218,$FB$205^A32,IF(A32='Données projet'!$A$218,'Données projet'!$B$218,FE31+FD32-FM31)))</f>
        <v>0</v>
      </c>
      <c r="FF32" s="158" t="str">
        <f>FE32*VLOOKUP('Données projet'!$B$16,'Paramètres'!$A$1:$I$88,3,0)*VLOOKUP('Données projet'!$B$16,'Paramètres'!$A$1:$I$88,5,0)</f>
        <v>#N/A</v>
      </c>
      <c r="FG32" s="150" t="str">
        <f t="shared" si="48"/>
        <v>#N/A</v>
      </c>
      <c r="FH32" s="161" t="str">
        <f t="shared" si="23"/>
        <v>#N/A</v>
      </c>
      <c r="FI32" s="153" t="str">
        <f t="shared" si="24"/>
        <v>#N/A</v>
      </c>
      <c r="FJ32" s="153" t="str">
        <f>AVERAGE(OFFSET($FI$3,0,0,'Données projet'!$E$16+1,1))-AVERAGE(OFFSET($H$3,0,0,'Données projet'!$E$16+1,1))</f>
        <v>#N/A</v>
      </c>
      <c r="FK32" s="153" t="str">
        <f t="shared" si="49"/>
        <v>#N/A</v>
      </c>
      <c r="FL32" s="154">
        <f>IF(ISNA(VLOOKUP(A32,'Données projet'!$A$217:$I$237,3,0)),0,VLOOKUP(A32,'Données projet'!$A$217:$I$237,3,0))</f>
        <v>0</v>
      </c>
      <c r="FM32" s="154">
        <f>IF(ISNA(VLOOKUP(A32,'Données projet'!$A$217:$I$237,4,0)),0,VLOOKUP(A32,'Données projet'!$A$217:$I$237,4,0))</f>
        <v>0</v>
      </c>
      <c r="FN32" s="155">
        <f>IF(ISNA(VLOOKUP(A32,'Données projet'!$A$217:$I$237,5,0)),0%,VLOOKUP(A32,'Données projet'!$A$217:$I$237,5,0)*VLOOKUP('Données projet'!$B$16,'Paramètres'!$A$1:$I$88,7,0))</f>
        <v>0</v>
      </c>
      <c r="FO32" s="155">
        <f>IF(ISNA(VLOOKUP(A32,'Données projet'!$A$217:$I$237,6,0)),0%,VLOOKUP(A32,'Données projet'!$A$217:$I$237,6,0)*VLOOKUP('Données projet'!$B$16,'Paramètres'!$A$1:$I$88,7,0))</f>
        <v>0</v>
      </c>
      <c r="FP32" s="155">
        <f>IF(ISNA(VLOOKUP(A32,'Données projet'!$A$217:$I$237,7,0)),0%,VLOOKUP(A32,'Données projet'!$A$217:$I$237,7,0))</f>
        <v>0</v>
      </c>
      <c r="FQ32" s="162" t="str">
        <f>EXP(-LN(2)/35)*FQ31+(1-EXP(-LN(2)/35))/(LN(2)/35)*FM32*FN32*VLOOKUP('Données projet'!$B$16,'Paramètres'!$A$1:$I$88,3,0)*0.475*44/12</f>
        <v>#N/A</v>
      </c>
      <c r="FR32" s="162" t="str">
        <f>EXP(-LN(2)/25)*FR31+(1-EXP(-LN(2)/25))/(LN(2)/25)*Calculateur!FM32*Calculateur!FO32*VLOOKUP('Données projet'!$B$16,'Paramètres'!$A$1:$I$88,3,0)*0.475*44/12</f>
        <v>#N/A</v>
      </c>
      <c r="FS32" s="162" t="str">
        <f>EXP(-LN(2)/2)*FS31+(1-EXP(-LN(2)/2))/(LN(2)/2)*FM32*FP32*VLOOKUP('Données projet'!$B$16,'Paramètres'!$A$1:$I$88,3,0)*0.475*44/12</f>
        <v>#N/A</v>
      </c>
      <c r="FT32" s="163" t="str">
        <f t="shared" si="25"/>
        <v>#N/A</v>
      </c>
      <c r="FU32" s="159">
        <f>('Scénario référence'!$F$8+'Scénario référence'!$F$9+'Scénario référence'!$B$17+'Scénario référence'!$B$9+'Scénario référence'!$B$10)*70+IF((45+25*(1-EXP(-0.0175*A32)))&lt;70,'Scénario référence'!$B$16*(45+25*(1-EXP(-0.0175*A32))),70*'Scénario référence'!$B$16)+IF((32+38*(1-EXP(-0.0175*A32)))&lt;70,'Scénario référence'!$B$18*(32+38*(1-EXP(-0.0175*A32))),70*'Scénario référence'!$B$18)</f>
        <v>70</v>
      </c>
      <c r="FV32" s="151">
        <f>IF(A32&gt;30,10,('Scénario référence'!$B$16+'Scénario référence'!$B$17+'Scénario référence'!$B$18+'Scénario référence'!$B$9+'Scénario référence'!$B$10)*A32*10/30+('Scénario référence'!$F$8+'Scénario référence'!$F$9)*10)</f>
        <v>9.666666667</v>
      </c>
      <c r="FW32" s="151" t="str">
        <f>VLOOKUP(A32,'Données projet'!$A$243:$I$263,2,0)</f>
        <v>#N/A</v>
      </c>
      <c r="FX32" s="151" t="str">
        <f>VLOOKUP(A32,'Données projet'!$A$243:$I$263,9,0)</f>
        <v>#N/A</v>
      </c>
      <c r="FY32" s="151" t="str">
        <f t="array" ref="FY32">INDEX(FX:FX,MIN(IF(ISNUMBER(FX32:FX228),ROW(FX32:FX228),"")))</f>
        <v/>
      </c>
      <c r="FZ32" s="151">
        <f>IF('Données projet'!$A$244&gt;35,FZ31+FY32-GH31,IF(A32&lt;'Données projet'!$A$244,$FW$205^A32,IF(A32='Données projet'!$A$244,'Données projet'!$B$244,FZ31+FY32-GH31)))</f>
        <v>0</v>
      </c>
      <c r="GA32" s="158" t="str">
        <f>FZ32*VLOOKUP('Données projet'!$B$17,'Paramètres'!$A$1:$I$88,3,0)*VLOOKUP('Données projet'!$B$17,'Paramètres'!$A$1:$I$88,5,0)</f>
        <v>#N/A</v>
      </c>
      <c r="GB32" s="150" t="str">
        <f t="shared" si="50"/>
        <v>#N/A</v>
      </c>
      <c r="GC32" s="161" t="str">
        <f t="shared" si="26"/>
        <v>#N/A</v>
      </c>
      <c r="GD32" s="153" t="str">
        <f t="shared" si="27"/>
        <v>#N/A</v>
      </c>
      <c r="GE32" s="153" t="str">
        <f>AVERAGE(OFFSET($GD$3,0,0,'Données projet'!$E$17+1,1))-AVERAGE(OFFSET($H$3,0,0,'Données projet'!$E$17+1,1))</f>
        <v>#N/A</v>
      </c>
      <c r="GF32" s="153" t="str">
        <f t="shared" si="51"/>
        <v>#N/A</v>
      </c>
      <c r="GG32" s="154">
        <f>IF(ISNA(VLOOKUP(A32,'Données projet'!$A$243:$I$263,3,0)),0,VLOOKUP(A32,'Données projet'!$A$243:$I$263,3,0))</f>
        <v>0</v>
      </c>
      <c r="GH32" s="154">
        <f>IF(ISNA(VLOOKUP(A32,'Données projet'!$A$243:$I$263,4,0)),0,VLOOKUP(A32,'Données projet'!$A$243:$I$263,4,0))</f>
        <v>0</v>
      </c>
      <c r="GI32" s="155">
        <f>IF(ISNA(VLOOKUP(A32,'Données projet'!$A$243:$I$263,5,0)),0%,VLOOKUP(A32,'Données projet'!$A$243:$I$263,5,0)*VLOOKUP('Données projet'!$B$17,'Paramètres'!$A$1:$I$88,7,0))</f>
        <v>0</v>
      </c>
      <c r="GJ32" s="155">
        <f>IF(ISNA(VLOOKUP(A32,'Données projet'!$A$243:$I$263,6,0)),0%,VLOOKUP(A32,'Données projet'!$A$243:$I$263,6,0)*VLOOKUP('Données projet'!$B$17,'Paramètres'!$A$1:$I$88,7,0))</f>
        <v>0</v>
      </c>
      <c r="GK32" s="155">
        <f>IF(ISNA(VLOOKUP(A32,'Données projet'!$A$243:$I$263,7,0)),0%,VLOOKUP(A32,'Données projet'!$A$243:$I$263,7,0))</f>
        <v>0</v>
      </c>
      <c r="GL32" s="162" t="str">
        <f>EXP(-LN(2)/35)*GL31+(1-EXP(-LN(2)/35))/(LN(2)/35)*GH32*GI32*VLOOKUP('Données projet'!$B$17,'Paramètres'!$A$1:$I$88,3,0)*0.475*44/12</f>
        <v>#N/A</v>
      </c>
      <c r="GM32" s="162" t="str">
        <f>EXP(-LN(2)/25)*GM31+(1-EXP(-LN(2)/25))/(LN(2)/25)*Calculateur!GH32*Calculateur!GJ32*VLOOKUP('Données projet'!$B$17,'Paramètres'!$A$1:$I$88,3,0)*0.475*44/12</f>
        <v>#N/A</v>
      </c>
      <c r="GN32" s="162" t="str">
        <f>EXP(-LN(2)/2)*GN31+(1-EXP(-LN(2)/2))/(LN(2)/2)*GH32*GK32*VLOOKUP('Données projet'!$B$17,'Paramètres'!$A$1:$I$88,3,0)*0.475*44/12</f>
        <v>#N/A</v>
      </c>
      <c r="GO32" s="162" t="str">
        <f t="shared" si="28"/>
        <v>#N/A</v>
      </c>
      <c r="GP32" s="159">
        <f>('Scénario référence'!$F$8+'Scénario référence'!$F$9+'Scénario référence'!$B$17+'Scénario référence'!$B$9+'Scénario référence'!$B$10)*70+IF((45+25*(1-EXP(-0.0175*A32)))&lt;70,'Scénario référence'!$B$16*(45+25*(1-EXP(-0.0175*A32))),70*'Scénario référence'!$B$16)+IF((32+38*(1-EXP(-0.0175*A32)))&lt;70,'Scénario référence'!$B$18*(32+38*(1-EXP(-0.0175*A32))),70*'Scénario référence'!$B$18)</f>
        <v>70</v>
      </c>
      <c r="GQ32" s="151">
        <f>IF(A32&gt;30,10,('Scénario référence'!$B$16+'Scénario référence'!$B$17+'Scénario référence'!$B$18+'Scénario référence'!$B$9+'Scénario référence'!$B$10)*A32*10/30+('Scénario référence'!$F$8+'Scénario référence'!$F$9)*10)</f>
        <v>9.666666667</v>
      </c>
      <c r="GR32" s="151" t="str">
        <f>VLOOKUP(A32,'Données projet'!$A$269:$I$289,2,0)</f>
        <v>#N/A</v>
      </c>
      <c r="GS32" s="151" t="str">
        <f>VLOOKUP(A32,'Données projet'!$A$269:$I$289,9,0)</f>
        <v>#N/A</v>
      </c>
      <c r="GT32" s="151" t="str">
        <f t="array" ref="GT32">INDEX(GS:GS,MIN(IF(ISNUMBER(GS32:GS228),ROW(GS32:GS228),"")))</f>
        <v/>
      </c>
      <c r="GU32" s="151">
        <f>IF('Données projet'!$A$270&gt;35,GU31+GT32-HC31,IF(A32&lt;'Données projet'!$A$270,$GR$205^A32,IF(A32='Données projet'!$A$270,'Données projet'!$B$270,GU31+GT32-HC31)))</f>
        <v>0</v>
      </c>
      <c r="GV32" s="158" t="str">
        <f>GU32*VLOOKUP('Données projet'!$B$18,'Paramètres'!$A$1:$I$88,3,0)*VLOOKUP('Données projet'!$B$18,'Paramètres'!$A$1:$I$88,5,0)</f>
        <v>#N/A</v>
      </c>
      <c r="GW32" s="150" t="str">
        <f t="shared" si="52"/>
        <v>#N/A</v>
      </c>
      <c r="GX32" s="161" t="str">
        <f t="shared" si="29"/>
        <v>#N/A</v>
      </c>
      <c r="GY32" s="153" t="str">
        <f t="shared" si="30"/>
        <v>#N/A</v>
      </c>
      <c r="GZ32" s="153" t="str">
        <f>AVERAGE(OFFSET($GY$3,0,0,'Données projet'!$E$18+1,1))-AVERAGE(OFFSET($H$3,0,0,'Données projet'!$E$18+1,1))</f>
        <v>#N/A</v>
      </c>
      <c r="HA32" s="153" t="str">
        <f t="shared" si="53"/>
        <v>#N/A</v>
      </c>
      <c r="HB32" s="154">
        <f>IF(ISNA(VLOOKUP(A32,'Données projet'!$A$269:$I$289,3,0)),0,VLOOKUP(A32,'Données projet'!$A$269:$I$289,3,0))</f>
        <v>0</v>
      </c>
      <c r="HC32" s="154">
        <f>IF(ISNA(VLOOKUP(A32,'Données projet'!$A$269:$I$289,4,0)),0,VLOOKUP(A32,'Données projet'!$A$269:$I$289,4,0))</f>
        <v>0</v>
      </c>
      <c r="HD32" s="155">
        <f>IF(ISNA(VLOOKUP(A32,'Données projet'!$A$269:$I$289,5,0)),0%,VLOOKUP(A32,'Données projet'!$A$269:$I$289,5,0)*VLOOKUP('Données projet'!$B$18,'Paramètres'!$A$1:$I$88,7,0))</f>
        <v>0</v>
      </c>
      <c r="HE32" s="155">
        <f>IF(ISNA(VLOOKUP(A32,'Données projet'!$A$269:$I$289,6,0)),0%,VLOOKUP(A32,'Données projet'!$A$269:$I$289,6,0)*VLOOKUP('Données projet'!$B$18,'Paramètres'!$A$1:$I$88,7,0))</f>
        <v>0</v>
      </c>
      <c r="HF32" s="155">
        <f>IF(ISNA(VLOOKUP(A32,'Données projet'!$A$269:$I$289,7,0)),0%,VLOOKUP(A32,'Données projet'!$A$269:$I$289,7,0))</f>
        <v>0</v>
      </c>
      <c r="HG32" s="162" t="str">
        <f>EXP(-LN(2)/35)*HG31+(1-EXP(-LN(2)/35))/(LN(2)/35)*HC32*HD32*VLOOKUP('Données projet'!$B$18,'Paramètres'!$A$1:$I$88,3,0)*0.475*44/12</f>
        <v>#N/A</v>
      </c>
      <c r="HH32" s="162" t="str">
        <f>EXP(-LN(2)/25)*HH31+(1-EXP(-LN(2)/25))/(LN(2)/25)*Calculateur!HC32*Calculateur!HE32*VLOOKUP('Données projet'!$B$18,'Paramètres'!$A$1:$I$88,3,0)*0.475*44/12</f>
        <v>#N/A</v>
      </c>
      <c r="HI32" s="162" t="str">
        <f>EXP(-LN(2)/2)*HI31+(1-EXP(-LN(2)/2))/(LN(2)/2)*HC32*HF32*VLOOKUP('Données projet'!$B$18,'Paramètres'!$A$1:$I$88,3,0)*0.475*44/12</f>
        <v>#N/A</v>
      </c>
      <c r="HJ32" s="163" t="str">
        <f t="shared" si="31"/>
        <v>#N/A</v>
      </c>
    </row>
    <row r="33" ht="15.75" customHeight="1">
      <c r="A33" s="145">
        <f t="shared" si="32"/>
        <v>30</v>
      </c>
      <c r="B33" s="146">
        <f>'Scénario référence'!$B$16*5+'Scénario référence'!$B$17*0+'Scénario référence'!$B$18*5</f>
        <v>0</v>
      </c>
      <c r="C33" s="160">
        <f>Calculateur!C32+'Scénario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33" s="147">
        <f t="shared" si="33"/>
        <v>0</v>
      </c>
      <c r="E33" s="147">
        <f>'Scénario référence'!$B$16*45+('Scénario référence'!$B$17+'Scénario référence'!$F$8+'Scénario référence'!$F$9+'Scénario référence'!$B$10+'Scénario référence'!$B$9)*70+'Scénario référence'!$B$18*32</f>
        <v>70</v>
      </c>
      <c r="F33" s="147">
        <f>IF(OR('Scénario référence'!$F$8&gt;0,'Scénario référence'!$F$9&gt;0),('Scénario référence'!$F$8+'Scénario référence'!$F$9)*10,0)</f>
        <v>0</v>
      </c>
      <c r="G33" s="147">
        <f>'Scénario référence'!$B$8*B33*44/12+'Scénario référence'!$B$9*(C33+D33)/0.475*44/12+'Scénario référence'!$B$10*(C33+D33)/0.475*44/12+'Scénario référence'!$F$8*(C33+D33)/0.475*44/12+'Scénario référence'!$F$9*(C33+D33)/0.475*44/12</f>
        <v>0</v>
      </c>
      <c r="H33" s="148">
        <f t="shared" si="1"/>
        <v>256.6666667</v>
      </c>
      <c r="I33" s="149">
        <f>('Scénario référence'!$F$8+'Scénario référence'!$F$9+'Scénario référence'!$B$17+'Scénario référence'!$B$9+'Scénario référence'!$B$10)*70+IF((45+25*(1-EXP(-0.0175*A33)))&lt;70,'Scénario référence'!$B$16*(45+25*(1-EXP(-0.0175*A33))),70*'Scénario référence'!$B$16)+IF((32+38*(1-EXP(-0.0175*A33)))&lt;70,'Scénario référence'!$B$18*(32+38*(1-EXP(-0.0175*A33))),70*'Scénario référence'!$B$18)</f>
        <v>70</v>
      </c>
      <c r="J33" s="150">
        <f>IF(A33&gt;30,10,('Scénario référence'!$B$16+'Scénario référence'!$B$17+'Scénario référence'!$B$18+'Scénario référence'!$B$9+'Scénario référence'!$B$10)*A33*10/30+('Scénario référence'!$F$8+'Scénario référence'!$F$9)*10)</f>
        <v>10</v>
      </c>
      <c r="K33" s="165">
        <f>VLOOKUP(A33,'Données projet'!$A$35:$I$55,2,0)</f>
        <v>121</v>
      </c>
      <c r="L33" s="150">
        <f>VLOOKUP(A33,'Données projet'!$A$35:$I$55,9,0)</f>
        <v>9.2</v>
      </c>
      <c r="M33" s="150">
        <f t="array" ref="M33">INDEX(L:L,MIN(IF(ISNUMBER(L33:L229),ROW(L33:L229),"")))</f>
        <v>9.2</v>
      </c>
      <c r="N33" s="150">
        <f>IF('Données projet'!$A$36&gt;35,N32+M33-V32,IF(A33&lt;'Données projet'!$A$36,$K$205^A33,IF(A33='Données projet'!$A$36,'Données projet'!$B$36,N32+M33-V32)))</f>
        <v>121</v>
      </c>
      <c r="O33" s="150">
        <f>N33*VLOOKUP('Données projet'!$B$9,'Paramètres'!$A$1:$I$88,3,0)*VLOOKUP('Données projet'!$B$9,'Paramètres'!$A$1:$I$88,5,0)</f>
        <v>109.4808</v>
      </c>
      <c r="P33" s="150">
        <f t="shared" si="34"/>
        <v>29.20862334</v>
      </c>
      <c r="Q33" s="161">
        <f t="shared" si="2"/>
        <v>241.5507457</v>
      </c>
      <c r="R33" s="153">
        <f t="shared" si="3"/>
        <v>534.884079</v>
      </c>
      <c r="S33" s="153">
        <f>AVERAGE(OFFSET($R$3,0,0,'Données projet'!$E$9+1,1))-AVERAGE(OFFSET($H$3,0,0,'Données projet'!$E$9+1,1))</f>
        <v>439.1985427</v>
      </c>
      <c r="T33" s="153">
        <f t="shared" si="35"/>
        <v>278.2174123</v>
      </c>
      <c r="U33" s="154">
        <f>IF(ISNA(VLOOKUP(A33,'Données projet'!$A$35:$I$55,3,0)),0,VLOOKUP(A33,'Données projet'!$A$35:$I$55,3,0))</f>
        <v>3</v>
      </c>
      <c r="V33" s="164">
        <f>IF(ISNA(VLOOKUP(A33,'Données projet'!$A$35:$I$55,4,0)),0,VLOOKUP(A33,'Données projet'!$A$35:$I$55,4,0))</f>
        <v>28</v>
      </c>
      <c r="W33" s="155">
        <f>IF(ISNA(VLOOKUP(A33,'Données projet'!$A$35:$I$55,5,0)),0%,VLOOKUP(A33,'Données projet'!$A$35:$I$55,5,0)*VLOOKUP('Données projet'!$B$9,'Paramètres'!$A$1:$I$88,7,0))</f>
        <v>0</v>
      </c>
      <c r="X33" s="155">
        <f>IF(ISNA(VLOOKUP(A33,'Données projet'!$A$35:$I$55,6,0)),0%,VLOOKUP(A33,'Données projet'!$A$35:$I$55,6,0)*VLOOKUP('Données projet'!$B$9,'Paramètres'!$A$1:$I$88,7,0))</f>
        <v>0.086</v>
      </c>
      <c r="Y33" s="155" t="str">
        <f>IF(ISNA(VLOOKUP(A33,'Données projet'!$A$35:$I$55,7,0)),0%,VLOOKUP(A33,'Données projet'!$A$35:$I$55,7,0))</f>
        <v/>
      </c>
      <c r="Z33" s="162">
        <f>EXP(-LN(2)/35)*Z32+(1-EXP(-LN(2)/35))/(LN(2)/35)*V33*W33*VLOOKUP('Données projet'!$B$9,'Paramètres'!$A$1:$I$88,3,0)*0.475*44/12</f>
        <v>0</v>
      </c>
      <c r="AA33" s="162">
        <f>EXP(-LN(2)/25)*AA32+(1-EXP(-LN(2)/25))/(LN(2)/25)*Calculateur!V33*Calculateur!X33*VLOOKUP('Données projet'!$B$9,'Paramètres'!$A$1:$I$88,3,0)*0.475*44/12</f>
        <v>4.487580776</v>
      </c>
      <c r="AB33" s="162">
        <f>EXP(-LN(2)/2)*AB32+(1-EXP(-LN(2)/2))/(LN(2)/2)*V33*Y33*VLOOKUP('Données projet'!$B$9,'Paramètres'!$A$1:$I$88,3,0)*0.475*44/12</f>
        <v>0</v>
      </c>
      <c r="AC33" s="163">
        <f t="shared" si="4"/>
        <v>4.487580776</v>
      </c>
      <c r="AD33" s="150">
        <f>('Scénario référence'!$F$8+'Scénario référence'!$F$9+'Scénario référence'!$B$17+'Scénario référence'!$B$9+'Scénario référence'!$B$10)*70+IF((45+25*(1-EXP(-0.0175*A33)))&lt;70,'Scénario référence'!$B$16*(45+25*(1-EXP(-0.0175*A33))),70*'Scénario référence'!$B$16)+IF((32+38*(1-EXP(-0.0175*A33)))&lt;70,'Scénario référence'!$B$18*(32+38*(1-EXP(-0.0175*A33))),70*'Scénario référence'!$B$18)</f>
        <v>70</v>
      </c>
      <c r="AE33" s="150">
        <f>IF(A33&gt;30,10,('Scénario référence'!$B$16+'Scénario référence'!$B$17+'Scénario référence'!$B$18+'Scénario référence'!$B$9+'Scénario référence'!$B$10)*A33*10/30+('Scénario référence'!$F$8+'Scénario référence'!$F$9)*10)</f>
        <v>10</v>
      </c>
      <c r="AF33" s="151">
        <f>VLOOKUP(A33,'Données projet'!$A$61:$I$81,2,0)</f>
        <v>205</v>
      </c>
      <c r="AG33" s="150">
        <f>VLOOKUP(A33,'Données projet'!$A$61:$I$81,9,0)</f>
        <v>16</v>
      </c>
      <c r="AH33" s="150">
        <f t="array" ref="AH33">INDEX(AG:AG,MIN(IF(ISNUMBER(AG33:AG229),ROW(AG33:AG229),"")))</f>
        <v>16</v>
      </c>
      <c r="AI33" s="150">
        <f>IF('Données projet'!$A$62&gt;35,AI32+AH33-AQ32,IF(A33&lt;'Données projet'!$A$62,$AF$205^A33,IF(A33='Données projet'!$A$62,'Données projet'!$B$62,AI32+AH33-AQ32)))</f>
        <v>205</v>
      </c>
      <c r="AJ33" s="150">
        <f>AI33*VLOOKUP('Données projet'!$B$10,'Paramètres'!$A$1:$I$88,3,0)*VLOOKUP('Données projet'!$B$10,'Paramètres'!$A$1:$I$88,5,0)</f>
        <v>163.098</v>
      </c>
      <c r="AK33" s="150">
        <f t="shared" si="36"/>
        <v>41.54049614</v>
      </c>
      <c r="AL33" s="161">
        <f t="shared" si="5"/>
        <v>356.4120474</v>
      </c>
      <c r="AM33" s="153">
        <f t="shared" si="6"/>
        <v>649.7453808</v>
      </c>
      <c r="AN33" s="153">
        <f>AVERAGE(OFFSET($AM$3,0,0,'Données projet'!$E$10+1,1))-AVERAGE(OFFSET($H$3,0,0,'Données projet'!$E$10+1,1))</f>
        <v>405.6113614</v>
      </c>
      <c r="AO33" s="153">
        <f t="shared" si="37"/>
        <v>393.0787141</v>
      </c>
      <c r="AP33" s="154">
        <f>IF(ISNA(VLOOKUP(A33,'Données projet'!$A$61:$I$81,3,0)),0,VLOOKUP(A33,'Données projet'!$A$61:$I$81,3,0))</f>
        <v>5</v>
      </c>
      <c r="AQ33" s="164">
        <f>IF(ISNA(VLOOKUP(A33,'Données projet'!$A$61:$I$81,4,0)),0,VLOOKUP(A33,'Données projet'!$A$61:$I$81,4,0))</f>
        <v>42</v>
      </c>
      <c r="AR33" s="155">
        <f>IF(ISNA(VLOOKUP(A33,'Données projet'!$A$61:$I$81,5,0)),0%,VLOOKUP(A33,'Données projet'!$A$61:$I$81,5,0)*VLOOKUP('Données projet'!$B$10,'Paramètres'!$A$1:$I$88,7,0))</f>
        <v>0</v>
      </c>
      <c r="AS33" s="155">
        <f>IF(ISNA(VLOOKUP(A33,'Données projet'!$A$61:$I$81,6,0)),0%,VLOOKUP(A33,'Données projet'!$A$61:$I$81,6,0)*VLOOKUP('Données projet'!$B$10,'Paramètres'!$A$1:$I$88,7,0))</f>
        <v>0.265</v>
      </c>
      <c r="AT33" s="155" t="str">
        <f>IF(ISNA(VLOOKUP(A33,'Données projet'!$A$61:$I$81,7,0)),0%,VLOOKUP(A33,'Données projet'!$A$61:$I$81,7,0))</f>
        <v/>
      </c>
      <c r="AU33" s="162">
        <f>EXP(-LN(2)/35)*AU32+(1-EXP(-LN(2)/35))/(LN(2)/35)*AQ33*AR33*VLOOKUP('Données projet'!$B$10,'Paramètres'!$A$1:$I$88,3,0)*0.475*44/12</f>
        <v>0</v>
      </c>
      <c r="AV33" s="162">
        <f>EXP(-LN(2)/25)*AV32+(1-EXP(-LN(2)/25))/(LN(2)/25)*Calculateur!AQ33*Calculateur!AS33*VLOOKUP('Données projet'!$B$10,'Paramètres'!$A$1:$I$88,3,0)*0.475*44/12</f>
        <v>18.23866906</v>
      </c>
      <c r="AW33" s="162">
        <f>EXP(-LN(2)/2)*AW32+(1-EXP(-LN(2)/2))/(LN(2)/2)*AQ33*AT33*VLOOKUP('Données projet'!$B$10,'Paramètres'!$A$1:$I$88,3,0)*0.475*44/12</f>
        <v>0.579712204</v>
      </c>
      <c r="AX33" s="162">
        <f t="shared" si="7"/>
        <v>18.81838127</v>
      </c>
      <c r="AY33" s="157">
        <f>('Scénario référence'!$F$8+'Scénario référence'!$F$9+'Scénario référence'!$B$17+'Scénario référence'!$B$9+'Scénario référence'!$B$10)*70+IF((45+25*(1-EXP(-0.0175*A33)))&lt;70,'Scénario référence'!$B$16*(45+25*(1-EXP(-0.0175*A33))),70*'Scénario référence'!$B$16)+IF((32+38*(1-EXP(-0.0175*A33)))&lt;70,'Scénario référence'!$B$18*(32+38*(1-EXP(-0.0175*A33))),70*'Scénario référence'!$B$18)</f>
        <v>70</v>
      </c>
      <c r="AZ33" s="151">
        <f>IF(A33&gt;30,10,('Scénario référence'!$B$16+'Scénario référence'!$B$17+'Scénario référence'!$B$18+'Scénario référence'!$B$9+'Scénario référence'!$B$10)*A33*10/30+('Scénario référence'!$F$8+'Scénario référence'!$F$9)*10)</f>
        <v>10</v>
      </c>
      <c r="BA33" s="151" t="str">
        <f>VLOOKUP(A33,'Données projet'!$A$87:$I$107,2,0)</f>
        <v>#N/A</v>
      </c>
      <c r="BB33" s="151" t="str">
        <f>VLOOKUP(A33,'Données projet'!$A$87:$I$107,9,0)</f>
        <v>#N/A</v>
      </c>
      <c r="BC33" s="150" t="str">
        <f t="array" ref="BC33">INDEX(BB:BB,MIN(IF(ISNUMBER(BB33:BB229),ROW(BB33:BB229),"")))</f>
        <v/>
      </c>
      <c r="BD33" s="150">
        <f>IF('Données projet'!$A$88&gt;35,BD32+BC33-BL32,IF(A33&lt;'Données projet'!$A$88,$BA$205^A33,IF(A33='Données projet'!$A$88,'Données projet'!$B$88,BD32+BC33-BL32)))</f>
        <v>0</v>
      </c>
      <c r="BE33" s="150">
        <f>BD33*VLOOKUP('Données projet'!$B$11,'Paramètres'!$A$1:$I$88,3,0)*VLOOKUP('Données projet'!$B$11,'Paramètres'!$A$1:$I$88,5,0)</f>
        <v>0</v>
      </c>
      <c r="BF33" s="150" t="str">
        <f t="shared" si="38"/>
        <v>#NUM!</v>
      </c>
      <c r="BG33" s="161" t="str">
        <f t="shared" si="8"/>
        <v>#NUM!</v>
      </c>
      <c r="BH33" s="153" t="str">
        <f t="shared" si="9"/>
        <v>#NUM!</v>
      </c>
      <c r="BI33" s="153">
        <f>AVERAGE(OFFSET($BH$3,0,0,'Données projet'!$E$11+1,1))-AVERAGE(OFFSET($H$3,0,0,'Données projet'!$E$11+1,1))</f>
        <v>0</v>
      </c>
      <c r="BJ33" s="153">
        <f t="shared" si="39"/>
        <v>0</v>
      </c>
      <c r="BK33" s="154">
        <f>IF(ISNA(VLOOKUP(A33,'Données projet'!$A$87:$I$107,3,0)),0,VLOOKUP(A33,'Données projet'!$A$87:$I$107,3,0))</f>
        <v>0</v>
      </c>
      <c r="BL33" s="154">
        <f>IF(ISNA(VLOOKUP(A33,'Données projet'!$A$87:$I$107,4,0)),0,VLOOKUP(A33,'Données projet'!$A$87:$I$107,4,0))</f>
        <v>0</v>
      </c>
      <c r="BM33" s="155">
        <f>IF(ISNA(VLOOKUP(A33,'Données projet'!$A$87:$I$107,5,0)),0%,VLOOKUP(A33,'Données projet'!$A$87:$I$107,5,0)*VLOOKUP('Données projet'!$B$11,'Paramètres'!$A$1:$I$88,7,0))</f>
        <v>0</v>
      </c>
      <c r="BN33" s="155">
        <f>IF(ISNA(VLOOKUP(A33,'Données projet'!$A$87:$I$107,6,0)),0%,VLOOKUP(A33,'Données projet'!$A$87:$I$107,6,0)*VLOOKUP('Données projet'!$B$11,'Paramètres'!$A$1:$I$88,7,0))</f>
        <v>0</v>
      </c>
      <c r="BO33" s="155">
        <f>IF(ISNA(VLOOKUP(A33,'Données projet'!$A$87:$I$107,7,0)),0%,VLOOKUP(A33,'Données projet'!$A$87:$I$107,7,0))</f>
        <v>0</v>
      </c>
      <c r="BP33" s="162">
        <f>EXP(-LN(2)/35)*BP32+(1-EXP(-LN(2)/35))/(LN(2)/35)*BL33*BM33*VLOOKUP('Données projet'!$B$11,'Paramètres'!$A$1:$I$88,3,0)*0.475*44/12</f>
        <v>0</v>
      </c>
      <c r="BQ33" s="162">
        <f>EXP(-LN(2)/25)*BQ32+(1-EXP(-LN(2)/25))/(LN(2)/25)*Calculateur!BL33*Calculateur!BN33*VLOOKUP('Données projet'!$B$11,'Paramètres'!$A$1:$I$88,3,0)*0.475*44/12</f>
        <v>0</v>
      </c>
      <c r="BR33" s="162">
        <f>EXP(-LN(2)/2)*BR32+(1-EXP(-LN(2)/2))/(LN(2)/2)*BL33*BO33*VLOOKUP('Données projet'!$B$11,'Paramètres'!$A$1:$I$88,3,0)*0.475*44/12</f>
        <v>0</v>
      </c>
      <c r="BS33" s="163">
        <f t="shared" si="10"/>
        <v>0</v>
      </c>
      <c r="BT33" s="159">
        <f>('Scénario référence'!$F$8+'Scénario référence'!$F$9+'Scénario référence'!$B$17+'Scénario référence'!$B$9+'Scénario référence'!$B$10)*70+IF((45+25*(1-EXP(-0.0175*A33)))&lt;70,'Scénario référence'!$B$16*(45+25*(1-EXP(-0.0175*A33))),70*'Scénario référence'!$B$16)+IF((32+38*(1-EXP(-0.0175*A33)))&lt;70,'Scénario référence'!$B$18*(32+38*(1-EXP(-0.0175*A33))),70*'Scénario référence'!$B$18)</f>
        <v>70</v>
      </c>
      <c r="BU33" s="151">
        <f>IF(A33&gt;30,10,('Scénario référence'!$B$16+'Scénario référence'!$B$17+'Scénario référence'!$B$18+'Scénario référence'!$B$9+'Scénario référence'!$B$10)*A33*10/30+('Scénario référence'!$F$8+'Scénario référence'!$F$9)*10)</f>
        <v>10</v>
      </c>
      <c r="BV33" s="151" t="str">
        <f>VLOOKUP(A33,'Données projet'!$A$113:$I$133,2,0)</f>
        <v>#N/A</v>
      </c>
      <c r="BW33" s="151" t="str">
        <f>VLOOKUP(A33,'Données projet'!$A$113:$I$133,9,0)</f>
        <v>#N/A</v>
      </c>
      <c r="BX33" s="150" t="str">
        <f t="array" ref="BX33">INDEX(BW:BW,MIN(IF(ISNUMBER(BW33:BW229),ROW(BW33:BW229),"")))</f>
        <v/>
      </c>
      <c r="BY33" s="150">
        <f>IF('Données projet'!$A$114&gt;35,BY32+BX33-CG32,IF(A33&lt;'Données projet'!$A$114,$BV$205^A33,IF(A33='Données projet'!$A$114,'Données projet'!$B$114,BY32+BX33-CG32)))</f>
        <v>0</v>
      </c>
      <c r="BZ33" s="150" t="str">
        <f>BY33*VLOOKUP('Données projet'!$B$12,'Paramètres'!$A$1:$I$88,3,0)*VLOOKUP('Données projet'!$B$12,'Paramètres'!$A$1:$I$88,5,0)</f>
        <v>#N/A</v>
      </c>
      <c r="CA33" s="150" t="str">
        <f t="shared" si="40"/>
        <v>#N/A</v>
      </c>
      <c r="CB33" s="161" t="str">
        <f t="shared" si="11"/>
        <v>#N/A</v>
      </c>
      <c r="CC33" s="153" t="str">
        <f t="shared" si="12"/>
        <v>#N/A</v>
      </c>
      <c r="CD33" s="153" t="str">
        <f>AVERAGE(OFFSET($CC$3,0,0,'Données projet'!$E$12+1,1))-AVERAGE(OFFSET($H$3,0,0,'Données projet'!$E$12+1,1))</f>
        <v>#N/A</v>
      </c>
      <c r="CE33" s="153" t="str">
        <f t="shared" si="41"/>
        <v>#N/A</v>
      </c>
      <c r="CF33" s="154">
        <f>IF(ISNA(VLOOKUP(A33,'Données projet'!$A$113:$I$133,3,0)),0,VLOOKUP(A33,'Données projet'!$A$113:$I$133,3,0))</f>
        <v>0</v>
      </c>
      <c r="CG33" s="154">
        <f>IF(ISNA(VLOOKUP(A33,'Données projet'!$A$113:$I$133,4,0)),0,VLOOKUP(A33,'Données projet'!$A$113:$I$133,4,0))</f>
        <v>0</v>
      </c>
      <c r="CH33" s="155">
        <f>IF(ISNA(VLOOKUP(A33,'Données projet'!$A$113:$I$133,5,0)),0%,VLOOKUP(A33,'Données projet'!$A$113:$I$133,5,0)*VLOOKUP('Données projet'!$B$12,'Paramètres'!$A$1:$I$88,7,0))</f>
        <v>0</v>
      </c>
      <c r="CI33" s="155">
        <f>IF(ISNA(VLOOKUP(A33,'Données projet'!$A$113:$I$133,6,0)),0%,VLOOKUP(A33,'Données projet'!$A$113:$I$133,6,0)*VLOOKUP('Données projet'!$B$12,'Paramètres'!$A$1:$I$88,7,0))</f>
        <v>0</v>
      </c>
      <c r="CJ33" s="155">
        <f>IF(ISNA(VLOOKUP(A33,'Données projet'!$A$113:$I$133,7,0)),0%,VLOOKUP(A33,'Données projet'!$A$113:$I$133,7,0))</f>
        <v>0</v>
      </c>
      <c r="CK33" s="162" t="str">
        <f>EXP(-LN(2)/35)*CK32+(1-EXP(-LN(2)/35))/(LN(2)/35)*CG33*CH33*VLOOKUP('Données projet'!$B$12,'Paramètres'!$A$1:$I$88,3,0)*0.475*44/12</f>
        <v>#N/A</v>
      </c>
      <c r="CL33" s="162" t="str">
        <f>EXP(-LN(2)/25)*CL32+(1-EXP(-LN(2)/25))/(LN(2)/25)*Calculateur!CG33*Calculateur!CI33*VLOOKUP('Données projet'!$B$12,'Paramètres'!$A$1:$I$88,3,0)*0.475*44/12</f>
        <v>#N/A</v>
      </c>
      <c r="CM33" s="162" t="str">
        <f>EXP(-LN(2)/2)*CM32+(1-EXP(-LN(2)/2))/(LN(2)/2)*CG33*CJ33*VLOOKUP('Données projet'!$B$12,'Paramètres'!$A$1:$I$88,3,0)*0.475*44/12</f>
        <v>#N/A</v>
      </c>
      <c r="CN33" s="163" t="str">
        <f t="shared" si="13"/>
        <v>#N/A</v>
      </c>
      <c r="CO33" s="159">
        <f>('Scénario référence'!$F$8+'Scénario référence'!$F$9+'Scénario référence'!$B$17+'Scénario référence'!$B$9+'Scénario référence'!$B$10)*70+IF((45+25*(1-EXP(-0.0175*A33)))&lt;70,'Scénario référence'!$B$16*(45+25*(1-EXP(-0.0175*A33))),70*'Scénario référence'!$B$16)+IF((32+38*(1-EXP(-0.0175*A33)))&lt;70,'Scénario référence'!$B$18*(32+38*(1-EXP(-0.0175*A33))),70*'Scénario référence'!$B$18)</f>
        <v>70</v>
      </c>
      <c r="CP33" s="151">
        <f>IF(A33&gt;30,10,('Scénario référence'!$B$16+'Scénario référence'!$B$17+'Scénario référence'!$B$18+'Scénario référence'!$B$9+'Scénario référence'!$B$10)*A33*10/30+('Scénario référence'!$F$8+'Scénario référence'!$F$9)*10)</f>
        <v>10</v>
      </c>
      <c r="CQ33" s="151" t="str">
        <f>VLOOKUP(A33,'Données projet'!$A$139:$I$159,2,0)</f>
        <v>#N/A</v>
      </c>
      <c r="CR33" s="151" t="str">
        <f>VLOOKUP(A33,'Données projet'!$A$139:$I$159,9,0)</f>
        <v>#N/A</v>
      </c>
      <c r="CS33" s="151" t="str">
        <f t="array" ref="CS33">INDEX(CR:CR,MIN(IF(ISNUMBER(CR33:CR229),ROW(CR33:CR229),"")))</f>
        <v/>
      </c>
      <c r="CT33" s="151">
        <f>IF('Données projet'!$A$140&gt;35,CT32+CS33-DB32,IF(A33&lt;'Données projet'!$A$140,$CQ$205^A33,IF(A33='Données projet'!$A$140,'Données projet'!$B$140,CT32+CS33-DB32)))</f>
        <v>0</v>
      </c>
      <c r="CU33" s="158" t="str">
        <f>CT33*VLOOKUP('Données projet'!$B$13,'Paramètres'!$A$1:$I$88,3,0)*VLOOKUP('Données projet'!$B$13,'Paramètres'!$A$1:$I$88,5,0)</f>
        <v>#N/A</v>
      </c>
      <c r="CV33" s="150" t="str">
        <f t="shared" si="42"/>
        <v>#N/A</v>
      </c>
      <c r="CW33" s="161" t="str">
        <f t="shared" si="14"/>
        <v>#N/A</v>
      </c>
      <c r="CX33" s="153" t="str">
        <f t="shared" si="15"/>
        <v>#N/A</v>
      </c>
      <c r="CY33" s="153" t="str">
        <f>AVERAGE(OFFSET($CX$3,0,0,'Données projet'!$E$13+1,1))-AVERAGE(OFFSET($H$3,0,0,'Données projet'!$E$13+1,1))</f>
        <v>#N/A</v>
      </c>
      <c r="CZ33" s="153" t="str">
        <f t="shared" si="43"/>
        <v>#N/A</v>
      </c>
      <c r="DA33" s="154">
        <f>IF(ISNA(VLOOKUP(A33,'Données projet'!$A$139:$I$159,3,0)),0,VLOOKUP(A33,'Données projet'!$A$139:$I$159,3,0))</f>
        <v>0</v>
      </c>
      <c r="DB33" s="154">
        <f>IF(ISNA(VLOOKUP(A33,'Données projet'!$A$139:$I$159,4,0)),0,VLOOKUP(A33,'Données projet'!$A$139:$I$159,4,0))</f>
        <v>0</v>
      </c>
      <c r="DC33" s="155">
        <f>IF(ISNA(VLOOKUP(A33,'Données projet'!$A$139:$I$159,5,0)),0%,VLOOKUP(A33,'Données projet'!$A$139:$I$159,5,0)*VLOOKUP('Données projet'!$B$13,'Paramètres'!$A$1:$I$88,7,0))</f>
        <v>0</v>
      </c>
      <c r="DD33" s="155">
        <f>IF(ISNA(VLOOKUP(A33,'Données projet'!$A$139:$I$159,6,0)),0%,VLOOKUP(A33,'Données projet'!$A$139:$I$159,6,0)*VLOOKUP('Données projet'!$B$13,'Paramètres'!$A$1:$I$88,7,0))</f>
        <v>0</v>
      </c>
      <c r="DE33" s="155">
        <f>IF(ISNA(VLOOKUP(A33,'Données projet'!$A$139:$I$159,7,0)),0%,VLOOKUP(A33,'Données projet'!$A$139:$I$159,7,0))</f>
        <v>0</v>
      </c>
      <c r="DF33" s="162" t="str">
        <f>EXP(-LN(2)/35)*DF32+(1-EXP(-LN(2)/35))/(LN(2)/35)*DB33*DC33*VLOOKUP('Données projet'!$B$13,'Paramètres'!$A$1:$I$88,3,0)*0.475*44/12</f>
        <v>#N/A</v>
      </c>
      <c r="DG33" s="162" t="str">
        <f>EXP(-LN(2)/25)*DG32+(1-EXP(-LN(2)/25))/(LN(2)/25)*Calculateur!DB33*Calculateur!DD33*VLOOKUP('Données projet'!$B$13,'Paramètres'!$A$1:$I$88,3,0)*0.475*44/12</f>
        <v>#N/A</v>
      </c>
      <c r="DH33" s="162" t="str">
        <f>EXP(-LN(2)/2)*DH32+(1-EXP(-LN(2)/2))/(LN(2)/2)*DB33*DE33*VLOOKUP('Données projet'!$B$13,'Paramètres'!$A$1:$I$88,3,0)*0.475*44/12</f>
        <v>#N/A</v>
      </c>
      <c r="DI33" s="163" t="str">
        <f t="shared" si="16"/>
        <v>#N/A</v>
      </c>
      <c r="DJ33" s="159">
        <f>('Scénario référence'!$F$8+'Scénario référence'!$F$9+'Scénario référence'!$B$17+'Scénario référence'!$B$9+'Scénario référence'!$B$10)*70+IF((45+25*(1-EXP(-0.0175*A33)))&lt;70,'Scénario référence'!$B$16*(45+25*(1-EXP(-0.0175*A33))),70*'Scénario référence'!$B$16)+IF((32+38*(1-EXP(-0.0175*A33)))&lt;70,'Scénario référence'!$B$18*(32+38*(1-EXP(-0.0175*A33))),70*'Scénario référence'!$B$18)</f>
        <v>70</v>
      </c>
      <c r="DK33" s="151">
        <f>IF(A33&gt;30,10,('Scénario référence'!$B$16+'Scénario référence'!$B$17+'Scénario référence'!$B$18+'Scénario référence'!$B$9+'Scénario référence'!$B$10)*A33*10/30+('Scénario référence'!$F$8+'Scénario référence'!$F$9)*10)</f>
        <v>10</v>
      </c>
      <c r="DL33" s="151" t="str">
        <f>VLOOKUP(A33,'Données projet'!$A$165:$I$185,2,0)</f>
        <v>#N/A</v>
      </c>
      <c r="DM33" s="151" t="str">
        <f>VLOOKUP(A33,'Données projet'!$A$165:$I$185,9,0)</f>
        <v>#N/A</v>
      </c>
      <c r="DN33" s="151" t="str">
        <f t="array" ref="DN33">INDEX(DM:DM,MIN(IF(ISNUMBER(DM33:DM229),ROW(DM33:DM229),"")))</f>
        <v/>
      </c>
      <c r="DO33" s="151">
        <f>IF('Données projet'!$A$166&gt;35,DO32+DN33-DW32,IF(A33&lt;'Données projet'!$A$166,$DL$205^A33,IF(A33='Données projet'!$A$166,'Données projet'!$B$166,DO32+DN33-DW32)))</f>
        <v>0</v>
      </c>
      <c r="DP33" s="158" t="str">
        <f>DO33*VLOOKUP('Données projet'!$B$14,'Paramètres'!$A$1:$I$88,3,0)*VLOOKUP('Données projet'!$B$14,'Paramètres'!$A$1:$I$88,5,0)</f>
        <v>#N/A</v>
      </c>
      <c r="DQ33" s="150" t="str">
        <f t="shared" si="44"/>
        <v>#N/A</v>
      </c>
      <c r="DR33" s="161" t="str">
        <f t="shared" si="17"/>
        <v>#N/A</v>
      </c>
      <c r="DS33" s="153" t="str">
        <f t="shared" si="18"/>
        <v>#N/A</v>
      </c>
      <c r="DT33" s="153" t="str">
        <f>AVERAGE(OFFSET($DS$3,0,0,'Données projet'!$E$14+1,1))-AVERAGE(OFFSET($H$3,0,0,'Données projet'!$E$14+1,1))</f>
        <v>#N/A</v>
      </c>
      <c r="DU33" s="153" t="str">
        <f t="shared" si="45"/>
        <v>#N/A</v>
      </c>
      <c r="DV33" s="154">
        <f>IF(ISNA(VLOOKUP(A33,'Données projet'!$A$165:$I$185,3,0)),0,VLOOKUP(A33,'Données projet'!$A$165:$I$185,3,0))</f>
        <v>0</v>
      </c>
      <c r="DW33" s="154">
        <f>IF(ISNA(VLOOKUP(A33,'Données projet'!$A$165:$I$185,4,0)),0,VLOOKUP(A33,'Données projet'!$A$165:$I$185,4,0))</f>
        <v>0</v>
      </c>
      <c r="DX33" s="155">
        <f>IF(ISNA(VLOOKUP(A33,'Données projet'!$A$165:$I$185,5,0)),0%,VLOOKUP(A33,'Données projet'!$A$165:$I$185,5,0)*VLOOKUP('Données projet'!$B$14,'Paramètres'!$A$1:$I$88,7,0))</f>
        <v>0</v>
      </c>
      <c r="DY33" s="155">
        <f>IF(ISNA(VLOOKUP(A33,'Données projet'!$A$165:$I$185,6,0)),0%,VLOOKUP(A33,'Données projet'!$A$165:$I$185,6,0)*VLOOKUP('Données projet'!$B$14,'Paramètres'!$A$1:$I$88,7,0))</f>
        <v>0</v>
      </c>
      <c r="DZ33" s="155">
        <f>IF(ISNA(VLOOKUP(A33,'Données projet'!$A$165:$I$185,7,0)),0%,VLOOKUP(A33,'Données projet'!$A$165:$I$185,7,0))</f>
        <v>0</v>
      </c>
      <c r="EA33" s="162" t="str">
        <f>EXP(-LN(2)/35)*EA32+(1-EXP(-LN(2)/35))/(LN(2)/35)*DW33*DX33*VLOOKUP('Données projet'!$B$14,'Paramètres'!$A$1:$I$88,3,0)*0.475*44/12</f>
        <v>#N/A</v>
      </c>
      <c r="EB33" s="162" t="str">
        <f>EXP(-LN(2)/25)*EB32+(1-EXP(-LN(2)/25))/(LN(2)/25)*Calculateur!DW33*Calculateur!DY33*VLOOKUP('Données projet'!$B$14,'Paramètres'!$A$1:$I$88,3,0)*0.475*44/12</f>
        <v>#N/A</v>
      </c>
      <c r="EC33" s="162" t="str">
        <f>EXP(-LN(2)/2)*EC32+(1-EXP(-LN(2)/2))/(LN(2)/2)*DW33*DZ33*VLOOKUP('Données projet'!$B$14,'Paramètres'!$A$1:$I$88,3,0)*0.475*44/12</f>
        <v>#N/A</v>
      </c>
      <c r="ED33" s="163" t="str">
        <f t="shared" si="19"/>
        <v>#N/A</v>
      </c>
      <c r="EE33" s="159">
        <f>('Scénario référence'!$F$8+'Scénario référence'!$F$9+'Scénario référence'!$B$17+'Scénario référence'!$B$9+'Scénario référence'!$B$10)*70+IF((45+25*(1-EXP(-0.0175*A33)))&lt;70,'Scénario référence'!$B$16*(45+25*(1-EXP(-0.0175*A33))),70*'Scénario référence'!$B$16)+IF((32+38*(1-EXP(-0.0175*A33)))&lt;70,'Scénario référence'!$B$18*(32+38*(1-EXP(-0.0175*A33))),70*'Scénario référence'!$B$18)</f>
        <v>70</v>
      </c>
      <c r="EF33" s="151">
        <f>IF(A33&gt;30,10,('Scénario référence'!$B$16+'Scénario référence'!$B$17+'Scénario référence'!$B$18+'Scénario référence'!$B$9+'Scénario référence'!$B$10)*A33*10/30+('Scénario référence'!$F$8+'Scénario référence'!$F$9)*10)</f>
        <v>10</v>
      </c>
      <c r="EG33" s="151" t="str">
        <f>VLOOKUP(A33,'Données projet'!$A$191:$I$211,2,0)</f>
        <v>#N/A</v>
      </c>
      <c r="EH33" s="151" t="str">
        <f>VLOOKUP(A33,'Données projet'!$A$191:$I$211,9,0)</f>
        <v>#N/A</v>
      </c>
      <c r="EI33" s="151" t="str">
        <f t="array" ref="EI33">INDEX(EH:EH,MIN(IF(ISNUMBER(EH33:EH229),ROW(EH33:EH229),"")))</f>
        <v/>
      </c>
      <c r="EJ33" s="151">
        <f>IF('Données projet'!$A$192&gt;35,EJ32+EI33-ER32,IF(A33&lt;'Données projet'!$A$192,$EG$205^A33,IF(A33='Données projet'!$A$192,'Données projet'!$B$192,EJ32+EI33-ER32)))</f>
        <v>0</v>
      </c>
      <c r="EK33" s="158" t="str">
        <f>EJ33*VLOOKUP('Données projet'!$B$15,'Paramètres'!$A$1:$I$88,3,0)*VLOOKUP('Données projet'!$B$15,'Paramètres'!$A$1:$I$88,5,0)</f>
        <v>#N/A</v>
      </c>
      <c r="EL33" s="150" t="str">
        <f t="shared" si="46"/>
        <v>#N/A</v>
      </c>
      <c r="EM33" s="161" t="str">
        <f t="shared" si="20"/>
        <v>#N/A</v>
      </c>
      <c r="EN33" s="153" t="str">
        <f t="shared" si="21"/>
        <v>#N/A</v>
      </c>
      <c r="EO33" s="153" t="str">
        <f>AVERAGE(OFFSET($EN$3,0,0,'Données projet'!$E$15+1,1))-AVERAGE(OFFSET($H$3,0,0,'Données projet'!$E$15+1,1))</f>
        <v>#N/A</v>
      </c>
      <c r="EP33" s="153" t="str">
        <f t="shared" si="47"/>
        <v>#N/A</v>
      </c>
      <c r="EQ33" s="154">
        <f>IF(ISNA(VLOOKUP(A33,'Données projet'!$A$191:$I$211,3,0)),0,VLOOKUP(A33,'Données projet'!$A$191:$I$211,3,0))</f>
        <v>0</v>
      </c>
      <c r="ER33" s="154">
        <f>IF(ISNA(VLOOKUP(A33,'Données projet'!$A$191:$I$211,4,0)),0,VLOOKUP(A33,'Données projet'!$A$191:$I$211,4,0))</f>
        <v>0</v>
      </c>
      <c r="ES33" s="155">
        <f>IF(ISNA(VLOOKUP(A33,'Données projet'!$A$191:$I$211,5,0)),0%,VLOOKUP(A33,'Données projet'!$A$191:$I$211,5,0)*VLOOKUP('Données projet'!$B$15,'Paramètres'!$A$1:$I$88,7,0))</f>
        <v>0</v>
      </c>
      <c r="ET33" s="155">
        <f>IF(ISNA(VLOOKUP(A33,'Données projet'!$A$191:$I$211,6,0)),0%,VLOOKUP(A33,'Données projet'!$A$191:$I$211,6,0)*VLOOKUP('Données projet'!$B$15,'Paramètres'!$A$1:$I$88,7,0))</f>
        <v>0</v>
      </c>
      <c r="EU33" s="155">
        <f>IF(ISNA(VLOOKUP(A33,'Données projet'!$A$191:$I$211,7,0)),0%,VLOOKUP(A33,'Données projet'!$A$191:$I$211,7,0))</f>
        <v>0</v>
      </c>
      <c r="EV33" s="162" t="str">
        <f>EXP(-LN(2)/35)*EV32+(1-EXP(-LN(2)/35))/(LN(2)/35)*ER33*ES33*VLOOKUP('Données projet'!$B$15,'Paramètres'!$A$1:$I$88,3,0)*0.475*44/12</f>
        <v>#N/A</v>
      </c>
      <c r="EW33" s="162" t="str">
        <f>EXP(-LN(2)/25)*EW32+(1-EXP(-LN(2)/25))/(LN(2)/25)*Calculateur!ER33*Calculateur!ET33*VLOOKUP('Données projet'!$B$15,'Paramètres'!$A$1:$I$88,3,0)*0.475*44/12</f>
        <v>#N/A</v>
      </c>
      <c r="EX33" s="162" t="str">
        <f>EXP(-LN(2)/2)*EX32+(1-EXP(-LN(2)/2))/(LN(2)/2)*ER33*EU33*VLOOKUP('Données projet'!$B$15,'Paramètres'!$A$1:$I$88,3,0)*0.475*44/12</f>
        <v>#N/A</v>
      </c>
      <c r="EY33" s="163" t="str">
        <f t="shared" si="22"/>
        <v>#N/A</v>
      </c>
      <c r="EZ33" s="159">
        <f>('Scénario référence'!$F$8+'Scénario référence'!$F$9+'Scénario référence'!$B$17+'Scénario référence'!$B$9+'Scénario référence'!$B$10)*70+IF((45+25*(1-EXP(-0.0175*A33)))&lt;70,'Scénario référence'!$B$16*(45+25*(1-EXP(-0.0175*A33))),70*'Scénario référence'!$B$16)+IF((32+38*(1-EXP(-0.0175*A33)))&lt;70,'Scénario référence'!$B$18*(32+38*(1-EXP(-0.0175*A33))),70*'Scénario référence'!$B$18)</f>
        <v>70</v>
      </c>
      <c r="FA33" s="151">
        <f>IF(A33&gt;30,10,('Scénario référence'!$B$16+'Scénario référence'!$B$17+'Scénario référence'!$B$18+'Scénario référence'!$B$9+'Scénario référence'!$B$10)*A33*10/30+('Scénario référence'!$F$8+'Scénario référence'!$F$9)*10)</f>
        <v>10</v>
      </c>
      <c r="FB33" s="151" t="str">
        <f>VLOOKUP(A33,'Données projet'!$A$217:$I$237,2,0)</f>
        <v>#N/A</v>
      </c>
      <c r="FC33" s="151" t="str">
        <f>VLOOKUP(A33,'Données projet'!$A$217:$I$237,9,0)</f>
        <v>#N/A</v>
      </c>
      <c r="FD33" s="151" t="str">
        <f t="array" ref="FD33">INDEX(FC:FC,MIN(IF(ISNUMBER(FC33:FC229),ROW(FC33:FC229),"")))</f>
        <v/>
      </c>
      <c r="FE33" s="151">
        <f>IF('Données projet'!$A$218&gt;35,FE32+FD33-FM32,IF(A33&lt;'Données projet'!$A$218,$FB$205^A33,IF(A33='Données projet'!$A$218,'Données projet'!$B$218,FE32+FD33-FM32)))</f>
        <v>0</v>
      </c>
      <c r="FF33" s="158" t="str">
        <f>FE33*VLOOKUP('Données projet'!$B$16,'Paramètres'!$A$1:$I$88,3,0)*VLOOKUP('Données projet'!$B$16,'Paramètres'!$A$1:$I$88,5,0)</f>
        <v>#N/A</v>
      </c>
      <c r="FG33" s="150" t="str">
        <f t="shared" si="48"/>
        <v>#N/A</v>
      </c>
      <c r="FH33" s="161" t="str">
        <f t="shared" si="23"/>
        <v>#N/A</v>
      </c>
      <c r="FI33" s="153" t="str">
        <f t="shared" si="24"/>
        <v>#N/A</v>
      </c>
      <c r="FJ33" s="153" t="str">
        <f>AVERAGE(OFFSET($FI$3,0,0,'Données projet'!$E$16+1,1))-AVERAGE(OFFSET($H$3,0,0,'Données projet'!$E$16+1,1))</f>
        <v>#N/A</v>
      </c>
      <c r="FK33" s="153" t="str">
        <f t="shared" si="49"/>
        <v>#N/A</v>
      </c>
      <c r="FL33" s="154">
        <f>IF(ISNA(VLOOKUP(A33,'Données projet'!$A$217:$I$237,3,0)),0,VLOOKUP(A33,'Données projet'!$A$217:$I$237,3,0))</f>
        <v>0</v>
      </c>
      <c r="FM33" s="154">
        <f>IF(ISNA(VLOOKUP(A33,'Données projet'!$A$217:$I$237,4,0)),0,VLOOKUP(A33,'Données projet'!$A$217:$I$237,4,0))</f>
        <v>0</v>
      </c>
      <c r="FN33" s="155">
        <f>IF(ISNA(VLOOKUP(A33,'Données projet'!$A$217:$I$237,5,0)),0%,VLOOKUP(A33,'Données projet'!$A$217:$I$237,5,0)*VLOOKUP('Données projet'!$B$16,'Paramètres'!$A$1:$I$88,7,0))</f>
        <v>0</v>
      </c>
      <c r="FO33" s="155">
        <f>IF(ISNA(VLOOKUP(A33,'Données projet'!$A$217:$I$237,6,0)),0%,VLOOKUP(A33,'Données projet'!$A$217:$I$237,6,0)*VLOOKUP('Données projet'!$B$16,'Paramètres'!$A$1:$I$88,7,0))</f>
        <v>0</v>
      </c>
      <c r="FP33" s="155">
        <f>IF(ISNA(VLOOKUP(A33,'Données projet'!$A$217:$I$237,7,0)),0%,VLOOKUP(A33,'Données projet'!$A$217:$I$237,7,0))</f>
        <v>0</v>
      </c>
      <c r="FQ33" s="162" t="str">
        <f>EXP(-LN(2)/35)*FQ32+(1-EXP(-LN(2)/35))/(LN(2)/35)*FM33*FN33*VLOOKUP('Données projet'!$B$16,'Paramètres'!$A$1:$I$88,3,0)*0.475*44/12</f>
        <v>#N/A</v>
      </c>
      <c r="FR33" s="162" t="str">
        <f>EXP(-LN(2)/25)*FR32+(1-EXP(-LN(2)/25))/(LN(2)/25)*Calculateur!FM33*Calculateur!FO33*VLOOKUP('Données projet'!$B$16,'Paramètres'!$A$1:$I$88,3,0)*0.475*44/12</f>
        <v>#N/A</v>
      </c>
      <c r="FS33" s="162" t="str">
        <f>EXP(-LN(2)/2)*FS32+(1-EXP(-LN(2)/2))/(LN(2)/2)*FM33*FP33*VLOOKUP('Données projet'!$B$16,'Paramètres'!$A$1:$I$88,3,0)*0.475*44/12</f>
        <v>#N/A</v>
      </c>
      <c r="FT33" s="163" t="str">
        <f t="shared" si="25"/>
        <v>#N/A</v>
      </c>
      <c r="FU33" s="159">
        <f>('Scénario référence'!$F$8+'Scénario référence'!$F$9+'Scénario référence'!$B$17+'Scénario référence'!$B$9+'Scénario référence'!$B$10)*70+IF((45+25*(1-EXP(-0.0175*A33)))&lt;70,'Scénario référence'!$B$16*(45+25*(1-EXP(-0.0175*A33))),70*'Scénario référence'!$B$16)+IF((32+38*(1-EXP(-0.0175*A33)))&lt;70,'Scénario référence'!$B$18*(32+38*(1-EXP(-0.0175*A33))),70*'Scénario référence'!$B$18)</f>
        <v>70</v>
      </c>
      <c r="FV33" s="151">
        <f>IF(A33&gt;30,10,('Scénario référence'!$B$16+'Scénario référence'!$B$17+'Scénario référence'!$B$18+'Scénario référence'!$B$9+'Scénario référence'!$B$10)*A33*10/30+('Scénario référence'!$F$8+'Scénario référence'!$F$9)*10)</f>
        <v>10</v>
      </c>
      <c r="FW33" s="151" t="str">
        <f>VLOOKUP(A33,'Données projet'!$A$243:$I$263,2,0)</f>
        <v>#N/A</v>
      </c>
      <c r="FX33" s="151" t="str">
        <f>VLOOKUP(A33,'Données projet'!$A$243:$I$263,9,0)</f>
        <v>#N/A</v>
      </c>
      <c r="FY33" s="151" t="str">
        <f t="array" ref="FY33">INDEX(FX:FX,MIN(IF(ISNUMBER(FX33:FX229),ROW(FX33:FX229),"")))</f>
        <v/>
      </c>
      <c r="FZ33" s="151">
        <f>IF('Données projet'!$A$244&gt;35,FZ32+FY33-GH32,IF(A33&lt;'Données projet'!$A$244,$FW$205^A33,IF(A33='Données projet'!$A$244,'Données projet'!$B$244,FZ32+FY33-GH32)))</f>
        <v>0</v>
      </c>
      <c r="GA33" s="158" t="str">
        <f>FZ33*VLOOKUP('Données projet'!$B$17,'Paramètres'!$A$1:$I$88,3,0)*VLOOKUP('Données projet'!$B$17,'Paramètres'!$A$1:$I$88,5,0)</f>
        <v>#N/A</v>
      </c>
      <c r="GB33" s="150" t="str">
        <f t="shared" si="50"/>
        <v>#N/A</v>
      </c>
      <c r="GC33" s="161" t="str">
        <f t="shared" si="26"/>
        <v>#N/A</v>
      </c>
      <c r="GD33" s="153" t="str">
        <f t="shared" si="27"/>
        <v>#N/A</v>
      </c>
      <c r="GE33" s="153" t="str">
        <f>AVERAGE(OFFSET($GD$3,0,0,'Données projet'!$E$17+1,1))-AVERAGE(OFFSET($H$3,0,0,'Données projet'!$E$17+1,1))</f>
        <v>#N/A</v>
      </c>
      <c r="GF33" s="153" t="str">
        <f t="shared" si="51"/>
        <v>#N/A</v>
      </c>
      <c r="GG33" s="154">
        <f>IF(ISNA(VLOOKUP(A33,'Données projet'!$A$243:$I$263,3,0)),0,VLOOKUP(A33,'Données projet'!$A$243:$I$263,3,0))</f>
        <v>0</v>
      </c>
      <c r="GH33" s="154">
        <f>IF(ISNA(VLOOKUP(A33,'Données projet'!$A$243:$I$263,4,0)),0,VLOOKUP(A33,'Données projet'!$A$243:$I$263,4,0))</f>
        <v>0</v>
      </c>
      <c r="GI33" s="155">
        <f>IF(ISNA(VLOOKUP(A33,'Données projet'!$A$243:$I$263,5,0)),0%,VLOOKUP(A33,'Données projet'!$A$243:$I$263,5,0)*VLOOKUP('Données projet'!$B$17,'Paramètres'!$A$1:$I$88,7,0))</f>
        <v>0</v>
      </c>
      <c r="GJ33" s="155">
        <f>IF(ISNA(VLOOKUP(A33,'Données projet'!$A$243:$I$263,6,0)),0%,VLOOKUP(A33,'Données projet'!$A$243:$I$263,6,0)*VLOOKUP('Données projet'!$B$17,'Paramètres'!$A$1:$I$88,7,0))</f>
        <v>0</v>
      </c>
      <c r="GK33" s="155">
        <f>IF(ISNA(VLOOKUP(A33,'Données projet'!$A$243:$I$263,7,0)),0%,VLOOKUP(A33,'Données projet'!$A$243:$I$263,7,0))</f>
        <v>0</v>
      </c>
      <c r="GL33" s="162" t="str">
        <f>EXP(-LN(2)/35)*GL32+(1-EXP(-LN(2)/35))/(LN(2)/35)*GH33*GI33*VLOOKUP('Données projet'!$B$17,'Paramètres'!$A$1:$I$88,3,0)*0.475*44/12</f>
        <v>#N/A</v>
      </c>
      <c r="GM33" s="162" t="str">
        <f>EXP(-LN(2)/25)*GM32+(1-EXP(-LN(2)/25))/(LN(2)/25)*Calculateur!GH33*Calculateur!GJ33*VLOOKUP('Données projet'!$B$17,'Paramètres'!$A$1:$I$88,3,0)*0.475*44/12</f>
        <v>#N/A</v>
      </c>
      <c r="GN33" s="162" t="str">
        <f>EXP(-LN(2)/2)*GN32+(1-EXP(-LN(2)/2))/(LN(2)/2)*GH33*GK33*VLOOKUP('Données projet'!$B$17,'Paramètres'!$A$1:$I$88,3,0)*0.475*44/12</f>
        <v>#N/A</v>
      </c>
      <c r="GO33" s="162" t="str">
        <f t="shared" si="28"/>
        <v>#N/A</v>
      </c>
      <c r="GP33" s="159">
        <f>('Scénario référence'!$F$8+'Scénario référence'!$F$9+'Scénario référence'!$B$17+'Scénario référence'!$B$9+'Scénario référence'!$B$10)*70+IF((45+25*(1-EXP(-0.0175*A33)))&lt;70,'Scénario référence'!$B$16*(45+25*(1-EXP(-0.0175*A33))),70*'Scénario référence'!$B$16)+IF((32+38*(1-EXP(-0.0175*A33)))&lt;70,'Scénario référence'!$B$18*(32+38*(1-EXP(-0.0175*A33))),70*'Scénario référence'!$B$18)</f>
        <v>70</v>
      </c>
      <c r="GQ33" s="151">
        <f>IF(A33&gt;30,10,('Scénario référence'!$B$16+'Scénario référence'!$B$17+'Scénario référence'!$B$18+'Scénario référence'!$B$9+'Scénario référence'!$B$10)*A33*10/30+('Scénario référence'!$F$8+'Scénario référence'!$F$9)*10)</f>
        <v>10</v>
      </c>
      <c r="GR33" s="151" t="str">
        <f>VLOOKUP(A33,'Données projet'!$A$269:$I$289,2,0)</f>
        <v>#N/A</v>
      </c>
      <c r="GS33" s="151" t="str">
        <f>VLOOKUP(A33,'Données projet'!$A$269:$I$289,9,0)</f>
        <v>#N/A</v>
      </c>
      <c r="GT33" s="151" t="str">
        <f t="array" ref="GT33">INDEX(GS:GS,MIN(IF(ISNUMBER(GS33:GS229),ROW(GS33:GS229),"")))</f>
        <v/>
      </c>
      <c r="GU33" s="151">
        <f>IF('Données projet'!$A$270&gt;35,GU32+GT33-HC32,IF(A33&lt;'Données projet'!$A$270,$GR$205^A33,IF(A33='Données projet'!$A$270,'Données projet'!$B$270,GU32+GT33-HC32)))</f>
        <v>0</v>
      </c>
      <c r="GV33" s="158" t="str">
        <f>GU33*VLOOKUP('Données projet'!$B$18,'Paramètres'!$A$1:$I$88,3,0)*VLOOKUP('Données projet'!$B$18,'Paramètres'!$A$1:$I$88,5,0)</f>
        <v>#N/A</v>
      </c>
      <c r="GW33" s="150" t="str">
        <f t="shared" si="52"/>
        <v>#N/A</v>
      </c>
      <c r="GX33" s="161" t="str">
        <f t="shared" si="29"/>
        <v>#N/A</v>
      </c>
      <c r="GY33" s="153" t="str">
        <f t="shared" si="30"/>
        <v>#N/A</v>
      </c>
      <c r="GZ33" s="153" t="str">
        <f>AVERAGE(OFFSET($GY$3,0,0,'Données projet'!$E$18+1,1))-AVERAGE(OFFSET($H$3,0,0,'Données projet'!$E$18+1,1))</f>
        <v>#N/A</v>
      </c>
      <c r="HA33" s="153" t="str">
        <f t="shared" si="53"/>
        <v>#N/A</v>
      </c>
      <c r="HB33" s="154">
        <f>IF(ISNA(VLOOKUP(A33,'Données projet'!$A$269:$I$289,3,0)),0,VLOOKUP(A33,'Données projet'!$A$269:$I$289,3,0))</f>
        <v>0</v>
      </c>
      <c r="HC33" s="154">
        <f>IF(ISNA(VLOOKUP(A33,'Données projet'!$A$269:$I$289,4,0)),0,VLOOKUP(A33,'Données projet'!$A$269:$I$289,4,0))</f>
        <v>0</v>
      </c>
      <c r="HD33" s="155">
        <f>IF(ISNA(VLOOKUP(A33,'Données projet'!$A$269:$I$289,5,0)),0%,VLOOKUP(A33,'Données projet'!$A$269:$I$289,5,0)*VLOOKUP('Données projet'!$B$18,'Paramètres'!$A$1:$I$88,7,0))</f>
        <v>0</v>
      </c>
      <c r="HE33" s="155">
        <f>IF(ISNA(VLOOKUP(A33,'Données projet'!$A$269:$I$289,6,0)),0%,VLOOKUP(A33,'Données projet'!$A$269:$I$289,6,0)*VLOOKUP('Données projet'!$B$18,'Paramètres'!$A$1:$I$88,7,0))</f>
        <v>0</v>
      </c>
      <c r="HF33" s="155">
        <f>IF(ISNA(VLOOKUP(A33,'Données projet'!$A$269:$I$289,7,0)),0%,VLOOKUP(A33,'Données projet'!$A$269:$I$289,7,0))</f>
        <v>0</v>
      </c>
      <c r="HG33" s="162" t="str">
        <f>EXP(-LN(2)/35)*HG32+(1-EXP(-LN(2)/35))/(LN(2)/35)*HC33*HD33*VLOOKUP('Données projet'!$B$18,'Paramètres'!$A$1:$I$88,3,0)*0.475*44/12</f>
        <v>#N/A</v>
      </c>
      <c r="HH33" s="162" t="str">
        <f>EXP(-LN(2)/25)*HH32+(1-EXP(-LN(2)/25))/(LN(2)/25)*Calculateur!HC33*Calculateur!HE33*VLOOKUP('Données projet'!$B$18,'Paramètres'!$A$1:$I$88,3,0)*0.475*44/12</f>
        <v>#N/A</v>
      </c>
      <c r="HI33" s="162" t="str">
        <f>EXP(-LN(2)/2)*HI32+(1-EXP(-LN(2)/2))/(LN(2)/2)*HC33*HF33*VLOOKUP('Données projet'!$B$18,'Paramètres'!$A$1:$I$88,3,0)*0.475*44/12</f>
        <v>#N/A</v>
      </c>
      <c r="HJ33" s="163" t="str">
        <f t="shared" si="31"/>
        <v>#N/A</v>
      </c>
    </row>
    <row r="34" ht="15.75" customHeight="1">
      <c r="A34" s="145">
        <f t="shared" si="32"/>
        <v>31</v>
      </c>
      <c r="B34" s="146">
        <f>'Scénario référence'!$B$16*5+'Scénario référence'!$B$17*0+'Scénario référence'!$B$18*5</f>
        <v>0</v>
      </c>
      <c r="C34" s="160">
        <f>Calculateur!C33+'Scénario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34" s="147">
        <f t="shared" si="33"/>
        <v>0</v>
      </c>
      <c r="E34" s="147">
        <f>'Scénario référence'!$B$16*45+('Scénario référence'!$B$17+'Scénario référence'!$F$8+'Scénario référence'!$F$9+'Scénario référence'!$B$10+'Scénario référence'!$B$9)*70+'Scénario référence'!$B$18*32</f>
        <v>70</v>
      </c>
      <c r="F34" s="147">
        <f>IF(OR('Scénario référence'!$F$8&gt;0,'Scénario référence'!$F$9&gt;0),('Scénario référence'!$F$8+'Scénario référence'!$F$9)*10,0)</f>
        <v>0</v>
      </c>
      <c r="G34" s="147">
        <f>'Scénario référence'!$B$8*B34*44/12+'Scénario référence'!$B$9*(C34+D34)/0.475*44/12+'Scénario référence'!$B$10*(C34+D34)/0.475*44/12+'Scénario référence'!$F$8*(C34+D34)/0.475*44/12+'Scénario référence'!$F$9*(C34+D34)/0.475*44/12</f>
        <v>0</v>
      </c>
      <c r="H34" s="148">
        <f t="shared" si="1"/>
        <v>256.6666667</v>
      </c>
      <c r="I34" s="149">
        <f>('Scénario référence'!$F$8+'Scénario référence'!$F$9+'Scénario référence'!$B$17+'Scénario référence'!$B$9+'Scénario référence'!$B$10)*70+IF((45+25*(1-EXP(-0.0175*A34)))&lt;70,'Scénario référence'!$B$16*(45+25*(1-EXP(-0.0175*A34))),70*'Scénario référence'!$B$16)+IF((32+38*(1-EXP(-0.0175*A34)))&lt;70,'Scénario référence'!$B$18*(32+38*(1-EXP(-0.0175*A34))),70*'Scénario référence'!$B$18)</f>
        <v>70</v>
      </c>
      <c r="J34" s="150">
        <f>IF(A34&gt;30,10,('Scénario référence'!$B$16+'Scénario référence'!$B$17+'Scénario référence'!$B$18+'Scénario référence'!$B$9+'Scénario référence'!$B$10)*A34*10/30+('Scénario référence'!$F$8+'Scénario référence'!$F$9)*10)</f>
        <v>10</v>
      </c>
      <c r="K34" s="151" t="str">
        <f>VLOOKUP(A34,'Données projet'!$A$35:$I$55,2,0)</f>
        <v>#N/A</v>
      </c>
      <c r="L34" s="151" t="str">
        <f>VLOOKUP(A34,'Données projet'!$A$35:$I$55,9,0)</f>
        <v>#N/A</v>
      </c>
      <c r="M34" s="150">
        <f t="array" ref="M34">INDEX(L:L,MIN(IF(ISNUMBER(L34:L230),ROW(L34:L230),"")))</f>
        <v>10.8</v>
      </c>
      <c r="N34" s="150">
        <f>IF('Données projet'!$A$36&gt;35,N33+M34-V33,IF(A34&lt;'Données projet'!$A$36,$K$205^A34,IF(A34='Données projet'!$A$36,'Données projet'!$B$36,N33+M34-V33)))</f>
        <v>103.8</v>
      </c>
      <c r="O34" s="150">
        <f>N34*VLOOKUP('Données projet'!$B$9,'Paramètres'!$A$1:$I$88,3,0)*VLOOKUP('Données projet'!$B$9,'Paramètres'!$A$1:$I$88,5,0)</f>
        <v>93.91824</v>
      </c>
      <c r="P34" s="150">
        <f t="shared" si="34"/>
        <v>25.50785365</v>
      </c>
      <c r="Q34" s="161">
        <f t="shared" si="2"/>
        <v>208.0004464</v>
      </c>
      <c r="R34" s="153">
        <f t="shared" si="3"/>
        <v>501.3337798</v>
      </c>
      <c r="S34" s="153">
        <f>AVERAGE(OFFSET($R$3,0,0,'Données projet'!$E$9+1,1))-AVERAGE(OFFSET($H$3,0,0,'Données projet'!$E$9+1,1))</f>
        <v>439.1985427</v>
      </c>
      <c r="T34" s="153">
        <f t="shared" si="35"/>
        <v>278.2174123</v>
      </c>
      <c r="U34" s="154">
        <f>IF(ISNA(VLOOKUP(A34,'Données projet'!$A$35:$I$55,3,0)),0,VLOOKUP(A34,'Données projet'!$A$35:$I$55,3,0))</f>
        <v>0</v>
      </c>
      <c r="V34" s="154">
        <f>IF(ISNA(VLOOKUP(A34,'Données projet'!$A$35:$I$55,4,0)),0,VLOOKUP(A34,'Données projet'!$A$35:$I$55,4,0))</f>
        <v>0</v>
      </c>
      <c r="W34" s="155">
        <f>IF(ISNA(VLOOKUP(A34,'Données projet'!$A$35:$I$55,5,0)),0%,VLOOKUP(A34,'Données projet'!$A$35:$I$55,5,0)*VLOOKUP('Données projet'!$B$9,'Paramètres'!$A$1:$I$88,7,0))</f>
        <v>0</v>
      </c>
      <c r="X34" s="155">
        <f>IF(ISNA(VLOOKUP(A34,'Données projet'!$A$35:$I$55,6,0)),0%,VLOOKUP(A34,'Données projet'!$A$35:$I$55,6,0)*VLOOKUP('Données projet'!$B$9,'Paramètres'!$A$1:$I$88,7,0))</f>
        <v>0</v>
      </c>
      <c r="Y34" s="155">
        <f>IF(ISNA(VLOOKUP(A34,'Données projet'!$A$35:$I$55,7,0)),0%,VLOOKUP(A34,'Données projet'!$A$35:$I$55,7,0))</f>
        <v>0</v>
      </c>
      <c r="Z34" s="162">
        <f>EXP(-LN(2)/35)*Z33+(1-EXP(-LN(2)/35))/(LN(2)/35)*V34*W34*VLOOKUP('Données projet'!$B$9,'Paramètres'!$A$1:$I$88,3,0)*0.475*44/12</f>
        <v>0</v>
      </c>
      <c r="AA34" s="162">
        <f>EXP(-LN(2)/25)*AA33+(1-EXP(-LN(2)/25))/(LN(2)/25)*Calculateur!V34*Calculateur!X34*VLOOKUP('Données projet'!$B$9,'Paramètres'!$A$1:$I$88,3,0)*0.475*44/12</f>
        <v>4.364867644</v>
      </c>
      <c r="AB34" s="162">
        <f>EXP(-LN(2)/2)*AB33+(1-EXP(-LN(2)/2))/(LN(2)/2)*V34*Y34*VLOOKUP('Données projet'!$B$9,'Paramètres'!$A$1:$I$88,3,0)*0.475*44/12</f>
        <v>0</v>
      </c>
      <c r="AC34" s="163">
        <f t="shared" si="4"/>
        <v>4.364867644</v>
      </c>
      <c r="AD34" s="150">
        <f>('Scénario référence'!$F$8+'Scénario référence'!$F$9+'Scénario référence'!$B$17+'Scénario référence'!$B$9+'Scénario référence'!$B$10)*70+IF((45+25*(1-EXP(-0.0175*A34)))&lt;70,'Scénario référence'!$B$16*(45+25*(1-EXP(-0.0175*A34))),70*'Scénario référence'!$B$16)+IF((32+38*(1-EXP(-0.0175*A34)))&lt;70,'Scénario référence'!$B$18*(32+38*(1-EXP(-0.0175*A34))),70*'Scénario référence'!$B$18)</f>
        <v>70</v>
      </c>
      <c r="AE34" s="150">
        <f>IF(A34&gt;30,10,('Scénario référence'!$B$16+'Scénario référence'!$B$17+'Scénario référence'!$B$18+'Scénario référence'!$B$9+'Scénario référence'!$B$10)*A34*10/30+('Scénario référence'!$F$8+'Scénario référence'!$F$9)*10)</f>
        <v>10</v>
      </c>
      <c r="AF34" s="151" t="str">
        <f>VLOOKUP(A34,'Données projet'!$A$61:$I$81,2,0)</f>
        <v>#N/A</v>
      </c>
      <c r="AG34" s="151" t="str">
        <f>VLOOKUP(A34,'Données projet'!$A$61:$I$81,9,0)</f>
        <v>#N/A</v>
      </c>
      <c r="AH34" s="150">
        <f t="array" ref="AH34">INDEX(AG:AG,MIN(IF(ISNUMBER(AG34:AG230),ROW(AG34:AG230),"")))</f>
        <v>15.2</v>
      </c>
      <c r="AI34" s="150">
        <f>IF('Données projet'!$A$62&gt;35,AI33+AH34-AQ33,IF(A34&lt;'Données projet'!$A$62,$AF$205^A34,IF(A34='Données projet'!$A$62,'Données projet'!$B$62,AI33+AH34-AQ33)))</f>
        <v>178.2</v>
      </c>
      <c r="AJ34" s="150">
        <f>AI34*VLOOKUP('Données projet'!$B$10,'Paramètres'!$A$1:$I$88,3,0)*VLOOKUP('Données projet'!$B$10,'Paramètres'!$A$1:$I$88,5,0)</f>
        <v>141.77592</v>
      </c>
      <c r="AK34" s="150">
        <f t="shared" si="36"/>
        <v>36.70354488</v>
      </c>
      <c r="AL34" s="161">
        <f t="shared" si="5"/>
        <v>310.8517347</v>
      </c>
      <c r="AM34" s="153">
        <f t="shared" si="6"/>
        <v>604.185068</v>
      </c>
      <c r="AN34" s="153">
        <f>AVERAGE(OFFSET($AM$3,0,0,'Données projet'!$E$10+1,1))-AVERAGE(OFFSET($H$3,0,0,'Données projet'!$E$10+1,1))</f>
        <v>405.6113614</v>
      </c>
      <c r="AO34" s="153">
        <f t="shared" si="37"/>
        <v>393.0787141</v>
      </c>
      <c r="AP34" s="154">
        <f>IF(ISNA(VLOOKUP(A34,'Données projet'!$A$61:$I$81,3,0)),0,VLOOKUP(A34,'Données projet'!$A$61:$I$81,3,0))</f>
        <v>0</v>
      </c>
      <c r="AQ34" s="154">
        <f>IF(ISNA(VLOOKUP(A34,'Données projet'!$A$61:$I$81,4,0)),0,VLOOKUP(A34,'Données projet'!$A$61:$I$81,4,0))</f>
        <v>0</v>
      </c>
      <c r="AR34" s="155">
        <f>IF(ISNA(VLOOKUP(A34,'Données projet'!$A$61:$I$81,5,0)),0%,VLOOKUP(A34,'Données projet'!$A$61:$I$81,5,0)*VLOOKUP('Données projet'!$B$10,'Paramètres'!$A$1:$I$88,7,0))</f>
        <v>0</v>
      </c>
      <c r="AS34" s="155">
        <f>IF(ISNA(VLOOKUP(A34,'Données projet'!$A$61:$I$81,6,0)),0%,VLOOKUP(A34,'Données projet'!$A$61:$I$81,6,0)*VLOOKUP('Données projet'!$B$10,'Paramètres'!$A$1:$I$88,7,0))</f>
        <v>0</v>
      </c>
      <c r="AT34" s="155">
        <f>IF(ISNA(VLOOKUP(A34,'Données projet'!$A$61:$I$81,7,0)),0%,VLOOKUP(A34,'Données projet'!$A$61:$I$81,7,0))</f>
        <v>0</v>
      </c>
      <c r="AU34" s="162">
        <f>EXP(-LN(2)/35)*AU33+(1-EXP(-LN(2)/35))/(LN(2)/35)*AQ34*AR34*VLOOKUP('Données projet'!$B$10,'Paramètres'!$A$1:$I$88,3,0)*0.475*44/12</f>
        <v>0</v>
      </c>
      <c r="AV34" s="162">
        <f>EXP(-LN(2)/25)*AV33+(1-EXP(-LN(2)/25))/(LN(2)/25)*Calculateur!AQ34*Calculateur!AS34*VLOOKUP('Données projet'!$B$10,'Paramètres'!$A$1:$I$88,3,0)*0.475*44/12</f>
        <v>17.7399317</v>
      </c>
      <c r="AW34" s="162">
        <f>EXP(-LN(2)/2)*AW33+(1-EXP(-LN(2)/2))/(LN(2)/2)*AQ34*AT34*VLOOKUP('Données projet'!$B$10,'Paramètres'!$A$1:$I$88,3,0)*0.475*44/12</f>
        <v>0.4099184306</v>
      </c>
      <c r="AX34" s="162">
        <f t="shared" si="7"/>
        <v>18.14985013</v>
      </c>
      <c r="AY34" s="157">
        <f>('Scénario référence'!$F$8+'Scénario référence'!$F$9+'Scénario référence'!$B$17+'Scénario référence'!$B$9+'Scénario référence'!$B$10)*70+IF((45+25*(1-EXP(-0.0175*A34)))&lt;70,'Scénario référence'!$B$16*(45+25*(1-EXP(-0.0175*A34))),70*'Scénario référence'!$B$16)+IF((32+38*(1-EXP(-0.0175*A34)))&lt;70,'Scénario référence'!$B$18*(32+38*(1-EXP(-0.0175*A34))),70*'Scénario référence'!$B$18)</f>
        <v>70</v>
      </c>
      <c r="AZ34" s="151">
        <f>IF(A34&gt;30,10,('Scénario référence'!$B$16+'Scénario référence'!$B$17+'Scénario référence'!$B$18+'Scénario référence'!$B$9+'Scénario référence'!$B$10)*A34*10/30+('Scénario référence'!$F$8+'Scénario référence'!$F$9)*10)</f>
        <v>10</v>
      </c>
      <c r="BA34" s="151" t="str">
        <f>VLOOKUP(A34,'Données projet'!$A$87:$I$107,2,0)</f>
        <v>#N/A</v>
      </c>
      <c r="BB34" s="151" t="str">
        <f>VLOOKUP(A34,'Données projet'!$A$87:$I$107,9,0)</f>
        <v>#N/A</v>
      </c>
      <c r="BC34" s="150" t="str">
        <f t="array" ref="BC34">INDEX(BB:BB,MIN(IF(ISNUMBER(BB34:BB230),ROW(BB34:BB230),"")))</f>
        <v/>
      </c>
      <c r="BD34" s="150">
        <f>IF('Données projet'!$A$88&gt;35,BD33+BC34-BL33,IF(A34&lt;'Données projet'!$A$88,$BA$205^A34,IF(A34='Données projet'!$A$88,'Données projet'!$B$88,BD33+BC34-BL33)))</f>
        <v>0</v>
      </c>
      <c r="BE34" s="150">
        <f>BD34*VLOOKUP('Données projet'!$B$11,'Paramètres'!$A$1:$I$88,3,0)*VLOOKUP('Données projet'!$B$11,'Paramètres'!$A$1:$I$88,5,0)</f>
        <v>0</v>
      </c>
      <c r="BF34" s="150" t="str">
        <f t="shared" si="38"/>
        <v>#NUM!</v>
      </c>
      <c r="BG34" s="161" t="str">
        <f t="shared" si="8"/>
        <v>#NUM!</v>
      </c>
      <c r="BH34" s="153" t="str">
        <f t="shared" si="9"/>
        <v>#NUM!</v>
      </c>
      <c r="BI34" s="153">
        <f>AVERAGE(OFFSET($BH$3,0,0,'Données projet'!$E$11+1,1))-AVERAGE(OFFSET($H$3,0,0,'Données projet'!$E$11+1,1))</f>
        <v>0</v>
      </c>
      <c r="BJ34" s="153">
        <f t="shared" si="39"/>
        <v>0</v>
      </c>
      <c r="BK34" s="154">
        <f>IF(ISNA(VLOOKUP(A34,'Données projet'!$A$87:$I$107,3,0)),0,VLOOKUP(A34,'Données projet'!$A$87:$I$107,3,0))</f>
        <v>0</v>
      </c>
      <c r="BL34" s="154">
        <f>IF(ISNA(VLOOKUP(A34,'Données projet'!$A$87:$I$107,4,0)),0,VLOOKUP(A34,'Données projet'!$A$87:$I$107,4,0))</f>
        <v>0</v>
      </c>
      <c r="BM34" s="155">
        <f>IF(ISNA(VLOOKUP(A34,'Données projet'!$A$87:$I$107,5,0)),0%,VLOOKUP(A34,'Données projet'!$A$87:$I$107,5,0)*VLOOKUP('Données projet'!$B$11,'Paramètres'!$A$1:$I$88,7,0))</f>
        <v>0</v>
      </c>
      <c r="BN34" s="155">
        <f>IF(ISNA(VLOOKUP(A34,'Données projet'!$A$87:$I$107,6,0)),0%,VLOOKUP(A34,'Données projet'!$A$87:$I$107,6,0)*VLOOKUP('Données projet'!$B$11,'Paramètres'!$A$1:$I$88,7,0))</f>
        <v>0</v>
      </c>
      <c r="BO34" s="155">
        <f>IF(ISNA(VLOOKUP(A34,'Données projet'!$A$87:$I$107,7,0)),0%,VLOOKUP(A34,'Données projet'!$A$87:$I$107,7,0))</f>
        <v>0</v>
      </c>
      <c r="BP34" s="162">
        <f>EXP(-LN(2)/35)*BP33+(1-EXP(-LN(2)/35))/(LN(2)/35)*BL34*BM34*VLOOKUP('Données projet'!$B$11,'Paramètres'!$A$1:$I$88,3,0)*0.475*44/12</f>
        <v>0</v>
      </c>
      <c r="BQ34" s="162">
        <f>EXP(-LN(2)/25)*BQ33+(1-EXP(-LN(2)/25))/(LN(2)/25)*Calculateur!BL34*Calculateur!BN34*VLOOKUP('Données projet'!$B$11,'Paramètres'!$A$1:$I$88,3,0)*0.475*44/12</f>
        <v>0</v>
      </c>
      <c r="BR34" s="162">
        <f>EXP(-LN(2)/2)*BR33+(1-EXP(-LN(2)/2))/(LN(2)/2)*BL34*BO34*VLOOKUP('Données projet'!$B$11,'Paramètres'!$A$1:$I$88,3,0)*0.475*44/12</f>
        <v>0</v>
      </c>
      <c r="BS34" s="163">
        <f t="shared" si="10"/>
        <v>0</v>
      </c>
      <c r="BT34" s="159">
        <f>('Scénario référence'!$F$8+'Scénario référence'!$F$9+'Scénario référence'!$B$17+'Scénario référence'!$B$9+'Scénario référence'!$B$10)*70+IF((45+25*(1-EXP(-0.0175*A34)))&lt;70,'Scénario référence'!$B$16*(45+25*(1-EXP(-0.0175*A34))),70*'Scénario référence'!$B$16)+IF((32+38*(1-EXP(-0.0175*A34)))&lt;70,'Scénario référence'!$B$18*(32+38*(1-EXP(-0.0175*A34))),70*'Scénario référence'!$B$18)</f>
        <v>70</v>
      </c>
      <c r="BU34" s="151">
        <f>IF(A34&gt;30,10,('Scénario référence'!$B$16+'Scénario référence'!$B$17+'Scénario référence'!$B$18+'Scénario référence'!$B$9+'Scénario référence'!$B$10)*A34*10/30+('Scénario référence'!$F$8+'Scénario référence'!$F$9)*10)</f>
        <v>10</v>
      </c>
      <c r="BV34" s="151" t="str">
        <f>VLOOKUP(A34,'Données projet'!$A$113:$I$133,2,0)</f>
        <v>#N/A</v>
      </c>
      <c r="BW34" s="151" t="str">
        <f>VLOOKUP(A34,'Données projet'!$A$113:$I$133,9,0)</f>
        <v>#N/A</v>
      </c>
      <c r="BX34" s="150" t="str">
        <f t="array" ref="BX34">INDEX(BW:BW,MIN(IF(ISNUMBER(BW34:BW230),ROW(BW34:BW230),"")))</f>
        <v/>
      </c>
      <c r="BY34" s="150">
        <f>IF('Données projet'!$A$114&gt;35,BY33+BX34-CG33,IF(A34&lt;'Données projet'!$A$114,$BV$205^A34,IF(A34='Données projet'!$A$114,'Données projet'!$B$114,BY33+BX34-CG33)))</f>
        <v>0</v>
      </c>
      <c r="BZ34" s="150" t="str">
        <f>BY34*VLOOKUP('Données projet'!$B$12,'Paramètres'!$A$1:$I$88,3,0)*VLOOKUP('Données projet'!$B$12,'Paramètres'!$A$1:$I$88,5,0)</f>
        <v>#N/A</v>
      </c>
      <c r="CA34" s="150" t="str">
        <f t="shared" si="40"/>
        <v>#N/A</v>
      </c>
      <c r="CB34" s="161" t="str">
        <f t="shared" si="11"/>
        <v>#N/A</v>
      </c>
      <c r="CC34" s="153" t="str">
        <f t="shared" si="12"/>
        <v>#N/A</v>
      </c>
      <c r="CD34" s="153" t="str">
        <f>AVERAGE(OFFSET($CC$3,0,0,'Données projet'!$E$12+1,1))-AVERAGE(OFFSET($H$3,0,0,'Données projet'!$E$12+1,1))</f>
        <v>#N/A</v>
      </c>
      <c r="CE34" s="153" t="str">
        <f t="shared" si="41"/>
        <v>#N/A</v>
      </c>
      <c r="CF34" s="154">
        <f>IF(ISNA(VLOOKUP(A34,'Données projet'!$A$113:$I$133,3,0)),0,VLOOKUP(A34,'Données projet'!$A$113:$I$133,3,0))</f>
        <v>0</v>
      </c>
      <c r="CG34" s="154">
        <f>IF(ISNA(VLOOKUP(A34,'Données projet'!$A$113:$I$133,4,0)),0,VLOOKUP(A34,'Données projet'!$A$113:$I$133,4,0))</f>
        <v>0</v>
      </c>
      <c r="CH34" s="155">
        <f>IF(ISNA(VLOOKUP(A34,'Données projet'!$A$113:$I$133,5,0)),0%,VLOOKUP(A34,'Données projet'!$A$113:$I$133,5,0)*VLOOKUP('Données projet'!$B$12,'Paramètres'!$A$1:$I$88,7,0))</f>
        <v>0</v>
      </c>
      <c r="CI34" s="155">
        <f>IF(ISNA(VLOOKUP(A34,'Données projet'!$A$113:$I$133,6,0)),0%,VLOOKUP(A34,'Données projet'!$A$113:$I$133,6,0)*VLOOKUP('Données projet'!$B$12,'Paramètres'!$A$1:$I$88,7,0))</f>
        <v>0</v>
      </c>
      <c r="CJ34" s="155">
        <f>IF(ISNA(VLOOKUP(A34,'Données projet'!$A$113:$I$133,7,0)),0%,VLOOKUP(A34,'Données projet'!$A$113:$I$133,7,0))</f>
        <v>0</v>
      </c>
      <c r="CK34" s="162" t="str">
        <f>EXP(-LN(2)/35)*CK33+(1-EXP(-LN(2)/35))/(LN(2)/35)*CG34*CH34*VLOOKUP('Données projet'!$B$12,'Paramètres'!$A$1:$I$88,3,0)*0.475*44/12</f>
        <v>#N/A</v>
      </c>
      <c r="CL34" s="162" t="str">
        <f>EXP(-LN(2)/25)*CL33+(1-EXP(-LN(2)/25))/(LN(2)/25)*Calculateur!CG34*Calculateur!CI34*VLOOKUP('Données projet'!$B$12,'Paramètres'!$A$1:$I$88,3,0)*0.475*44/12</f>
        <v>#N/A</v>
      </c>
      <c r="CM34" s="162" t="str">
        <f>EXP(-LN(2)/2)*CM33+(1-EXP(-LN(2)/2))/(LN(2)/2)*CG34*CJ34*VLOOKUP('Données projet'!$B$12,'Paramètres'!$A$1:$I$88,3,0)*0.475*44/12</f>
        <v>#N/A</v>
      </c>
      <c r="CN34" s="163" t="str">
        <f t="shared" si="13"/>
        <v>#N/A</v>
      </c>
      <c r="CO34" s="159">
        <f>('Scénario référence'!$F$8+'Scénario référence'!$F$9+'Scénario référence'!$B$17+'Scénario référence'!$B$9+'Scénario référence'!$B$10)*70+IF((45+25*(1-EXP(-0.0175*A34)))&lt;70,'Scénario référence'!$B$16*(45+25*(1-EXP(-0.0175*A34))),70*'Scénario référence'!$B$16)+IF((32+38*(1-EXP(-0.0175*A34)))&lt;70,'Scénario référence'!$B$18*(32+38*(1-EXP(-0.0175*A34))),70*'Scénario référence'!$B$18)</f>
        <v>70</v>
      </c>
      <c r="CP34" s="151">
        <f>IF(A34&gt;30,10,('Scénario référence'!$B$16+'Scénario référence'!$B$17+'Scénario référence'!$B$18+'Scénario référence'!$B$9+'Scénario référence'!$B$10)*A34*10/30+('Scénario référence'!$F$8+'Scénario référence'!$F$9)*10)</f>
        <v>10</v>
      </c>
      <c r="CQ34" s="151" t="str">
        <f>VLOOKUP(A34,'Données projet'!$A$139:$I$159,2,0)</f>
        <v>#N/A</v>
      </c>
      <c r="CR34" s="151" t="str">
        <f>VLOOKUP(A34,'Données projet'!$A$139:$I$159,9,0)</f>
        <v>#N/A</v>
      </c>
      <c r="CS34" s="151" t="str">
        <f t="array" ref="CS34">INDEX(CR:CR,MIN(IF(ISNUMBER(CR34:CR230),ROW(CR34:CR230),"")))</f>
        <v/>
      </c>
      <c r="CT34" s="151">
        <f>IF('Données projet'!$A$140&gt;35,CT33+CS34-DB33,IF(A34&lt;'Données projet'!$A$140,$CQ$205^A34,IF(A34='Données projet'!$A$140,'Données projet'!$B$140,CT33+CS34-DB33)))</f>
        <v>0</v>
      </c>
      <c r="CU34" s="158" t="str">
        <f>CT34*VLOOKUP('Données projet'!$B$13,'Paramètres'!$A$1:$I$88,3,0)*VLOOKUP('Données projet'!$B$13,'Paramètres'!$A$1:$I$88,5,0)</f>
        <v>#N/A</v>
      </c>
      <c r="CV34" s="150" t="str">
        <f t="shared" si="42"/>
        <v>#N/A</v>
      </c>
      <c r="CW34" s="161" t="str">
        <f t="shared" si="14"/>
        <v>#N/A</v>
      </c>
      <c r="CX34" s="153" t="str">
        <f t="shared" si="15"/>
        <v>#N/A</v>
      </c>
      <c r="CY34" s="153" t="str">
        <f>AVERAGE(OFFSET($CX$3,0,0,'Données projet'!$E$13+1,1))-AVERAGE(OFFSET($H$3,0,0,'Données projet'!$E$13+1,1))</f>
        <v>#N/A</v>
      </c>
      <c r="CZ34" s="153" t="str">
        <f t="shared" si="43"/>
        <v>#N/A</v>
      </c>
      <c r="DA34" s="154">
        <f>IF(ISNA(VLOOKUP(A34,'Données projet'!$A$139:$I$159,3,0)),0,VLOOKUP(A34,'Données projet'!$A$139:$I$159,3,0))</f>
        <v>0</v>
      </c>
      <c r="DB34" s="154">
        <f>IF(ISNA(VLOOKUP(A34,'Données projet'!$A$139:$I$159,4,0)),0,VLOOKUP(A34,'Données projet'!$A$139:$I$159,4,0))</f>
        <v>0</v>
      </c>
      <c r="DC34" s="155">
        <f>IF(ISNA(VLOOKUP(A34,'Données projet'!$A$139:$I$159,5,0)),0%,VLOOKUP(A34,'Données projet'!$A$139:$I$159,5,0)*VLOOKUP('Données projet'!$B$13,'Paramètres'!$A$1:$I$88,7,0))</f>
        <v>0</v>
      </c>
      <c r="DD34" s="155">
        <f>IF(ISNA(VLOOKUP(A34,'Données projet'!$A$139:$I$159,6,0)),0%,VLOOKUP(A34,'Données projet'!$A$139:$I$159,6,0)*VLOOKUP('Données projet'!$B$13,'Paramètres'!$A$1:$I$88,7,0))</f>
        <v>0</v>
      </c>
      <c r="DE34" s="155">
        <f>IF(ISNA(VLOOKUP(A34,'Données projet'!$A$139:$I$159,7,0)),0%,VLOOKUP(A34,'Données projet'!$A$139:$I$159,7,0))</f>
        <v>0</v>
      </c>
      <c r="DF34" s="162" t="str">
        <f>EXP(-LN(2)/35)*DF33+(1-EXP(-LN(2)/35))/(LN(2)/35)*DB34*DC34*VLOOKUP('Données projet'!$B$13,'Paramètres'!$A$1:$I$88,3,0)*0.475*44/12</f>
        <v>#N/A</v>
      </c>
      <c r="DG34" s="162" t="str">
        <f>EXP(-LN(2)/25)*DG33+(1-EXP(-LN(2)/25))/(LN(2)/25)*Calculateur!DB34*Calculateur!DD34*VLOOKUP('Données projet'!$B$13,'Paramètres'!$A$1:$I$88,3,0)*0.475*44/12</f>
        <v>#N/A</v>
      </c>
      <c r="DH34" s="162" t="str">
        <f>EXP(-LN(2)/2)*DH33+(1-EXP(-LN(2)/2))/(LN(2)/2)*DB34*DE34*VLOOKUP('Données projet'!$B$13,'Paramètres'!$A$1:$I$88,3,0)*0.475*44/12</f>
        <v>#N/A</v>
      </c>
      <c r="DI34" s="163" t="str">
        <f t="shared" si="16"/>
        <v>#N/A</v>
      </c>
      <c r="DJ34" s="159">
        <f>('Scénario référence'!$F$8+'Scénario référence'!$F$9+'Scénario référence'!$B$17+'Scénario référence'!$B$9+'Scénario référence'!$B$10)*70+IF((45+25*(1-EXP(-0.0175*A34)))&lt;70,'Scénario référence'!$B$16*(45+25*(1-EXP(-0.0175*A34))),70*'Scénario référence'!$B$16)+IF((32+38*(1-EXP(-0.0175*A34)))&lt;70,'Scénario référence'!$B$18*(32+38*(1-EXP(-0.0175*A34))),70*'Scénario référence'!$B$18)</f>
        <v>70</v>
      </c>
      <c r="DK34" s="151">
        <f>IF(A34&gt;30,10,('Scénario référence'!$B$16+'Scénario référence'!$B$17+'Scénario référence'!$B$18+'Scénario référence'!$B$9+'Scénario référence'!$B$10)*A34*10/30+('Scénario référence'!$F$8+'Scénario référence'!$F$9)*10)</f>
        <v>10</v>
      </c>
      <c r="DL34" s="151" t="str">
        <f>VLOOKUP(A34,'Données projet'!$A$165:$I$185,2,0)</f>
        <v>#N/A</v>
      </c>
      <c r="DM34" s="151" t="str">
        <f>VLOOKUP(A34,'Données projet'!$A$165:$I$185,9,0)</f>
        <v>#N/A</v>
      </c>
      <c r="DN34" s="151" t="str">
        <f t="array" ref="DN34">INDEX(DM:DM,MIN(IF(ISNUMBER(DM34:DM230),ROW(DM34:DM230),"")))</f>
        <v/>
      </c>
      <c r="DO34" s="151">
        <f>IF('Données projet'!$A$166&gt;35,DO33+DN34-DW33,IF(A34&lt;'Données projet'!$A$166,$DL$205^A34,IF(A34='Données projet'!$A$166,'Données projet'!$B$166,DO33+DN34-DW33)))</f>
        <v>0</v>
      </c>
      <c r="DP34" s="158" t="str">
        <f>DO34*VLOOKUP('Données projet'!$B$14,'Paramètres'!$A$1:$I$88,3,0)*VLOOKUP('Données projet'!$B$14,'Paramètres'!$A$1:$I$88,5,0)</f>
        <v>#N/A</v>
      </c>
      <c r="DQ34" s="150" t="str">
        <f t="shared" si="44"/>
        <v>#N/A</v>
      </c>
      <c r="DR34" s="161" t="str">
        <f t="shared" si="17"/>
        <v>#N/A</v>
      </c>
      <c r="DS34" s="153" t="str">
        <f t="shared" si="18"/>
        <v>#N/A</v>
      </c>
      <c r="DT34" s="153" t="str">
        <f>AVERAGE(OFFSET($DS$3,0,0,'Données projet'!$E$14+1,1))-AVERAGE(OFFSET($H$3,0,0,'Données projet'!$E$14+1,1))</f>
        <v>#N/A</v>
      </c>
      <c r="DU34" s="153" t="str">
        <f t="shared" si="45"/>
        <v>#N/A</v>
      </c>
      <c r="DV34" s="154">
        <f>IF(ISNA(VLOOKUP(A34,'Données projet'!$A$165:$I$185,3,0)),0,VLOOKUP(A34,'Données projet'!$A$165:$I$185,3,0))</f>
        <v>0</v>
      </c>
      <c r="DW34" s="154">
        <f>IF(ISNA(VLOOKUP(A34,'Données projet'!$A$165:$I$185,4,0)),0,VLOOKUP(A34,'Données projet'!$A$165:$I$185,4,0))</f>
        <v>0</v>
      </c>
      <c r="DX34" s="155">
        <f>IF(ISNA(VLOOKUP(A34,'Données projet'!$A$165:$I$185,5,0)),0%,VLOOKUP(A34,'Données projet'!$A$165:$I$185,5,0)*VLOOKUP('Données projet'!$B$14,'Paramètres'!$A$1:$I$88,7,0))</f>
        <v>0</v>
      </c>
      <c r="DY34" s="155">
        <f>IF(ISNA(VLOOKUP(A34,'Données projet'!$A$165:$I$185,6,0)),0%,VLOOKUP(A34,'Données projet'!$A$165:$I$185,6,0)*VLOOKUP('Données projet'!$B$14,'Paramètres'!$A$1:$I$88,7,0))</f>
        <v>0</v>
      </c>
      <c r="DZ34" s="155">
        <f>IF(ISNA(VLOOKUP(A34,'Données projet'!$A$165:$I$185,7,0)),0%,VLOOKUP(A34,'Données projet'!$A$165:$I$185,7,0))</f>
        <v>0</v>
      </c>
      <c r="EA34" s="162" t="str">
        <f>EXP(-LN(2)/35)*EA33+(1-EXP(-LN(2)/35))/(LN(2)/35)*DW34*DX34*VLOOKUP('Données projet'!$B$14,'Paramètres'!$A$1:$I$88,3,0)*0.475*44/12</f>
        <v>#N/A</v>
      </c>
      <c r="EB34" s="162" t="str">
        <f>EXP(-LN(2)/25)*EB33+(1-EXP(-LN(2)/25))/(LN(2)/25)*Calculateur!DW34*Calculateur!DY34*VLOOKUP('Données projet'!$B$14,'Paramètres'!$A$1:$I$88,3,0)*0.475*44/12</f>
        <v>#N/A</v>
      </c>
      <c r="EC34" s="162" t="str">
        <f>EXP(-LN(2)/2)*EC33+(1-EXP(-LN(2)/2))/(LN(2)/2)*DW34*DZ34*VLOOKUP('Données projet'!$B$14,'Paramètres'!$A$1:$I$88,3,0)*0.475*44/12</f>
        <v>#N/A</v>
      </c>
      <c r="ED34" s="163" t="str">
        <f t="shared" si="19"/>
        <v>#N/A</v>
      </c>
      <c r="EE34" s="159">
        <f>('Scénario référence'!$F$8+'Scénario référence'!$F$9+'Scénario référence'!$B$17+'Scénario référence'!$B$9+'Scénario référence'!$B$10)*70+IF((45+25*(1-EXP(-0.0175*A34)))&lt;70,'Scénario référence'!$B$16*(45+25*(1-EXP(-0.0175*A34))),70*'Scénario référence'!$B$16)+IF((32+38*(1-EXP(-0.0175*A34)))&lt;70,'Scénario référence'!$B$18*(32+38*(1-EXP(-0.0175*A34))),70*'Scénario référence'!$B$18)</f>
        <v>70</v>
      </c>
      <c r="EF34" s="151">
        <f>IF(A34&gt;30,10,('Scénario référence'!$B$16+'Scénario référence'!$B$17+'Scénario référence'!$B$18+'Scénario référence'!$B$9+'Scénario référence'!$B$10)*A34*10/30+('Scénario référence'!$F$8+'Scénario référence'!$F$9)*10)</f>
        <v>10</v>
      </c>
      <c r="EG34" s="151" t="str">
        <f>VLOOKUP(A34,'Données projet'!$A$191:$I$211,2,0)</f>
        <v>#N/A</v>
      </c>
      <c r="EH34" s="151" t="str">
        <f>VLOOKUP(A34,'Données projet'!$A$191:$I$211,9,0)</f>
        <v>#N/A</v>
      </c>
      <c r="EI34" s="151" t="str">
        <f t="array" ref="EI34">INDEX(EH:EH,MIN(IF(ISNUMBER(EH34:EH230),ROW(EH34:EH230),"")))</f>
        <v/>
      </c>
      <c r="EJ34" s="151">
        <f>IF('Données projet'!$A$192&gt;35,EJ33+EI34-ER33,IF(A34&lt;'Données projet'!$A$192,$EG$205^A34,IF(A34='Données projet'!$A$192,'Données projet'!$B$192,EJ33+EI34-ER33)))</f>
        <v>0</v>
      </c>
      <c r="EK34" s="158" t="str">
        <f>EJ34*VLOOKUP('Données projet'!$B$15,'Paramètres'!$A$1:$I$88,3,0)*VLOOKUP('Données projet'!$B$15,'Paramètres'!$A$1:$I$88,5,0)</f>
        <v>#N/A</v>
      </c>
      <c r="EL34" s="150" t="str">
        <f t="shared" si="46"/>
        <v>#N/A</v>
      </c>
      <c r="EM34" s="161" t="str">
        <f t="shared" si="20"/>
        <v>#N/A</v>
      </c>
      <c r="EN34" s="153" t="str">
        <f t="shared" si="21"/>
        <v>#N/A</v>
      </c>
      <c r="EO34" s="153" t="str">
        <f>AVERAGE(OFFSET($EN$3,0,0,'Données projet'!$E$15+1,1))-AVERAGE(OFFSET($H$3,0,0,'Données projet'!$E$15+1,1))</f>
        <v>#N/A</v>
      </c>
      <c r="EP34" s="153" t="str">
        <f t="shared" si="47"/>
        <v>#N/A</v>
      </c>
      <c r="EQ34" s="154">
        <f>IF(ISNA(VLOOKUP(A34,'Données projet'!$A$191:$I$211,3,0)),0,VLOOKUP(A34,'Données projet'!$A$191:$I$211,3,0))</f>
        <v>0</v>
      </c>
      <c r="ER34" s="154">
        <f>IF(ISNA(VLOOKUP(A34,'Données projet'!$A$191:$I$211,4,0)),0,VLOOKUP(A34,'Données projet'!$A$191:$I$211,4,0))</f>
        <v>0</v>
      </c>
      <c r="ES34" s="155">
        <f>IF(ISNA(VLOOKUP(A34,'Données projet'!$A$191:$I$211,5,0)),0%,VLOOKUP(A34,'Données projet'!$A$191:$I$211,5,0)*VLOOKUP('Données projet'!$B$15,'Paramètres'!$A$1:$I$88,7,0))</f>
        <v>0</v>
      </c>
      <c r="ET34" s="155">
        <f>IF(ISNA(VLOOKUP(A34,'Données projet'!$A$191:$I$211,6,0)),0%,VLOOKUP(A34,'Données projet'!$A$191:$I$211,6,0)*VLOOKUP('Données projet'!$B$15,'Paramètres'!$A$1:$I$88,7,0))</f>
        <v>0</v>
      </c>
      <c r="EU34" s="155">
        <f>IF(ISNA(VLOOKUP(A34,'Données projet'!$A$191:$I$211,7,0)),0%,VLOOKUP(A34,'Données projet'!$A$191:$I$211,7,0))</f>
        <v>0</v>
      </c>
      <c r="EV34" s="162" t="str">
        <f>EXP(-LN(2)/35)*EV33+(1-EXP(-LN(2)/35))/(LN(2)/35)*ER34*ES34*VLOOKUP('Données projet'!$B$15,'Paramètres'!$A$1:$I$88,3,0)*0.475*44/12</f>
        <v>#N/A</v>
      </c>
      <c r="EW34" s="162" t="str">
        <f>EXP(-LN(2)/25)*EW33+(1-EXP(-LN(2)/25))/(LN(2)/25)*Calculateur!ER34*Calculateur!ET34*VLOOKUP('Données projet'!$B$15,'Paramètres'!$A$1:$I$88,3,0)*0.475*44/12</f>
        <v>#N/A</v>
      </c>
      <c r="EX34" s="162" t="str">
        <f>EXP(-LN(2)/2)*EX33+(1-EXP(-LN(2)/2))/(LN(2)/2)*ER34*EU34*VLOOKUP('Données projet'!$B$15,'Paramètres'!$A$1:$I$88,3,0)*0.475*44/12</f>
        <v>#N/A</v>
      </c>
      <c r="EY34" s="163" t="str">
        <f t="shared" si="22"/>
        <v>#N/A</v>
      </c>
      <c r="EZ34" s="159">
        <f>('Scénario référence'!$F$8+'Scénario référence'!$F$9+'Scénario référence'!$B$17+'Scénario référence'!$B$9+'Scénario référence'!$B$10)*70+IF((45+25*(1-EXP(-0.0175*A34)))&lt;70,'Scénario référence'!$B$16*(45+25*(1-EXP(-0.0175*A34))),70*'Scénario référence'!$B$16)+IF((32+38*(1-EXP(-0.0175*A34)))&lt;70,'Scénario référence'!$B$18*(32+38*(1-EXP(-0.0175*A34))),70*'Scénario référence'!$B$18)</f>
        <v>70</v>
      </c>
      <c r="FA34" s="151">
        <f>IF(A34&gt;30,10,('Scénario référence'!$B$16+'Scénario référence'!$B$17+'Scénario référence'!$B$18+'Scénario référence'!$B$9+'Scénario référence'!$B$10)*A34*10/30+('Scénario référence'!$F$8+'Scénario référence'!$F$9)*10)</f>
        <v>10</v>
      </c>
      <c r="FB34" s="151" t="str">
        <f>VLOOKUP(A34,'Données projet'!$A$217:$I$237,2,0)</f>
        <v>#N/A</v>
      </c>
      <c r="FC34" s="151" t="str">
        <f>VLOOKUP(A34,'Données projet'!$A$217:$I$237,9,0)</f>
        <v>#N/A</v>
      </c>
      <c r="FD34" s="151" t="str">
        <f t="array" ref="FD34">INDEX(FC:FC,MIN(IF(ISNUMBER(FC34:FC230),ROW(FC34:FC230),"")))</f>
        <v/>
      </c>
      <c r="FE34" s="151">
        <f>IF('Données projet'!$A$218&gt;35,FE33+FD34-FM33,IF(A34&lt;'Données projet'!$A$218,$FB$205^A34,IF(A34='Données projet'!$A$218,'Données projet'!$B$218,FE33+FD34-FM33)))</f>
        <v>0</v>
      </c>
      <c r="FF34" s="158" t="str">
        <f>FE34*VLOOKUP('Données projet'!$B$16,'Paramètres'!$A$1:$I$88,3,0)*VLOOKUP('Données projet'!$B$16,'Paramètres'!$A$1:$I$88,5,0)</f>
        <v>#N/A</v>
      </c>
      <c r="FG34" s="150" t="str">
        <f t="shared" si="48"/>
        <v>#N/A</v>
      </c>
      <c r="FH34" s="161" t="str">
        <f t="shared" si="23"/>
        <v>#N/A</v>
      </c>
      <c r="FI34" s="153" t="str">
        <f t="shared" si="24"/>
        <v>#N/A</v>
      </c>
      <c r="FJ34" s="153" t="str">
        <f>AVERAGE(OFFSET($FI$3,0,0,'Données projet'!$E$16+1,1))-AVERAGE(OFFSET($H$3,0,0,'Données projet'!$E$16+1,1))</f>
        <v>#N/A</v>
      </c>
      <c r="FK34" s="153" t="str">
        <f t="shared" si="49"/>
        <v>#N/A</v>
      </c>
      <c r="FL34" s="154">
        <f>IF(ISNA(VLOOKUP(A34,'Données projet'!$A$217:$I$237,3,0)),0,VLOOKUP(A34,'Données projet'!$A$217:$I$237,3,0))</f>
        <v>0</v>
      </c>
      <c r="FM34" s="154">
        <f>IF(ISNA(VLOOKUP(A34,'Données projet'!$A$217:$I$237,4,0)),0,VLOOKUP(A34,'Données projet'!$A$217:$I$237,4,0))</f>
        <v>0</v>
      </c>
      <c r="FN34" s="155">
        <f>IF(ISNA(VLOOKUP(A34,'Données projet'!$A$217:$I$237,5,0)),0%,VLOOKUP(A34,'Données projet'!$A$217:$I$237,5,0)*VLOOKUP('Données projet'!$B$16,'Paramètres'!$A$1:$I$88,7,0))</f>
        <v>0</v>
      </c>
      <c r="FO34" s="155">
        <f>IF(ISNA(VLOOKUP(A34,'Données projet'!$A$217:$I$237,6,0)),0%,VLOOKUP(A34,'Données projet'!$A$217:$I$237,6,0)*VLOOKUP('Données projet'!$B$16,'Paramètres'!$A$1:$I$88,7,0))</f>
        <v>0</v>
      </c>
      <c r="FP34" s="155">
        <f>IF(ISNA(VLOOKUP(A34,'Données projet'!$A$217:$I$237,7,0)),0%,VLOOKUP(A34,'Données projet'!$A$217:$I$237,7,0))</f>
        <v>0</v>
      </c>
      <c r="FQ34" s="162" t="str">
        <f>EXP(-LN(2)/35)*FQ33+(1-EXP(-LN(2)/35))/(LN(2)/35)*FM34*FN34*VLOOKUP('Données projet'!$B$16,'Paramètres'!$A$1:$I$88,3,0)*0.475*44/12</f>
        <v>#N/A</v>
      </c>
      <c r="FR34" s="162" t="str">
        <f>EXP(-LN(2)/25)*FR33+(1-EXP(-LN(2)/25))/(LN(2)/25)*Calculateur!FM34*Calculateur!FO34*VLOOKUP('Données projet'!$B$16,'Paramètres'!$A$1:$I$88,3,0)*0.475*44/12</f>
        <v>#N/A</v>
      </c>
      <c r="FS34" s="162" t="str">
        <f>EXP(-LN(2)/2)*FS33+(1-EXP(-LN(2)/2))/(LN(2)/2)*FM34*FP34*VLOOKUP('Données projet'!$B$16,'Paramètres'!$A$1:$I$88,3,0)*0.475*44/12</f>
        <v>#N/A</v>
      </c>
      <c r="FT34" s="163" t="str">
        <f t="shared" si="25"/>
        <v>#N/A</v>
      </c>
      <c r="FU34" s="159">
        <f>('Scénario référence'!$F$8+'Scénario référence'!$F$9+'Scénario référence'!$B$17+'Scénario référence'!$B$9+'Scénario référence'!$B$10)*70+IF((45+25*(1-EXP(-0.0175*A34)))&lt;70,'Scénario référence'!$B$16*(45+25*(1-EXP(-0.0175*A34))),70*'Scénario référence'!$B$16)+IF((32+38*(1-EXP(-0.0175*A34)))&lt;70,'Scénario référence'!$B$18*(32+38*(1-EXP(-0.0175*A34))),70*'Scénario référence'!$B$18)</f>
        <v>70</v>
      </c>
      <c r="FV34" s="151">
        <f>IF(A34&gt;30,10,('Scénario référence'!$B$16+'Scénario référence'!$B$17+'Scénario référence'!$B$18+'Scénario référence'!$B$9+'Scénario référence'!$B$10)*A34*10/30+('Scénario référence'!$F$8+'Scénario référence'!$F$9)*10)</f>
        <v>10</v>
      </c>
      <c r="FW34" s="151" t="str">
        <f>VLOOKUP(A34,'Données projet'!$A$243:$I$263,2,0)</f>
        <v>#N/A</v>
      </c>
      <c r="FX34" s="151" t="str">
        <f>VLOOKUP(A34,'Données projet'!$A$243:$I$263,9,0)</f>
        <v>#N/A</v>
      </c>
      <c r="FY34" s="151" t="str">
        <f t="array" ref="FY34">INDEX(FX:FX,MIN(IF(ISNUMBER(FX34:FX230),ROW(FX34:FX230),"")))</f>
        <v/>
      </c>
      <c r="FZ34" s="151">
        <f>IF('Données projet'!$A$244&gt;35,FZ33+FY34-GH33,IF(A34&lt;'Données projet'!$A$244,$FW$205^A34,IF(A34='Données projet'!$A$244,'Données projet'!$B$244,FZ33+FY34-GH33)))</f>
        <v>0</v>
      </c>
      <c r="GA34" s="158" t="str">
        <f>FZ34*VLOOKUP('Données projet'!$B$17,'Paramètres'!$A$1:$I$88,3,0)*VLOOKUP('Données projet'!$B$17,'Paramètres'!$A$1:$I$88,5,0)</f>
        <v>#N/A</v>
      </c>
      <c r="GB34" s="150" t="str">
        <f t="shared" si="50"/>
        <v>#N/A</v>
      </c>
      <c r="GC34" s="161" t="str">
        <f t="shared" si="26"/>
        <v>#N/A</v>
      </c>
      <c r="GD34" s="153" t="str">
        <f t="shared" si="27"/>
        <v>#N/A</v>
      </c>
      <c r="GE34" s="153" t="str">
        <f>AVERAGE(OFFSET($GD$3,0,0,'Données projet'!$E$17+1,1))-AVERAGE(OFFSET($H$3,0,0,'Données projet'!$E$17+1,1))</f>
        <v>#N/A</v>
      </c>
      <c r="GF34" s="153" t="str">
        <f t="shared" si="51"/>
        <v>#N/A</v>
      </c>
      <c r="GG34" s="154">
        <f>IF(ISNA(VLOOKUP(A34,'Données projet'!$A$243:$I$263,3,0)),0,VLOOKUP(A34,'Données projet'!$A$243:$I$263,3,0))</f>
        <v>0</v>
      </c>
      <c r="GH34" s="154">
        <f>IF(ISNA(VLOOKUP(A34,'Données projet'!$A$243:$I$263,4,0)),0,VLOOKUP(A34,'Données projet'!$A$243:$I$263,4,0))</f>
        <v>0</v>
      </c>
      <c r="GI34" s="155">
        <f>IF(ISNA(VLOOKUP(A34,'Données projet'!$A$243:$I$263,5,0)),0%,VLOOKUP(A34,'Données projet'!$A$243:$I$263,5,0)*VLOOKUP('Données projet'!$B$17,'Paramètres'!$A$1:$I$88,7,0))</f>
        <v>0</v>
      </c>
      <c r="GJ34" s="155">
        <f>IF(ISNA(VLOOKUP(A34,'Données projet'!$A$243:$I$263,6,0)),0%,VLOOKUP(A34,'Données projet'!$A$243:$I$263,6,0)*VLOOKUP('Données projet'!$B$17,'Paramètres'!$A$1:$I$88,7,0))</f>
        <v>0</v>
      </c>
      <c r="GK34" s="155">
        <f>IF(ISNA(VLOOKUP(A34,'Données projet'!$A$243:$I$263,7,0)),0%,VLOOKUP(A34,'Données projet'!$A$243:$I$263,7,0))</f>
        <v>0</v>
      </c>
      <c r="GL34" s="162" t="str">
        <f>EXP(-LN(2)/35)*GL33+(1-EXP(-LN(2)/35))/(LN(2)/35)*GH34*GI34*VLOOKUP('Données projet'!$B$17,'Paramètres'!$A$1:$I$88,3,0)*0.475*44/12</f>
        <v>#N/A</v>
      </c>
      <c r="GM34" s="162" t="str">
        <f>EXP(-LN(2)/25)*GM33+(1-EXP(-LN(2)/25))/(LN(2)/25)*Calculateur!GH34*Calculateur!GJ34*VLOOKUP('Données projet'!$B$17,'Paramètres'!$A$1:$I$88,3,0)*0.475*44/12</f>
        <v>#N/A</v>
      </c>
      <c r="GN34" s="162" t="str">
        <f>EXP(-LN(2)/2)*GN33+(1-EXP(-LN(2)/2))/(LN(2)/2)*GH34*GK34*VLOOKUP('Données projet'!$B$17,'Paramètres'!$A$1:$I$88,3,0)*0.475*44/12</f>
        <v>#N/A</v>
      </c>
      <c r="GO34" s="162" t="str">
        <f t="shared" si="28"/>
        <v>#N/A</v>
      </c>
      <c r="GP34" s="159">
        <f>('Scénario référence'!$F$8+'Scénario référence'!$F$9+'Scénario référence'!$B$17+'Scénario référence'!$B$9+'Scénario référence'!$B$10)*70+IF((45+25*(1-EXP(-0.0175*A34)))&lt;70,'Scénario référence'!$B$16*(45+25*(1-EXP(-0.0175*A34))),70*'Scénario référence'!$B$16)+IF((32+38*(1-EXP(-0.0175*A34)))&lt;70,'Scénario référence'!$B$18*(32+38*(1-EXP(-0.0175*A34))),70*'Scénario référence'!$B$18)</f>
        <v>70</v>
      </c>
      <c r="GQ34" s="151">
        <f>IF(A34&gt;30,10,('Scénario référence'!$B$16+'Scénario référence'!$B$17+'Scénario référence'!$B$18+'Scénario référence'!$B$9+'Scénario référence'!$B$10)*A34*10/30+('Scénario référence'!$F$8+'Scénario référence'!$F$9)*10)</f>
        <v>10</v>
      </c>
      <c r="GR34" s="151" t="str">
        <f>VLOOKUP(A34,'Données projet'!$A$269:$I$289,2,0)</f>
        <v>#N/A</v>
      </c>
      <c r="GS34" s="151" t="str">
        <f>VLOOKUP(A34,'Données projet'!$A$269:$I$289,9,0)</f>
        <v>#N/A</v>
      </c>
      <c r="GT34" s="151" t="str">
        <f t="array" ref="GT34">INDEX(GS:GS,MIN(IF(ISNUMBER(GS34:GS230),ROW(GS34:GS230),"")))</f>
        <v/>
      </c>
      <c r="GU34" s="151">
        <f>IF('Données projet'!$A$270&gt;35,GU33+GT34-HC33,IF(A34&lt;'Données projet'!$A$270,$GR$205^A34,IF(A34='Données projet'!$A$270,'Données projet'!$B$270,GU33+GT34-HC33)))</f>
        <v>0</v>
      </c>
      <c r="GV34" s="158" t="str">
        <f>GU34*VLOOKUP('Données projet'!$B$18,'Paramètres'!$A$1:$I$88,3,0)*VLOOKUP('Données projet'!$B$18,'Paramètres'!$A$1:$I$88,5,0)</f>
        <v>#N/A</v>
      </c>
      <c r="GW34" s="150" t="str">
        <f t="shared" si="52"/>
        <v>#N/A</v>
      </c>
      <c r="GX34" s="161" t="str">
        <f t="shared" si="29"/>
        <v>#N/A</v>
      </c>
      <c r="GY34" s="153" t="str">
        <f t="shared" si="30"/>
        <v>#N/A</v>
      </c>
      <c r="GZ34" s="153" t="str">
        <f>AVERAGE(OFFSET($GY$3,0,0,'Données projet'!$E$18+1,1))-AVERAGE(OFFSET($H$3,0,0,'Données projet'!$E$18+1,1))</f>
        <v>#N/A</v>
      </c>
      <c r="HA34" s="153" t="str">
        <f t="shared" si="53"/>
        <v>#N/A</v>
      </c>
      <c r="HB34" s="154">
        <f>IF(ISNA(VLOOKUP(A34,'Données projet'!$A$269:$I$289,3,0)),0,VLOOKUP(A34,'Données projet'!$A$269:$I$289,3,0))</f>
        <v>0</v>
      </c>
      <c r="HC34" s="154">
        <f>IF(ISNA(VLOOKUP(A34,'Données projet'!$A$269:$I$289,4,0)),0,VLOOKUP(A34,'Données projet'!$A$269:$I$289,4,0))</f>
        <v>0</v>
      </c>
      <c r="HD34" s="155">
        <f>IF(ISNA(VLOOKUP(A34,'Données projet'!$A$269:$I$289,5,0)),0%,VLOOKUP(A34,'Données projet'!$A$269:$I$289,5,0)*VLOOKUP('Données projet'!$B$18,'Paramètres'!$A$1:$I$88,7,0))</f>
        <v>0</v>
      </c>
      <c r="HE34" s="155">
        <f>IF(ISNA(VLOOKUP(A34,'Données projet'!$A$269:$I$289,6,0)),0%,VLOOKUP(A34,'Données projet'!$A$269:$I$289,6,0)*VLOOKUP('Données projet'!$B$18,'Paramètres'!$A$1:$I$88,7,0))</f>
        <v>0</v>
      </c>
      <c r="HF34" s="155">
        <f>IF(ISNA(VLOOKUP(A34,'Données projet'!$A$269:$I$289,7,0)),0%,VLOOKUP(A34,'Données projet'!$A$269:$I$289,7,0))</f>
        <v>0</v>
      </c>
      <c r="HG34" s="162" t="str">
        <f>EXP(-LN(2)/35)*HG33+(1-EXP(-LN(2)/35))/(LN(2)/35)*HC34*HD34*VLOOKUP('Données projet'!$B$18,'Paramètres'!$A$1:$I$88,3,0)*0.475*44/12</f>
        <v>#N/A</v>
      </c>
      <c r="HH34" s="162" t="str">
        <f>EXP(-LN(2)/25)*HH33+(1-EXP(-LN(2)/25))/(LN(2)/25)*Calculateur!HC34*Calculateur!HE34*VLOOKUP('Données projet'!$B$18,'Paramètres'!$A$1:$I$88,3,0)*0.475*44/12</f>
        <v>#N/A</v>
      </c>
      <c r="HI34" s="162" t="str">
        <f>EXP(-LN(2)/2)*HI33+(1-EXP(-LN(2)/2))/(LN(2)/2)*HC34*HF34*VLOOKUP('Données projet'!$B$18,'Paramètres'!$A$1:$I$88,3,0)*0.475*44/12</f>
        <v>#N/A</v>
      </c>
      <c r="HJ34" s="163" t="str">
        <f t="shared" si="31"/>
        <v>#N/A</v>
      </c>
    </row>
    <row r="35" ht="15.75" customHeight="1">
      <c r="A35" s="145">
        <f t="shared" si="32"/>
        <v>32</v>
      </c>
      <c r="B35" s="146">
        <f>'Scénario référence'!$B$16*5+'Scénario référence'!$B$17*0+'Scénario référence'!$B$18*5</f>
        <v>0</v>
      </c>
      <c r="C35" s="160">
        <f>Calculateur!C34+'Scénario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35" s="147">
        <f t="shared" si="33"/>
        <v>0</v>
      </c>
      <c r="E35" s="147">
        <f>'Scénario référence'!$B$16*45+('Scénario référence'!$B$17+'Scénario référence'!$F$8+'Scénario référence'!$F$9+'Scénario référence'!$B$10+'Scénario référence'!$B$9)*70+'Scénario référence'!$B$18*32</f>
        <v>70</v>
      </c>
      <c r="F35" s="147">
        <f>IF(OR('Scénario référence'!$F$8&gt;0,'Scénario référence'!$F$9&gt;0),('Scénario référence'!$F$8+'Scénario référence'!$F$9)*10,0)</f>
        <v>0</v>
      </c>
      <c r="G35" s="147">
        <f>'Scénario référence'!$B$8*B35*44/12+'Scénario référence'!$B$9*(C35+D35)/0.475*44/12+'Scénario référence'!$B$10*(C35+D35)/0.475*44/12+'Scénario référence'!$F$8*(C35+D35)/0.475*44/12+'Scénario référence'!$F$9*(C35+D35)/0.475*44/12</f>
        <v>0</v>
      </c>
      <c r="H35" s="148">
        <f t="shared" si="1"/>
        <v>256.6666667</v>
      </c>
      <c r="I35" s="149">
        <f>('Scénario référence'!$F$8+'Scénario référence'!$F$9+'Scénario référence'!$B$17+'Scénario référence'!$B$9+'Scénario référence'!$B$10)*70+IF((45+25*(1-EXP(-0.0175*A35)))&lt;70,'Scénario référence'!$B$16*(45+25*(1-EXP(-0.0175*A35))),70*'Scénario référence'!$B$16)+IF((32+38*(1-EXP(-0.0175*A35)))&lt;70,'Scénario référence'!$B$18*(32+38*(1-EXP(-0.0175*A35))),70*'Scénario référence'!$B$18)</f>
        <v>70</v>
      </c>
      <c r="J35" s="150">
        <f>IF(A35&gt;30,10,('Scénario référence'!$B$16+'Scénario référence'!$B$17+'Scénario référence'!$B$18+'Scénario référence'!$B$9+'Scénario référence'!$B$10)*A35*10/30+('Scénario référence'!$F$8+'Scénario référence'!$F$9)*10)</f>
        <v>10</v>
      </c>
      <c r="K35" s="151" t="str">
        <f>VLOOKUP(A35,'Données projet'!$A$35:$I$55,2,0)</f>
        <v>#N/A</v>
      </c>
      <c r="L35" s="151" t="str">
        <f>VLOOKUP(A35,'Données projet'!$A$35:$I$55,9,0)</f>
        <v>#N/A</v>
      </c>
      <c r="M35" s="150">
        <f t="array" ref="M35">INDEX(L:L,MIN(IF(ISNUMBER(L35:L231),ROW(L35:L231),"")))</f>
        <v>10.8</v>
      </c>
      <c r="N35" s="150">
        <f>IF('Données projet'!$A$36&gt;35,N34+M35-V34,IF(A35&lt;'Données projet'!$A$36,$K$205^A35,IF(A35='Données projet'!$A$36,'Données projet'!$B$36,N34+M35-V34)))</f>
        <v>114.6</v>
      </c>
      <c r="O35" s="150">
        <f>N35*VLOOKUP('Données projet'!$B$9,'Paramètres'!$A$1:$I$88,3,0)*VLOOKUP('Données projet'!$B$9,'Paramètres'!$A$1:$I$88,5,0)</f>
        <v>103.69008</v>
      </c>
      <c r="P35" s="150">
        <f t="shared" si="34"/>
        <v>27.83924565</v>
      </c>
      <c r="Q35" s="161">
        <f t="shared" si="2"/>
        <v>229.0802422</v>
      </c>
      <c r="R35" s="153">
        <f t="shared" si="3"/>
        <v>522.4135755</v>
      </c>
      <c r="S35" s="153">
        <f>AVERAGE(OFFSET($R$3,0,0,'Données projet'!$E$9+1,1))-AVERAGE(OFFSET($H$3,0,0,'Données projet'!$E$9+1,1))</f>
        <v>439.1985427</v>
      </c>
      <c r="T35" s="153">
        <f t="shared" si="35"/>
        <v>278.2174123</v>
      </c>
      <c r="U35" s="154">
        <f>IF(ISNA(VLOOKUP(A35,'Données projet'!$A$35:$I$55,3,0)),0,VLOOKUP(A35,'Données projet'!$A$35:$I$55,3,0))</f>
        <v>0</v>
      </c>
      <c r="V35" s="154">
        <f>IF(ISNA(VLOOKUP(A35,'Données projet'!$A$35:$I$55,4,0)),0,VLOOKUP(A35,'Données projet'!$A$35:$I$55,4,0))</f>
        <v>0</v>
      </c>
      <c r="W35" s="155">
        <f>IF(ISNA(VLOOKUP(A35,'Données projet'!$A$35:$I$55,5,0)),0%,VLOOKUP(A35,'Données projet'!$A$35:$I$55,5,0)*VLOOKUP('Données projet'!$B$9,'Paramètres'!$A$1:$I$88,7,0))</f>
        <v>0</v>
      </c>
      <c r="X35" s="155">
        <f>IF(ISNA(VLOOKUP(A35,'Données projet'!$A$35:$I$55,6,0)),0%,VLOOKUP(A35,'Données projet'!$A$35:$I$55,6,0)*VLOOKUP('Données projet'!$B$9,'Paramètres'!$A$1:$I$88,7,0))</f>
        <v>0</v>
      </c>
      <c r="Y35" s="155">
        <f>IF(ISNA(VLOOKUP(A35,'Données projet'!$A$35:$I$55,7,0)),0%,VLOOKUP(A35,'Données projet'!$A$35:$I$55,7,0))</f>
        <v>0</v>
      </c>
      <c r="Z35" s="162">
        <f>EXP(-LN(2)/35)*Z34+(1-EXP(-LN(2)/35))/(LN(2)/35)*V35*W35*VLOOKUP('Données projet'!$B$9,'Paramètres'!$A$1:$I$88,3,0)*0.475*44/12</f>
        <v>0</v>
      </c>
      <c r="AA35" s="162">
        <f>EXP(-LN(2)/25)*AA34+(1-EXP(-LN(2)/25))/(LN(2)/25)*Calculateur!V35*Calculateur!X35*VLOOKUP('Données projet'!$B$9,'Paramètres'!$A$1:$I$88,3,0)*0.475*44/12</f>
        <v>4.245510109</v>
      </c>
      <c r="AB35" s="162">
        <f>EXP(-LN(2)/2)*AB34+(1-EXP(-LN(2)/2))/(LN(2)/2)*V35*Y35*VLOOKUP('Données projet'!$B$9,'Paramètres'!$A$1:$I$88,3,0)*0.475*44/12</f>
        <v>0</v>
      </c>
      <c r="AC35" s="163">
        <f t="shared" si="4"/>
        <v>4.245510109</v>
      </c>
      <c r="AD35" s="150">
        <f>('Scénario référence'!$F$8+'Scénario référence'!$F$9+'Scénario référence'!$B$17+'Scénario référence'!$B$9+'Scénario référence'!$B$10)*70+IF((45+25*(1-EXP(-0.0175*A35)))&lt;70,'Scénario référence'!$B$16*(45+25*(1-EXP(-0.0175*A35))),70*'Scénario référence'!$B$16)+IF((32+38*(1-EXP(-0.0175*A35)))&lt;70,'Scénario référence'!$B$18*(32+38*(1-EXP(-0.0175*A35))),70*'Scénario référence'!$B$18)</f>
        <v>70</v>
      </c>
      <c r="AE35" s="150">
        <f>IF(A35&gt;30,10,('Scénario référence'!$B$16+'Scénario référence'!$B$17+'Scénario référence'!$B$18+'Scénario référence'!$B$9+'Scénario référence'!$B$10)*A35*10/30+('Scénario référence'!$F$8+'Scénario référence'!$F$9)*10)</f>
        <v>10</v>
      </c>
      <c r="AF35" s="151" t="str">
        <f>VLOOKUP(A35,'Données projet'!$A$61:$I$81,2,0)</f>
        <v>#N/A</v>
      </c>
      <c r="AG35" s="151" t="str">
        <f>VLOOKUP(A35,'Données projet'!$A$61:$I$81,9,0)</f>
        <v>#N/A</v>
      </c>
      <c r="AH35" s="150">
        <f t="array" ref="AH35">INDEX(AG:AG,MIN(IF(ISNUMBER(AG35:AG231),ROW(AG35:AG231),"")))</f>
        <v>15.2</v>
      </c>
      <c r="AI35" s="150">
        <f>IF('Données projet'!$A$62&gt;35,AI34+AH35-AQ34,IF(A35&lt;'Données projet'!$A$62,$AF$205^A35,IF(A35='Données projet'!$A$62,'Données projet'!$B$62,AI34+AH35-AQ34)))</f>
        <v>193.4</v>
      </c>
      <c r="AJ35" s="150">
        <f>AI35*VLOOKUP('Données projet'!$B$10,'Paramètres'!$A$1:$I$88,3,0)*VLOOKUP('Données projet'!$B$10,'Paramètres'!$A$1:$I$88,5,0)</f>
        <v>153.86904</v>
      </c>
      <c r="AK35" s="150">
        <f t="shared" si="36"/>
        <v>39.45653142</v>
      </c>
      <c r="AL35" s="161">
        <f t="shared" si="5"/>
        <v>336.7087036</v>
      </c>
      <c r="AM35" s="153">
        <f t="shared" si="6"/>
        <v>630.0420369</v>
      </c>
      <c r="AN35" s="153">
        <f>AVERAGE(OFFSET($AM$3,0,0,'Données projet'!$E$10+1,1))-AVERAGE(OFFSET($H$3,0,0,'Données projet'!$E$10+1,1))</f>
        <v>405.6113614</v>
      </c>
      <c r="AO35" s="153">
        <f t="shared" si="37"/>
        <v>393.0787141</v>
      </c>
      <c r="AP35" s="154">
        <f>IF(ISNA(VLOOKUP(A35,'Données projet'!$A$61:$I$81,3,0)),0,VLOOKUP(A35,'Données projet'!$A$61:$I$81,3,0))</f>
        <v>0</v>
      </c>
      <c r="AQ35" s="154">
        <f>IF(ISNA(VLOOKUP(A35,'Données projet'!$A$61:$I$81,4,0)),0,VLOOKUP(A35,'Données projet'!$A$61:$I$81,4,0))</f>
        <v>0</v>
      </c>
      <c r="AR35" s="155">
        <f>IF(ISNA(VLOOKUP(A35,'Données projet'!$A$61:$I$81,5,0)),0%,VLOOKUP(A35,'Données projet'!$A$61:$I$81,5,0)*VLOOKUP('Données projet'!$B$10,'Paramètres'!$A$1:$I$88,7,0))</f>
        <v>0</v>
      </c>
      <c r="AS35" s="155">
        <f>IF(ISNA(VLOOKUP(A35,'Données projet'!$A$61:$I$81,6,0)),0%,VLOOKUP(A35,'Données projet'!$A$61:$I$81,6,0)*VLOOKUP('Données projet'!$B$10,'Paramètres'!$A$1:$I$88,7,0))</f>
        <v>0</v>
      </c>
      <c r="AT35" s="155">
        <f>IF(ISNA(VLOOKUP(A35,'Données projet'!$A$61:$I$81,7,0)),0%,VLOOKUP(A35,'Données projet'!$A$61:$I$81,7,0))</f>
        <v>0</v>
      </c>
      <c r="AU35" s="162">
        <f>EXP(-LN(2)/35)*AU34+(1-EXP(-LN(2)/35))/(LN(2)/35)*AQ35*AR35*VLOOKUP('Données projet'!$B$10,'Paramètres'!$A$1:$I$88,3,0)*0.475*44/12</f>
        <v>0</v>
      </c>
      <c r="AV35" s="162">
        <f>EXP(-LN(2)/25)*AV34+(1-EXP(-LN(2)/25))/(LN(2)/25)*Calculateur!AQ35*Calculateur!AS35*VLOOKUP('Données projet'!$B$10,'Paramètres'!$A$1:$I$88,3,0)*0.475*44/12</f>
        <v>17.25483233</v>
      </c>
      <c r="AW35" s="162">
        <f>EXP(-LN(2)/2)*AW34+(1-EXP(-LN(2)/2))/(LN(2)/2)*AQ35*AT35*VLOOKUP('Données projet'!$B$10,'Paramètres'!$A$1:$I$88,3,0)*0.475*44/12</f>
        <v>0.289856102</v>
      </c>
      <c r="AX35" s="162">
        <f t="shared" si="7"/>
        <v>17.54468844</v>
      </c>
      <c r="AY35" s="157">
        <f>('Scénario référence'!$F$8+'Scénario référence'!$F$9+'Scénario référence'!$B$17+'Scénario référence'!$B$9+'Scénario référence'!$B$10)*70+IF((45+25*(1-EXP(-0.0175*A35)))&lt;70,'Scénario référence'!$B$16*(45+25*(1-EXP(-0.0175*A35))),70*'Scénario référence'!$B$16)+IF((32+38*(1-EXP(-0.0175*A35)))&lt;70,'Scénario référence'!$B$18*(32+38*(1-EXP(-0.0175*A35))),70*'Scénario référence'!$B$18)</f>
        <v>70</v>
      </c>
      <c r="AZ35" s="151">
        <f>IF(A35&gt;30,10,('Scénario référence'!$B$16+'Scénario référence'!$B$17+'Scénario référence'!$B$18+'Scénario référence'!$B$9+'Scénario référence'!$B$10)*A35*10/30+('Scénario référence'!$F$8+'Scénario référence'!$F$9)*10)</f>
        <v>10</v>
      </c>
      <c r="BA35" s="151" t="str">
        <f>VLOOKUP(A35,'Données projet'!$A$87:$I$107,2,0)</f>
        <v>#N/A</v>
      </c>
      <c r="BB35" s="151" t="str">
        <f>VLOOKUP(A35,'Données projet'!$A$87:$I$107,9,0)</f>
        <v>#N/A</v>
      </c>
      <c r="BC35" s="150" t="str">
        <f t="array" ref="BC35">INDEX(BB:BB,MIN(IF(ISNUMBER(BB35:BB231),ROW(BB35:BB231),"")))</f>
        <v/>
      </c>
      <c r="BD35" s="150">
        <f>IF('Données projet'!$A$88&gt;35,BD34+BC35-BL34,IF(A35&lt;'Données projet'!$A$88,$BA$205^A35,IF(A35='Données projet'!$A$88,'Données projet'!$B$88,BD34+BC35-BL34)))</f>
        <v>0</v>
      </c>
      <c r="BE35" s="150">
        <f>BD35*VLOOKUP('Données projet'!$B$11,'Paramètres'!$A$1:$I$88,3,0)*VLOOKUP('Données projet'!$B$11,'Paramètres'!$A$1:$I$88,5,0)</f>
        <v>0</v>
      </c>
      <c r="BF35" s="150" t="str">
        <f t="shared" si="38"/>
        <v>#NUM!</v>
      </c>
      <c r="BG35" s="161" t="str">
        <f t="shared" si="8"/>
        <v>#NUM!</v>
      </c>
      <c r="BH35" s="153" t="str">
        <f t="shared" si="9"/>
        <v>#NUM!</v>
      </c>
      <c r="BI35" s="153">
        <f>AVERAGE(OFFSET($BH$3,0,0,'Données projet'!$E$11+1,1))-AVERAGE(OFFSET($H$3,0,0,'Données projet'!$E$11+1,1))</f>
        <v>0</v>
      </c>
      <c r="BJ35" s="153">
        <f t="shared" si="39"/>
        <v>0</v>
      </c>
      <c r="BK35" s="154">
        <f>IF(ISNA(VLOOKUP(A35,'Données projet'!$A$87:$I$107,3,0)),0,VLOOKUP(A35,'Données projet'!$A$87:$I$107,3,0))</f>
        <v>0</v>
      </c>
      <c r="BL35" s="154">
        <f>IF(ISNA(VLOOKUP(A35,'Données projet'!$A$87:$I$107,4,0)),0,VLOOKUP(A35,'Données projet'!$A$87:$I$107,4,0))</f>
        <v>0</v>
      </c>
      <c r="BM35" s="155">
        <f>IF(ISNA(VLOOKUP(A35,'Données projet'!$A$87:$I$107,5,0)),0%,VLOOKUP(A35,'Données projet'!$A$87:$I$107,5,0)*VLOOKUP('Données projet'!$B$11,'Paramètres'!$A$1:$I$88,7,0))</f>
        <v>0</v>
      </c>
      <c r="BN35" s="155">
        <f>IF(ISNA(VLOOKUP(A35,'Données projet'!$A$87:$I$107,6,0)),0%,VLOOKUP(A35,'Données projet'!$A$87:$I$107,6,0)*VLOOKUP('Données projet'!$B$11,'Paramètres'!$A$1:$I$88,7,0))</f>
        <v>0</v>
      </c>
      <c r="BO35" s="155">
        <f>IF(ISNA(VLOOKUP(A35,'Données projet'!$A$87:$I$107,7,0)),0%,VLOOKUP(A35,'Données projet'!$A$87:$I$107,7,0))</f>
        <v>0</v>
      </c>
      <c r="BP35" s="162">
        <f>EXP(-LN(2)/35)*BP34+(1-EXP(-LN(2)/35))/(LN(2)/35)*BL35*BM35*VLOOKUP('Données projet'!$B$11,'Paramètres'!$A$1:$I$88,3,0)*0.475*44/12</f>
        <v>0</v>
      </c>
      <c r="BQ35" s="162">
        <f>EXP(-LN(2)/25)*BQ34+(1-EXP(-LN(2)/25))/(LN(2)/25)*Calculateur!BL35*Calculateur!BN35*VLOOKUP('Données projet'!$B$11,'Paramètres'!$A$1:$I$88,3,0)*0.475*44/12</f>
        <v>0</v>
      </c>
      <c r="BR35" s="162">
        <f>EXP(-LN(2)/2)*BR34+(1-EXP(-LN(2)/2))/(LN(2)/2)*BL35*BO35*VLOOKUP('Données projet'!$B$11,'Paramètres'!$A$1:$I$88,3,0)*0.475*44/12</f>
        <v>0</v>
      </c>
      <c r="BS35" s="163">
        <f t="shared" si="10"/>
        <v>0</v>
      </c>
      <c r="BT35" s="159">
        <f>('Scénario référence'!$F$8+'Scénario référence'!$F$9+'Scénario référence'!$B$17+'Scénario référence'!$B$9+'Scénario référence'!$B$10)*70+IF((45+25*(1-EXP(-0.0175*A35)))&lt;70,'Scénario référence'!$B$16*(45+25*(1-EXP(-0.0175*A35))),70*'Scénario référence'!$B$16)+IF((32+38*(1-EXP(-0.0175*A35)))&lt;70,'Scénario référence'!$B$18*(32+38*(1-EXP(-0.0175*A35))),70*'Scénario référence'!$B$18)</f>
        <v>70</v>
      </c>
      <c r="BU35" s="151">
        <f>IF(A35&gt;30,10,('Scénario référence'!$B$16+'Scénario référence'!$B$17+'Scénario référence'!$B$18+'Scénario référence'!$B$9+'Scénario référence'!$B$10)*A35*10/30+('Scénario référence'!$F$8+'Scénario référence'!$F$9)*10)</f>
        <v>10</v>
      </c>
      <c r="BV35" s="151" t="str">
        <f>VLOOKUP(A35,'Données projet'!$A$113:$I$133,2,0)</f>
        <v>#N/A</v>
      </c>
      <c r="BW35" s="151" t="str">
        <f>VLOOKUP(A35,'Données projet'!$A$113:$I$133,9,0)</f>
        <v>#N/A</v>
      </c>
      <c r="BX35" s="150" t="str">
        <f t="array" ref="BX35">INDEX(BW:BW,MIN(IF(ISNUMBER(BW35:BW231),ROW(BW35:BW231),"")))</f>
        <v/>
      </c>
      <c r="BY35" s="150">
        <f>IF('Données projet'!$A$114&gt;35,BY34+BX35-CG34,IF(A35&lt;'Données projet'!$A$114,$BV$205^A35,IF(A35='Données projet'!$A$114,'Données projet'!$B$114,BY34+BX35-CG34)))</f>
        <v>0</v>
      </c>
      <c r="BZ35" s="150" t="str">
        <f>BY35*VLOOKUP('Données projet'!$B$12,'Paramètres'!$A$1:$I$88,3,0)*VLOOKUP('Données projet'!$B$12,'Paramètres'!$A$1:$I$88,5,0)</f>
        <v>#N/A</v>
      </c>
      <c r="CA35" s="150" t="str">
        <f t="shared" si="40"/>
        <v>#N/A</v>
      </c>
      <c r="CB35" s="161" t="str">
        <f t="shared" si="11"/>
        <v>#N/A</v>
      </c>
      <c r="CC35" s="153" t="str">
        <f t="shared" si="12"/>
        <v>#N/A</v>
      </c>
      <c r="CD35" s="153" t="str">
        <f>AVERAGE(OFFSET($CC$3,0,0,'Données projet'!$E$12+1,1))-AVERAGE(OFFSET($H$3,0,0,'Données projet'!$E$12+1,1))</f>
        <v>#N/A</v>
      </c>
      <c r="CE35" s="153" t="str">
        <f t="shared" si="41"/>
        <v>#N/A</v>
      </c>
      <c r="CF35" s="154">
        <f>IF(ISNA(VLOOKUP(A35,'Données projet'!$A$113:$I$133,3,0)),0,VLOOKUP(A35,'Données projet'!$A$113:$I$133,3,0))</f>
        <v>0</v>
      </c>
      <c r="CG35" s="154">
        <f>IF(ISNA(VLOOKUP(A35,'Données projet'!$A$113:$I$133,4,0)),0,VLOOKUP(A35,'Données projet'!$A$113:$I$133,4,0))</f>
        <v>0</v>
      </c>
      <c r="CH35" s="155">
        <f>IF(ISNA(VLOOKUP(A35,'Données projet'!$A$113:$I$133,5,0)),0%,VLOOKUP(A35,'Données projet'!$A$113:$I$133,5,0)*VLOOKUP('Données projet'!$B$12,'Paramètres'!$A$1:$I$88,7,0))</f>
        <v>0</v>
      </c>
      <c r="CI35" s="155">
        <f>IF(ISNA(VLOOKUP(A35,'Données projet'!$A$113:$I$133,6,0)),0%,VLOOKUP(A35,'Données projet'!$A$113:$I$133,6,0)*VLOOKUP('Données projet'!$B$12,'Paramètres'!$A$1:$I$88,7,0))</f>
        <v>0</v>
      </c>
      <c r="CJ35" s="155">
        <f>IF(ISNA(VLOOKUP(A35,'Données projet'!$A$113:$I$133,7,0)),0%,VLOOKUP(A35,'Données projet'!$A$113:$I$133,7,0))</f>
        <v>0</v>
      </c>
      <c r="CK35" s="162" t="str">
        <f>EXP(-LN(2)/35)*CK34+(1-EXP(-LN(2)/35))/(LN(2)/35)*CG35*CH35*VLOOKUP('Données projet'!$B$12,'Paramètres'!$A$1:$I$88,3,0)*0.475*44/12</f>
        <v>#N/A</v>
      </c>
      <c r="CL35" s="162" t="str">
        <f>EXP(-LN(2)/25)*CL34+(1-EXP(-LN(2)/25))/(LN(2)/25)*Calculateur!CG35*Calculateur!CI35*VLOOKUP('Données projet'!$B$12,'Paramètres'!$A$1:$I$88,3,0)*0.475*44/12</f>
        <v>#N/A</v>
      </c>
      <c r="CM35" s="162" t="str">
        <f>EXP(-LN(2)/2)*CM34+(1-EXP(-LN(2)/2))/(LN(2)/2)*CG35*CJ35*VLOOKUP('Données projet'!$B$12,'Paramètres'!$A$1:$I$88,3,0)*0.475*44/12</f>
        <v>#N/A</v>
      </c>
      <c r="CN35" s="163" t="str">
        <f t="shared" si="13"/>
        <v>#N/A</v>
      </c>
      <c r="CO35" s="159">
        <f>('Scénario référence'!$F$8+'Scénario référence'!$F$9+'Scénario référence'!$B$17+'Scénario référence'!$B$9+'Scénario référence'!$B$10)*70+IF((45+25*(1-EXP(-0.0175*A35)))&lt;70,'Scénario référence'!$B$16*(45+25*(1-EXP(-0.0175*A35))),70*'Scénario référence'!$B$16)+IF((32+38*(1-EXP(-0.0175*A35)))&lt;70,'Scénario référence'!$B$18*(32+38*(1-EXP(-0.0175*A35))),70*'Scénario référence'!$B$18)</f>
        <v>70</v>
      </c>
      <c r="CP35" s="151">
        <f>IF(A35&gt;30,10,('Scénario référence'!$B$16+'Scénario référence'!$B$17+'Scénario référence'!$B$18+'Scénario référence'!$B$9+'Scénario référence'!$B$10)*A35*10/30+('Scénario référence'!$F$8+'Scénario référence'!$F$9)*10)</f>
        <v>10</v>
      </c>
      <c r="CQ35" s="151" t="str">
        <f>VLOOKUP(A35,'Données projet'!$A$139:$I$159,2,0)</f>
        <v>#N/A</v>
      </c>
      <c r="CR35" s="151" t="str">
        <f>VLOOKUP(A35,'Données projet'!$A$139:$I$159,9,0)</f>
        <v>#N/A</v>
      </c>
      <c r="CS35" s="151" t="str">
        <f t="array" ref="CS35">INDEX(CR:CR,MIN(IF(ISNUMBER(CR35:CR231),ROW(CR35:CR231),"")))</f>
        <v/>
      </c>
      <c r="CT35" s="151">
        <f>IF('Données projet'!$A$140&gt;35,CT34+CS35-DB34,IF(A35&lt;'Données projet'!$A$140,$CQ$205^A35,IF(A35='Données projet'!$A$140,'Données projet'!$B$140,CT34+CS35-DB34)))</f>
        <v>0</v>
      </c>
      <c r="CU35" s="158" t="str">
        <f>CT35*VLOOKUP('Données projet'!$B$13,'Paramètres'!$A$1:$I$88,3,0)*VLOOKUP('Données projet'!$B$13,'Paramètres'!$A$1:$I$88,5,0)</f>
        <v>#N/A</v>
      </c>
      <c r="CV35" s="150" t="str">
        <f t="shared" si="42"/>
        <v>#N/A</v>
      </c>
      <c r="CW35" s="161" t="str">
        <f t="shared" si="14"/>
        <v>#N/A</v>
      </c>
      <c r="CX35" s="153" t="str">
        <f t="shared" si="15"/>
        <v>#N/A</v>
      </c>
      <c r="CY35" s="153" t="str">
        <f>AVERAGE(OFFSET($CX$3,0,0,'Données projet'!$E$13+1,1))-AVERAGE(OFFSET($H$3,0,0,'Données projet'!$E$13+1,1))</f>
        <v>#N/A</v>
      </c>
      <c r="CZ35" s="153" t="str">
        <f t="shared" si="43"/>
        <v>#N/A</v>
      </c>
      <c r="DA35" s="154">
        <f>IF(ISNA(VLOOKUP(A35,'Données projet'!$A$139:$I$159,3,0)),0,VLOOKUP(A35,'Données projet'!$A$139:$I$159,3,0))</f>
        <v>0</v>
      </c>
      <c r="DB35" s="154">
        <f>IF(ISNA(VLOOKUP(A35,'Données projet'!$A$139:$I$159,4,0)),0,VLOOKUP(A35,'Données projet'!$A$139:$I$159,4,0))</f>
        <v>0</v>
      </c>
      <c r="DC35" s="155">
        <f>IF(ISNA(VLOOKUP(A35,'Données projet'!$A$139:$I$159,5,0)),0%,VLOOKUP(A35,'Données projet'!$A$139:$I$159,5,0)*VLOOKUP('Données projet'!$B$13,'Paramètres'!$A$1:$I$88,7,0))</f>
        <v>0</v>
      </c>
      <c r="DD35" s="155">
        <f>IF(ISNA(VLOOKUP(A35,'Données projet'!$A$139:$I$159,6,0)),0%,VLOOKUP(A35,'Données projet'!$A$139:$I$159,6,0)*VLOOKUP('Données projet'!$B$13,'Paramètres'!$A$1:$I$88,7,0))</f>
        <v>0</v>
      </c>
      <c r="DE35" s="155">
        <f>IF(ISNA(VLOOKUP(A35,'Données projet'!$A$139:$I$159,7,0)),0%,VLOOKUP(A35,'Données projet'!$A$139:$I$159,7,0))</f>
        <v>0</v>
      </c>
      <c r="DF35" s="162" t="str">
        <f>EXP(-LN(2)/35)*DF34+(1-EXP(-LN(2)/35))/(LN(2)/35)*DB35*DC35*VLOOKUP('Données projet'!$B$13,'Paramètres'!$A$1:$I$88,3,0)*0.475*44/12</f>
        <v>#N/A</v>
      </c>
      <c r="DG35" s="162" t="str">
        <f>EXP(-LN(2)/25)*DG34+(1-EXP(-LN(2)/25))/(LN(2)/25)*Calculateur!DB35*Calculateur!DD35*VLOOKUP('Données projet'!$B$13,'Paramètres'!$A$1:$I$88,3,0)*0.475*44/12</f>
        <v>#N/A</v>
      </c>
      <c r="DH35" s="162" t="str">
        <f>EXP(-LN(2)/2)*DH34+(1-EXP(-LN(2)/2))/(LN(2)/2)*DB35*DE35*VLOOKUP('Données projet'!$B$13,'Paramètres'!$A$1:$I$88,3,0)*0.475*44/12</f>
        <v>#N/A</v>
      </c>
      <c r="DI35" s="163" t="str">
        <f t="shared" si="16"/>
        <v>#N/A</v>
      </c>
      <c r="DJ35" s="159">
        <f>('Scénario référence'!$F$8+'Scénario référence'!$F$9+'Scénario référence'!$B$17+'Scénario référence'!$B$9+'Scénario référence'!$B$10)*70+IF((45+25*(1-EXP(-0.0175*A35)))&lt;70,'Scénario référence'!$B$16*(45+25*(1-EXP(-0.0175*A35))),70*'Scénario référence'!$B$16)+IF((32+38*(1-EXP(-0.0175*A35)))&lt;70,'Scénario référence'!$B$18*(32+38*(1-EXP(-0.0175*A35))),70*'Scénario référence'!$B$18)</f>
        <v>70</v>
      </c>
      <c r="DK35" s="151">
        <f>IF(A35&gt;30,10,('Scénario référence'!$B$16+'Scénario référence'!$B$17+'Scénario référence'!$B$18+'Scénario référence'!$B$9+'Scénario référence'!$B$10)*A35*10/30+('Scénario référence'!$F$8+'Scénario référence'!$F$9)*10)</f>
        <v>10</v>
      </c>
      <c r="DL35" s="151" t="str">
        <f>VLOOKUP(A35,'Données projet'!$A$165:$I$185,2,0)</f>
        <v>#N/A</v>
      </c>
      <c r="DM35" s="151" t="str">
        <f>VLOOKUP(A35,'Données projet'!$A$165:$I$185,9,0)</f>
        <v>#N/A</v>
      </c>
      <c r="DN35" s="151" t="str">
        <f t="array" ref="DN35">INDEX(DM:DM,MIN(IF(ISNUMBER(DM35:DM231),ROW(DM35:DM231),"")))</f>
        <v/>
      </c>
      <c r="DO35" s="151">
        <f>IF('Données projet'!$A$166&gt;35,DO34+DN35-DW34,IF(A35&lt;'Données projet'!$A$166,$DL$205^A35,IF(A35='Données projet'!$A$166,'Données projet'!$B$166,DO34+DN35-DW34)))</f>
        <v>0</v>
      </c>
      <c r="DP35" s="158" t="str">
        <f>DO35*VLOOKUP('Données projet'!$B$14,'Paramètres'!$A$1:$I$88,3,0)*VLOOKUP('Données projet'!$B$14,'Paramètres'!$A$1:$I$88,5,0)</f>
        <v>#N/A</v>
      </c>
      <c r="DQ35" s="150" t="str">
        <f t="shared" si="44"/>
        <v>#N/A</v>
      </c>
      <c r="DR35" s="161" t="str">
        <f t="shared" si="17"/>
        <v>#N/A</v>
      </c>
      <c r="DS35" s="153" t="str">
        <f t="shared" si="18"/>
        <v>#N/A</v>
      </c>
      <c r="DT35" s="153" t="str">
        <f>AVERAGE(OFFSET($DS$3,0,0,'Données projet'!$E$14+1,1))-AVERAGE(OFFSET($H$3,0,0,'Données projet'!$E$14+1,1))</f>
        <v>#N/A</v>
      </c>
      <c r="DU35" s="153" t="str">
        <f t="shared" si="45"/>
        <v>#N/A</v>
      </c>
      <c r="DV35" s="154">
        <f>IF(ISNA(VLOOKUP(A35,'Données projet'!$A$165:$I$185,3,0)),0,VLOOKUP(A35,'Données projet'!$A$165:$I$185,3,0))</f>
        <v>0</v>
      </c>
      <c r="DW35" s="154">
        <f>IF(ISNA(VLOOKUP(A35,'Données projet'!$A$165:$I$185,4,0)),0,VLOOKUP(A35,'Données projet'!$A$165:$I$185,4,0))</f>
        <v>0</v>
      </c>
      <c r="DX35" s="155">
        <f>IF(ISNA(VLOOKUP(A35,'Données projet'!$A$165:$I$185,5,0)),0%,VLOOKUP(A35,'Données projet'!$A$165:$I$185,5,0)*VLOOKUP('Données projet'!$B$14,'Paramètres'!$A$1:$I$88,7,0))</f>
        <v>0</v>
      </c>
      <c r="DY35" s="155">
        <f>IF(ISNA(VLOOKUP(A35,'Données projet'!$A$165:$I$185,6,0)),0%,VLOOKUP(A35,'Données projet'!$A$165:$I$185,6,0)*VLOOKUP('Données projet'!$B$14,'Paramètres'!$A$1:$I$88,7,0))</f>
        <v>0</v>
      </c>
      <c r="DZ35" s="155">
        <f>IF(ISNA(VLOOKUP(A35,'Données projet'!$A$165:$I$185,7,0)),0%,VLOOKUP(A35,'Données projet'!$A$165:$I$185,7,0))</f>
        <v>0</v>
      </c>
      <c r="EA35" s="162" t="str">
        <f>EXP(-LN(2)/35)*EA34+(1-EXP(-LN(2)/35))/(LN(2)/35)*DW35*DX35*VLOOKUP('Données projet'!$B$14,'Paramètres'!$A$1:$I$88,3,0)*0.475*44/12</f>
        <v>#N/A</v>
      </c>
      <c r="EB35" s="162" t="str">
        <f>EXP(-LN(2)/25)*EB34+(1-EXP(-LN(2)/25))/(LN(2)/25)*Calculateur!DW35*Calculateur!DY35*VLOOKUP('Données projet'!$B$14,'Paramètres'!$A$1:$I$88,3,0)*0.475*44/12</f>
        <v>#N/A</v>
      </c>
      <c r="EC35" s="162" t="str">
        <f>EXP(-LN(2)/2)*EC34+(1-EXP(-LN(2)/2))/(LN(2)/2)*DW35*DZ35*VLOOKUP('Données projet'!$B$14,'Paramètres'!$A$1:$I$88,3,0)*0.475*44/12</f>
        <v>#N/A</v>
      </c>
      <c r="ED35" s="163" t="str">
        <f t="shared" si="19"/>
        <v>#N/A</v>
      </c>
      <c r="EE35" s="159">
        <f>('Scénario référence'!$F$8+'Scénario référence'!$F$9+'Scénario référence'!$B$17+'Scénario référence'!$B$9+'Scénario référence'!$B$10)*70+IF((45+25*(1-EXP(-0.0175*A35)))&lt;70,'Scénario référence'!$B$16*(45+25*(1-EXP(-0.0175*A35))),70*'Scénario référence'!$B$16)+IF((32+38*(1-EXP(-0.0175*A35)))&lt;70,'Scénario référence'!$B$18*(32+38*(1-EXP(-0.0175*A35))),70*'Scénario référence'!$B$18)</f>
        <v>70</v>
      </c>
      <c r="EF35" s="151">
        <f>IF(A35&gt;30,10,('Scénario référence'!$B$16+'Scénario référence'!$B$17+'Scénario référence'!$B$18+'Scénario référence'!$B$9+'Scénario référence'!$B$10)*A35*10/30+('Scénario référence'!$F$8+'Scénario référence'!$F$9)*10)</f>
        <v>10</v>
      </c>
      <c r="EG35" s="151" t="str">
        <f>VLOOKUP(A35,'Données projet'!$A$191:$I$211,2,0)</f>
        <v>#N/A</v>
      </c>
      <c r="EH35" s="151" t="str">
        <f>VLOOKUP(A35,'Données projet'!$A$191:$I$211,9,0)</f>
        <v>#N/A</v>
      </c>
      <c r="EI35" s="151" t="str">
        <f t="array" ref="EI35">INDEX(EH:EH,MIN(IF(ISNUMBER(EH35:EH231),ROW(EH35:EH231),"")))</f>
        <v/>
      </c>
      <c r="EJ35" s="151">
        <f>IF('Données projet'!$A$192&gt;35,EJ34+EI35-ER34,IF(A35&lt;'Données projet'!$A$192,$EG$205^A35,IF(A35='Données projet'!$A$192,'Données projet'!$B$192,EJ34+EI35-ER34)))</f>
        <v>0</v>
      </c>
      <c r="EK35" s="158" t="str">
        <f>EJ35*VLOOKUP('Données projet'!$B$15,'Paramètres'!$A$1:$I$88,3,0)*VLOOKUP('Données projet'!$B$15,'Paramètres'!$A$1:$I$88,5,0)</f>
        <v>#N/A</v>
      </c>
      <c r="EL35" s="150" t="str">
        <f t="shared" si="46"/>
        <v>#N/A</v>
      </c>
      <c r="EM35" s="161" t="str">
        <f t="shared" si="20"/>
        <v>#N/A</v>
      </c>
      <c r="EN35" s="153" t="str">
        <f t="shared" si="21"/>
        <v>#N/A</v>
      </c>
      <c r="EO35" s="153" t="str">
        <f>AVERAGE(OFFSET($EN$3,0,0,'Données projet'!$E$15+1,1))-AVERAGE(OFFSET($H$3,0,0,'Données projet'!$E$15+1,1))</f>
        <v>#N/A</v>
      </c>
      <c r="EP35" s="153" t="str">
        <f t="shared" si="47"/>
        <v>#N/A</v>
      </c>
      <c r="EQ35" s="154">
        <f>IF(ISNA(VLOOKUP(A35,'Données projet'!$A$191:$I$211,3,0)),0,VLOOKUP(A35,'Données projet'!$A$191:$I$211,3,0))</f>
        <v>0</v>
      </c>
      <c r="ER35" s="154">
        <f>IF(ISNA(VLOOKUP(A35,'Données projet'!$A$191:$I$211,4,0)),0,VLOOKUP(A35,'Données projet'!$A$191:$I$211,4,0))</f>
        <v>0</v>
      </c>
      <c r="ES35" s="155">
        <f>IF(ISNA(VLOOKUP(A35,'Données projet'!$A$191:$I$211,5,0)),0%,VLOOKUP(A35,'Données projet'!$A$191:$I$211,5,0)*VLOOKUP('Données projet'!$B$15,'Paramètres'!$A$1:$I$88,7,0))</f>
        <v>0</v>
      </c>
      <c r="ET35" s="155">
        <f>IF(ISNA(VLOOKUP(A35,'Données projet'!$A$191:$I$211,6,0)),0%,VLOOKUP(A35,'Données projet'!$A$191:$I$211,6,0)*VLOOKUP('Données projet'!$B$15,'Paramètres'!$A$1:$I$88,7,0))</f>
        <v>0</v>
      </c>
      <c r="EU35" s="155">
        <f>IF(ISNA(VLOOKUP(A35,'Données projet'!$A$191:$I$211,7,0)),0%,VLOOKUP(A35,'Données projet'!$A$191:$I$211,7,0))</f>
        <v>0</v>
      </c>
      <c r="EV35" s="162" t="str">
        <f>EXP(-LN(2)/35)*EV34+(1-EXP(-LN(2)/35))/(LN(2)/35)*ER35*ES35*VLOOKUP('Données projet'!$B$15,'Paramètres'!$A$1:$I$88,3,0)*0.475*44/12</f>
        <v>#N/A</v>
      </c>
      <c r="EW35" s="162" t="str">
        <f>EXP(-LN(2)/25)*EW34+(1-EXP(-LN(2)/25))/(LN(2)/25)*Calculateur!ER35*Calculateur!ET35*VLOOKUP('Données projet'!$B$15,'Paramètres'!$A$1:$I$88,3,0)*0.475*44/12</f>
        <v>#N/A</v>
      </c>
      <c r="EX35" s="162" t="str">
        <f>EXP(-LN(2)/2)*EX34+(1-EXP(-LN(2)/2))/(LN(2)/2)*ER35*EU35*VLOOKUP('Données projet'!$B$15,'Paramètres'!$A$1:$I$88,3,0)*0.475*44/12</f>
        <v>#N/A</v>
      </c>
      <c r="EY35" s="163" t="str">
        <f t="shared" si="22"/>
        <v>#N/A</v>
      </c>
      <c r="EZ35" s="159">
        <f>('Scénario référence'!$F$8+'Scénario référence'!$F$9+'Scénario référence'!$B$17+'Scénario référence'!$B$9+'Scénario référence'!$B$10)*70+IF((45+25*(1-EXP(-0.0175*A35)))&lt;70,'Scénario référence'!$B$16*(45+25*(1-EXP(-0.0175*A35))),70*'Scénario référence'!$B$16)+IF((32+38*(1-EXP(-0.0175*A35)))&lt;70,'Scénario référence'!$B$18*(32+38*(1-EXP(-0.0175*A35))),70*'Scénario référence'!$B$18)</f>
        <v>70</v>
      </c>
      <c r="FA35" s="151">
        <f>IF(A35&gt;30,10,('Scénario référence'!$B$16+'Scénario référence'!$B$17+'Scénario référence'!$B$18+'Scénario référence'!$B$9+'Scénario référence'!$B$10)*A35*10/30+('Scénario référence'!$F$8+'Scénario référence'!$F$9)*10)</f>
        <v>10</v>
      </c>
      <c r="FB35" s="151" t="str">
        <f>VLOOKUP(A35,'Données projet'!$A$217:$I$237,2,0)</f>
        <v>#N/A</v>
      </c>
      <c r="FC35" s="151" t="str">
        <f>VLOOKUP(A35,'Données projet'!$A$217:$I$237,9,0)</f>
        <v>#N/A</v>
      </c>
      <c r="FD35" s="151" t="str">
        <f t="array" ref="FD35">INDEX(FC:FC,MIN(IF(ISNUMBER(FC35:FC231),ROW(FC35:FC231),"")))</f>
        <v/>
      </c>
      <c r="FE35" s="151">
        <f>IF('Données projet'!$A$218&gt;35,FE34+FD35-FM34,IF(A35&lt;'Données projet'!$A$218,$FB$205^A35,IF(A35='Données projet'!$A$218,'Données projet'!$B$218,FE34+FD35-FM34)))</f>
        <v>0</v>
      </c>
      <c r="FF35" s="158" t="str">
        <f>FE35*VLOOKUP('Données projet'!$B$16,'Paramètres'!$A$1:$I$88,3,0)*VLOOKUP('Données projet'!$B$16,'Paramètres'!$A$1:$I$88,5,0)</f>
        <v>#N/A</v>
      </c>
      <c r="FG35" s="150" t="str">
        <f t="shared" si="48"/>
        <v>#N/A</v>
      </c>
      <c r="FH35" s="161" t="str">
        <f t="shared" si="23"/>
        <v>#N/A</v>
      </c>
      <c r="FI35" s="153" t="str">
        <f t="shared" si="24"/>
        <v>#N/A</v>
      </c>
      <c r="FJ35" s="153" t="str">
        <f>AVERAGE(OFFSET($FI$3,0,0,'Données projet'!$E$16+1,1))-AVERAGE(OFFSET($H$3,0,0,'Données projet'!$E$16+1,1))</f>
        <v>#N/A</v>
      </c>
      <c r="FK35" s="153" t="str">
        <f t="shared" si="49"/>
        <v>#N/A</v>
      </c>
      <c r="FL35" s="154">
        <f>IF(ISNA(VLOOKUP(A35,'Données projet'!$A$217:$I$237,3,0)),0,VLOOKUP(A35,'Données projet'!$A$217:$I$237,3,0))</f>
        <v>0</v>
      </c>
      <c r="FM35" s="154">
        <f>IF(ISNA(VLOOKUP(A35,'Données projet'!$A$217:$I$237,4,0)),0,VLOOKUP(A35,'Données projet'!$A$217:$I$237,4,0))</f>
        <v>0</v>
      </c>
      <c r="FN35" s="155">
        <f>IF(ISNA(VLOOKUP(A35,'Données projet'!$A$217:$I$237,5,0)),0%,VLOOKUP(A35,'Données projet'!$A$217:$I$237,5,0)*VLOOKUP('Données projet'!$B$16,'Paramètres'!$A$1:$I$88,7,0))</f>
        <v>0</v>
      </c>
      <c r="FO35" s="155">
        <f>IF(ISNA(VLOOKUP(A35,'Données projet'!$A$217:$I$237,6,0)),0%,VLOOKUP(A35,'Données projet'!$A$217:$I$237,6,0)*VLOOKUP('Données projet'!$B$16,'Paramètres'!$A$1:$I$88,7,0))</f>
        <v>0</v>
      </c>
      <c r="FP35" s="155">
        <f>IF(ISNA(VLOOKUP(A35,'Données projet'!$A$217:$I$237,7,0)),0%,VLOOKUP(A35,'Données projet'!$A$217:$I$237,7,0))</f>
        <v>0</v>
      </c>
      <c r="FQ35" s="162" t="str">
        <f>EXP(-LN(2)/35)*FQ34+(1-EXP(-LN(2)/35))/(LN(2)/35)*FM35*FN35*VLOOKUP('Données projet'!$B$16,'Paramètres'!$A$1:$I$88,3,0)*0.475*44/12</f>
        <v>#N/A</v>
      </c>
      <c r="FR35" s="162" t="str">
        <f>EXP(-LN(2)/25)*FR34+(1-EXP(-LN(2)/25))/(LN(2)/25)*Calculateur!FM35*Calculateur!FO35*VLOOKUP('Données projet'!$B$16,'Paramètres'!$A$1:$I$88,3,0)*0.475*44/12</f>
        <v>#N/A</v>
      </c>
      <c r="FS35" s="162" t="str">
        <f>EXP(-LN(2)/2)*FS34+(1-EXP(-LN(2)/2))/(LN(2)/2)*FM35*FP35*VLOOKUP('Données projet'!$B$16,'Paramètres'!$A$1:$I$88,3,0)*0.475*44/12</f>
        <v>#N/A</v>
      </c>
      <c r="FT35" s="163" t="str">
        <f t="shared" si="25"/>
        <v>#N/A</v>
      </c>
      <c r="FU35" s="159">
        <f>('Scénario référence'!$F$8+'Scénario référence'!$F$9+'Scénario référence'!$B$17+'Scénario référence'!$B$9+'Scénario référence'!$B$10)*70+IF((45+25*(1-EXP(-0.0175*A35)))&lt;70,'Scénario référence'!$B$16*(45+25*(1-EXP(-0.0175*A35))),70*'Scénario référence'!$B$16)+IF((32+38*(1-EXP(-0.0175*A35)))&lt;70,'Scénario référence'!$B$18*(32+38*(1-EXP(-0.0175*A35))),70*'Scénario référence'!$B$18)</f>
        <v>70</v>
      </c>
      <c r="FV35" s="151">
        <f>IF(A35&gt;30,10,('Scénario référence'!$B$16+'Scénario référence'!$B$17+'Scénario référence'!$B$18+'Scénario référence'!$B$9+'Scénario référence'!$B$10)*A35*10/30+('Scénario référence'!$F$8+'Scénario référence'!$F$9)*10)</f>
        <v>10</v>
      </c>
      <c r="FW35" s="151" t="str">
        <f>VLOOKUP(A35,'Données projet'!$A$243:$I$263,2,0)</f>
        <v>#N/A</v>
      </c>
      <c r="FX35" s="151" t="str">
        <f>VLOOKUP(A35,'Données projet'!$A$243:$I$263,9,0)</f>
        <v>#N/A</v>
      </c>
      <c r="FY35" s="151" t="str">
        <f t="array" ref="FY35">INDEX(FX:FX,MIN(IF(ISNUMBER(FX35:FX231),ROW(FX35:FX231),"")))</f>
        <v/>
      </c>
      <c r="FZ35" s="151">
        <f>IF('Données projet'!$A$244&gt;35,FZ34+FY35-GH34,IF(A35&lt;'Données projet'!$A$244,$FW$205^A35,IF(A35='Données projet'!$A$244,'Données projet'!$B$244,FZ34+FY35-GH34)))</f>
        <v>0</v>
      </c>
      <c r="GA35" s="158" t="str">
        <f>FZ35*VLOOKUP('Données projet'!$B$17,'Paramètres'!$A$1:$I$88,3,0)*VLOOKUP('Données projet'!$B$17,'Paramètres'!$A$1:$I$88,5,0)</f>
        <v>#N/A</v>
      </c>
      <c r="GB35" s="150" t="str">
        <f t="shared" si="50"/>
        <v>#N/A</v>
      </c>
      <c r="GC35" s="161" t="str">
        <f t="shared" si="26"/>
        <v>#N/A</v>
      </c>
      <c r="GD35" s="153" t="str">
        <f t="shared" si="27"/>
        <v>#N/A</v>
      </c>
      <c r="GE35" s="153" t="str">
        <f>AVERAGE(OFFSET($GD$3,0,0,'Données projet'!$E$17+1,1))-AVERAGE(OFFSET($H$3,0,0,'Données projet'!$E$17+1,1))</f>
        <v>#N/A</v>
      </c>
      <c r="GF35" s="153" t="str">
        <f t="shared" si="51"/>
        <v>#N/A</v>
      </c>
      <c r="GG35" s="154">
        <f>IF(ISNA(VLOOKUP(A35,'Données projet'!$A$243:$I$263,3,0)),0,VLOOKUP(A35,'Données projet'!$A$243:$I$263,3,0))</f>
        <v>0</v>
      </c>
      <c r="GH35" s="154">
        <f>IF(ISNA(VLOOKUP(A35,'Données projet'!$A$243:$I$263,4,0)),0,VLOOKUP(A35,'Données projet'!$A$243:$I$263,4,0))</f>
        <v>0</v>
      </c>
      <c r="GI35" s="155">
        <f>IF(ISNA(VLOOKUP(A35,'Données projet'!$A$243:$I$263,5,0)),0%,VLOOKUP(A35,'Données projet'!$A$243:$I$263,5,0)*VLOOKUP('Données projet'!$B$17,'Paramètres'!$A$1:$I$88,7,0))</f>
        <v>0</v>
      </c>
      <c r="GJ35" s="155">
        <f>IF(ISNA(VLOOKUP(A35,'Données projet'!$A$243:$I$263,6,0)),0%,VLOOKUP(A35,'Données projet'!$A$243:$I$263,6,0)*VLOOKUP('Données projet'!$B$17,'Paramètres'!$A$1:$I$88,7,0))</f>
        <v>0</v>
      </c>
      <c r="GK35" s="155">
        <f>IF(ISNA(VLOOKUP(A35,'Données projet'!$A$243:$I$263,7,0)),0%,VLOOKUP(A35,'Données projet'!$A$243:$I$263,7,0))</f>
        <v>0</v>
      </c>
      <c r="GL35" s="162" t="str">
        <f>EXP(-LN(2)/35)*GL34+(1-EXP(-LN(2)/35))/(LN(2)/35)*GH35*GI35*VLOOKUP('Données projet'!$B$17,'Paramètres'!$A$1:$I$88,3,0)*0.475*44/12</f>
        <v>#N/A</v>
      </c>
      <c r="GM35" s="162" t="str">
        <f>EXP(-LN(2)/25)*GM34+(1-EXP(-LN(2)/25))/(LN(2)/25)*Calculateur!GH35*Calculateur!GJ35*VLOOKUP('Données projet'!$B$17,'Paramètres'!$A$1:$I$88,3,0)*0.475*44/12</f>
        <v>#N/A</v>
      </c>
      <c r="GN35" s="162" t="str">
        <f>EXP(-LN(2)/2)*GN34+(1-EXP(-LN(2)/2))/(LN(2)/2)*GH35*GK35*VLOOKUP('Données projet'!$B$17,'Paramètres'!$A$1:$I$88,3,0)*0.475*44/12</f>
        <v>#N/A</v>
      </c>
      <c r="GO35" s="162" t="str">
        <f t="shared" si="28"/>
        <v>#N/A</v>
      </c>
      <c r="GP35" s="159">
        <f>('Scénario référence'!$F$8+'Scénario référence'!$F$9+'Scénario référence'!$B$17+'Scénario référence'!$B$9+'Scénario référence'!$B$10)*70+IF((45+25*(1-EXP(-0.0175*A35)))&lt;70,'Scénario référence'!$B$16*(45+25*(1-EXP(-0.0175*A35))),70*'Scénario référence'!$B$16)+IF((32+38*(1-EXP(-0.0175*A35)))&lt;70,'Scénario référence'!$B$18*(32+38*(1-EXP(-0.0175*A35))),70*'Scénario référence'!$B$18)</f>
        <v>70</v>
      </c>
      <c r="GQ35" s="151">
        <f>IF(A35&gt;30,10,('Scénario référence'!$B$16+'Scénario référence'!$B$17+'Scénario référence'!$B$18+'Scénario référence'!$B$9+'Scénario référence'!$B$10)*A35*10/30+('Scénario référence'!$F$8+'Scénario référence'!$F$9)*10)</f>
        <v>10</v>
      </c>
      <c r="GR35" s="151" t="str">
        <f>VLOOKUP(A35,'Données projet'!$A$269:$I$289,2,0)</f>
        <v>#N/A</v>
      </c>
      <c r="GS35" s="151" t="str">
        <f>VLOOKUP(A35,'Données projet'!$A$269:$I$289,9,0)</f>
        <v>#N/A</v>
      </c>
      <c r="GT35" s="151" t="str">
        <f t="array" ref="GT35">INDEX(GS:GS,MIN(IF(ISNUMBER(GS35:GS231),ROW(GS35:GS231),"")))</f>
        <v/>
      </c>
      <c r="GU35" s="151">
        <f>IF('Données projet'!$A$270&gt;35,GU34+GT35-HC34,IF(A35&lt;'Données projet'!$A$270,$GR$205^A35,IF(A35='Données projet'!$A$270,'Données projet'!$B$270,GU34+GT35-HC34)))</f>
        <v>0</v>
      </c>
      <c r="GV35" s="158" t="str">
        <f>GU35*VLOOKUP('Données projet'!$B$18,'Paramètres'!$A$1:$I$88,3,0)*VLOOKUP('Données projet'!$B$18,'Paramètres'!$A$1:$I$88,5,0)</f>
        <v>#N/A</v>
      </c>
      <c r="GW35" s="150" t="str">
        <f t="shared" si="52"/>
        <v>#N/A</v>
      </c>
      <c r="GX35" s="161" t="str">
        <f t="shared" si="29"/>
        <v>#N/A</v>
      </c>
      <c r="GY35" s="153" t="str">
        <f t="shared" si="30"/>
        <v>#N/A</v>
      </c>
      <c r="GZ35" s="153" t="str">
        <f>AVERAGE(OFFSET($GY$3,0,0,'Données projet'!$E$18+1,1))-AVERAGE(OFFSET($H$3,0,0,'Données projet'!$E$18+1,1))</f>
        <v>#N/A</v>
      </c>
      <c r="HA35" s="153" t="str">
        <f t="shared" si="53"/>
        <v>#N/A</v>
      </c>
      <c r="HB35" s="154">
        <f>IF(ISNA(VLOOKUP(A35,'Données projet'!$A$269:$I$289,3,0)),0,VLOOKUP(A35,'Données projet'!$A$269:$I$289,3,0))</f>
        <v>0</v>
      </c>
      <c r="HC35" s="154">
        <f>IF(ISNA(VLOOKUP(A35,'Données projet'!$A$269:$I$289,4,0)),0,VLOOKUP(A35,'Données projet'!$A$269:$I$289,4,0))</f>
        <v>0</v>
      </c>
      <c r="HD35" s="155">
        <f>IF(ISNA(VLOOKUP(A35,'Données projet'!$A$269:$I$289,5,0)),0%,VLOOKUP(A35,'Données projet'!$A$269:$I$289,5,0)*VLOOKUP('Données projet'!$B$18,'Paramètres'!$A$1:$I$88,7,0))</f>
        <v>0</v>
      </c>
      <c r="HE35" s="155">
        <f>IF(ISNA(VLOOKUP(A35,'Données projet'!$A$269:$I$289,6,0)),0%,VLOOKUP(A35,'Données projet'!$A$269:$I$289,6,0)*VLOOKUP('Données projet'!$B$18,'Paramètres'!$A$1:$I$88,7,0))</f>
        <v>0</v>
      </c>
      <c r="HF35" s="155">
        <f>IF(ISNA(VLOOKUP(A35,'Données projet'!$A$269:$I$289,7,0)),0%,VLOOKUP(A35,'Données projet'!$A$269:$I$289,7,0))</f>
        <v>0</v>
      </c>
      <c r="HG35" s="162" t="str">
        <f>EXP(-LN(2)/35)*HG34+(1-EXP(-LN(2)/35))/(LN(2)/35)*HC35*HD35*VLOOKUP('Données projet'!$B$18,'Paramètres'!$A$1:$I$88,3,0)*0.475*44/12</f>
        <v>#N/A</v>
      </c>
      <c r="HH35" s="162" t="str">
        <f>EXP(-LN(2)/25)*HH34+(1-EXP(-LN(2)/25))/(LN(2)/25)*Calculateur!HC35*Calculateur!HE35*VLOOKUP('Données projet'!$B$18,'Paramètres'!$A$1:$I$88,3,0)*0.475*44/12</f>
        <v>#N/A</v>
      </c>
      <c r="HI35" s="162" t="str">
        <f>EXP(-LN(2)/2)*HI34+(1-EXP(-LN(2)/2))/(LN(2)/2)*HC35*HF35*VLOOKUP('Données projet'!$B$18,'Paramètres'!$A$1:$I$88,3,0)*0.475*44/12</f>
        <v>#N/A</v>
      </c>
      <c r="HJ35" s="163" t="str">
        <f t="shared" si="31"/>
        <v>#N/A</v>
      </c>
    </row>
    <row r="36" ht="15.75" customHeight="1">
      <c r="A36" s="145">
        <f t="shared" si="32"/>
        <v>33</v>
      </c>
      <c r="B36" s="146">
        <f>'Scénario référence'!$B$16*5+'Scénario référence'!$B$17*0+'Scénario référence'!$B$18*5</f>
        <v>0</v>
      </c>
      <c r="C36" s="160">
        <f>Calculateur!C35+'Scénario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36" s="147">
        <f t="shared" si="33"/>
        <v>0</v>
      </c>
      <c r="E36" s="147">
        <f>'Scénario référence'!$B$16*45+('Scénario référence'!$B$17+'Scénario référence'!$F$8+'Scénario référence'!$F$9+'Scénario référence'!$B$10+'Scénario référence'!$B$9)*70+'Scénario référence'!$B$18*32</f>
        <v>70</v>
      </c>
      <c r="F36" s="147">
        <f>IF(OR('Scénario référence'!$F$8&gt;0,'Scénario référence'!$F$9&gt;0),('Scénario référence'!$F$8+'Scénario référence'!$F$9)*10,0)</f>
        <v>0</v>
      </c>
      <c r="G36" s="147">
        <f>'Scénario référence'!$B$8*B36*44/12+'Scénario référence'!$B$9*(C36+D36)/0.475*44/12+'Scénario référence'!$B$10*(C36+D36)/0.475*44/12+'Scénario référence'!$F$8*(C36+D36)/0.475*44/12+'Scénario référence'!$F$9*(C36+D36)/0.475*44/12</f>
        <v>0</v>
      </c>
      <c r="H36" s="148">
        <f t="shared" si="1"/>
        <v>256.6666667</v>
      </c>
      <c r="I36" s="149">
        <f>('Scénario référence'!$F$8+'Scénario référence'!$F$9+'Scénario référence'!$B$17+'Scénario référence'!$B$9+'Scénario référence'!$B$10)*70+IF((45+25*(1-EXP(-0.0175*A36)))&lt;70,'Scénario référence'!$B$16*(45+25*(1-EXP(-0.0175*A36))),70*'Scénario référence'!$B$16)+IF((32+38*(1-EXP(-0.0175*A36)))&lt;70,'Scénario référence'!$B$18*(32+38*(1-EXP(-0.0175*A36))),70*'Scénario référence'!$B$18)</f>
        <v>70</v>
      </c>
      <c r="J36" s="150">
        <f>IF(A36&gt;30,10,('Scénario référence'!$B$16+'Scénario référence'!$B$17+'Scénario référence'!$B$18+'Scénario référence'!$B$9+'Scénario référence'!$B$10)*A36*10/30+('Scénario référence'!$F$8+'Scénario référence'!$F$9)*10)</f>
        <v>10</v>
      </c>
      <c r="K36" s="151" t="str">
        <f>VLOOKUP(A36,'Données projet'!$A$35:$I$55,2,0)</f>
        <v>#N/A</v>
      </c>
      <c r="L36" s="151" t="str">
        <f>VLOOKUP(A36,'Données projet'!$A$35:$I$55,9,0)</f>
        <v>#N/A</v>
      </c>
      <c r="M36" s="150">
        <f t="array" ref="M36">INDEX(L:L,MIN(IF(ISNUMBER(L36:L232),ROW(L36:L232),"")))</f>
        <v>10.8</v>
      </c>
      <c r="N36" s="150">
        <f>IF('Données projet'!$A$36&gt;35,N35+M36-V35,IF(A36&lt;'Données projet'!$A$36,$K$205^A36,IF(A36='Données projet'!$A$36,'Données projet'!$B$36,N35+M36-V35)))</f>
        <v>125.4</v>
      </c>
      <c r="O36" s="150">
        <f>N36*VLOOKUP('Données projet'!$B$9,'Paramètres'!$A$1:$I$88,3,0)*VLOOKUP('Données projet'!$B$9,'Paramètres'!$A$1:$I$88,5,0)</f>
        <v>113.46192</v>
      </c>
      <c r="P36" s="150">
        <f t="shared" si="34"/>
        <v>30.14516313</v>
      </c>
      <c r="Q36" s="161">
        <f t="shared" si="2"/>
        <v>250.1156698</v>
      </c>
      <c r="R36" s="153">
        <f t="shared" si="3"/>
        <v>543.4490031</v>
      </c>
      <c r="S36" s="153">
        <f>AVERAGE(OFFSET($R$3,0,0,'Données projet'!$E$9+1,1))-AVERAGE(OFFSET($H$3,0,0,'Données projet'!$E$9+1,1))</f>
        <v>439.1985427</v>
      </c>
      <c r="T36" s="153">
        <f t="shared" si="35"/>
        <v>278.2174123</v>
      </c>
      <c r="U36" s="154">
        <f>IF(ISNA(VLOOKUP(A36,'Données projet'!$A$35:$I$55,3,0)),0,VLOOKUP(A36,'Données projet'!$A$35:$I$55,3,0))</f>
        <v>0</v>
      </c>
      <c r="V36" s="154">
        <f>IF(ISNA(VLOOKUP(A36,'Données projet'!$A$35:$I$55,4,0)),0,VLOOKUP(A36,'Données projet'!$A$35:$I$55,4,0))</f>
        <v>0</v>
      </c>
      <c r="W36" s="155">
        <f>IF(ISNA(VLOOKUP(A36,'Données projet'!$A$35:$I$55,5,0)),0%,VLOOKUP(A36,'Données projet'!$A$35:$I$55,5,0)*VLOOKUP('Données projet'!$B$9,'Paramètres'!$A$1:$I$88,7,0))</f>
        <v>0</v>
      </c>
      <c r="X36" s="155">
        <f>IF(ISNA(VLOOKUP(A36,'Données projet'!$A$35:$I$55,6,0)),0%,VLOOKUP(A36,'Données projet'!$A$35:$I$55,6,0)*VLOOKUP('Données projet'!$B$9,'Paramètres'!$A$1:$I$88,7,0))</f>
        <v>0</v>
      </c>
      <c r="Y36" s="155">
        <f>IF(ISNA(VLOOKUP(A36,'Données projet'!$A$35:$I$55,7,0)),0%,VLOOKUP(A36,'Données projet'!$A$35:$I$55,7,0))</f>
        <v>0</v>
      </c>
      <c r="Z36" s="162">
        <f>EXP(-LN(2)/35)*Z35+(1-EXP(-LN(2)/35))/(LN(2)/35)*V36*W36*VLOOKUP('Données projet'!$B$9,'Paramètres'!$A$1:$I$88,3,0)*0.475*44/12</f>
        <v>0</v>
      </c>
      <c r="AA36" s="162">
        <f>EXP(-LN(2)/25)*AA35+(1-EXP(-LN(2)/25))/(LN(2)/25)*Calculateur!V36*Calculateur!X36*VLOOKUP('Données projet'!$B$9,'Paramètres'!$A$1:$I$88,3,0)*0.475*44/12</f>
        <v>4.129416412</v>
      </c>
      <c r="AB36" s="162">
        <f>EXP(-LN(2)/2)*AB35+(1-EXP(-LN(2)/2))/(LN(2)/2)*V36*Y36*VLOOKUP('Données projet'!$B$9,'Paramètres'!$A$1:$I$88,3,0)*0.475*44/12</f>
        <v>0</v>
      </c>
      <c r="AC36" s="163">
        <f t="shared" si="4"/>
        <v>4.129416412</v>
      </c>
      <c r="AD36" s="150">
        <f>('Scénario référence'!$F$8+'Scénario référence'!$F$9+'Scénario référence'!$B$17+'Scénario référence'!$B$9+'Scénario référence'!$B$10)*70+IF((45+25*(1-EXP(-0.0175*A36)))&lt;70,'Scénario référence'!$B$16*(45+25*(1-EXP(-0.0175*A36))),70*'Scénario référence'!$B$16)+IF((32+38*(1-EXP(-0.0175*A36)))&lt;70,'Scénario référence'!$B$18*(32+38*(1-EXP(-0.0175*A36))),70*'Scénario référence'!$B$18)</f>
        <v>70</v>
      </c>
      <c r="AE36" s="150">
        <f>IF(A36&gt;30,10,('Scénario référence'!$B$16+'Scénario référence'!$B$17+'Scénario référence'!$B$18+'Scénario référence'!$B$9+'Scénario référence'!$B$10)*A36*10/30+('Scénario référence'!$F$8+'Scénario référence'!$F$9)*10)</f>
        <v>10</v>
      </c>
      <c r="AF36" s="151" t="str">
        <f>VLOOKUP(A36,'Données projet'!$A$61:$I$81,2,0)</f>
        <v>#N/A</v>
      </c>
      <c r="AG36" s="151" t="str">
        <f>VLOOKUP(A36,'Données projet'!$A$61:$I$81,9,0)</f>
        <v>#N/A</v>
      </c>
      <c r="AH36" s="150">
        <f t="array" ref="AH36">INDEX(AG:AG,MIN(IF(ISNUMBER(AG36:AG232),ROW(AG36:AG232),"")))</f>
        <v>15.2</v>
      </c>
      <c r="AI36" s="150">
        <f>IF('Données projet'!$A$62&gt;35,AI35+AH36-AQ35,IF(A36&lt;'Données projet'!$A$62,$AF$205^A36,IF(A36='Données projet'!$A$62,'Données projet'!$B$62,AI35+AH36-AQ35)))</f>
        <v>208.6</v>
      </c>
      <c r="AJ36" s="150">
        <f>AI36*VLOOKUP('Données projet'!$B$10,'Paramètres'!$A$1:$I$88,3,0)*VLOOKUP('Données projet'!$B$10,'Paramètres'!$A$1:$I$88,5,0)</f>
        <v>165.96216</v>
      </c>
      <c r="AK36" s="150">
        <f t="shared" si="36"/>
        <v>42.18442042</v>
      </c>
      <c r="AL36" s="161">
        <f t="shared" si="5"/>
        <v>362.5219609</v>
      </c>
      <c r="AM36" s="153">
        <f t="shared" si="6"/>
        <v>655.8552942</v>
      </c>
      <c r="AN36" s="153">
        <f>AVERAGE(OFFSET($AM$3,0,0,'Données projet'!$E$10+1,1))-AVERAGE(OFFSET($H$3,0,0,'Données projet'!$E$10+1,1))</f>
        <v>405.6113614</v>
      </c>
      <c r="AO36" s="153">
        <f t="shared" si="37"/>
        <v>393.0787141</v>
      </c>
      <c r="AP36" s="154">
        <f>IF(ISNA(VLOOKUP(A36,'Données projet'!$A$61:$I$81,3,0)),0,VLOOKUP(A36,'Données projet'!$A$61:$I$81,3,0))</f>
        <v>0</v>
      </c>
      <c r="AQ36" s="154">
        <f>IF(ISNA(VLOOKUP(A36,'Données projet'!$A$61:$I$81,4,0)),0,VLOOKUP(A36,'Données projet'!$A$61:$I$81,4,0))</f>
        <v>0</v>
      </c>
      <c r="AR36" s="155">
        <f>IF(ISNA(VLOOKUP(A36,'Données projet'!$A$61:$I$81,5,0)),0%,VLOOKUP(A36,'Données projet'!$A$61:$I$81,5,0)*VLOOKUP('Données projet'!$B$10,'Paramètres'!$A$1:$I$88,7,0))</f>
        <v>0</v>
      </c>
      <c r="AS36" s="155">
        <f>IF(ISNA(VLOOKUP(A36,'Données projet'!$A$61:$I$81,6,0)),0%,VLOOKUP(A36,'Données projet'!$A$61:$I$81,6,0)*VLOOKUP('Données projet'!$B$10,'Paramètres'!$A$1:$I$88,7,0))</f>
        <v>0</v>
      </c>
      <c r="AT36" s="155">
        <f>IF(ISNA(VLOOKUP(A36,'Données projet'!$A$61:$I$81,7,0)),0%,VLOOKUP(A36,'Données projet'!$A$61:$I$81,7,0))</f>
        <v>0</v>
      </c>
      <c r="AU36" s="162">
        <f>EXP(-LN(2)/35)*AU35+(1-EXP(-LN(2)/35))/(LN(2)/35)*AQ36*AR36*VLOOKUP('Données projet'!$B$10,'Paramètres'!$A$1:$I$88,3,0)*0.475*44/12</f>
        <v>0</v>
      </c>
      <c r="AV36" s="162">
        <f>EXP(-LN(2)/25)*AV35+(1-EXP(-LN(2)/25))/(LN(2)/25)*Calculateur!AQ36*Calculateur!AS36*VLOOKUP('Données projet'!$B$10,'Paramètres'!$A$1:$I$88,3,0)*0.475*44/12</f>
        <v>16.78299804</v>
      </c>
      <c r="AW36" s="162">
        <f>EXP(-LN(2)/2)*AW35+(1-EXP(-LN(2)/2))/(LN(2)/2)*AQ36*AT36*VLOOKUP('Données projet'!$B$10,'Paramètres'!$A$1:$I$88,3,0)*0.475*44/12</f>
        <v>0.2049592153</v>
      </c>
      <c r="AX36" s="162">
        <f t="shared" si="7"/>
        <v>16.98795725</v>
      </c>
      <c r="AY36" s="157">
        <f>('Scénario référence'!$F$8+'Scénario référence'!$F$9+'Scénario référence'!$B$17+'Scénario référence'!$B$9+'Scénario référence'!$B$10)*70+IF((45+25*(1-EXP(-0.0175*A36)))&lt;70,'Scénario référence'!$B$16*(45+25*(1-EXP(-0.0175*A36))),70*'Scénario référence'!$B$16)+IF((32+38*(1-EXP(-0.0175*A36)))&lt;70,'Scénario référence'!$B$18*(32+38*(1-EXP(-0.0175*A36))),70*'Scénario référence'!$B$18)</f>
        <v>70</v>
      </c>
      <c r="AZ36" s="151">
        <f>IF(A36&gt;30,10,('Scénario référence'!$B$16+'Scénario référence'!$B$17+'Scénario référence'!$B$18+'Scénario référence'!$B$9+'Scénario référence'!$B$10)*A36*10/30+('Scénario référence'!$F$8+'Scénario référence'!$F$9)*10)</f>
        <v>10</v>
      </c>
      <c r="BA36" s="151" t="str">
        <f>VLOOKUP(A36,'Données projet'!$A$87:$I$107,2,0)</f>
        <v>#N/A</v>
      </c>
      <c r="BB36" s="151" t="str">
        <f>VLOOKUP(A36,'Données projet'!$A$87:$I$107,9,0)</f>
        <v>#N/A</v>
      </c>
      <c r="BC36" s="150" t="str">
        <f t="array" ref="BC36">INDEX(BB:BB,MIN(IF(ISNUMBER(BB36:BB232),ROW(BB36:BB232),"")))</f>
        <v/>
      </c>
      <c r="BD36" s="150">
        <f>IF('Données projet'!$A$88&gt;35,BD35+BC36-BL35,IF(A36&lt;'Données projet'!$A$88,$BA$205^A36,IF(A36='Données projet'!$A$88,'Données projet'!$B$88,BD35+BC36-BL35)))</f>
        <v>0</v>
      </c>
      <c r="BE36" s="150">
        <f>BD36*VLOOKUP('Données projet'!$B$11,'Paramètres'!$A$1:$I$88,3,0)*VLOOKUP('Données projet'!$B$11,'Paramètres'!$A$1:$I$88,5,0)</f>
        <v>0</v>
      </c>
      <c r="BF36" s="150" t="str">
        <f t="shared" si="38"/>
        <v>#NUM!</v>
      </c>
      <c r="BG36" s="161" t="str">
        <f t="shared" si="8"/>
        <v>#NUM!</v>
      </c>
      <c r="BH36" s="153" t="str">
        <f t="shared" si="9"/>
        <v>#NUM!</v>
      </c>
      <c r="BI36" s="153">
        <f>AVERAGE(OFFSET($BH$3,0,0,'Données projet'!$E$11+1,1))-AVERAGE(OFFSET($H$3,0,0,'Données projet'!$E$11+1,1))</f>
        <v>0</v>
      </c>
      <c r="BJ36" s="153">
        <f t="shared" si="39"/>
        <v>0</v>
      </c>
      <c r="BK36" s="154">
        <f>IF(ISNA(VLOOKUP(A36,'Données projet'!$A$87:$I$107,3,0)),0,VLOOKUP(A36,'Données projet'!$A$87:$I$107,3,0))</f>
        <v>0</v>
      </c>
      <c r="BL36" s="154">
        <f>IF(ISNA(VLOOKUP(A36,'Données projet'!$A$87:$I$107,4,0)),0,VLOOKUP(A36,'Données projet'!$A$87:$I$107,4,0))</f>
        <v>0</v>
      </c>
      <c r="BM36" s="155">
        <f>IF(ISNA(VLOOKUP(A36,'Données projet'!$A$87:$I$107,5,0)),0%,VLOOKUP(A36,'Données projet'!$A$87:$I$107,5,0)*VLOOKUP('Données projet'!$B$11,'Paramètres'!$A$1:$I$88,7,0))</f>
        <v>0</v>
      </c>
      <c r="BN36" s="155">
        <f>IF(ISNA(VLOOKUP(A36,'Données projet'!$A$87:$I$107,6,0)),0%,VLOOKUP(A36,'Données projet'!$A$87:$I$107,6,0)*VLOOKUP('Données projet'!$B$11,'Paramètres'!$A$1:$I$88,7,0))</f>
        <v>0</v>
      </c>
      <c r="BO36" s="155">
        <f>IF(ISNA(VLOOKUP(A36,'Données projet'!$A$87:$I$107,7,0)),0%,VLOOKUP(A36,'Données projet'!$A$87:$I$107,7,0))</f>
        <v>0</v>
      </c>
      <c r="BP36" s="162">
        <f>EXP(-LN(2)/35)*BP35+(1-EXP(-LN(2)/35))/(LN(2)/35)*BL36*BM36*VLOOKUP('Données projet'!$B$11,'Paramètres'!$A$1:$I$88,3,0)*0.475*44/12</f>
        <v>0</v>
      </c>
      <c r="BQ36" s="162">
        <f>EXP(-LN(2)/25)*BQ35+(1-EXP(-LN(2)/25))/(LN(2)/25)*Calculateur!BL36*Calculateur!BN36*VLOOKUP('Données projet'!$B$11,'Paramètres'!$A$1:$I$88,3,0)*0.475*44/12</f>
        <v>0</v>
      </c>
      <c r="BR36" s="162">
        <f>EXP(-LN(2)/2)*BR35+(1-EXP(-LN(2)/2))/(LN(2)/2)*BL36*BO36*VLOOKUP('Données projet'!$B$11,'Paramètres'!$A$1:$I$88,3,0)*0.475*44/12</f>
        <v>0</v>
      </c>
      <c r="BS36" s="163">
        <f t="shared" si="10"/>
        <v>0</v>
      </c>
      <c r="BT36" s="159">
        <f>('Scénario référence'!$F$8+'Scénario référence'!$F$9+'Scénario référence'!$B$17+'Scénario référence'!$B$9+'Scénario référence'!$B$10)*70+IF((45+25*(1-EXP(-0.0175*A36)))&lt;70,'Scénario référence'!$B$16*(45+25*(1-EXP(-0.0175*A36))),70*'Scénario référence'!$B$16)+IF((32+38*(1-EXP(-0.0175*A36)))&lt;70,'Scénario référence'!$B$18*(32+38*(1-EXP(-0.0175*A36))),70*'Scénario référence'!$B$18)</f>
        <v>70</v>
      </c>
      <c r="BU36" s="151">
        <f>IF(A36&gt;30,10,('Scénario référence'!$B$16+'Scénario référence'!$B$17+'Scénario référence'!$B$18+'Scénario référence'!$B$9+'Scénario référence'!$B$10)*A36*10/30+('Scénario référence'!$F$8+'Scénario référence'!$F$9)*10)</f>
        <v>10</v>
      </c>
      <c r="BV36" s="151" t="str">
        <f>VLOOKUP(A36,'Données projet'!$A$113:$I$133,2,0)</f>
        <v>#N/A</v>
      </c>
      <c r="BW36" s="151" t="str">
        <f>VLOOKUP(A36,'Données projet'!$A$113:$I$133,9,0)</f>
        <v>#N/A</v>
      </c>
      <c r="BX36" s="150" t="str">
        <f t="array" ref="BX36">INDEX(BW:BW,MIN(IF(ISNUMBER(BW36:BW232),ROW(BW36:BW232),"")))</f>
        <v/>
      </c>
      <c r="BY36" s="150">
        <f>IF('Données projet'!$A$114&gt;35,BY35+BX36-CG35,IF(A36&lt;'Données projet'!$A$114,$BV$205^A36,IF(A36='Données projet'!$A$114,'Données projet'!$B$114,BY35+BX36-CG35)))</f>
        <v>0</v>
      </c>
      <c r="BZ36" s="150" t="str">
        <f>BY36*VLOOKUP('Données projet'!$B$12,'Paramètres'!$A$1:$I$88,3,0)*VLOOKUP('Données projet'!$B$12,'Paramètres'!$A$1:$I$88,5,0)</f>
        <v>#N/A</v>
      </c>
      <c r="CA36" s="150" t="str">
        <f t="shared" si="40"/>
        <v>#N/A</v>
      </c>
      <c r="CB36" s="161" t="str">
        <f t="shared" si="11"/>
        <v>#N/A</v>
      </c>
      <c r="CC36" s="153" t="str">
        <f t="shared" si="12"/>
        <v>#N/A</v>
      </c>
      <c r="CD36" s="153" t="str">
        <f>AVERAGE(OFFSET($CC$3,0,0,'Données projet'!$E$12+1,1))-AVERAGE(OFFSET($H$3,0,0,'Données projet'!$E$12+1,1))</f>
        <v>#N/A</v>
      </c>
      <c r="CE36" s="153" t="str">
        <f t="shared" si="41"/>
        <v>#N/A</v>
      </c>
      <c r="CF36" s="154">
        <f>IF(ISNA(VLOOKUP(A36,'Données projet'!$A$113:$I$133,3,0)),0,VLOOKUP(A36,'Données projet'!$A$113:$I$133,3,0))</f>
        <v>0</v>
      </c>
      <c r="CG36" s="154">
        <f>IF(ISNA(VLOOKUP(A36,'Données projet'!$A$113:$I$133,4,0)),0,VLOOKUP(A36,'Données projet'!$A$113:$I$133,4,0))</f>
        <v>0</v>
      </c>
      <c r="CH36" s="155">
        <f>IF(ISNA(VLOOKUP(A36,'Données projet'!$A$113:$I$133,5,0)),0%,VLOOKUP(A36,'Données projet'!$A$113:$I$133,5,0)*VLOOKUP('Données projet'!$B$12,'Paramètres'!$A$1:$I$88,7,0))</f>
        <v>0</v>
      </c>
      <c r="CI36" s="155">
        <f>IF(ISNA(VLOOKUP(A36,'Données projet'!$A$113:$I$133,6,0)),0%,VLOOKUP(A36,'Données projet'!$A$113:$I$133,6,0)*VLOOKUP('Données projet'!$B$12,'Paramètres'!$A$1:$I$88,7,0))</f>
        <v>0</v>
      </c>
      <c r="CJ36" s="155">
        <f>IF(ISNA(VLOOKUP(A36,'Données projet'!$A$113:$I$133,7,0)),0%,VLOOKUP(A36,'Données projet'!$A$113:$I$133,7,0))</f>
        <v>0</v>
      </c>
      <c r="CK36" s="162" t="str">
        <f>EXP(-LN(2)/35)*CK35+(1-EXP(-LN(2)/35))/(LN(2)/35)*CG36*CH36*VLOOKUP('Données projet'!$B$12,'Paramètres'!$A$1:$I$88,3,0)*0.475*44/12</f>
        <v>#N/A</v>
      </c>
      <c r="CL36" s="162" t="str">
        <f>EXP(-LN(2)/25)*CL35+(1-EXP(-LN(2)/25))/(LN(2)/25)*Calculateur!CG36*Calculateur!CI36*VLOOKUP('Données projet'!$B$12,'Paramètres'!$A$1:$I$88,3,0)*0.475*44/12</f>
        <v>#N/A</v>
      </c>
      <c r="CM36" s="162" t="str">
        <f>EXP(-LN(2)/2)*CM35+(1-EXP(-LN(2)/2))/(LN(2)/2)*CG36*CJ36*VLOOKUP('Données projet'!$B$12,'Paramètres'!$A$1:$I$88,3,0)*0.475*44/12</f>
        <v>#N/A</v>
      </c>
      <c r="CN36" s="163" t="str">
        <f t="shared" si="13"/>
        <v>#N/A</v>
      </c>
      <c r="CO36" s="159">
        <f>('Scénario référence'!$F$8+'Scénario référence'!$F$9+'Scénario référence'!$B$17+'Scénario référence'!$B$9+'Scénario référence'!$B$10)*70+IF((45+25*(1-EXP(-0.0175*A36)))&lt;70,'Scénario référence'!$B$16*(45+25*(1-EXP(-0.0175*A36))),70*'Scénario référence'!$B$16)+IF((32+38*(1-EXP(-0.0175*A36)))&lt;70,'Scénario référence'!$B$18*(32+38*(1-EXP(-0.0175*A36))),70*'Scénario référence'!$B$18)</f>
        <v>70</v>
      </c>
      <c r="CP36" s="151">
        <f>IF(A36&gt;30,10,('Scénario référence'!$B$16+'Scénario référence'!$B$17+'Scénario référence'!$B$18+'Scénario référence'!$B$9+'Scénario référence'!$B$10)*A36*10/30+('Scénario référence'!$F$8+'Scénario référence'!$F$9)*10)</f>
        <v>10</v>
      </c>
      <c r="CQ36" s="151" t="str">
        <f>VLOOKUP(A36,'Données projet'!$A$139:$I$159,2,0)</f>
        <v>#N/A</v>
      </c>
      <c r="CR36" s="151" t="str">
        <f>VLOOKUP(A36,'Données projet'!$A$139:$I$159,9,0)</f>
        <v>#N/A</v>
      </c>
      <c r="CS36" s="151" t="str">
        <f t="array" ref="CS36">INDEX(CR:CR,MIN(IF(ISNUMBER(CR36:CR232),ROW(CR36:CR232),"")))</f>
        <v/>
      </c>
      <c r="CT36" s="151">
        <f>IF('Données projet'!$A$140&gt;35,CT35+CS36-DB35,IF(A36&lt;'Données projet'!$A$140,$CQ$205^A36,IF(A36='Données projet'!$A$140,'Données projet'!$B$140,CT35+CS36-DB35)))</f>
        <v>0</v>
      </c>
      <c r="CU36" s="158" t="str">
        <f>CT36*VLOOKUP('Données projet'!$B$13,'Paramètres'!$A$1:$I$88,3,0)*VLOOKUP('Données projet'!$B$13,'Paramètres'!$A$1:$I$88,5,0)</f>
        <v>#N/A</v>
      </c>
      <c r="CV36" s="150" t="str">
        <f t="shared" si="42"/>
        <v>#N/A</v>
      </c>
      <c r="CW36" s="161" t="str">
        <f t="shared" si="14"/>
        <v>#N/A</v>
      </c>
      <c r="CX36" s="153" t="str">
        <f t="shared" si="15"/>
        <v>#N/A</v>
      </c>
      <c r="CY36" s="153" t="str">
        <f>AVERAGE(OFFSET($CX$3,0,0,'Données projet'!$E$13+1,1))-AVERAGE(OFFSET($H$3,0,0,'Données projet'!$E$13+1,1))</f>
        <v>#N/A</v>
      </c>
      <c r="CZ36" s="153" t="str">
        <f t="shared" si="43"/>
        <v>#N/A</v>
      </c>
      <c r="DA36" s="154">
        <f>IF(ISNA(VLOOKUP(A36,'Données projet'!$A$139:$I$159,3,0)),0,VLOOKUP(A36,'Données projet'!$A$139:$I$159,3,0))</f>
        <v>0</v>
      </c>
      <c r="DB36" s="154">
        <f>IF(ISNA(VLOOKUP(A36,'Données projet'!$A$139:$I$159,4,0)),0,VLOOKUP(A36,'Données projet'!$A$139:$I$159,4,0))</f>
        <v>0</v>
      </c>
      <c r="DC36" s="155">
        <f>IF(ISNA(VLOOKUP(A36,'Données projet'!$A$139:$I$159,5,0)),0%,VLOOKUP(A36,'Données projet'!$A$139:$I$159,5,0)*VLOOKUP('Données projet'!$B$13,'Paramètres'!$A$1:$I$88,7,0))</f>
        <v>0</v>
      </c>
      <c r="DD36" s="155">
        <f>IF(ISNA(VLOOKUP(A36,'Données projet'!$A$139:$I$159,6,0)),0%,VLOOKUP(A36,'Données projet'!$A$139:$I$159,6,0)*VLOOKUP('Données projet'!$B$13,'Paramètres'!$A$1:$I$88,7,0))</f>
        <v>0</v>
      </c>
      <c r="DE36" s="155">
        <f>IF(ISNA(VLOOKUP(A36,'Données projet'!$A$139:$I$159,7,0)),0%,VLOOKUP(A36,'Données projet'!$A$139:$I$159,7,0))</f>
        <v>0</v>
      </c>
      <c r="DF36" s="162" t="str">
        <f>EXP(-LN(2)/35)*DF35+(1-EXP(-LN(2)/35))/(LN(2)/35)*DB36*DC36*VLOOKUP('Données projet'!$B$13,'Paramètres'!$A$1:$I$88,3,0)*0.475*44/12</f>
        <v>#N/A</v>
      </c>
      <c r="DG36" s="162" t="str">
        <f>EXP(-LN(2)/25)*DG35+(1-EXP(-LN(2)/25))/(LN(2)/25)*Calculateur!DB36*Calculateur!DD36*VLOOKUP('Données projet'!$B$13,'Paramètres'!$A$1:$I$88,3,0)*0.475*44/12</f>
        <v>#N/A</v>
      </c>
      <c r="DH36" s="162" t="str">
        <f>EXP(-LN(2)/2)*DH35+(1-EXP(-LN(2)/2))/(LN(2)/2)*DB36*DE36*VLOOKUP('Données projet'!$B$13,'Paramètres'!$A$1:$I$88,3,0)*0.475*44/12</f>
        <v>#N/A</v>
      </c>
      <c r="DI36" s="163" t="str">
        <f t="shared" si="16"/>
        <v>#N/A</v>
      </c>
      <c r="DJ36" s="159">
        <f>('Scénario référence'!$F$8+'Scénario référence'!$F$9+'Scénario référence'!$B$17+'Scénario référence'!$B$9+'Scénario référence'!$B$10)*70+IF((45+25*(1-EXP(-0.0175*A36)))&lt;70,'Scénario référence'!$B$16*(45+25*(1-EXP(-0.0175*A36))),70*'Scénario référence'!$B$16)+IF((32+38*(1-EXP(-0.0175*A36)))&lt;70,'Scénario référence'!$B$18*(32+38*(1-EXP(-0.0175*A36))),70*'Scénario référence'!$B$18)</f>
        <v>70</v>
      </c>
      <c r="DK36" s="151">
        <f>IF(A36&gt;30,10,('Scénario référence'!$B$16+'Scénario référence'!$B$17+'Scénario référence'!$B$18+'Scénario référence'!$B$9+'Scénario référence'!$B$10)*A36*10/30+('Scénario référence'!$F$8+'Scénario référence'!$F$9)*10)</f>
        <v>10</v>
      </c>
      <c r="DL36" s="151" t="str">
        <f>VLOOKUP(A36,'Données projet'!$A$165:$I$185,2,0)</f>
        <v>#N/A</v>
      </c>
      <c r="DM36" s="151" t="str">
        <f>VLOOKUP(A36,'Données projet'!$A$165:$I$185,9,0)</f>
        <v>#N/A</v>
      </c>
      <c r="DN36" s="151" t="str">
        <f t="array" ref="DN36">INDEX(DM:DM,MIN(IF(ISNUMBER(DM36:DM232),ROW(DM36:DM232),"")))</f>
        <v/>
      </c>
      <c r="DO36" s="151">
        <f>IF('Données projet'!$A$166&gt;35,DO35+DN36-DW35,IF(A36&lt;'Données projet'!$A$166,$DL$205^A36,IF(A36='Données projet'!$A$166,'Données projet'!$B$166,DO35+DN36-DW35)))</f>
        <v>0</v>
      </c>
      <c r="DP36" s="158" t="str">
        <f>DO36*VLOOKUP('Données projet'!$B$14,'Paramètres'!$A$1:$I$88,3,0)*VLOOKUP('Données projet'!$B$14,'Paramètres'!$A$1:$I$88,5,0)</f>
        <v>#N/A</v>
      </c>
      <c r="DQ36" s="150" t="str">
        <f t="shared" si="44"/>
        <v>#N/A</v>
      </c>
      <c r="DR36" s="161" t="str">
        <f t="shared" si="17"/>
        <v>#N/A</v>
      </c>
      <c r="DS36" s="153" t="str">
        <f t="shared" si="18"/>
        <v>#N/A</v>
      </c>
      <c r="DT36" s="153" t="str">
        <f>AVERAGE(OFFSET($DS$3,0,0,'Données projet'!$E$14+1,1))-AVERAGE(OFFSET($H$3,0,0,'Données projet'!$E$14+1,1))</f>
        <v>#N/A</v>
      </c>
      <c r="DU36" s="153" t="str">
        <f t="shared" si="45"/>
        <v>#N/A</v>
      </c>
      <c r="DV36" s="154">
        <f>IF(ISNA(VLOOKUP(A36,'Données projet'!$A$165:$I$185,3,0)),0,VLOOKUP(A36,'Données projet'!$A$165:$I$185,3,0))</f>
        <v>0</v>
      </c>
      <c r="DW36" s="154">
        <f>IF(ISNA(VLOOKUP(A36,'Données projet'!$A$165:$I$185,4,0)),0,VLOOKUP(A36,'Données projet'!$A$165:$I$185,4,0))</f>
        <v>0</v>
      </c>
      <c r="DX36" s="155">
        <f>IF(ISNA(VLOOKUP(A36,'Données projet'!$A$165:$I$185,5,0)),0%,VLOOKUP(A36,'Données projet'!$A$165:$I$185,5,0)*VLOOKUP('Données projet'!$B$14,'Paramètres'!$A$1:$I$88,7,0))</f>
        <v>0</v>
      </c>
      <c r="DY36" s="155">
        <f>IF(ISNA(VLOOKUP(A36,'Données projet'!$A$165:$I$185,6,0)),0%,VLOOKUP(A36,'Données projet'!$A$165:$I$185,6,0)*VLOOKUP('Données projet'!$B$14,'Paramètres'!$A$1:$I$88,7,0))</f>
        <v>0</v>
      </c>
      <c r="DZ36" s="155">
        <f>IF(ISNA(VLOOKUP(A36,'Données projet'!$A$165:$I$185,7,0)),0%,VLOOKUP(A36,'Données projet'!$A$165:$I$185,7,0))</f>
        <v>0</v>
      </c>
      <c r="EA36" s="162" t="str">
        <f>EXP(-LN(2)/35)*EA35+(1-EXP(-LN(2)/35))/(LN(2)/35)*DW36*DX36*VLOOKUP('Données projet'!$B$14,'Paramètres'!$A$1:$I$88,3,0)*0.475*44/12</f>
        <v>#N/A</v>
      </c>
      <c r="EB36" s="162" t="str">
        <f>EXP(-LN(2)/25)*EB35+(1-EXP(-LN(2)/25))/(LN(2)/25)*Calculateur!DW36*Calculateur!DY36*VLOOKUP('Données projet'!$B$14,'Paramètres'!$A$1:$I$88,3,0)*0.475*44/12</f>
        <v>#N/A</v>
      </c>
      <c r="EC36" s="162" t="str">
        <f>EXP(-LN(2)/2)*EC35+(1-EXP(-LN(2)/2))/(LN(2)/2)*DW36*DZ36*VLOOKUP('Données projet'!$B$14,'Paramètres'!$A$1:$I$88,3,0)*0.475*44/12</f>
        <v>#N/A</v>
      </c>
      <c r="ED36" s="163" t="str">
        <f t="shared" si="19"/>
        <v>#N/A</v>
      </c>
      <c r="EE36" s="159">
        <f>('Scénario référence'!$F$8+'Scénario référence'!$F$9+'Scénario référence'!$B$17+'Scénario référence'!$B$9+'Scénario référence'!$B$10)*70+IF((45+25*(1-EXP(-0.0175*A36)))&lt;70,'Scénario référence'!$B$16*(45+25*(1-EXP(-0.0175*A36))),70*'Scénario référence'!$B$16)+IF((32+38*(1-EXP(-0.0175*A36)))&lt;70,'Scénario référence'!$B$18*(32+38*(1-EXP(-0.0175*A36))),70*'Scénario référence'!$B$18)</f>
        <v>70</v>
      </c>
      <c r="EF36" s="151">
        <f>IF(A36&gt;30,10,('Scénario référence'!$B$16+'Scénario référence'!$B$17+'Scénario référence'!$B$18+'Scénario référence'!$B$9+'Scénario référence'!$B$10)*A36*10/30+('Scénario référence'!$F$8+'Scénario référence'!$F$9)*10)</f>
        <v>10</v>
      </c>
      <c r="EG36" s="151" t="str">
        <f>VLOOKUP(A36,'Données projet'!$A$191:$I$211,2,0)</f>
        <v>#N/A</v>
      </c>
      <c r="EH36" s="151" t="str">
        <f>VLOOKUP(A36,'Données projet'!$A$191:$I$211,9,0)</f>
        <v>#N/A</v>
      </c>
      <c r="EI36" s="151" t="str">
        <f t="array" ref="EI36">INDEX(EH:EH,MIN(IF(ISNUMBER(EH36:EH232),ROW(EH36:EH232),"")))</f>
        <v/>
      </c>
      <c r="EJ36" s="151">
        <f>IF('Données projet'!$A$192&gt;35,EJ35+EI36-ER35,IF(A36&lt;'Données projet'!$A$192,$EG$205^A36,IF(A36='Données projet'!$A$192,'Données projet'!$B$192,EJ35+EI36-ER35)))</f>
        <v>0</v>
      </c>
      <c r="EK36" s="158" t="str">
        <f>EJ36*VLOOKUP('Données projet'!$B$15,'Paramètres'!$A$1:$I$88,3,0)*VLOOKUP('Données projet'!$B$15,'Paramètres'!$A$1:$I$88,5,0)</f>
        <v>#N/A</v>
      </c>
      <c r="EL36" s="150" t="str">
        <f t="shared" si="46"/>
        <v>#N/A</v>
      </c>
      <c r="EM36" s="161" t="str">
        <f t="shared" si="20"/>
        <v>#N/A</v>
      </c>
      <c r="EN36" s="153" t="str">
        <f t="shared" si="21"/>
        <v>#N/A</v>
      </c>
      <c r="EO36" s="153" t="str">
        <f>AVERAGE(OFFSET($EN$3,0,0,'Données projet'!$E$15+1,1))-AVERAGE(OFFSET($H$3,0,0,'Données projet'!$E$15+1,1))</f>
        <v>#N/A</v>
      </c>
      <c r="EP36" s="153" t="str">
        <f t="shared" si="47"/>
        <v>#N/A</v>
      </c>
      <c r="EQ36" s="154">
        <f>IF(ISNA(VLOOKUP(A36,'Données projet'!$A$191:$I$211,3,0)),0,VLOOKUP(A36,'Données projet'!$A$191:$I$211,3,0))</f>
        <v>0</v>
      </c>
      <c r="ER36" s="154">
        <f>IF(ISNA(VLOOKUP(A36,'Données projet'!$A$191:$I$211,4,0)),0,VLOOKUP(A36,'Données projet'!$A$191:$I$211,4,0))</f>
        <v>0</v>
      </c>
      <c r="ES36" s="155">
        <f>IF(ISNA(VLOOKUP(A36,'Données projet'!$A$191:$I$211,5,0)),0%,VLOOKUP(A36,'Données projet'!$A$191:$I$211,5,0)*VLOOKUP('Données projet'!$B$15,'Paramètres'!$A$1:$I$88,7,0))</f>
        <v>0</v>
      </c>
      <c r="ET36" s="155">
        <f>IF(ISNA(VLOOKUP(A36,'Données projet'!$A$191:$I$211,6,0)),0%,VLOOKUP(A36,'Données projet'!$A$191:$I$211,6,0)*VLOOKUP('Données projet'!$B$15,'Paramètres'!$A$1:$I$88,7,0))</f>
        <v>0</v>
      </c>
      <c r="EU36" s="155">
        <f>IF(ISNA(VLOOKUP(A36,'Données projet'!$A$191:$I$211,7,0)),0%,VLOOKUP(A36,'Données projet'!$A$191:$I$211,7,0))</f>
        <v>0</v>
      </c>
      <c r="EV36" s="162" t="str">
        <f>EXP(-LN(2)/35)*EV35+(1-EXP(-LN(2)/35))/(LN(2)/35)*ER36*ES36*VLOOKUP('Données projet'!$B$15,'Paramètres'!$A$1:$I$88,3,0)*0.475*44/12</f>
        <v>#N/A</v>
      </c>
      <c r="EW36" s="162" t="str">
        <f>EXP(-LN(2)/25)*EW35+(1-EXP(-LN(2)/25))/(LN(2)/25)*Calculateur!ER36*Calculateur!ET36*VLOOKUP('Données projet'!$B$15,'Paramètres'!$A$1:$I$88,3,0)*0.475*44/12</f>
        <v>#N/A</v>
      </c>
      <c r="EX36" s="162" t="str">
        <f>EXP(-LN(2)/2)*EX35+(1-EXP(-LN(2)/2))/(LN(2)/2)*ER36*EU36*VLOOKUP('Données projet'!$B$15,'Paramètres'!$A$1:$I$88,3,0)*0.475*44/12</f>
        <v>#N/A</v>
      </c>
      <c r="EY36" s="163" t="str">
        <f t="shared" si="22"/>
        <v>#N/A</v>
      </c>
      <c r="EZ36" s="159">
        <f>('Scénario référence'!$F$8+'Scénario référence'!$F$9+'Scénario référence'!$B$17+'Scénario référence'!$B$9+'Scénario référence'!$B$10)*70+IF((45+25*(1-EXP(-0.0175*A36)))&lt;70,'Scénario référence'!$B$16*(45+25*(1-EXP(-0.0175*A36))),70*'Scénario référence'!$B$16)+IF((32+38*(1-EXP(-0.0175*A36)))&lt;70,'Scénario référence'!$B$18*(32+38*(1-EXP(-0.0175*A36))),70*'Scénario référence'!$B$18)</f>
        <v>70</v>
      </c>
      <c r="FA36" s="151">
        <f>IF(A36&gt;30,10,('Scénario référence'!$B$16+'Scénario référence'!$B$17+'Scénario référence'!$B$18+'Scénario référence'!$B$9+'Scénario référence'!$B$10)*A36*10/30+('Scénario référence'!$F$8+'Scénario référence'!$F$9)*10)</f>
        <v>10</v>
      </c>
      <c r="FB36" s="151" t="str">
        <f>VLOOKUP(A36,'Données projet'!$A$217:$I$237,2,0)</f>
        <v>#N/A</v>
      </c>
      <c r="FC36" s="151" t="str">
        <f>VLOOKUP(A36,'Données projet'!$A$217:$I$237,9,0)</f>
        <v>#N/A</v>
      </c>
      <c r="FD36" s="151" t="str">
        <f t="array" ref="FD36">INDEX(FC:FC,MIN(IF(ISNUMBER(FC36:FC232),ROW(FC36:FC232),"")))</f>
        <v/>
      </c>
      <c r="FE36" s="151">
        <f>IF('Données projet'!$A$218&gt;35,FE35+FD36-FM35,IF(A36&lt;'Données projet'!$A$218,$FB$205^A36,IF(A36='Données projet'!$A$218,'Données projet'!$B$218,FE35+FD36-FM35)))</f>
        <v>0</v>
      </c>
      <c r="FF36" s="158" t="str">
        <f>FE36*VLOOKUP('Données projet'!$B$16,'Paramètres'!$A$1:$I$88,3,0)*VLOOKUP('Données projet'!$B$16,'Paramètres'!$A$1:$I$88,5,0)</f>
        <v>#N/A</v>
      </c>
      <c r="FG36" s="150" t="str">
        <f t="shared" si="48"/>
        <v>#N/A</v>
      </c>
      <c r="FH36" s="161" t="str">
        <f t="shared" si="23"/>
        <v>#N/A</v>
      </c>
      <c r="FI36" s="153" t="str">
        <f t="shared" si="24"/>
        <v>#N/A</v>
      </c>
      <c r="FJ36" s="153" t="str">
        <f>AVERAGE(OFFSET($FI$3,0,0,'Données projet'!$E$16+1,1))-AVERAGE(OFFSET($H$3,0,0,'Données projet'!$E$16+1,1))</f>
        <v>#N/A</v>
      </c>
      <c r="FK36" s="153" t="str">
        <f t="shared" si="49"/>
        <v>#N/A</v>
      </c>
      <c r="FL36" s="154">
        <f>IF(ISNA(VLOOKUP(A36,'Données projet'!$A$217:$I$237,3,0)),0,VLOOKUP(A36,'Données projet'!$A$217:$I$237,3,0))</f>
        <v>0</v>
      </c>
      <c r="FM36" s="154">
        <f>IF(ISNA(VLOOKUP(A36,'Données projet'!$A$217:$I$237,4,0)),0,VLOOKUP(A36,'Données projet'!$A$217:$I$237,4,0))</f>
        <v>0</v>
      </c>
      <c r="FN36" s="155">
        <f>IF(ISNA(VLOOKUP(A36,'Données projet'!$A$217:$I$237,5,0)),0%,VLOOKUP(A36,'Données projet'!$A$217:$I$237,5,0)*VLOOKUP('Données projet'!$B$16,'Paramètres'!$A$1:$I$88,7,0))</f>
        <v>0</v>
      </c>
      <c r="FO36" s="155">
        <f>IF(ISNA(VLOOKUP(A36,'Données projet'!$A$217:$I$237,6,0)),0%,VLOOKUP(A36,'Données projet'!$A$217:$I$237,6,0)*VLOOKUP('Données projet'!$B$16,'Paramètres'!$A$1:$I$88,7,0))</f>
        <v>0</v>
      </c>
      <c r="FP36" s="155">
        <f>IF(ISNA(VLOOKUP(A36,'Données projet'!$A$217:$I$237,7,0)),0%,VLOOKUP(A36,'Données projet'!$A$217:$I$237,7,0))</f>
        <v>0</v>
      </c>
      <c r="FQ36" s="162" t="str">
        <f>EXP(-LN(2)/35)*FQ35+(1-EXP(-LN(2)/35))/(LN(2)/35)*FM36*FN36*VLOOKUP('Données projet'!$B$16,'Paramètres'!$A$1:$I$88,3,0)*0.475*44/12</f>
        <v>#N/A</v>
      </c>
      <c r="FR36" s="162" t="str">
        <f>EXP(-LN(2)/25)*FR35+(1-EXP(-LN(2)/25))/(LN(2)/25)*Calculateur!FM36*Calculateur!FO36*VLOOKUP('Données projet'!$B$16,'Paramètres'!$A$1:$I$88,3,0)*0.475*44/12</f>
        <v>#N/A</v>
      </c>
      <c r="FS36" s="162" t="str">
        <f>EXP(-LN(2)/2)*FS35+(1-EXP(-LN(2)/2))/(LN(2)/2)*FM36*FP36*VLOOKUP('Données projet'!$B$16,'Paramètres'!$A$1:$I$88,3,0)*0.475*44/12</f>
        <v>#N/A</v>
      </c>
      <c r="FT36" s="163" t="str">
        <f t="shared" si="25"/>
        <v>#N/A</v>
      </c>
      <c r="FU36" s="159">
        <f>('Scénario référence'!$F$8+'Scénario référence'!$F$9+'Scénario référence'!$B$17+'Scénario référence'!$B$9+'Scénario référence'!$B$10)*70+IF((45+25*(1-EXP(-0.0175*A36)))&lt;70,'Scénario référence'!$B$16*(45+25*(1-EXP(-0.0175*A36))),70*'Scénario référence'!$B$16)+IF((32+38*(1-EXP(-0.0175*A36)))&lt;70,'Scénario référence'!$B$18*(32+38*(1-EXP(-0.0175*A36))),70*'Scénario référence'!$B$18)</f>
        <v>70</v>
      </c>
      <c r="FV36" s="151">
        <f>IF(A36&gt;30,10,('Scénario référence'!$B$16+'Scénario référence'!$B$17+'Scénario référence'!$B$18+'Scénario référence'!$B$9+'Scénario référence'!$B$10)*A36*10/30+('Scénario référence'!$F$8+'Scénario référence'!$F$9)*10)</f>
        <v>10</v>
      </c>
      <c r="FW36" s="151" t="str">
        <f>VLOOKUP(A36,'Données projet'!$A$243:$I$263,2,0)</f>
        <v>#N/A</v>
      </c>
      <c r="FX36" s="151" t="str">
        <f>VLOOKUP(A36,'Données projet'!$A$243:$I$263,9,0)</f>
        <v>#N/A</v>
      </c>
      <c r="FY36" s="151" t="str">
        <f t="array" ref="FY36">INDEX(FX:FX,MIN(IF(ISNUMBER(FX36:FX232),ROW(FX36:FX232),"")))</f>
        <v/>
      </c>
      <c r="FZ36" s="151">
        <f>IF('Données projet'!$A$244&gt;35,FZ35+FY36-GH35,IF(A36&lt;'Données projet'!$A$244,$FW$205^A36,IF(A36='Données projet'!$A$244,'Données projet'!$B$244,FZ35+FY36-GH35)))</f>
        <v>0</v>
      </c>
      <c r="GA36" s="158" t="str">
        <f>FZ36*VLOOKUP('Données projet'!$B$17,'Paramètres'!$A$1:$I$88,3,0)*VLOOKUP('Données projet'!$B$17,'Paramètres'!$A$1:$I$88,5,0)</f>
        <v>#N/A</v>
      </c>
      <c r="GB36" s="150" t="str">
        <f t="shared" si="50"/>
        <v>#N/A</v>
      </c>
      <c r="GC36" s="161" t="str">
        <f t="shared" si="26"/>
        <v>#N/A</v>
      </c>
      <c r="GD36" s="153" t="str">
        <f t="shared" si="27"/>
        <v>#N/A</v>
      </c>
      <c r="GE36" s="153" t="str">
        <f>AVERAGE(OFFSET($GD$3,0,0,'Données projet'!$E$17+1,1))-AVERAGE(OFFSET($H$3,0,0,'Données projet'!$E$17+1,1))</f>
        <v>#N/A</v>
      </c>
      <c r="GF36" s="153" t="str">
        <f t="shared" si="51"/>
        <v>#N/A</v>
      </c>
      <c r="GG36" s="154">
        <f>IF(ISNA(VLOOKUP(A36,'Données projet'!$A$243:$I$263,3,0)),0,VLOOKUP(A36,'Données projet'!$A$243:$I$263,3,0))</f>
        <v>0</v>
      </c>
      <c r="GH36" s="154">
        <f>IF(ISNA(VLOOKUP(A36,'Données projet'!$A$243:$I$263,4,0)),0,VLOOKUP(A36,'Données projet'!$A$243:$I$263,4,0))</f>
        <v>0</v>
      </c>
      <c r="GI36" s="155">
        <f>IF(ISNA(VLOOKUP(A36,'Données projet'!$A$243:$I$263,5,0)),0%,VLOOKUP(A36,'Données projet'!$A$243:$I$263,5,0)*VLOOKUP('Données projet'!$B$17,'Paramètres'!$A$1:$I$88,7,0))</f>
        <v>0</v>
      </c>
      <c r="GJ36" s="155">
        <f>IF(ISNA(VLOOKUP(A36,'Données projet'!$A$243:$I$263,6,0)),0%,VLOOKUP(A36,'Données projet'!$A$243:$I$263,6,0)*VLOOKUP('Données projet'!$B$17,'Paramètres'!$A$1:$I$88,7,0))</f>
        <v>0</v>
      </c>
      <c r="GK36" s="155">
        <f>IF(ISNA(VLOOKUP(A36,'Données projet'!$A$243:$I$263,7,0)),0%,VLOOKUP(A36,'Données projet'!$A$243:$I$263,7,0))</f>
        <v>0</v>
      </c>
      <c r="GL36" s="162" t="str">
        <f>EXP(-LN(2)/35)*GL35+(1-EXP(-LN(2)/35))/(LN(2)/35)*GH36*GI36*VLOOKUP('Données projet'!$B$17,'Paramètres'!$A$1:$I$88,3,0)*0.475*44/12</f>
        <v>#N/A</v>
      </c>
      <c r="GM36" s="162" t="str">
        <f>EXP(-LN(2)/25)*GM35+(1-EXP(-LN(2)/25))/(LN(2)/25)*Calculateur!GH36*Calculateur!GJ36*VLOOKUP('Données projet'!$B$17,'Paramètres'!$A$1:$I$88,3,0)*0.475*44/12</f>
        <v>#N/A</v>
      </c>
      <c r="GN36" s="162" t="str">
        <f>EXP(-LN(2)/2)*GN35+(1-EXP(-LN(2)/2))/(LN(2)/2)*GH36*GK36*VLOOKUP('Données projet'!$B$17,'Paramètres'!$A$1:$I$88,3,0)*0.475*44/12</f>
        <v>#N/A</v>
      </c>
      <c r="GO36" s="162" t="str">
        <f t="shared" si="28"/>
        <v>#N/A</v>
      </c>
      <c r="GP36" s="159">
        <f>('Scénario référence'!$F$8+'Scénario référence'!$F$9+'Scénario référence'!$B$17+'Scénario référence'!$B$9+'Scénario référence'!$B$10)*70+IF((45+25*(1-EXP(-0.0175*A36)))&lt;70,'Scénario référence'!$B$16*(45+25*(1-EXP(-0.0175*A36))),70*'Scénario référence'!$B$16)+IF((32+38*(1-EXP(-0.0175*A36)))&lt;70,'Scénario référence'!$B$18*(32+38*(1-EXP(-0.0175*A36))),70*'Scénario référence'!$B$18)</f>
        <v>70</v>
      </c>
      <c r="GQ36" s="151">
        <f>IF(A36&gt;30,10,('Scénario référence'!$B$16+'Scénario référence'!$B$17+'Scénario référence'!$B$18+'Scénario référence'!$B$9+'Scénario référence'!$B$10)*A36*10/30+('Scénario référence'!$F$8+'Scénario référence'!$F$9)*10)</f>
        <v>10</v>
      </c>
      <c r="GR36" s="151" t="str">
        <f>VLOOKUP(A36,'Données projet'!$A$269:$I$289,2,0)</f>
        <v>#N/A</v>
      </c>
      <c r="GS36" s="151" t="str">
        <f>VLOOKUP(A36,'Données projet'!$A$269:$I$289,9,0)</f>
        <v>#N/A</v>
      </c>
      <c r="GT36" s="151" t="str">
        <f t="array" ref="GT36">INDEX(GS:GS,MIN(IF(ISNUMBER(GS36:GS232),ROW(GS36:GS232),"")))</f>
        <v/>
      </c>
      <c r="GU36" s="151">
        <f>IF('Données projet'!$A$270&gt;35,GU35+GT36-HC35,IF(A36&lt;'Données projet'!$A$270,$GR$205^A36,IF(A36='Données projet'!$A$270,'Données projet'!$B$270,GU35+GT36-HC35)))</f>
        <v>0</v>
      </c>
      <c r="GV36" s="158" t="str">
        <f>GU36*VLOOKUP('Données projet'!$B$18,'Paramètres'!$A$1:$I$88,3,0)*VLOOKUP('Données projet'!$B$18,'Paramètres'!$A$1:$I$88,5,0)</f>
        <v>#N/A</v>
      </c>
      <c r="GW36" s="150" t="str">
        <f t="shared" si="52"/>
        <v>#N/A</v>
      </c>
      <c r="GX36" s="161" t="str">
        <f t="shared" si="29"/>
        <v>#N/A</v>
      </c>
      <c r="GY36" s="153" t="str">
        <f t="shared" si="30"/>
        <v>#N/A</v>
      </c>
      <c r="GZ36" s="153" t="str">
        <f>AVERAGE(OFFSET($GY$3,0,0,'Données projet'!$E$18+1,1))-AVERAGE(OFFSET($H$3,0,0,'Données projet'!$E$18+1,1))</f>
        <v>#N/A</v>
      </c>
      <c r="HA36" s="153" t="str">
        <f t="shared" si="53"/>
        <v>#N/A</v>
      </c>
      <c r="HB36" s="154">
        <f>IF(ISNA(VLOOKUP(A36,'Données projet'!$A$269:$I$289,3,0)),0,VLOOKUP(A36,'Données projet'!$A$269:$I$289,3,0))</f>
        <v>0</v>
      </c>
      <c r="HC36" s="154">
        <f>IF(ISNA(VLOOKUP(A36,'Données projet'!$A$269:$I$289,4,0)),0,VLOOKUP(A36,'Données projet'!$A$269:$I$289,4,0))</f>
        <v>0</v>
      </c>
      <c r="HD36" s="155">
        <f>IF(ISNA(VLOOKUP(A36,'Données projet'!$A$269:$I$289,5,0)),0%,VLOOKUP(A36,'Données projet'!$A$269:$I$289,5,0)*VLOOKUP('Données projet'!$B$18,'Paramètres'!$A$1:$I$88,7,0))</f>
        <v>0</v>
      </c>
      <c r="HE36" s="155">
        <f>IF(ISNA(VLOOKUP(A36,'Données projet'!$A$269:$I$289,6,0)),0%,VLOOKUP(A36,'Données projet'!$A$269:$I$289,6,0)*VLOOKUP('Données projet'!$B$18,'Paramètres'!$A$1:$I$88,7,0))</f>
        <v>0</v>
      </c>
      <c r="HF36" s="155">
        <f>IF(ISNA(VLOOKUP(A36,'Données projet'!$A$269:$I$289,7,0)),0%,VLOOKUP(A36,'Données projet'!$A$269:$I$289,7,0))</f>
        <v>0</v>
      </c>
      <c r="HG36" s="162" t="str">
        <f>EXP(-LN(2)/35)*HG35+(1-EXP(-LN(2)/35))/(LN(2)/35)*HC36*HD36*VLOOKUP('Données projet'!$B$18,'Paramètres'!$A$1:$I$88,3,0)*0.475*44/12</f>
        <v>#N/A</v>
      </c>
      <c r="HH36" s="162" t="str">
        <f>EXP(-LN(2)/25)*HH35+(1-EXP(-LN(2)/25))/(LN(2)/25)*Calculateur!HC36*Calculateur!HE36*VLOOKUP('Données projet'!$B$18,'Paramètres'!$A$1:$I$88,3,0)*0.475*44/12</f>
        <v>#N/A</v>
      </c>
      <c r="HI36" s="162" t="str">
        <f>EXP(-LN(2)/2)*HI35+(1-EXP(-LN(2)/2))/(LN(2)/2)*HC36*HF36*VLOOKUP('Données projet'!$B$18,'Paramètres'!$A$1:$I$88,3,0)*0.475*44/12</f>
        <v>#N/A</v>
      </c>
      <c r="HJ36" s="163" t="str">
        <f t="shared" si="31"/>
        <v>#N/A</v>
      </c>
    </row>
    <row r="37" ht="15.75" customHeight="1">
      <c r="A37" s="145">
        <f t="shared" si="32"/>
        <v>34</v>
      </c>
      <c r="B37" s="146">
        <f>'Scénario référence'!$B$16*5+'Scénario référence'!$B$17*0+'Scénario référence'!$B$18*5</f>
        <v>0</v>
      </c>
      <c r="C37" s="160">
        <f>Calculateur!C36+'Scénario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37" s="147">
        <f t="shared" si="33"/>
        <v>0</v>
      </c>
      <c r="E37" s="147">
        <f>'Scénario référence'!$B$16*45+('Scénario référence'!$B$17+'Scénario référence'!$F$8+'Scénario référence'!$F$9+'Scénario référence'!$B$10+'Scénario référence'!$B$9)*70+'Scénario référence'!$B$18*32</f>
        <v>70</v>
      </c>
      <c r="F37" s="147">
        <f>IF(OR('Scénario référence'!$F$8&gt;0,'Scénario référence'!$F$9&gt;0),('Scénario référence'!$F$8+'Scénario référence'!$F$9)*10,0)</f>
        <v>0</v>
      </c>
      <c r="G37" s="147">
        <f>'Scénario référence'!$B$8*B37*44/12+'Scénario référence'!$B$9*(C37+D37)/0.475*44/12+'Scénario référence'!$B$10*(C37+D37)/0.475*44/12+'Scénario référence'!$F$8*(C37+D37)/0.475*44/12+'Scénario référence'!$F$9*(C37+D37)/0.475*44/12</f>
        <v>0</v>
      </c>
      <c r="H37" s="148">
        <f t="shared" si="1"/>
        <v>256.6666667</v>
      </c>
      <c r="I37" s="149">
        <f>('Scénario référence'!$F$8+'Scénario référence'!$F$9+'Scénario référence'!$B$17+'Scénario référence'!$B$9+'Scénario référence'!$B$10)*70+IF((45+25*(1-EXP(-0.0175*A37)))&lt;70,'Scénario référence'!$B$16*(45+25*(1-EXP(-0.0175*A37))),70*'Scénario référence'!$B$16)+IF((32+38*(1-EXP(-0.0175*A37)))&lt;70,'Scénario référence'!$B$18*(32+38*(1-EXP(-0.0175*A37))),70*'Scénario référence'!$B$18)</f>
        <v>70</v>
      </c>
      <c r="J37" s="150">
        <f>IF(A37&gt;30,10,('Scénario référence'!$B$16+'Scénario référence'!$B$17+'Scénario référence'!$B$18+'Scénario référence'!$B$9+'Scénario référence'!$B$10)*A37*10/30+('Scénario référence'!$F$8+'Scénario référence'!$F$9)*10)</f>
        <v>10</v>
      </c>
      <c r="K37" s="151" t="str">
        <f>VLOOKUP(A37,'Données projet'!$A$35:$I$55,2,0)</f>
        <v>#N/A</v>
      </c>
      <c r="L37" s="151" t="str">
        <f>VLOOKUP(A37,'Données projet'!$A$35:$I$55,9,0)</f>
        <v>#N/A</v>
      </c>
      <c r="M37" s="150">
        <f t="array" ref="M37">INDEX(L:L,MIN(IF(ISNUMBER(L37:L233),ROW(L37:L233),"")))</f>
        <v>10.8</v>
      </c>
      <c r="N37" s="150">
        <f>IF('Données projet'!$A$36&gt;35,N36+M37-V36,IF(A37&lt;'Données projet'!$A$36,$K$205^A37,IF(A37='Données projet'!$A$36,'Données projet'!$B$36,N36+M37-V36)))</f>
        <v>136.2</v>
      </c>
      <c r="O37" s="150">
        <f>N37*VLOOKUP('Données projet'!$B$9,'Paramètres'!$A$1:$I$88,3,0)*VLOOKUP('Données projet'!$B$9,'Paramètres'!$A$1:$I$88,5,0)</f>
        <v>123.23376</v>
      </c>
      <c r="P37" s="150">
        <f t="shared" si="34"/>
        <v>32.4280495</v>
      </c>
      <c r="Q37" s="161">
        <f t="shared" si="2"/>
        <v>271.1109849</v>
      </c>
      <c r="R37" s="153">
        <f t="shared" si="3"/>
        <v>564.4443182</v>
      </c>
      <c r="S37" s="153">
        <f>AVERAGE(OFFSET($R$3,0,0,'Données projet'!$E$9+1,1))-AVERAGE(OFFSET($H$3,0,0,'Données projet'!$E$9+1,1))</f>
        <v>439.1985427</v>
      </c>
      <c r="T37" s="153">
        <f t="shared" si="35"/>
        <v>278.2174123</v>
      </c>
      <c r="U37" s="154">
        <f>IF(ISNA(VLOOKUP(A37,'Données projet'!$A$35:$I$55,3,0)),0,VLOOKUP(A37,'Données projet'!$A$35:$I$55,3,0))</f>
        <v>0</v>
      </c>
      <c r="V37" s="154">
        <f>IF(ISNA(VLOOKUP(A37,'Données projet'!$A$35:$I$55,4,0)),0,VLOOKUP(A37,'Données projet'!$A$35:$I$55,4,0))</f>
        <v>0</v>
      </c>
      <c r="W37" s="155">
        <f>IF(ISNA(VLOOKUP(A37,'Données projet'!$A$35:$I$55,5,0)),0%,VLOOKUP(A37,'Données projet'!$A$35:$I$55,5,0)*VLOOKUP('Données projet'!$B$9,'Paramètres'!$A$1:$I$88,7,0))</f>
        <v>0</v>
      </c>
      <c r="X37" s="155">
        <f>IF(ISNA(VLOOKUP(A37,'Données projet'!$A$35:$I$55,6,0)),0%,VLOOKUP(A37,'Données projet'!$A$35:$I$55,6,0)*VLOOKUP('Données projet'!$B$9,'Paramètres'!$A$1:$I$88,7,0))</f>
        <v>0</v>
      </c>
      <c r="Y37" s="155">
        <f>IF(ISNA(VLOOKUP(A37,'Données projet'!$A$35:$I$55,7,0)),0%,VLOOKUP(A37,'Données projet'!$A$35:$I$55,7,0))</f>
        <v>0</v>
      </c>
      <c r="Z37" s="162">
        <f>EXP(-LN(2)/35)*Z36+(1-EXP(-LN(2)/35))/(LN(2)/35)*V37*W37*VLOOKUP('Données projet'!$B$9,'Paramètres'!$A$1:$I$88,3,0)*0.475*44/12</f>
        <v>0</v>
      </c>
      <c r="AA37" s="162">
        <f>EXP(-LN(2)/25)*AA36+(1-EXP(-LN(2)/25))/(LN(2)/25)*Calculateur!V37*Calculateur!X37*VLOOKUP('Données projet'!$B$9,'Paramètres'!$A$1:$I$88,3,0)*0.475*44/12</f>
        <v>4.016497303</v>
      </c>
      <c r="AB37" s="162">
        <f>EXP(-LN(2)/2)*AB36+(1-EXP(-LN(2)/2))/(LN(2)/2)*V37*Y37*VLOOKUP('Données projet'!$B$9,'Paramètres'!$A$1:$I$88,3,0)*0.475*44/12</f>
        <v>0</v>
      </c>
      <c r="AC37" s="163">
        <f t="shared" si="4"/>
        <v>4.016497303</v>
      </c>
      <c r="AD37" s="150">
        <f>('Scénario référence'!$F$8+'Scénario référence'!$F$9+'Scénario référence'!$B$17+'Scénario référence'!$B$9+'Scénario référence'!$B$10)*70+IF((45+25*(1-EXP(-0.0175*A37)))&lt;70,'Scénario référence'!$B$16*(45+25*(1-EXP(-0.0175*A37))),70*'Scénario référence'!$B$16)+IF((32+38*(1-EXP(-0.0175*A37)))&lt;70,'Scénario référence'!$B$18*(32+38*(1-EXP(-0.0175*A37))),70*'Scénario référence'!$B$18)</f>
        <v>70</v>
      </c>
      <c r="AE37" s="150">
        <f>IF(A37&gt;30,10,('Scénario référence'!$B$16+'Scénario référence'!$B$17+'Scénario référence'!$B$18+'Scénario référence'!$B$9+'Scénario référence'!$B$10)*A37*10/30+('Scénario référence'!$F$8+'Scénario référence'!$F$9)*10)</f>
        <v>10</v>
      </c>
      <c r="AF37" s="151" t="str">
        <f>VLOOKUP(A37,'Données projet'!$A$61:$I$81,2,0)</f>
        <v>#N/A</v>
      </c>
      <c r="AG37" s="151" t="str">
        <f>VLOOKUP(A37,'Données projet'!$A$61:$I$81,9,0)</f>
        <v>#N/A</v>
      </c>
      <c r="AH37" s="150">
        <f t="array" ref="AH37">INDEX(AG:AG,MIN(IF(ISNUMBER(AG37:AG233),ROW(AG37:AG233),"")))</f>
        <v>15.2</v>
      </c>
      <c r="AI37" s="150">
        <f>IF('Données projet'!$A$62&gt;35,AI36+AH37-AQ36,IF(A37&lt;'Données projet'!$A$62,$AF$205^A37,IF(A37='Données projet'!$A$62,'Données projet'!$B$62,AI36+AH37-AQ36)))</f>
        <v>223.8</v>
      </c>
      <c r="AJ37" s="150">
        <f>AI37*VLOOKUP('Données projet'!$B$10,'Paramètres'!$A$1:$I$88,3,0)*VLOOKUP('Données projet'!$B$10,'Paramètres'!$A$1:$I$88,5,0)</f>
        <v>178.05528</v>
      </c>
      <c r="AK37" s="150">
        <f t="shared" si="36"/>
        <v>44.88924864</v>
      </c>
      <c r="AL37" s="161">
        <f t="shared" si="5"/>
        <v>388.295054</v>
      </c>
      <c r="AM37" s="153">
        <f t="shared" si="6"/>
        <v>681.6283874</v>
      </c>
      <c r="AN37" s="153">
        <f>AVERAGE(OFFSET($AM$3,0,0,'Données projet'!$E$10+1,1))-AVERAGE(OFFSET($H$3,0,0,'Données projet'!$E$10+1,1))</f>
        <v>405.6113614</v>
      </c>
      <c r="AO37" s="153">
        <f t="shared" si="37"/>
        <v>393.0787141</v>
      </c>
      <c r="AP37" s="154">
        <f>IF(ISNA(VLOOKUP(A37,'Données projet'!$A$61:$I$81,3,0)),0,VLOOKUP(A37,'Données projet'!$A$61:$I$81,3,0))</f>
        <v>0</v>
      </c>
      <c r="AQ37" s="154">
        <f>IF(ISNA(VLOOKUP(A37,'Données projet'!$A$61:$I$81,4,0)),0,VLOOKUP(A37,'Données projet'!$A$61:$I$81,4,0))</f>
        <v>0</v>
      </c>
      <c r="AR37" s="155">
        <f>IF(ISNA(VLOOKUP(A37,'Données projet'!$A$61:$I$81,5,0)),0%,VLOOKUP(A37,'Données projet'!$A$61:$I$81,5,0)*VLOOKUP('Données projet'!$B$10,'Paramètres'!$A$1:$I$88,7,0))</f>
        <v>0</v>
      </c>
      <c r="AS37" s="155">
        <f>IF(ISNA(VLOOKUP(A37,'Données projet'!$A$61:$I$81,6,0)),0%,VLOOKUP(A37,'Données projet'!$A$61:$I$81,6,0)*VLOOKUP('Données projet'!$B$10,'Paramètres'!$A$1:$I$88,7,0))</f>
        <v>0</v>
      </c>
      <c r="AT37" s="155">
        <f>IF(ISNA(VLOOKUP(A37,'Données projet'!$A$61:$I$81,7,0)),0%,VLOOKUP(A37,'Données projet'!$A$61:$I$81,7,0))</f>
        <v>0</v>
      </c>
      <c r="AU37" s="162">
        <f>EXP(-LN(2)/35)*AU36+(1-EXP(-LN(2)/35))/(LN(2)/35)*AQ37*AR37*VLOOKUP('Données projet'!$B$10,'Paramètres'!$A$1:$I$88,3,0)*0.475*44/12</f>
        <v>0</v>
      </c>
      <c r="AV37" s="162">
        <f>EXP(-LN(2)/25)*AV36+(1-EXP(-LN(2)/25))/(LN(2)/25)*Calculateur!AQ37*Calculateur!AS37*VLOOKUP('Données projet'!$B$10,'Paramètres'!$A$1:$I$88,3,0)*0.475*44/12</f>
        <v>16.32406607</v>
      </c>
      <c r="AW37" s="162">
        <f>EXP(-LN(2)/2)*AW36+(1-EXP(-LN(2)/2))/(LN(2)/2)*AQ37*AT37*VLOOKUP('Données projet'!$B$10,'Paramètres'!$A$1:$I$88,3,0)*0.475*44/12</f>
        <v>0.144928051</v>
      </c>
      <c r="AX37" s="162">
        <f t="shared" si="7"/>
        <v>16.46899412</v>
      </c>
      <c r="AY37" s="157">
        <f>('Scénario référence'!$F$8+'Scénario référence'!$F$9+'Scénario référence'!$B$17+'Scénario référence'!$B$9+'Scénario référence'!$B$10)*70+IF((45+25*(1-EXP(-0.0175*A37)))&lt;70,'Scénario référence'!$B$16*(45+25*(1-EXP(-0.0175*A37))),70*'Scénario référence'!$B$16)+IF((32+38*(1-EXP(-0.0175*A37)))&lt;70,'Scénario référence'!$B$18*(32+38*(1-EXP(-0.0175*A37))),70*'Scénario référence'!$B$18)</f>
        <v>70</v>
      </c>
      <c r="AZ37" s="151">
        <f>IF(A37&gt;30,10,('Scénario référence'!$B$16+'Scénario référence'!$B$17+'Scénario référence'!$B$18+'Scénario référence'!$B$9+'Scénario référence'!$B$10)*A37*10/30+('Scénario référence'!$F$8+'Scénario référence'!$F$9)*10)</f>
        <v>10</v>
      </c>
      <c r="BA37" s="151" t="str">
        <f>VLOOKUP(A37,'Données projet'!$A$87:$I$107,2,0)</f>
        <v>#N/A</v>
      </c>
      <c r="BB37" s="151" t="str">
        <f>VLOOKUP(A37,'Données projet'!$A$87:$I$107,9,0)</f>
        <v>#N/A</v>
      </c>
      <c r="BC37" s="150" t="str">
        <f t="array" ref="BC37">INDEX(BB:BB,MIN(IF(ISNUMBER(BB37:BB233),ROW(BB37:BB233),"")))</f>
        <v/>
      </c>
      <c r="BD37" s="150">
        <f>IF('Données projet'!$A$88&gt;35,BD36+BC37-BL36,IF(A37&lt;'Données projet'!$A$88,$BA$205^A37,IF(A37='Données projet'!$A$88,'Données projet'!$B$88,BD36+BC37-BL36)))</f>
        <v>0</v>
      </c>
      <c r="BE37" s="150">
        <f>BD37*VLOOKUP('Données projet'!$B$11,'Paramètres'!$A$1:$I$88,3,0)*VLOOKUP('Données projet'!$B$11,'Paramètres'!$A$1:$I$88,5,0)</f>
        <v>0</v>
      </c>
      <c r="BF37" s="150" t="str">
        <f t="shared" si="38"/>
        <v>#NUM!</v>
      </c>
      <c r="BG37" s="161" t="str">
        <f t="shared" si="8"/>
        <v>#NUM!</v>
      </c>
      <c r="BH37" s="153" t="str">
        <f t="shared" si="9"/>
        <v>#NUM!</v>
      </c>
      <c r="BI37" s="153">
        <f>AVERAGE(OFFSET($BH$3,0,0,'Données projet'!$E$11+1,1))-AVERAGE(OFFSET($H$3,0,0,'Données projet'!$E$11+1,1))</f>
        <v>0</v>
      </c>
      <c r="BJ37" s="153">
        <f t="shared" si="39"/>
        <v>0</v>
      </c>
      <c r="BK37" s="154">
        <f>IF(ISNA(VLOOKUP(A37,'Données projet'!$A$87:$I$107,3,0)),0,VLOOKUP(A37,'Données projet'!$A$87:$I$107,3,0))</f>
        <v>0</v>
      </c>
      <c r="BL37" s="154">
        <f>IF(ISNA(VLOOKUP(A37,'Données projet'!$A$87:$I$107,4,0)),0,VLOOKUP(A37,'Données projet'!$A$87:$I$107,4,0))</f>
        <v>0</v>
      </c>
      <c r="BM37" s="155">
        <f>IF(ISNA(VLOOKUP(A37,'Données projet'!$A$87:$I$107,5,0)),0%,VLOOKUP(A37,'Données projet'!$A$87:$I$107,5,0)*VLOOKUP('Données projet'!$B$11,'Paramètres'!$A$1:$I$88,7,0))</f>
        <v>0</v>
      </c>
      <c r="BN37" s="155">
        <f>IF(ISNA(VLOOKUP(A37,'Données projet'!$A$87:$I$107,6,0)),0%,VLOOKUP(A37,'Données projet'!$A$87:$I$107,6,0)*VLOOKUP('Données projet'!$B$11,'Paramètres'!$A$1:$I$88,7,0))</f>
        <v>0</v>
      </c>
      <c r="BO37" s="155">
        <f>IF(ISNA(VLOOKUP(A37,'Données projet'!$A$87:$I$107,7,0)),0%,VLOOKUP(A37,'Données projet'!$A$87:$I$107,7,0))</f>
        <v>0</v>
      </c>
      <c r="BP37" s="162">
        <f>EXP(-LN(2)/35)*BP36+(1-EXP(-LN(2)/35))/(LN(2)/35)*BL37*BM37*VLOOKUP('Données projet'!$B$11,'Paramètres'!$A$1:$I$88,3,0)*0.475*44/12</f>
        <v>0</v>
      </c>
      <c r="BQ37" s="162">
        <f>EXP(-LN(2)/25)*BQ36+(1-EXP(-LN(2)/25))/(LN(2)/25)*Calculateur!BL37*Calculateur!BN37*VLOOKUP('Données projet'!$B$11,'Paramètres'!$A$1:$I$88,3,0)*0.475*44/12</f>
        <v>0</v>
      </c>
      <c r="BR37" s="162">
        <f>EXP(-LN(2)/2)*BR36+(1-EXP(-LN(2)/2))/(LN(2)/2)*BL37*BO37*VLOOKUP('Données projet'!$B$11,'Paramètres'!$A$1:$I$88,3,0)*0.475*44/12</f>
        <v>0</v>
      </c>
      <c r="BS37" s="163">
        <f t="shared" si="10"/>
        <v>0</v>
      </c>
      <c r="BT37" s="159">
        <f>('Scénario référence'!$F$8+'Scénario référence'!$F$9+'Scénario référence'!$B$17+'Scénario référence'!$B$9+'Scénario référence'!$B$10)*70+IF((45+25*(1-EXP(-0.0175*A37)))&lt;70,'Scénario référence'!$B$16*(45+25*(1-EXP(-0.0175*A37))),70*'Scénario référence'!$B$16)+IF((32+38*(1-EXP(-0.0175*A37)))&lt;70,'Scénario référence'!$B$18*(32+38*(1-EXP(-0.0175*A37))),70*'Scénario référence'!$B$18)</f>
        <v>70</v>
      </c>
      <c r="BU37" s="151">
        <f>IF(A37&gt;30,10,('Scénario référence'!$B$16+'Scénario référence'!$B$17+'Scénario référence'!$B$18+'Scénario référence'!$B$9+'Scénario référence'!$B$10)*A37*10/30+('Scénario référence'!$F$8+'Scénario référence'!$F$9)*10)</f>
        <v>10</v>
      </c>
      <c r="BV37" s="151" t="str">
        <f>VLOOKUP(A37,'Données projet'!$A$113:$I$133,2,0)</f>
        <v>#N/A</v>
      </c>
      <c r="BW37" s="151" t="str">
        <f>VLOOKUP(A37,'Données projet'!$A$113:$I$133,9,0)</f>
        <v>#N/A</v>
      </c>
      <c r="BX37" s="150" t="str">
        <f t="array" ref="BX37">INDEX(BW:BW,MIN(IF(ISNUMBER(BW37:BW233),ROW(BW37:BW233),"")))</f>
        <v/>
      </c>
      <c r="BY37" s="150">
        <f>IF('Données projet'!$A$114&gt;35,BY36+BX37-CG36,IF(A37&lt;'Données projet'!$A$114,$BV$205^A37,IF(A37='Données projet'!$A$114,'Données projet'!$B$114,BY36+BX37-CG36)))</f>
        <v>0</v>
      </c>
      <c r="BZ37" s="150" t="str">
        <f>BY37*VLOOKUP('Données projet'!$B$12,'Paramètres'!$A$1:$I$88,3,0)*VLOOKUP('Données projet'!$B$12,'Paramètres'!$A$1:$I$88,5,0)</f>
        <v>#N/A</v>
      </c>
      <c r="CA37" s="150" t="str">
        <f t="shared" si="40"/>
        <v>#N/A</v>
      </c>
      <c r="CB37" s="161" t="str">
        <f t="shared" si="11"/>
        <v>#N/A</v>
      </c>
      <c r="CC37" s="153" t="str">
        <f t="shared" si="12"/>
        <v>#N/A</v>
      </c>
      <c r="CD37" s="153" t="str">
        <f>AVERAGE(OFFSET($CC$3,0,0,'Données projet'!$E$12+1,1))-AVERAGE(OFFSET($H$3,0,0,'Données projet'!$E$12+1,1))</f>
        <v>#N/A</v>
      </c>
      <c r="CE37" s="153" t="str">
        <f t="shared" si="41"/>
        <v>#N/A</v>
      </c>
      <c r="CF37" s="154">
        <f>IF(ISNA(VLOOKUP(A37,'Données projet'!$A$113:$I$133,3,0)),0,VLOOKUP(A37,'Données projet'!$A$113:$I$133,3,0))</f>
        <v>0</v>
      </c>
      <c r="CG37" s="154">
        <f>IF(ISNA(VLOOKUP(A37,'Données projet'!$A$113:$I$133,4,0)),0,VLOOKUP(A37,'Données projet'!$A$113:$I$133,4,0))</f>
        <v>0</v>
      </c>
      <c r="CH37" s="155">
        <f>IF(ISNA(VLOOKUP(A37,'Données projet'!$A$113:$I$133,5,0)),0%,VLOOKUP(A37,'Données projet'!$A$113:$I$133,5,0)*VLOOKUP('Données projet'!$B$12,'Paramètres'!$A$1:$I$88,7,0))</f>
        <v>0</v>
      </c>
      <c r="CI37" s="155">
        <f>IF(ISNA(VLOOKUP(A37,'Données projet'!$A$113:$I$133,6,0)),0%,VLOOKUP(A37,'Données projet'!$A$113:$I$133,6,0)*VLOOKUP('Données projet'!$B$12,'Paramètres'!$A$1:$I$88,7,0))</f>
        <v>0</v>
      </c>
      <c r="CJ37" s="155">
        <f>IF(ISNA(VLOOKUP(A37,'Données projet'!$A$113:$I$133,7,0)),0%,VLOOKUP(A37,'Données projet'!$A$113:$I$133,7,0))</f>
        <v>0</v>
      </c>
      <c r="CK37" s="162" t="str">
        <f>EXP(-LN(2)/35)*CK36+(1-EXP(-LN(2)/35))/(LN(2)/35)*CG37*CH37*VLOOKUP('Données projet'!$B$12,'Paramètres'!$A$1:$I$88,3,0)*0.475*44/12</f>
        <v>#N/A</v>
      </c>
      <c r="CL37" s="162" t="str">
        <f>EXP(-LN(2)/25)*CL36+(1-EXP(-LN(2)/25))/(LN(2)/25)*Calculateur!CG37*Calculateur!CI37*VLOOKUP('Données projet'!$B$12,'Paramètres'!$A$1:$I$88,3,0)*0.475*44/12</f>
        <v>#N/A</v>
      </c>
      <c r="CM37" s="162" t="str">
        <f>EXP(-LN(2)/2)*CM36+(1-EXP(-LN(2)/2))/(LN(2)/2)*CG37*CJ37*VLOOKUP('Données projet'!$B$12,'Paramètres'!$A$1:$I$88,3,0)*0.475*44/12</f>
        <v>#N/A</v>
      </c>
      <c r="CN37" s="163" t="str">
        <f t="shared" si="13"/>
        <v>#N/A</v>
      </c>
      <c r="CO37" s="159">
        <f>('Scénario référence'!$F$8+'Scénario référence'!$F$9+'Scénario référence'!$B$17+'Scénario référence'!$B$9+'Scénario référence'!$B$10)*70+IF((45+25*(1-EXP(-0.0175*A37)))&lt;70,'Scénario référence'!$B$16*(45+25*(1-EXP(-0.0175*A37))),70*'Scénario référence'!$B$16)+IF((32+38*(1-EXP(-0.0175*A37)))&lt;70,'Scénario référence'!$B$18*(32+38*(1-EXP(-0.0175*A37))),70*'Scénario référence'!$B$18)</f>
        <v>70</v>
      </c>
      <c r="CP37" s="151">
        <f>IF(A37&gt;30,10,('Scénario référence'!$B$16+'Scénario référence'!$B$17+'Scénario référence'!$B$18+'Scénario référence'!$B$9+'Scénario référence'!$B$10)*A37*10/30+('Scénario référence'!$F$8+'Scénario référence'!$F$9)*10)</f>
        <v>10</v>
      </c>
      <c r="CQ37" s="151" t="str">
        <f>VLOOKUP(A37,'Données projet'!$A$139:$I$159,2,0)</f>
        <v>#N/A</v>
      </c>
      <c r="CR37" s="151" t="str">
        <f>VLOOKUP(A37,'Données projet'!$A$139:$I$159,9,0)</f>
        <v>#N/A</v>
      </c>
      <c r="CS37" s="151" t="str">
        <f t="array" ref="CS37">INDEX(CR:CR,MIN(IF(ISNUMBER(CR37:CR233),ROW(CR37:CR233),"")))</f>
        <v/>
      </c>
      <c r="CT37" s="151">
        <f>IF('Données projet'!$A$140&gt;35,CT36+CS37-DB36,IF(A37&lt;'Données projet'!$A$140,$CQ$205^A37,IF(A37='Données projet'!$A$140,'Données projet'!$B$140,CT36+CS37-DB36)))</f>
        <v>0</v>
      </c>
      <c r="CU37" s="158" t="str">
        <f>CT37*VLOOKUP('Données projet'!$B$13,'Paramètres'!$A$1:$I$88,3,0)*VLOOKUP('Données projet'!$B$13,'Paramètres'!$A$1:$I$88,5,0)</f>
        <v>#N/A</v>
      </c>
      <c r="CV37" s="150" t="str">
        <f t="shared" si="42"/>
        <v>#N/A</v>
      </c>
      <c r="CW37" s="161" t="str">
        <f t="shared" si="14"/>
        <v>#N/A</v>
      </c>
      <c r="CX37" s="153" t="str">
        <f t="shared" si="15"/>
        <v>#N/A</v>
      </c>
      <c r="CY37" s="153" t="str">
        <f>AVERAGE(OFFSET($CX$3,0,0,'Données projet'!$E$13+1,1))-AVERAGE(OFFSET($H$3,0,0,'Données projet'!$E$13+1,1))</f>
        <v>#N/A</v>
      </c>
      <c r="CZ37" s="153" t="str">
        <f t="shared" si="43"/>
        <v>#N/A</v>
      </c>
      <c r="DA37" s="154">
        <f>IF(ISNA(VLOOKUP(A37,'Données projet'!$A$139:$I$159,3,0)),0,VLOOKUP(A37,'Données projet'!$A$139:$I$159,3,0))</f>
        <v>0</v>
      </c>
      <c r="DB37" s="154">
        <f>IF(ISNA(VLOOKUP(A37,'Données projet'!$A$139:$I$159,4,0)),0,VLOOKUP(A37,'Données projet'!$A$139:$I$159,4,0))</f>
        <v>0</v>
      </c>
      <c r="DC37" s="155">
        <f>IF(ISNA(VLOOKUP(A37,'Données projet'!$A$139:$I$159,5,0)),0%,VLOOKUP(A37,'Données projet'!$A$139:$I$159,5,0)*VLOOKUP('Données projet'!$B$13,'Paramètres'!$A$1:$I$88,7,0))</f>
        <v>0</v>
      </c>
      <c r="DD37" s="155">
        <f>IF(ISNA(VLOOKUP(A37,'Données projet'!$A$139:$I$159,6,0)),0%,VLOOKUP(A37,'Données projet'!$A$139:$I$159,6,0)*VLOOKUP('Données projet'!$B$13,'Paramètres'!$A$1:$I$88,7,0))</f>
        <v>0</v>
      </c>
      <c r="DE37" s="155">
        <f>IF(ISNA(VLOOKUP(A37,'Données projet'!$A$139:$I$159,7,0)),0%,VLOOKUP(A37,'Données projet'!$A$139:$I$159,7,0))</f>
        <v>0</v>
      </c>
      <c r="DF37" s="162" t="str">
        <f>EXP(-LN(2)/35)*DF36+(1-EXP(-LN(2)/35))/(LN(2)/35)*DB37*DC37*VLOOKUP('Données projet'!$B$13,'Paramètres'!$A$1:$I$88,3,0)*0.475*44/12</f>
        <v>#N/A</v>
      </c>
      <c r="DG37" s="162" t="str">
        <f>EXP(-LN(2)/25)*DG36+(1-EXP(-LN(2)/25))/(LN(2)/25)*Calculateur!DB37*Calculateur!DD37*VLOOKUP('Données projet'!$B$13,'Paramètres'!$A$1:$I$88,3,0)*0.475*44/12</f>
        <v>#N/A</v>
      </c>
      <c r="DH37" s="162" t="str">
        <f>EXP(-LN(2)/2)*DH36+(1-EXP(-LN(2)/2))/(LN(2)/2)*DB37*DE37*VLOOKUP('Données projet'!$B$13,'Paramètres'!$A$1:$I$88,3,0)*0.475*44/12</f>
        <v>#N/A</v>
      </c>
      <c r="DI37" s="163" t="str">
        <f t="shared" si="16"/>
        <v>#N/A</v>
      </c>
      <c r="DJ37" s="159">
        <f>('Scénario référence'!$F$8+'Scénario référence'!$F$9+'Scénario référence'!$B$17+'Scénario référence'!$B$9+'Scénario référence'!$B$10)*70+IF((45+25*(1-EXP(-0.0175*A37)))&lt;70,'Scénario référence'!$B$16*(45+25*(1-EXP(-0.0175*A37))),70*'Scénario référence'!$B$16)+IF((32+38*(1-EXP(-0.0175*A37)))&lt;70,'Scénario référence'!$B$18*(32+38*(1-EXP(-0.0175*A37))),70*'Scénario référence'!$B$18)</f>
        <v>70</v>
      </c>
      <c r="DK37" s="151">
        <f>IF(A37&gt;30,10,('Scénario référence'!$B$16+'Scénario référence'!$B$17+'Scénario référence'!$B$18+'Scénario référence'!$B$9+'Scénario référence'!$B$10)*A37*10/30+('Scénario référence'!$F$8+'Scénario référence'!$F$9)*10)</f>
        <v>10</v>
      </c>
      <c r="DL37" s="151" t="str">
        <f>VLOOKUP(A37,'Données projet'!$A$165:$I$185,2,0)</f>
        <v>#N/A</v>
      </c>
      <c r="DM37" s="151" t="str">
        <f>VLOOKUP(A37,'Données projet'!$A$165:$I$185,9,0)</f>
        <v>#N/A</v>
      </c>
      <c r="DN37" s="151" t="str">
        <f t="array" ref="DN37">INDEX(DM:DM,MIN(IF(ISNUMBER(DM37:DM233),ROW(DM37:DM233),"")))</f>
        <v/>
      </c>
      <c r="DO37" s="151">
        <f>IF('Données projet'!$A$166&gt;35,DO36+DN37-DW36,IF(A37&lt;'Données projet'!$A$166,$DL$205^A37,IF(A37='Données projet'!$A$166,'Données projet'!$B$166,DO36+DN37-DW36)))</f>
        <v>0</v>
      </c>
      <c r="DP37" s="158" t="str">
        <f>DO37*VLOOKUP('Données projet'!$B$14,'Paramètres'!$A$1:$I$88,3,0)*VLOOKUP('Données projet'!$B$14,'Paramètres'!$A$1:$I$88,5,0)</f>
        <v>#N/A</v>
      </c>
      <c r="DQ37" s="150" t="str">
        <f t="shared" si="44"/>
        <v>#N/A</v>
      </c>
      <c r="DR37" s="161" t="str">
        <f t="shared" si="17"/>
        <v>#N/A</v>
      </c>
      <c r="DS37" s="153" t="str">
        <f t="shared" si="18"/>
        <v>#N/A</v>
      </c>
      <c r="DT37" s="153" t="str">
        <f>AVERAGE(OFFSET($DS$3,0,0,'Données projet'!$E$14+1,1))-AVERAGE(OFFSET($H$3,0,0,'Données projet'!$E$14+1,1))</f>
        <v>#N/A</v>
      </c>
      <c r="DU37" s="153" t="str">
        <f t="shared" si="45"/>
        <v>#N/A</v>
      </c>
      <c r="DV37" s="154">
        <f>IF(ISNA(VLOOKUP(A37,'Données projet'!$A$165:$I$185,3,0)),0,VLOOKUP(A37,'Données projet'!$A$165:$I$185,3,0))</f>
        <v>0</v>
      </c>
      <c r="DW37" s="154">
        <f>IF(ISNA(VLOOKUP(A37,'Données projet'!$A$165:$I$185,4,0)),0,VLOOKUP(A37,'Données projet'!$A$165:$I$185,4,0))</f>
        <v>0</v>
      </c>
      <c r="DX37" s="155">
        <f>IF(ISNA(VLOOKUP(A37,'Données projet'!$A$165:$I$185,5,0)),0%,VLOOKUP(A37,'Données projet'!$A$165:$I$185,5,0)*VLOOKUP('Données projet'!$B$14,'Paramètres'!$A$1:$I$88,7,0))</f>
        <v>0</v>
      </c>
      <c r="DY37" s="155">
        <f>IF(ISNA(VLOOKUP(A37,'Données projet'!$A$165:$I$185,6,0)),0%,VLOOKUP(A37,'Données projet'!$A$165:$I$185,6,0)*VLOOKUP('Données projet'!$B$14,'Paramètres'!$A$1:$I$88,7,0))</f>
        <v>0</v>
      </c>
      <c r="DZ37" s="155">
        <f>IF(ISNA(VLOOKUP(A37,'Données projet'!$A$165:$I$185,7,0)),0%,VLOOKUP(A37,'Données projet'!$A$165:$I$185,7,0))</f>
        <v>0</v>
      </c>
      <c r="EA37" s="162" t="str">
        <f>EXP(-LN(2)/35)*EA36+(1-EXP(-LN(2)/35))/(LN(2)/35)*DW37*DX37*VLOOKUP('Données projet'!$B$14,'Paramètres'!$A$1:$I$88,3,0)*0.475*44/12</f>
        <v>#N/A</v>
      </c>
      <c r="EB37" s="162" t="str">
        <f>EXP(-LN(2)/25)*EB36+(1-EXP(-LN(2)/25))/(LN(2)/25)*Calculateur!DW37*Calculateur!DY37*VLOOKUP('Données projet'!$B$14,'Paramètres'!$A$1:$I$88,3,0)*0.475*44/12</f>
        <v>#N/A</v>
      </c>
      <c r="EC37" s="162" t="str">
        <f>EXP(-LN(2)/2)*EC36+(1-EXP(-LN(2)/2))/(LN(2)/2)*DW37*DZ37*VLOOKUP('Données projet'!$B$14,'Paramètres'!$A$1:$I$88,3,0)*0.475*44/12</f>
        <v>#N/A</v>
      </c>
      <c r="ED37" s="163" t="str">
        <f t="shared" si="19"/>
        <v>#N/A</v>
      </c>
      <c r="EE37" s="159">
        <f>('Scénario référence'!$F$8+'Scénario référence'!$F$9+'Scénario référence'!$B$17+'Scénario référence'!$B$9+'Scénario référence'!$B$10)*70+IF((45+25*(1-EXP(-0.0175*A37)))&lt;70,'Scénario référence'!$B$16*(45+25*(1-EXP(-0.0175*A37))),70*'Scénario référence'!$B$16)+IF((32+38*(1-EXP(-0.0175*A37)))&lt;70,'Scénario référence'!$B$18*(32+38*(1-EXP(-0.0175*A37))),70*'Scénario référence'!$B$18)</f>
        <v>70</v>
      </c>
      <c r="EF37" s="151">
        <f>IF(A37&gt;30,10,('Scénario référence'!$B$16+'Scénario référence'!$B$17+'Scénario référence'!$B$18+'Scénario référence'!$B$9+'Scénario référence'!$B$10)*A37*10/30+('Scénario référence'!$F$8+'Scénario référence'!$F$9)*10)</f>
        <v>10</v>
      </c>
      <c r="EG37" s="151" t="str">
        <f>VLOOKUP(A37,'Données projet'!$A$191:$I$211,2,0)</f>
        <v>#N/A</v>
      </c>
      <c r="EH37" s="151" t="str">
        <f>VLOOKUP(A37,'Données projet'!$A$191:$I$211,9,0)</f>
        <v>#N/A</v>
      </c>
      <c r="EI37" s="151" t="str">
        <f t="array" ref="EI37">INDEX(EH:EH,MIN(IF(ISNUMBER(EH37:EH233),ROW(EH37:EH233),"")))</f>
        <v/>
      </c>
      <c r="EJ37" s="151">
        <f>IF('Données projet'!$A$192&gt;35,EJ36+EI37-ER36,IF(A37&lt;'Données projet'!$A$192,$EG$205^A37,IF(A37='Données projet'!$A$192,'Données projet'!$B$192,EJ36+EI37-ER36)))</f>
        <v>0</v>
      </c>
      <c r="EK37" s="158" t="str">
        <f>EJ37*VLOOKUP('Données projet'!$B$15,'Paramètres'!$A$1:$I$88,3,0)*VLOOKUP('Données projet'!$B$15,'Paramètres'!$A$1:$I$88,5,0)</f>
        <v>#N/A</v>
      </c>
      <c r="EL37" s="150" t="str">
        <f t="shared" si="46"/>
        <v>#N/A</v>
      </c>
      <c r="EM37" s="161" t="str">
        <f t="shared" si="20"/>
        <v>#N/A</v>
      </c>
      <c r="EN37" s="153" t="str">
        <f t="shared" si="21"/>
        <v>#N/A</v>
      </c>
      <c r="EO37" s="153" t="str">
        <f>AVERAGE(OFFSET($EN$3,0,0,'Données projet'!$E$15+1,1))-AVERAGE(OFFSET($H$3,0,0,'Données projet'!$E$15+1,1))</f>
        <v>#N/A</v>
      </c>
      <c r="EP37" s="153" t="str">
        <f t="shared" si="47"/>
        <v>#N/A</v>
      </c>
      <c r="EQ37" s="154">
        <f>IF(ISNA(VLOOKUP(A37,'Données projet'!$A$191:$I$211,3,0)),0,VLOOKUP(A37,'Données projet'!$A$191:$I$211,3,0))</f>
        <v>0</v>
      </c>
      <c r="ER37" s="154">
        <f>IF(ISNA(VLOOKUP(A37,'Données projet'!$A$191:$I$211,4,0)),0,VLOOKUP(A37,'Données projet'!$A$191:$I$211,4,0))</f>
        <v>0</v>
      </c>
      <c r="ES37" s="155">
        <f>IF(ISNA(VLOOKUP(A37,'Données projet'!$A$191:$I$211,5,0)),0%,VLOOKUP(A37,'Données projet'!$A$191:$I$211,5,0)*VLOOKUP('Données projet'!$B$15,'Paramètres'!$A$1:$I$88,7,0))</f>
        <v>0</v>
      </c>
      <c r="ET37" s="155">
        <f>IF(ISNA(VLOOKUP(A37,'Données projet'!$A$191:$I$211,6,0)),0%,VLOOKUP(A37,'Données projet'!$A$191:$I$211,6,0)*VLOOKUP('Données projet'!$B$15,'Paramètres'!$A$1:$I$88,7,0))</f>
        <v>0</v>
      </c>
      <c r="EU37" s="155">
        <f>IF(ISNA(VLOOKUP(A37,'Données projet'!$A$191:$I$211,7,0)),0%,VLOOKUP(A37,'Données projet'!$A$191:$I$211,7,0))</f>
        <v>0</v>
      </c>
      <c r="EV37" s="162" t="str">
        <f>EXP(-LN(2)/35)*EV36+(1-EXP(-LN(2)/35))/(LN(2)/35)*ER37*ES37*VLOOKUP('Données projet'!$B$15,'Paramètres'!$A$1:$I$88,3,0)*0.475*44/12</f>
        <v>#N/A</v>
      </c>
      <c r="EW37" s="162" t="str">
        <f>EXP(-LN(2)/25)*EW36+(1-EXP(-LN(2)/25))/(LN(2)/25)*Calculateur!ER37*Calculateur!ET37*VLOOKUP('Données projet'!$B$15,'Paramètres'!$A$1:$I$88,3,0)*0.475*44/12</f>
        <v>#N/A</v>
      </c>
      <c r="EX37" s="162" t="str">
        <f>EXP(-LN(2)/2)*EX36+(1-EXP(-LN(2)/2))/(LN(2)/2)*ER37*EU37*VLOOKUP('Données projet'!$B$15,'Paramètres'!$A$1:$I$88,3,0)*0.475*44/12</f>
        <v>#N/A</v>
      </c>
      <c r="EY37" s="163" t="str">
        <f t="shared" si="22"/>
        <v>#N/A</v>
      </c>
      <c r="EZ37" s="159">
        <f>('Scénario référence'!$F$8+'Scénario référence'!$F$9+'Scénario référence'!$B$17+'Scénario référence'!$B$9+'Scénario référence'!$B$10)*70+IF((45+25*(1-EXP(-0.0175*A37)))&lt;70,'Scénario référence'!$B$16*(45+25*(1-EXP(-0.0175*A37))),70*'Scénario référence'!$B$16)+IF((32+38*(1-EXP(-0.0175*A37)))&lt;70,'Scénario référence'!$B$18*(32+38*(1-EXP(-0.0175*A37))),70*'Scénario référence'!$B$18)</f>
        <v>70</v>
      </c>
      <c r="FA37" s="151">
        <f>IF(A37&gt;30,10,('Scénario référence'!$B$16+'Scénario référence'!$B$17+'Scénario référence'!$B$18+'Scénario référence'!$B$9+'Scénario référence'!$B$10)*A37*10/30+('Scénario référence'!$F$8+'Scénario référence'!$F$9)*10)</f>
        <v>10</v>
      </c>
      <c r="FB37" s="151" t="str">
        <f>VLOOKUP(A37,'Données projet'!$A$217:$I$237,2,0)</f>
        <v>#N/A</v>
      </c>
      <c r="FC37" s="151" t="str">
        <f>VLOOKUP(A37,'Données projet'!$A$217:$I$237,9,0)</f>
        <v>#N/A</v>
      </c>
      <c r="FD37" s="151" t="str">
        <f t="array" ref="FD37">INDEX(FC:FC,MIN(IF(ISNUMBER(FC37:FC233),ROW(FC37:FC233),"")))</f>
        <v/>
      </c>
      <c r="FE37" s="151">
        <f>IF('Données projet'!$A$218&gt;35,FE36+FD37-FM36,IF(A37&lt;'Données projet'!$A$218,$FB$205^A37,IF(A37='Données projet'!$A$218,'Données projet'!$B$218,FE36+FD37-FM36)))</f>
        <v>0</v>
      </c>
      <c r="FF37" s="158" t="str">
        <f>FE37*VLOOKUP('Données projet'!$B$16,'Paramètres'!$A$1:$I$88,3,0)*VLOOKUP('Données projet'!$B$16,'Paramètres'!$A$1:$I$88,5,0)</f>
        <v>#N/A</v>
      </c>
      <c r="FG37" s="150" t="str">
        <f t="shared" si="48"/>
        <v>#N/A</v>
      </c>
      <c r="FH37" s="161" t="str">
        <f t="shared" si="23"/>
        <v>#N/A</v>
      </c>
      <c r="FI37" s="153" t="str">
        <f t="shared" si="24"/>
        <v>#N/A</v>
      </c>
      <c r="FJ37" s="153" t="str">
        <f>AVERAGE(OFFSET($FI$3,0,0,'Données projet'!$E$16+1,1))-AVERAGE(OFFSET($H$3,0,0,'Données projet'!$E$16+1,1))</f>
        <v>#N/A</v>
      </c>
      <c r="FK37" s="153" t="str">
        <f t="shared" si="49"/>
        <v>#N/A</v>
      </c>
      <c r="FL37" s="154">
        <f>IF(ISNA(VLOOKUP(A37,'Données projet'!$A$217:$I$237,3,0)),0,VLOOKUP(A37,'Données projet'!$A$217:$I$237,3,0))</f>
        <v>0</v>
      </c>
      <c r="FM37" s="154">
        <f>IF(ISNA(VLOOKUP(A37,'Données projet'!$A$217:$I$237,4,0)),0,VLOOKUP(A37,'Données projet'!$A$217:$I$237,4,0))</f>
        <v>0</v>
      </c>
      <c r="FN37" s="155">
        <f>IF(ISNA(VLOOKUP(A37,'Données projet'!$A$217:$I$237,5,0)),0%,VLOOKUP(A37,'Données projet'!$A$217:$I$237,5,0)*VLOOKUP('Données projet'!$B$16,'Paramètres'!$A$1:$I$88,7,0))</f>
        <v>0</v>
      </c>
      <c r="FO37" s="155">
        <f>IF(ISNA(VLOOKUP(A37,'Données projet'!$A$217:$I$237,6,0)),0%,VLOOKUP(A37,'Données projet'!$A$217:$I$237,6,0)*VLOOKUP('Données projet'!$B$16,'Paramètres'!$A$1:$I$88,7,0))</f>
        <v>0</v>
      </c>
      <c r="FP37" s="155">
        <f>IF(ISNA(VLOOKUP(A37,'Données projet'!$A$217:$I$237,7,0)),0%,VLOOKUP(A37,'Données projet'!$A$217:$I$237,7,0))</f>
        <v>0</v>
      </c>
      <c r="FQ37" s="162" t="str">
        <f>EXP(-LN(2)/35)*FQ36+(1-EXP(-LN(2)/35))/(LN(2)/35)*FM37*FN37*VLOOKUP('Données projet'!$B$16,'Paramètres'!$A$1:$I$88,3,0)*0.475*44/12</f>
        <v>#N/A</v>
      </c>
      <c r="FR37" s="162" t="str">
        <f>EXP(-LN(2)/25)*FR36+(1-EXP(-LN(2)/25))/(LN(2)/25)*Calculateur!FM37*Calculateur!FO37*VLOOKUP('Données projet'!$B$16,'Paramètres'!$A$1:$I$88,3,0)*0.475*44/12</f>
        <v>#N/A</v>
      </c>
      <c r="FS37" s="162" t="str">
        <f>EXP(-LN(2)/2)*FS36+(1-EXP(-LN(2)/2))/(LN(2)/2)*FM37*FP37*VLOOKUP('Données projet'!$B$16,'Paramètres'!$A$1:$I$88,3,0)*0.475*44/12</f>
        <v>#N/A</v>
      </c>
      <c r="FT37" s="163" t="str">
        <f t="shared" si="25"/>
        <v>#N/A</v>
      </c>
      <c r="FU37" s="159">
        <f>('Scénario référence'!$F$8+'Scénario référence'!$F$9+'Scénario référence'!$B$17+'Scénario référence'!$B$9+'Scénario référence'!$B$10)*70+IF((45+25*(1-EXP(-0.0175*A37)))&lt;70,'Scénario référence'!$B$16*(45+25*(1-EXP(-0.0175*A37))),70*'Scénario référence'!$B$16)+IF((32+38*(1-EXP(-0.0175*A37)))&lt;70,'Scénario référence'!$B$18*(32+38*(1-EXP(-0.0175*A37))),70*'Scénario référence'!$B$18)</f>
        <v>70</v>
      </c>
      <c r="FV37" s="151">
        <f>IF(A37&gt;30,10,('Scénario référence'!$B$16+'Scénario référence'!$B$17+'Scénario référence'!$B$18+'Scénario référence'!$B$9+'Scénario référence'!$B$10)*A37*10/30+('Scénario référence'!$F$8+'Scénario référence'!$F$9)*10)</f>
        <v>10</v>
      </c>
      <c r="FW37" s="151" t="str">
        <f>VLOOKUP(A37,'Données projet'!$A$243:$I$263,2,0)</f>
        <v>#N/A</v>
      </c>
      <c r="FX37" s="151" t="str">
        <f>VLOOKUP(A37,'Données projet'!$A$243:$I$263,9,0)</f>
        <v>#N/A</v>
      </c>
      <c r="FY37" s="151" t="str">
        <f t="array" ref="FY37">INDEX(FX:FX,MIN(IF(ISNUMBER(FX37:FX233),ROW(FX37:FX233),"")))</f>
        <v/>
      </c>
      <c r="FZ37" s="151">
        <f>IF('Données projet'!$A$244&gt;35,FZ36+FY37-GH36,IF(A37&lt;'Données projet'!$A$244,$FW$205^A37,IF(A37='Données projet'!$A$244,'Données projet'!$B$244,FZ36+FY37-GH36)))</f>
        <v>0</v>
      </c>
      <c r="GA37" s="158" t="str">
        <f>FZ37*VLOOKUP('Données projet'!$B$17,'Paramètres'!$A$1:$I$88,3,0)*VLOOKUP('Données projet'!$B$17,'Paramètres'!$A$1:$I$88,5,0)</f>
        <v>#N/A</v>
      </c>
      <c r="GB37" s="150" t="str">
        <f t="shared" si="50"/>
        <v>#N/A</v>
      </c>
      <c r="GC37" s="161" t="str">
        <f t="shared" si="26"/>
        <v>#N/A</v>
      </c>
      <c r="GD37" s="153" t="str">
        <f t="shared" si="27"/>
        <v>#N/A</v>
      </c>
      <c r="GE37" s="153" t="str">
        <f>AVERAGE(OFFSET($GD$3,0,0,'Données projet'!$E$17+1,1))-AVERAGE(OFFSET($H$3,0,0,'Données projet'!$E$17+1,1))</f>
        <v>#N/A</v>
      </c>
      <c r="GF37" s="153" t="str">
        <f t="shared" si="51"/>
        <v>#N/A</v>
      </c>
      <c r="GG37" s="154">
        <f>IF(ISNA(VLOOKUP(A37,'Données projet'!$A$243:$I$263,3,0)),0,VLOOKUP(A37,'Données projet'!$A$243:$I$263,3,0))</f>
        <v>0</v>
      </c>
      <c r="GH37" s="154">
        <f>IF(ISNA(VLOOKUP(A37,'Données projet'!$A$243:$I$263,4,0)),0,VLOOKUP(A37,'Données projet'!$A$243:$I$263,4,0))</f>
        <v>0</v>
      </c>
      <c r="GI37" s="155">
        <f>IF(ISNA(VLOOKUP(A37,'Données projet'!$A$243:$I$263,5,0)),0%,VLOOKUP(A37,'Données projet'!$A$243:$I$263,5,0)*VLOOKUP('Données projet'!$B$17,'Paramètres'!$A$1:$I$88,7,0))</f>
        <v>0</v>
      </c>
      <c r="GJ37" s="155">
        <f>IF(ISNA(VLOOKUP(A37,'Données projet'!$A$243:$I$263,6,0)),0%,VLOOKUP(A37,'Données projet'!$A$243:$I$263,6,0)*VLOOKUP('Données projet'!$B$17,'Paramètres'!$A$1:$I$88,7,0))</f>
        <v>0</v>
      </c>
      <c r="GK37" s="155">
        <f>IF(ISNA(VLOOKUP(A37,'Données projet'!$A$243:$I$263,7,0)),0%,VLOOKUP(A37,'Données projet'!$A$243:$I$263,7,0))</f>
        <v>0</v>
      </c>
      <c r="GL37" s="162" t="str">
        <f>EXP(-LN(2)/35)*GL36+(1-EXP(-LN(2)/35))/(LN(2)/35)*GH37*GI37*VLOOKUP('Données projet'!$B$17,'Paramètres'!$A$1:$I$88,3,0)*0.475*44/12</f>
        <v>#N/A</v>
      </c>
      <c r="GM37" s="162" t="str">
        <f>EXP(-LN(2)/25)*GM36+(1-EXP(-LN(2)/25))/(LN(2)/25)*Calculateur!GH37*Calculateur!GJ37*VLOOKUP('Données projet'!$B$17,'Paramètres'!$A$1:$I$88,3,0)*0.475*44/12</f>
        <v>#N/A</v>
      </c>
      <c r="GN37" s="162" t="str">
        <f>EXP(-LN(2)/2)*GN36+(1-EXP(-LN(2)/2))/(LN(2)/2)*GH37*GK37*VLOOKUP('Données projet'!$B$17,'Paramètres'!$A$1:$I$88,3,0)*0.475*44/12</f>
        <v>#N/A</v>
      </c>
      <c r="GO37" s="162" t="str">
        <f t="shared" si="28"/>
        <v>#N/A</v>
      </c>
      <c r="GP37" s="159">
        <f>('Scénario référence'!$F$8+'Scénario référence'!$F$9+'Scénario référence'!$B$17+'Scénario référence'!$B$9+'Scénario référence'!$B$10)*70+IF((45+25*(1-EXP(-0.0175*A37)))&lt;70,'Scénario référence'!$B$16*(45+25*(1-EXP(-0.0175*A37))),70*'Scénario référence'!$B$16)+IF((32+38*(1-EXP(-0.0175*A37)))&lt;70,'Scénario référence'!$B$18*(32+38*(1-EXP(-0.0175*A37))),70*'Scénario référence'!$B$18)</f>
        <v>70</v>
      </c>
      <c r="GQ37" s="151">
        <f>IF(A37&gt;30,10,('Scénario référence'!$B$16+'Scénario référence'!$B$17+'Scénario référence'!$B$18+'Scénario référence'!$B$9+'Scénario référence'!$B$10)*A37*10/30+('Scénario référence'!$F$8+'Scénario référence'!$F$9)*10)</f>
        <v>10</v>
      </c>
      <c r="GR37" s="151" t="str">
        <f>VLOOKUP(A37,'Données projet'!$A$269:$I$289,2,0)</f>
        <v>#N/A</v>
      </c>
      <c r="GS37" s="151" t="str">
        <f>VLOOKUP(A37,'Données projet'!$A$269:$I$289,9,0)</f>
        <v>#N/A</v>
      </c>
      <c r="GT37" s="151" t="str">
        <f t="array" ref="GT37">INDEX(GS:GS,MIN(IF(ISNUMBER(GS37:GS233),ROW(GS37:GS233),"")))</f>
        <v/>
      </c>
      <c r="GU37" s="151">
        <f>IF('Données projet'!$A$270&gt;35,GU36+GT37-HC36,IF(A37&lt;'Données projet'!$A$270,$GR$205^A37,IF(A37='Données projet'!$A$270,'Données projet'!$B$270,GU36+GT37-HC36)))</f>
        <v>0</v>
      </c>
      <c r="GV37" s="158" t="str">
        <f>GU37*VLOOKUP('Données projet'!$B$18,'Paramètres'!$A$1:$I$88,3,0)*VLOOKUP('Données projet'!$B$18,'Paramètres'!$A$1:$I$88,5,0)</f>
        <v>#N/A</v>
      </c>
      <c r="GW37" s="150" t="str">
        <f t="shared" si="52"/>
        <v>#N/A</v>
      </c>
      <c r="GX37" s="161" t="str">
        <f t="shared" si="29"/>
        <v>#N/A</v>
      </c>
      <c r="GY37" s="153" t="str">
        <f t="shared" si="30"/>
        <v>#N/A</v>
      </c>
      <c r="GZ37" s="153" t="str">
        <f>AVERAGE(OFFSET($GY$3,0,0,'Données projet'!$E$18+1,1))-AVERAGE(OFFSET($H$3,0,0,'Données projet'!$E$18+1,1))</f>
        <v>#N/A</v>
      </c>
      <c r="HA37" s="153" t="str">
        <f t="shared" si="53"/>
        <v>#N/A</v>
      </c>
      <c r="HB37" s="154">
        <f>IF(ISNA(VLOOKUP(A37,'Données projet'!$A$269:$I$289,3,0)),0,VLOOKUP(A37,'Données projet'!$A$269:$I$289,3,0))</f>
        <v>0</v>
      </c>
      <c r="HC37" s="154">
        <f>IF(ISNA(VLOOKUP(A37,'Données projet'!$A$269:$I$289,4,0)),0,VLOOKUP(A37,'Données projet'!$A$269:$I$289,4,0))</f>
        <v>0</v>
      </c>
      <c r="HD37" s="155">
        <f>IF(ISNA(VLOOKUP(A37,'Données projet'!$A$269:$I$289,5,0)),0%,VLOOKUP(A37,'Données projet'!$A$269:$I$289,5,0)*VLOOKUP('Données projet'!$B$18,'Paramètres'!$A$1:$I$88,7,0))</f>
        <v>0</v>
      </c>
      <c r="HE37" s="155">
        <f>IF(ISNA(VLOOKUP(A37,'Données projet'!$A$269:$I$289,6,0)),0%,VLOOKUP(A37,'Données projet'!$A$269:$I$289,6,0)*VLOOKUP('Données projet'!$B$18,'Paramètres'!$A$1:$I$88,7,0))</f>
        <v>0</v>
      </c>
      <c r="HF37" s="155">
        <f>IF(ISNA(VLOOKUP(A37,'Données projet'!$A$269:$I$289,7,0)),0%,VLOOKUP(A37,'Données projet'!$A$269:$I$289,7,0))</f>
        <v>0</v>
      </c>
      <c r="HG37" s="162" t="str">
        <f>EXP(-LN(2)/35)*HG36+(1-EXP(-LN(2)/35))/(LN(2)/35)*HC37*HD37*VLOOKUP('Données projet'!$B$18,'Paramètres'!$A$1:$I$88,3,0)*0.475*44/12</f>
        <v>#N/A</v>
      </c>
      <c r="HH37" s="162" t="str">
        <f>EXP(-LN(2)/25)*HH36+(1-EXP(-LN(2)/25))/(LN(2)/25)*Calculateur!HC37*Calculateur!HE37*VLOOKUP('Données projet'!$B$18,'Paramètres'!$A$1:$I$88,3,0)*0.475*44/12</f>
        <v>#N/A</v>
      </c>
      <c r="HI37" s="162" t="str">
        <f>EXP(-LN(2)/2)*HI36+(1-EXP(-LN(2)/2))/(LN(2)/2)*HC37*HF37*VLOOKUP('Données projet'!$B$18,'Paramètres'!$A$1:$I$88,3,0)*0.475*44/12</f>
        <v>#N/A</v>
      </c>
      <c r="HJ37" s="163" t="str">
        <f t="shared" si="31"/>
        <v>#N/A</v>
      </c>
    </row>
    <row r="38" ht="15.75" customHeight="1">
      <c r="A38" s="145">
        <f t="shared" si="32"/>
        <v>35</v>
      </c>
      <c r="B38" s="146">
        <f>'Scénario référence'!$B$16*5+'Scénario référence'!$B$17*0+'Scénario référence'!$B$18*5</f>
        <v>0</v>
      </c>
      <c r="C38" s="160">
        <f>Calculateur!C37+'Scénario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38" s="147">
        <f t="shared" si="33"/>
        <v>0</v>
      </c>
      <c r="E38" s="147">
        <f>'Scénario référence'!$B$16*45+('Scénario référence'!$B$17+'Scénario référence'!$F$8+'Scénario référence'!$F$9+'Scénario référence'!$B$10+'Scénario référence'!$B$9)*70+'Scénario référence'!$B$18*32</f>
        <v>70</v>
      </c>
      <c r="F38" s="147">
        <f>IF(OR('Scénario référence'!$F$8&gt;0,'Scénario référence'!$F$9&gt;0),('Scénario référence'!$F$8+'Scénario référence'!$F$9)*10,0)</f>
        <v>0</v>
      </c>
      <c r="G38" s="147">
        <f>'Scénario référence'!$B$8*B38*44/12+'Scénario référence'!$B$9*(C38+D38)/0.475*44/12+'Scénario référence'!$B$10*(C38+D38)/0.475*44/12+'Scénario référence'!$F$8*(C38+D38)/0.475*44/12+'Scénario référence'!$F$9*(C38+D38)/0.475*44/12</f>
        <v>0</v>
      </c>
      <c r="H38" s="148">
        <f t="shared" si="1"/>
        <v>256.6666667</v>
      </c>
      <c r="I38" s="149">
        <f>('Scénario référence'!$F$8+'Scénario référence'!$F$9+'Scénario référence'!$B$17+'Scénario référence'!$B$9+'Scénario référence'!$B$10)*70+IF((45+25*(1-EXP(-0.0175*A38)))&lt;70,'Scénario référence'!$B$16*(45+25*(1-EXP(-0.0175*A38))),70*'Scénario référence'!$B$16)+IF((32+38*(1-EXP(-0.0175*A38)))&lt;70,'Scénario référence'!$B$18*(32+38*(1-EXP(-0.0175*A38))),70*'Scénario référence'!$B$18)</f>
        <v>70</v>
      </c>
      <c r="J38" s="150">
        <f>IF(A38&gt;30,10,('Scénario référence'!$B$16+'Scénario référence'!$B$17+'Scénario référence'!$B$18+'Scénario référence'!$B$9+'Scénario référence'!$B$10)*A38*10/30+('Scénario référence'!$F$8+'Scénario référence'!$F$9)*10)</f>
        <v>10</v>
      </c>
      <c r="K38" s="165">
        <f>VLOOKUP(A38,'Données projet'!$A$35:$I$55,2,0)</f>
        <v>147</v>
      </c>
      <c r="L38" s="150">
        <f>VLOOKUP(A38,'Données projet'!$A$35:$I$55,9,0)</f>
        <v>10.8</v>
      </c>
      <c r="M38" s="150">
        <f t="array" ref="M38">INDEX(L:L,MIN(IF(ISNUMBER(L38:L234),ROW(L38:L234),"")))</f>
        <v>10.8</v>
      </c>
      <c r="N38" s="150">
        <f>IF('Données projet'!$A$36&gt;35,N37+M38-V37,IF(A38&lt;'Données projet'!$A$36,$K$205^A38,IF(A38='Données projet'!$A$36,'Données projet'!$B$36,N37+M38-V37)))</f>
        <v>147</v>
      </c>
      <c r="O38" s="150">
        <f>N38*VLOOKUP('Données projet'!$B$9,'Paramètres'!$A$1:$I$88,3,0)*VLOOKUP('Données projet'!$B$9,'Paramètres'!$A$1:$I$88,5,0)</f>
        <v>133.0056</v>
      </c>
      <c r="P38" s="150">
        <f t="shared" si="34"/>
        <v>34.68993867</v>
      </c>
      <c r="Q38" s="161">
        <f t="shared" si="2"/>
        <v>292.0697299</v>
      </c>
      <c r="R38" s="153">
        <f t="shared" si="3"/>
        <v>585.4030632</v>
      </c>
      <c r="S38" s="153">
        <f>AVERAGE(OFFSET($R$3,0,0,'Données projet'!$E$9+1,1))-AVERAGE(OFFSET($H$3,0,0,'Données projet'!$E$9+1,1))</f>
        <v>439.1985427</v>
      </c>
      <c r="T38" s="153">
        <f t="shared" si="35"/>
        <v>278.2174123</v>
      </c>
      <c r="U38" s="154">
        <f>IF(ISNA(VLOOKUP(A38,'Données projet'!$A$35:$I$55,3,0)),0,VLOOKUP(A38,'Données projet'!$A$35:$I$55,3,0))</f>
        <v>4</v>
      </c>
      <c r="V38" s="164">
        <f>IF(ISNA(VLOOKUP(A38,'Données projet'!$A$35:$I$55,4,0)),0,VLOOKUP(A38,'Données projet'!$A$35:$I$55,4,0))</f>
        <v>28</v>
      </c>
      <c r="W38" s="155">
        <f>IF(ISNA(VLOOKUP(A38,'Données projet'!$A$35:$I$55,5,0)),0%,VLOOKUP(A38,'Données projet'!$A$35:$I$55,5,0)*VLOOKUP('Données projet'!$B$9,'Paramètres'!$A$1:$I$88,7,0))</f>
        <v>0</v>
      </c>
      <c r="X38" s="155">
        <f>IF(ISNA(VLOOKUP(A38,'Données projet'!$A$35:$I$55,6,0)),0%,VLOOKUP(A38,'Données projet'!$A$35:$I$55,6,0)*VLOOKUP('Données projet'!$B$9,'Paramètres'!$A$1:$I$88,7,0))</f>
        <v>0</v>
      </c>
      <c r="Y38" s="155" t="str">
        <f>IF(ISNA(VLOOKUP(A38,'Données projet'!$A$35:$I$55,7,0)),0%,VLOOKUP(A38,'Données projet'!$A$35:$I$55,7,0))</f>
        <v/>
      </c>
      <c r="Z38" s="162">
        <f>EXP(-LN(2)/35)*Z37+(1-EXP(-LN(2)/35))/(LN(2)/35)*V38*W38*VLOOKUP('Données projet'!$B$9,'Paramètres'!$A$1:$I$88,3,0)*0.475*44/12</f>
        <v>0</v>
      </c>
      <c r="AA38" s="162">
        <f>EXP(-LN(2)/25)*AA37+(1-EXP(-LN(2)/25))/(LN(2)/25)*Calculateur!V38*Calculateur!X38*VLOOKUP('Données projet'!$B$9,'Paramètres'!$A$1:$I$88,3,0)*0.475*44/12</f>
        <v>3.906665973</v>
      </c>
      <c r="AB38" s="162">
        <f>EXP(-LN(2)/2)*AB37+(1-EXP(-LN(2)/2))/(LN(2)/2)*V38*Y38*VLOOKUP('Données projet'!$B$9,'Paramètres'!$A$1:$I$88,3,0)*0.475*44/12</f>
        <v>0</v>
      </c>
      <c r="AC38" s="163">
        <f t="shared" si="4"/>
        <v>3.906665973</v>
      </c>
      <c r="AD38" s="150">
        <f>('Scénario référence'!$F$8+'Scénario référence'!$F$9+'Scénario référence'!$B$17+'Scénario référence'!$B$9+'Scénario référence'!$B$10)*70+IF((45+25*(1-EXP(-0.0175*A38)))&lt;70,'Scénario référence'!$B$16*(45+25*(1-EXP(-0.0175*A38))),70*'Scénario référence'!$B$16)+IF((32+38*(1-EXP(-0.0175*A38)))&lt;70,'Scénario référence'!$B$18*(32+38*(1-EXP(-0.0175*A38))),70*'Scénario référence'!$B$18)</f>
        <v>70</v>
      </c>
      <c r="AE38" s="150">
        <f>IF(A38&gt;30,10,('Scénario référence'!$B$16+'Scénario référence'!$B$17+'Scénario référence'!$B$18+'Scénario référence'!$B$9+'Scénario référence'!$B$10)*A38*10/30+('Scénario référence'!$F$8+'Scénario référence'!$F$9)*10)</f>
        <v>10</v>
      </c>
      <c r="AF38" s="151">
        <f>VLOOKUP(A38,'Données projet'!$A$61:$I$81,2,0)</f>
        <v>239</v>
      </c>
      <c r="AG38" s="150">
        <f>VLOOKUP(A38,'Données projet'!$A$61:$I$81,9,0)</f>
        <v>15.2</v>
      </c>
      <c r="AH38" s="150">
        <f t="array" ref="AH38">INDEX(AG:AG,MIN(IF(ISNUMBER(AG38:AG234),ROW(AG38:AG234),"")))</f>
        <v>15.2</v>
      </c>
      <c r="AI38" s="150">
        <f>IF('Données projet'!$A$62&gt;35,AI37+AH38-AQ37,IF(A38&lt;'Données projet'!$A$62,$AF$205^A38,IF(A38='Données projet'!$A$62,'Données projet'!$B$62,AI37+AH38-AQ37)))</f>
        <v>239</v>
      </c>
      <c r="AJ38" s="150">
        <f>AI38*VLOOKUP('Données projet'!$B$10,'Paramètres'!$A$1:$I$88,3,0)*VLOOKUP('Données projet'!$B$10,'Paramètres'!$A$1:$I$88,5,0)</f>
        <v>190.1484</v>
      </c>
      <c r="AK38" s="150">
        <f t="shared" si="36"/>
        <v>47.57276049</v>
      </c>
      <c r="AL38" s="161">
        <f t="shared" si="5"/>
        <v>414.0310212</v>
      </c>
      <c r="AM38" s="153">
        <f t="shared" si="6"/>
        <v>707.3643545</v>
      </c>
      <c r="AN38" s="153">
        <f>AVERAGE(OFFSET($AM$3,0,0,'Données projet'!$E$10+1,1))-AVERAGE(OFFSET($H$3,0,0,'Données projet'!$E$10+1,1))</f>
        <v>405.6113614</v>
      </c>
      <c r="AO38" s="153">
        <f t="shared" si="37"/>
        <v>393.0787141</v>
      </c>
      <c r="AP38" s="154">
        <f>IF(ISNA(VLOOKUP(A38,'Données projet'!$A$61:$I$81,3,0)),0,VLOOKUP(A38,'Données projet'!$A$61:$I$81,3,0))</f>
        <v>6</v>
      </c>
      <c r="AQ38" s="164">
        <f>IF(ISNA(VLOOKUP(A38,'Données projet'!$A$61:$I$81,4,0)),0,VLOOKUP(A38,'Données projet'!$A$61:$I$81,4,0))</f>
        <v>42</v>
      </c>
      <c r="AR38" s="155">
        <f>IF(ISNA(VLOOKUP(A38,'Données projet'!$A$61:$I$81,5,0)),0%,VLOOKUP(A38,'Données projet'!$A$61:$I$81,5,0)*VLOOKUP('Données projet'!$B$10,'Paramètres'!$A$1:$I$88,7,0))</f>
        <v>0</v>
      </c>
      <c r="AS38" s="155">
        <f>IF(ISNA(VLOOKUP(A38,'Données projet'!$A$61:$I$81,6,0)),0%,VLOOKUP(A38,'Données projet'!$A$61:$I$81,6,0)*VLOOKUP('Données projet'!$B$10,'Paramètres'!$A$1:$I$88,7,0))</f>
        <v>0</v>
      </c>
      <c r="AT38" s="155" t="str">
        <f>IF(ISNA(VLOOKUP(A38,'Données projet'!$A$61:$I$81,7,0)),0%,VLOOKUP(A38,'Données projet'!$A$61:$I$81,7,0))</f>
        <v/>
      </c>
      <c r="AU38" s="162">
        <f>EXP(-LN(2)/35)*AU37+(1-EXP(-LN(2)/35))/(LN(2)/35)*AQ38*AR38*VLOOKUP('Données projet'!$B$10,'Paramètres'!$A$1:$I$88,3,0)*0.475*44/12</f>
        <v>0</v>
      </c>
      <c r="AV38" s="162">
        <f>EXP(-LN(2)/25)*AV37+(1-EXP(-LN(2)/25))/(LN(2)/25)*Calculateur!AQ38*Calculateur!AS38*VLOOKUP('Données projet'!$B$10,'Paramètres'!$A$1:$I$88,3,0)*0.475*44/12</f>
        <v>15.87768363</v>
      </c>
      <c r="AW38" s="162">
        <f>EXP(-LN(2)/2)*AW37+(1-EXP(-LN(2)/2))/(LN(2)/2)*AQ38*AT38*VLOOKUP('Données projet'!$B$10,'Paramètres'!$A$1:$I$88,3,0)*0.475*44/12</f>
        <v>0.1024796076</v>
      </c>
      <c r="AX38" s="162">
        <f t="shared" si="7"/>
        <v>15.98016324</v>
      </c>
      <c r="AY38" s="157">
        <f>('Scénario référence'!$F$8+'Scénario référence'!$F$9+'Scénario référence'!$B$17+'Scénario référence'!$B$9+'Scénario référence'!$B$10)*70+IF((45+25*(1-EXP(-0.0175*A38)))&lt;70,'Scénario référence'!$B$16*(45+25*(1-EXP(-0.0175*A38))),70*'Scénario référence'!$B$16)+IF((32+38*(1-EXP(-0.0175*A38)))&lt;70,'Scénario référence'!$B$18*(32+38*(1-EXP(-0.0175*A38))),70*'Scénario référence'!$B$18)</f>
        <v>70</v>
      </c>
      <c r="AZ38" s="151">
        <f>IF(A38&gt;30,10,('Scénario référence'!$B$16+'Scénario référence'!$B$17+'Scénario référence'!$B$18+'Scénario référence'!$B$9+'Scénario référence'!$B$10)*A38*10/30+('Scénario référence'!$F$8+'Scénario référence'!$F$9)*10)</f>
        <v>10</v>
      </c>
      <c r="BA38" s="151" t="str">
        <f>VLOOKUP(A38,'Données projet'!$A$87:$I$107,2,0)</f>
        <v>#N/A</v>
      </c>
      <c r="BB38" s="151" t="str">
        <f>VLOOKUP(A38,'Données projet'!$A$87:$I$107,9,0)</f>
        <v>#N/A</v>
      </c>
      <c r="BC38" s="150" t="str">
        <f t="array" ref="BC38">INDEX(BB:BB,MIN(IF(ISNUMBER(BB38:BB234),ROW(BB38:BB234),"")))</f>
        <v/>
      </c>
      <c r="BD38" s="150">
        <f>IF('Données projet'!$A$88&gt;35,BD37+BC38-BL37,IF(A38&lt;'Données projet'!$A$88,$BA$205^A38,IF(A38='Données projet'!$A$88,'Données projet'!$B$88,BD37+BC38-BL37)))</f>
        <v>0</v>
      </c>
      <c r="BE38" s="150">
        <f>BD38*VLOOKUP('Données projet'!$B$11,'Paramètres'!$A$1:$I$88,3,0)*VLOOKUP('Données projet'!$B$11,'Paramètres'!$A$1:$I$88,5,0)</f>
        <v>0</v>
      </c>
      <c r="BF38" s="150" t="str">
        <f t="shared" si="38"/>
        <v>#NUM!</v>
      </c>
      <c r="BG38" s="161" t="str">
        <f t="shared" si="8"/>
        <v>#NUM!</v>
      </c>
      <c r="BH38" s="153" t="str">
        <f t="shared" si="9"/>
        <v>#NUM!</v>
      </c>
      <c r="BI38" s="153">
        <f>AVERAGE(OFFSET($BH$3,0,0,'Données projet'!$E$11+1,1))-AVERAGE(OFFSET($H$3,0,0,'Données projet'!$E$11+1,1))</f>
        <v>0</v>
      </c>
      <c r="BJ38" s="153">
        <f t="shared" si="39"/>
        <v>0</v>
      </c>
      <c r="BK38" s="154">
        <f>IF(ISNA(VLOOKUP(A38,'Données projet'!$A$87:$I$107,3,0)),0,VLOOKUP(A38,'Données projet'!$A$87:$I$107,3,0))</f>
        <v>0</v>
      </c>
      <c r="BL38" s="154">
        <f>IF(ISNA(VLOOKUP(A38,'Données projet'!$A$87:$I$107,4,0)),0,VLOOKUP(A38,'Données projet'!$A$87:$I$107,4,0))</f>
        <v>0</v>
      </c>
      <c r="BM38" s="155">
        <f>IF(ISNA(VLOOKUP(A38,'Données projet'!$A$87:$I$107,5,0)),0%,VLOOKUP(A38,'Données projet'!$A$87:$I$107,5,0)*VLOOKUP('Données projet'!$B$11,'Paramètres'!$A$1:$I$88,7,0))</f>
        <v>0</v>
      </c>
      <c r="BN38" s="155">
        <f>IF(ISNA(VLOOKUP(A38,'Données projet'!$A$87:$I$107,6,0)),0%,VLOOKUP(A38,'Données projet'!$A$87:$I$107,6,0)*VLOOKUP('Données projet'!$B$11,'Paramètres'!$A$1:$I$88,7,0))</f>
        <v>0</v>
      </c>
      <c r="BO38" s="155">
        <f>IF(ISNA(VLOOKUP(A38,'Données projet'!$A$87:$I$107,7,0)),0%,VLOOKUP(A38,'Données projet'!$A$87:$I$107,7,0))</f>
        <v>0</v>
      </c>
      <c r="BP38" s="162">
        <f>EXP(-LN(2)/35)*BP37+(1-EXP(-LN(2)/35))/(LN(2)/35)*BL38*BM38*VLOOKUP('Données projet'!$B$11,'Paramètres'!$A$1:$I$88,3,0)*0.475*44/12</f>
        <v>0</v>
      </c>
      <c r="BQ38" s="162">
        <f>EXP(-LN(2)/25)*BQ37+(1-EXP(-LN(2)/25))/(LN(2)/25)*Calculateur!BL38*Calculateur!BN38*VLOOKUP('Données projet'!$B$11,'Paramètres'!$A$1:$I$88,3,0)*0.475*44/12</f>
        <v>0</v>
      </c>
      <c r="BR38" s="162">
        <f>EXP(-LN(2)/2)*BR37+(1-EXP(-LN(2)/2))/(LN(2)/2)*BL38*BO38*VLOOKUP('Données projet'!$B$11,'Paramètres'!$A$1:$I$88,3,0)*0.475*44/12</f>
        <v>0</v>
      </c>
      <c r="BS38" s="163">
        <f t="shared" si="10"/>
        <v>0</v>
      </c>
      <c r="BT38" s="159">
        <f>('Scénario référence'!$F$8+'Scénario référence'!$F$9+'Scénario référence'!$B$17+'Scénario référence'!$B$9+'Scénario référence'!$B$10)*70+IF((45+25*(1-EXP(-0.0175*A38)))&lt;70,'Scénario référence'!$B$16*(45+25*(1-EXP(-0.0175*A38))),70*'Scénario référence'!$B$16)+IF((32+38*(1-EXP(-0.0175*A38)))&lt;70,'Scénario référence'!$B$18*(32+38*(1-EXP(-0.0175*A38))),70*'Scénario référence'!$B$18)</f>
        <v>70</v>
      </c>
      <c r="BU38" s="151">
        <f>IF(A38&gt;30,10,('Scénario référence'!$B$16+'Scénario référence'!$B$17+'Scénario référence'!$B$18+'Scénario référence'!$B$9+'Scénario référence'!$B$10)*A38*10/30+('Scénario référence'!$F$8+'Scénario référence'!$F$9)*10)</f>
        <v>10</v>
      </c>
      <c r="BV38" s="151" t="str">
        <f>VLOOKUP(A38,'Données projet'!$A$113:$I$133,2,0)</f>
        <v>#N/A</v>
      </c>
      <c r="BW38" s="151" t="str">
        <f>VLOOKUP(A38,'Données projet'!$A$113:$I$133,9,0)</f>
        <v>#N/A</v>
      </c>
      <c r="BX38" s="150" t="str">
        <f t="array" ref="BX38">INDEX(BW:BW,MIN(IF(ISNUMBER(BW38:BW234),ROW(BW38:BW234),"")))</f>
        <v/>
      </c>
      <c r="BY38" s="150">
        <f>IF('Données projet'!$A$114&gt;35,BY37+BX38-CG37,IF(A38&lt;'Données projet'!$A$114,$BV$205^A38,IF(A38='Données projet'!$A$114,'Données projet'!$B$114,BY37+BX38-CG37)))</f>
        <v>0</v>
      </c>
      <c r="BZ38" s="150" t="str">
        <f>BY38*VLOOKUP('Données projet'!$B$12,'Paramètres'!$A$1:$I$88,3,0)*VLOOKUP('Données projet'!$B$12,'Paramètres'!$A$1:$I$88,5,0)</f>
        <v>#N/A</v>
      </c>
      <c r="CA38" s="150" t="str">
        <f t="shared" si="40"/>
        <v>#N/A</v>
      </c>
      <c r="CB38" s="161" t="str">
        <f t="shared" si="11"/>
        <v>#N/A</v>
      </c>
      <c r="CC38" s="153" t="str">
        <f t="shared" si="12"/>
        <v>#N/A</v>
      </c>
      <c r="CD38" s="153" t="str">
        <f>AVERAGE(OFFSET($CC$3,0,0,'Données projet'!$E$12+1,1))-AVERAGE(OFFSET($H$3,0,0,'Données projet'!$E$12+1,1))</f>
        <v>#N/A</v>
      </c>
      <c r="CE38" s="153" t="str">
        <f t="shared" si="41"/>
        <v>#N/A</v>
      </c>
      <c r="CF38" s="154">
        <f>IF(ISNA(VLOOKUP(A38,'Données projet'!$A$113:$I$133,3,0)),0,VLOOKUP(A38,'Données projet'!$A$113:$I$133,3,0))</f>
        <v>0</v>
      </c>
      <c r="CG38" s="154">
        <f>IF(ISNA(VLOOKUP(A38,'Données projet'!$A$113:$I$133,4,0)),0,VLOOKUP(A38,'Données projet'!$A$113:$I$133,4,0))</f>
        <v>0</v>
      </c>
      <c r="CH38" s="155">
        <f>IF(ISNA(VLOOKUP(A38,'Données projet'!$A$113:$I$133,5,0)),0%,VLOOKUP(A38,'Données projet'!$A$113:$I$133,5,0)*VLOOKUP('Données projet'!$B$12,'Paramètres'!$A$1:$I$88,7,0))</f>
        <v>0</v>
      </c>
      <c r="CI38" s="155">
        <f>IF(ISNA(VLOOKUP(A38,'Données projet'!$A$113:$I$133,6,0)),0%,VLOOKUP(A38,'Données projet'!$A$113:$I$133,6,0)*VLOOKUP('Données projet'!$B$12,'Paramètres'!$A$1:$I$88,7,0))</f>
        <v>0</v>
      </c>
      <c r="CJ38" s="155">
        <f>IF(ISNA(VLOOKUP(A38,'Données projet'!$A$113:$I$133,7,0)),0%,VLOOKUP(A38,'Données projet'!$A$113:$I$133,7,0))</f>
        <v>0</v>
      </c>
      <c r="CK38" s="162" t="str">
        <f>EXP(-LN(2)/35)*CK37+(1-EXP(-LN(2)/35))/(LN(2)/35)*CG38*CH38*VLOOKUP('Données projet'!$B$12,'Paramètres'!$A$1:$I$88,3,0)*0.475*44/12</f>
        <v>#N/A</v>
      </c>
      <c r="CL38" s="162" t="str">
        <f>EXP(-LN(2)/25)*CL37+(1-EXP(-LN(2)/25))/(LN(2)/25)*Calculateur!CG38*Calculateur!CI38*VLOOKUP('Données projet'!$B$12,'Paramètres'!$A$1:$I$88,3,0)*0.475*44/12</f>
        <v>#N/A</v>
      </c>
      <c r="CM38" s="162" t="str">
        <f>EXP(-LN(2)/2)*CM37+(1-EXP(-LN(2)/2))/(LN(2)/2)*CG38*CJ38*VLOOKUP('Données projet'!$B$12,'Paramètres'!$A$1:$I$88,3,0)*0.475*44/12</f>
        <v>#N/A</v>
      </c>
      <c r="CN38" s="163" t="str">
        <f t="shared" si="13"/>
        <v>#N/A</v>
      </c>
      <c r="CO38" s="159">
        <f>('Scénario référence'!$F$8+'Scénario référence'!$F$9+'Scénario référence'!$B$17+'Scénario référence'!$B$9+'Scénario référence'!$B$10)*70+IF((45+25*(1-EXP(-0.0175*A38)))&lt;70,'Scénario référence'!$B$16*(45+25*(1-EXP(-0.0175*A38))),70*'Scénario référence'!$B$16)+IF((32+38*(1-EXP(-0.0175*A38)))&lt;70,'Scénario référence'!$B$18*(32+38*(1-EXP(-0.0175*A38))),70*'Scénario référence'!$B$18)</f>
        <v>70</v>
      </c>
      <c r="CP38" s="151">
        <f>IF(A38&gt;30,10,('Scénario référence'!$B$16+'Scénario référence'!$B$17+'Scénario référence'!$B$18+'Scénario référence'!$B$9+'Scénario référence'!$B$10)*A38*10/30+('Scénario référence'!$F$8+'Scénario référence'!$F$9)*10)</f>
        <v>10</v>
      </c>
      <c r="CQ38" s="151" t="str">
        <f>VLOOKUP(A38,'Données projet'!$A$139:$I$159,2,0)</f>
        <v>#N/A</v>
      </c>
      <c r="CR38" s="151" t="str">
        <f>VLOOKUP(A38,'Données projet'!$A$139:$I$159,9,0)</f>
        <v>#N/A</v>
      </c>
      <c r="CS38" s="151" t="str">
        <f t="array" ref="CS38">INDEX(CR:CR,MIN(IF(ISNUMBER(CR38:CR234),ROW(CR38:CR234),"")))</f>
        <v/>
      </c>
      <c r="CT38" s="151">
        <f>IF('Données projet'!$A$140&gt;35,CT37+CS38-DB37,IF(A38&lt;'Données projet'!$A$140,$CQ$205^A38,IF(A38='Données projet'!$A$140,'Données projet'!$B$140,CT37+CS38-DB37)))</f>
        <v>0</v>
      </c>
      <c r="CU38" s="158" t="str">
        <f>CT38*VLOOKUP('Données projet'!$B$13,'Paramètres'!$A$1:$I$88,3,0)*VLOOKUP('Données projet'!$B$13,'Paramètres'!$A$1:$I$88,5,0)</f>
        <v>#N/A</v>
      </c>
      <c r="CV38" s="150" t="str">
        <f t="shared" si="42"/>
        <v>#N/A</v>
      </c>
      <c r="CW38" s="161" t="str">
        <f t="shared" si="14"/>
        <v>#N/A</v>
      </c>
      <c r="CX38" s="153" t="str">
        <f t="shared" si="15"/>
        <v>#N/A</v>
      </c>
      <c r="CY38" s="153" t="str">
        <f>AVERAGE(OFFSET($CX$3,0,0,'Données projet'!$E$13+1,1))-AVERAGE(OFFSET($H$3,0,0,'Données projet'!$E$13+1,1))</f>
        <v>#N/A</v>
      </c>
      <c r="CZ38" s="153" t="str">
        <f t="shared" si="43"/>
        <v>#N/A</v>
      </c>
      <c r="DA38" s="154">
        <f>IF(ISNA(VLOOKUP(A38,'Données projet'!$A$139:$I$159,3,0)),0,VLOOKUP(A38,'Données projet'!$A$139:$I$159,3,0))</f>
        <v>0</v>
      </c>
      <c r="DB38" s="154">
        <f>IF(ISNA(VLOOKUP(A38,'Données projet'!$A$139:$I$159,4,0)),0,VLOOKUP(A38,'Données projet'!$A$139:$I$159,4,0))</f>
        <v>0</v>
      </c>
      <c r="DC38" s="155">
        <f>IF(ISNA(VLOOKUP(A38,'Données projet'!$A$139:$I$159,5,0)),0%,VLOOKUP(A38,'Données projet'!$A$139:$I$159,5,0)*VLOOKUP('Données projet'!$B$13,'Paramètres'!$A$1:$I$88,7,0))</f>
        <v>0</v>
      </c>
      <c r="DD38" s="155">
        <f>IF(ISNA(VLOOKUP(A38,'Données projet'!$A$139:$I$159,6,0)),0%,VLOOKUP(A38,'Données projet'!$A$139:$I$159,6,0)*VLOOKUP('Données projet'!$B$13,'Paramètres'!$A$1:$I$88,7,0))</f>
        <v>0</v>
      </c>
      <c r="DE38" s="155">
        <f>IF(ISNA(VLOOKUP(A38,'Données projet'!$A$139:$I$159,7,0)),0%,VLOOKUP(A38,'Données projet'!$A$139:$I$159,7,0))</f>
        <v>0</v>
      </c>
      <c r="DF38" s="162" t="str">
        <f>EXP(-LN(2)/35)*DF37+(1-EXP(-LN(2)/35))/(LN(2)/35)*DB38*DC38*VLOOKUP('Données projet'!$B$13,'Paramètres'!$A$1:$I$88,3,0)*0.475*44/12</f>
        <v>#N/A</v>
      </c>
      <c r="DG38" s="162" t="str">
        <f>EXP(-LN(2)/25)*DG37+(1-EXP(-LN(2)/25))/(LN(2)/25)*Calculateur!DB38*Calculateur!DD38*VLOOKUP('Données projet'!$B$13,'Paramètres'!$A$1:$I$88,3,0)*0.475*44/12</f>
        <v>#N/A</v>
      </c>
      <c r="DH38" s="162" t="str">
        <f>EXP(-LN(2)/2)*DH37+(1-EXP(-LN(2)/2))/(LN(2)/2)*DB38*DE38*VLOOKUP('Données projet'!$B$13,'Paramètres'!$A$1:$I$88,3,0)*0.475*44/12</f>
        <v>#N/A</v>
      </c>
      <c r="DI38" s="163" t="str">
        <f t="shared" si="16"/>
        <v>#N/A</v>
      </c>
      <c r="DJ38" s="159">
        <f>('Scénario référence'!$F$8+'Scénario référence'!$F$9+'Scénario référence'!$B$17+'Scénario référence'!$B$9+'Scénario référence'!$B$10)*70+IF((45+25*(1-EXP(-0.0175*A38)))&lt;70,'Scénario référence'!$B$16*(45+25*(1-EXP(-0.0175*A38))),70*'Scénario référence'!$B$16)+IF((32+38*(1-EXP(-0.0175*A38)))&lt;70,'Scénario référence'!$B$18*(32+38*(1-EXP(-0.0175*A38))),70*'Scénario référence'!$B$18)</f>
        <v>70</v>
      </c>
      <c r="DK38" s="151">
        <f>IF(A38&gt;30,10,('Scénario référence'!$B$16+'Scénario référence'!$B$17+'Scénario référence'!$B$18+'Scénario référence'!$B$9+'Scénario référence'!$B$10)*A38*10/30+('Scénario référence'!$F$8+'Scénario référence'!$F$9)*10)</f>
        <v>10</v>
      </c>
      <c r="DL38" s="151" t="str">
        <f>VLOOKUP(A38,'Données projet'!$A$165:$I$185,2,0)</f>
        <v>#N/A</v>
      </c>
      <c r="DM38" s="151" t="str">
        <f>VLOOKUP(A38,'Données projet'!$A$165:$I$185,9,0)</f>
        <v>#N/A</v>
      </c>
      <c r="DN38" s="151" t="str">
        <f t="array" ref="DN38">INDEX(DM:DM,MIN(IF(ISNUMBER(DM38:DM234),ROW(DM38:DM234),"")))</f>
        <v/>
      </c>
      <c r="DO38" s="151">
        <f>IF('Données projet'!$A$166&gt;35,DO37+DN38-DW37,IF(A38&lt;'Données projet'!$A$166,$DL$205^A38,IF(A38='Données projet'!$A$166,'Données projet'!$B$166,DO37+DN38-DW37)))</f>
        <v>0</v>
      </c>
      <c r="DP38" s="158" t="str">
        <f>DO38*VLOOKUP('Données projet'!$B$14,'Paramètres'!$A$1:$I$88,3,0)*VLOOKUP('Données projet'!$B$14,'Paramètres'!$A$1:$I$88,5,0)</f>
        <v>#N/A</v>
      </c>
      <c r="DQ38" s="150" t="str">
        <f t="shared" si="44"/>
        <v>#N/A</v>
      </c>
      <c r="DR38" s="161" t="str">
        <f t="shared" si="17"/>
        <v>#N/A</v>
      </c>
      <c r="DS38" s="153" t="str">
        <f t="shared" si="18"/>
        <v>#N/A</v>
      </c>
      <c r="DT38" s="153" t="str">
        <f>AVERAGE(OFFSET($DS$3,0,0,'Données projet'!$E$14+1,1))-AVERAGE(OFFSET($H$3,0,0,'Données projet'!$E$14+1,1))</f>
        <v>#N/A</v>
      </c>
      <c r="DU38" s="153" t="str">
        <f t="shared" si="45"/>
        <v>#N/A</v>
      </c>
      <c r="DV38" s="154">
        <f>IF(ISNA(VLOOKUP(A38,'Données projet'!$A$165:$I$185,3,0)),0,VLOOKUP(A38,'Données projet'!$A$165:$I$185,3,0))</f>
        <v>0</v>
      </c>
      <c r="DW38" s="154">
        <f>IF(ISNA(VLOOKUP(A38,'Données projet'!$A$165:$I$185,4,0)),0,VLOOKUP(A38,'Données projet'!$A$165:$I$185,4,0))</f>
        <v>0</v>
      </c>
      <c r="DX38" s="155">
        <f>IF(ISNA(VLOOKUP(A38,'Données projet'!$A$165:$I$185,5,0)),0%,VLOOKUP(A38,'Données projet'!$A$165:$I$185,5,0)*VLOOKUP('Données projet'!$B$14,'Paramètres'!$A$1:$I$88,7,0))</f>
        <v>0</v>
      </c>
      <c r="DY38" s="155">
        <f>IF(ISNA(VLOOKUP(A38,'Données projet'!$A$165:$I$185,6,0)),0%,VLOOKUP(A38,'Données projet'!$A$165:$I$185,6,0)*VLOOKUP('Données projet'!$B$14,'Paramètres'!$A$1:$I$88,7,0))</f>
        <v>0</v>
      </c>
      <c r="DZ38" s="155">
        <f>IF(ISNA(VLOOKUP(A38,'Données projet'!$A$165:$I$185,7,0)),0%,VLOOKUP(A38,'Données projet'!$A$165:$I$185,7,0))</f>
        <v>0</v>
      </c>
      <c r="EA38" s="162" t="str">
        <f>EXP(-LN(2)/35)*EA37+(1-EXP(-LN(2)/35))/(LN(2)/35)*DW38*DX38*VLOOKUP('Données projet'!$B$14,'Paramètres'!$A$1:$I$88,3,0)*0.475*44/12</f>
        <v>#N/A</v>
      </c>
      <c r="EB38" s="162" t="str">
        <f>EXP(-LN(2)/25)*EB37+(1-EXP(-LN(2)/25))/(LN(2)/25)*Calculateur!DW38*Calculateur!DY38*VLOOKUP('Données projet'!$B$14,'Paramètres'!$A$1:$I$88,3,0)*0.475*44/12</f>
        <v>#N/A</v>
      </c>
      <c r="EC38" s="162" t="str">
        <f>EXP(-LN(2)/2)*EC37+(1-EXP(-LN(2)/2))/(LN(2)/2)*DW38*DZ38*VLOOKUP('Données projet'!$B$14,'Paramètres'!$A$1:$I$88,3,0)*0.475*44/12</f>
        <v>#N/A</v>
      </c>
      <c r="ED38" s="163" t="str">
        <f t="shared" si="19"/>
        <v>#N/A</v>
      </c>
      <c r="EE38" s="159">
        <f>('Scénario référence'!$F$8+'Scénario référence'!$F$9+'Scénario référence'!$B$17+'Scénario référence'!$B$9+'Scénario référence'!$B$10)*70+IF((45+25*(1-EXP(-0.0175*A38)))&lt;70,'Scénario référence'!$B$16*(45+25*(1-EXP(-0.0175*A38))),70*'Scénario référence'!$B$16)+IF((32+38*(1-EXP(-0.0175*A38)))&lt;70,'Scénario référence'!$B$18*(32+38*(1-EXP(-0.0175*A38))),70*'Scénario référence'!$B$18)</f>
        <v>70</v>
      </c>
      <c r="EF38" s="151">
        <f>IF(A38&gt;30,10,('Scénario référence'!$B$16+'Scénario référence'!$B$17+'Scénario référence'!$B$18+'Scénario référence'!$B$9+'Scénario référence'!$B$10)*A38*10/30+('Scénario référence'!$F$8+'Scénario référence'!$F$9)*10)</f>
        <v>10</v>
      </c>
      <c r="EG38" s="151" t="str">
        <f>VLOOKUP(A38,'Données projet'!$A$191:$I$211,2,0)</f>
        <v>#N/A</v>
      </c>
      <c r="EH38" s="151" t="str">
        <f>VLOOKUP(A38,'Données projet'!$A$191:$I$211,9,0)</f>
        <v>#N/A</v>
      </c>
      <c r="EI38" s="151" t="str">
        <f t="array" ref="EI38">INDEX(EH:EH,MIN(IF(ISNUMBER(EH38:EH234),ROW(EH38:EH234),"")))</f>
        <v/>
      </c>
      <c r="EJ38" s="151">
        <f>IF('Données projet'!$A$192&gt;35,EJ37+EI38-ER37,IF(A38&lt;'Données projet'!$A$192,$EG$205^A38,IF(A38='Données projet'!$A$192,'Données projet'!$B$192,EJ37+EI38-ER37)))</f>
        <v>0</v>
      </c>
      <c r="EK38" s="158" t="str">
        <f>EJ38*VLOOKUP('Données projet'!$B$15,'Paramètres'!$A$1:$I$88,3,0)*VLOOKUP('Données projet'!$B$15,'Paramètres'!$A$1:$I$88,5,0)</f>
        <v>#N/A</v>
      </c>
      <c r="EL38" s="150" t="str">
        <f t="shared" si="46"/>
        <v>#N/A</v>
      </c>
      <c r="EM38" s="161" t="str">
        <f t="shared" si="20"/>
        <v>#N/A</v>
      </c>
      <c r="EN38" s="153" t="str">
        <f t="shared" si="21"/>
        <v>#N/A</v>
      </c>
      <c r="EO38" s="153" t="str">
        <f>AVERAGE(OFFSET($EN$3,0,0,'Données projet'!$E$15+1,1))-AVERAGE(OFFSET($H$3,0,0,'Données projet'!$E$15+1,1))</f>
        <v>#N/A</v>
      </c>
      <c r="EP38" s="153" t="str">
        <f t="shared" si="47"/>
        <v>#N/A</v>
      </c>
      <c r="EQ38" s="154">
        <f>IF(ISNA(VLOOKUP(A38,'Données projet'!$A$191:$I$211,3,0)),0,VLOOKUP(A38,'Données projet'!$A$191:$I$211,3,0))</f>
        <v>0</v>
      </c>
      <c r="ER38" s="154">
        <f>IF(ISNA(VLOOKUP(A38,'Données projet'!$A$191:$I$211,4,0)),0,VLOOKUP(A38,'Données projet'!$A$191:$I$211,4,0))</f>
        <v>0</v>
      </c>
      <c r="ES38" s="155">
        <f>IF(ISNA(VLOOKUP(A38,'Données projet'!$A$191:$I$211,5,0)),0%,VLOOKUP(A38,'Données projet'!$A$191:$I$211,5,0)*VLOOKUP('Données projet'!$B$15,'Paramètres'!$A$1:$I$88,7,0))</f>
        <v>0</v>
      </c>
      <c r="ET38" s="155">
        <f>IF(ISNA(VLOOKUP(A38,'Données projet'!$A$191:$I$211,6,0)),0%,VLOOKUP(A38,'Données projet'!$A$191:$I$211,6,0)*VLOOKUP('Données projet'!$B$15,'Paramètres'!$A$1:$I$88,7,0))</f>
        <v>0</v>
      </c>
      <c r="EU38" s="155">
        <f>IF(ISNA(VLOOKUP(A38,'Données projet'!$A$191:$I$211,7,0)),0%,VLOOKUP(A38,'Données projet'!$A$191:$I$211,7,0))</f>
        <v>0</v>
      </c>
      <c r="EV38" s="162" t="str">
        <f>EXP(-LN(2)/35)*EV37+(1-EXP(-LN(2)/35))/(LN(2)/35)*ER38*ES38*VLOOKUP('Données projet'!$B$15,'Paramètres'!$A$1:$I$88,3,0)*0.475*44/12</f>
        <v>#N/A</v>
      </c>
      <c r="EW38" s="162" t="str">
        <f>EXP(-LN(2)/25)*EW37+(1-EXP(-LN(2)/25))/(LN(2)/25)*Calculateur!ER38*Calculateur!ET38*VLOOKUP('Données projet'!$B$15,'Paramètres'!$A$1:$I$88,3,0)*0.475*44/12</f>
        <v>#N/A</v>
      </c>
      <c r="EX38" s="162" t="str">
        <f>EXP(-LN(2)/2)*EX37+(1-EXP(-LN(2)/2))/(LN(2)/2)*ER38*EU38*VLOOKUP('Données projet'!$B$15,'Paramètres'!$A$1:$I$88,3,0)*0.475*44/12</f>
        <v>#N/A</v>
      </c>
      <c r="EY38" s="163" t="str">
        <f t="shared" si="22"/>
        <v>#N/A</v>
      </c>
      <c r="EZ38" s="159">
        <f>('Scénario référence'!$F$8+'Scénario référence'!$F$9+'Scénario référence'!$B$17+'Scénario référence'!$B$9+'Scénario référence'!$B$10)*70+IF((45+25*(1-EXP(-0.0175*A38)))&lt;70,'Scénario référence'!$B$16*(45+25*(1-EXP(-0.0175*A38))),70*'Scénario référence'!$B$16)+IF((32+38*(1-EXP(-0.0175*A38)))&lt;70,'Scénario référence'!$B$18*(32+38*(1-EXP(-0.0175*A38))),70*'Scénario référence'!$B$18)</f>
        <v>70</v>
      </c>
      <c r="FA38" s="151">
        <f>IF(A38&gt;30,10,('Scénario référence'!$B$16+'Scénario référence'!$B$17+'Scénario référence'!$B$18+'Scénario référence'!$B$9+'Scénario référence'!$B$10)*A38*10/30+('Scénario référence'!$F$8+'Scénario référence'!$F$9)*10)</f>
        <v>10</v>
      </c>
      <c r="FB38" s="151" t="str">
        <f>VLOOKUP(A38,'Données projet'!$A$217:$I$237,2,0)</f>
        <v>#N/A</v>
      </c>
      <c r="FC38" s="151" t="str">
        <f>VLOOKUP(A38,'Données projet'!$A$217:$I$237,9,0)</f>
        <v>#N/A</v>
      </c>
      <c r="FD38" s="151" t="str">
        <f t="array" ref="FD38">INDEX(FC:FC,MIN(IF(ISNUMBER(FC38:FC234),ROW(FC38:FC234),"")))</f>
        <v/>
      </c>
      <c r="FE38" s="151">
        <f>IF('Données projet'!$A$218&gt;35,FE37+FD38-FM37,IF(A38&lt;'Données projet'!$A$218,$FB$205^A38,IF(A38='Données projet'!$A$218,'Données projet'!$B$218,FE37+FD38-FM37)))</f>
        <v>0</v>
      </c>
      <c r="FF38" s="158" t="str">
        <f>FE38*VLOOKUP('Données projet'!$B$16,'Paramètres'!$A$1:$I$88,3,0)*VLOOKUP('Données projet'!$B$16,'Paramètres'!$A$1:$I$88,5,0)</f>
        <v>#N/A</v>
      </c>
      <c r="FG38" s="150" t="str">
        <f t="shared" si="48"/>
        <v>#N/A</v>
      </c>
      <c r="FH38" s="161" t="str">
        <f t="shared" si="23"/>
        <v>#N/A</v>
      </c>
      <c r="FI38" s="153" t="str">
        <f t="shared" si="24"/>
        <v>#N/A</v>
      </c>
      <c r="FJ38" s="153" t="str">
        <f>AVERAGE(OFFSET($FI$3,0,0,'Données projet'!$E$16+1,1))-AVERAGE(OFFSET($H$3,0,0,'Données projet'!$E$16+1,1))</f>
        <v>#N/A</v>
      </c>
      <c r="FK38" s="153" t="str">
        <f t="shared" si="49"/>
        <v>#N/A</v>
      </c>
      <c r="FL38" s="154">
        <f>IF(ISNA(VLOOKUP(A38,'Données projet'!$A$217:$I$237,3,0)),0,VLOOKUP(A38,'Données projet'!$A$217:$I$237,3,0))</f>
        <v>0</v>
      </c>
      <c r="FM38" s="154">
        <f>IF(ISNA(VLOOKUP(A38,'Données projet'!$A$217:$I$237,4,0)),0,VLOOKUP(A38,'Données projet'!$A$217:$I$237,4,0))</f>
        <v>0</v>
      </c>
      <c r="FN38" s="155">
        <f>IF(ISNA(VLOOKUP(A38,'Données projet'!$A$217:$I$237,5,0)),0%,VLOOKUP(A38,'Données projet'!$A$217:$I$237,5,0)*VLOOKUP('Données projet'!$B$16,'Paramètres'!$A$1:$I$88,7,0))</f>
        <v>0</v>
      </c>
      <c r="FO38" s="155">
        <f>IF(ISNA(VLOOKUP(A38,'Données projet'!$A$217:$I$237,6,0)),0%,VLOOKUP(A38,'Données projet'!$A$217:$I$237,6,0)*VLOOKUP('Données projet'!$B$16,'Paramètres'!$A$1:$I$88,7,0))</f>
        <v>0</v>
      </c>
      <c r="FP38" s="155">
        <f>IF(ISNA(VLOOKUP(A38,'Données projet'!$A$217:$I$237,7,0)),0%,VLOOKUP(A38,'Données projet'!$A$217:$I$237,7,0))</f>
        <v>0</v>
      </c>
      <c r="FQ38" s="162" t="str">
        <f>EXP(-LN(2)/35)*FQ37+(1-EXP(-LN(2)/35))/(LN(2)/35)*FM38*FN38*VLOOKUP('Données projet'!$B$16,'Paramètres'!$A$1:$I$88,3,0)*0.475*44/12</f>
        <v>#N/A</v>
      </c>
      <c r="FR38" s="162" t="str">
        <f>EXP(-LN(2)/25)*FR37+(1-EXP(-LN(2)/25))/(LN(2)/25)*Calculateur!FM38*Calculateur!FO38*VLOOKUP('Données projet'!$B$16,'Paramètres'!$A$1:$I$88,3,0)*0.475*44/12</f>
        <v>#N/A</v>
      </c>
      <c r="FS38" s="162" t="str">
        <f>EXP(-LN(2)/2)*FS37+(1-EXP(-LN(2)/2))/(LN(2)/2)*FM38*FP38*VLOOKUP('Données projet'!$B$16,'Paramètres'!$A$1:$I$88,3,0)*0.475*44/12</f>
        <v>#N/A</v>
      </c>
      <c r="FT38" s="163" t="str">
        <f t="shared" si="25"/>
        <v>#N/A</v>
      </c>
      <c r="FU38" s="159">
        <f>('Scénario référence'!$F$8+'Scénario référence'!$F$9+'Scénario référence'!$B$17+'Scénario référence'!$B$9+'Scénario référence'!$B$10)*70+IF((45+25*(1-EXP(-0.0175*A38)))&lt;70,'Scénario référence'!$B$16*(45+25*(1-EXP(-0.0175*A38))),70*'Scénario référence'!$B$16)+IF((32+38*(1-EXP(-0.0175*A38)))&lt;70,'Scénario référence'!$B$18*(32+38*(1-EXP(-0.0175*A38))),70*'Scénario référence'!$B$18)</f>
        <v>70</v>
      </c>
      <c r="FV38" s="151">
        <f>IF(A38&gt;30,10,('Scénario référence'!$B$16+'Scénario référence'!$B$17+'Scénario référence'!$B$18+'Scénario référence'!$B$9+'Scénario référence'!$B$10)*A38*10/30+('Scénario référence'!$F$8+'Scénario référence'!$F$9)*10)</f>
        <v>10</v>
      </c>
      <c r="FW38" s="151" t="str">
        <f>VLOOKUP(A38,'Données projet'!$A$243:$I$263,2,0)</f>
        <v>#N/A</v>
      </c>
      <c r="FX38" s="151" t="str">
        <f>VLOOKUP(A38,'Données projet'!$A$243:$I$263,9,0)</f>
        <v>#N/A</v>
      </c>
      <c r="FY38" s="151" t="str">
        <f t="array" ref="FY38">INDEX(FX:FX,MIN(IF(ISNUMBER(FX38:FX234),ROW(FX38:FX234),"")))</f>
        <v/>
      </c>
      <c r="FZ38" s="151">
        <f>IF('Données projet'!$A$244&gt;35,FZ37+FY38-GH37,IF(A38&lt;'Données projet'!$A$244,$FW$205^A38,IF(A38='Données projet'!$A$244,'Données projet'!$B$244,FZ37+FY38-GH37)))</f>
        <v>0</v>
      </c>
      <c r="GA38" s="158" t="str">
        <f>FZ38*VLOOKUP('Données projet'!$B$17,'Paramètres'!$A$1:$I$88,3,0)*VLOOKUP('Données projet'!$B$17,'Paramètres'!$A$1:$I$88,5,0)</f>
        <v>#N/A</v>
      </c>
      <c r="GB38" s="150" t="str">
        <f t="shared" si="50"/>
        <v>#N/A</v>
      </c>
      <c r="GC38" s="161" t="str">
        <f t="shared" si="26"/>
        <v>#N/A</v>
      </c>
      <c r="GD38" s="153" t="str">
        <f t="shared" si="27"/>
        <v>#N/A</v>
      </c>
      <c r="GE38" s="153" t="str">
        <f>AVERAGE(OFFSET($GD$3,0,0,'Données projet'!$E$17+1,1))-AVERAGE(OFFSET($H$3,0,0,'Données projet'!$E$17+1,1))</f>
        <v>#N/A</v>
      </c>
      <c r="GF38" s="153" t="str">
        <f t="shared" si="51"/>
        <v>#N/A</v>
      </c>
      <c r="GG38" s="154">
        <f>IF(ISNA(VLOOKUP(A38,'Données projet'!$A$243:$I$263,3,0)),0,VLOOKUP(A38,'Données projet'!$A$243:$I$263,3,0))</f>
        <v>0</v>
      </c>
      <c r="GH38" s="154">
        <f>IF(ISNA(VLOOKUP(A38,'Données projet'!$A$243:$I$263,4,0)),0,VLOOKUP(A38,'Données projet'!$A$243:$I$263,4,0))</f>
        <v>0</v>
      </c>
      <c r="GI38" s="155">
        <f>IF(ISNA(VLOOKUP(A38,'Données projet'!$A$243:$I$263,5,0)),0%,VLOOKUP(A38,'Données projet'!$A$243:$I$263,5,0)*VLOOKUP('Données projet'!$B$17,'Paramètres'!$A$1:$I$88,7,0))</f>
        <v>0</v>
      </c>
      <c r="GJ38" s="155">
        <f>IF(ISNA(VLOOKUP(A38,'Données projet'!$A$243:$I$263,6,0)),0%,VLOOKUP(A38,'Données projet'!$A$243:$I$263,6,0)*VLOOKUP('Données projet'!$B$17,'Paramètres'!$A$1:$I$88,7,0))</f>
        <v>0</v>
      </c>
      <c r="GK38" s="155">
        <f>IF(ISNA(VLOOKUP(A38,'Données projet'!$A$243:$I$263,7,0)),0%,VLOOKUP(A38,'Données projet'!$A$243:$I$263,7,0))</f>
        <v>0</v>
      </c>
      <c r="GL38" s="162" t="str">
        <f>EXP(-LN(2)/35)*GL37+(1-EXP(-LN(2)/35))/(LN(2)/35)*GH38*GI38*VLOOKUP('Données projet'!$B$17,'Paramètres'!$A$1:$I$88,3,0)*0.475*44/12</f>
        <v>#N/A</v>
      </c>
      <c r="GM38" s="162" t="str">
        <f>EXP(-LN(2)/25)*GM37+(1-EXP(-LN(2)/25))/(LN(2)/25)*Calculateur!GH38*Calculateur!GJ38*VLOOKUP('Données projet'!$B$17,'Paramètres'!$A$1:$I$88,3,0)*0.475*44/12</f>
        <v>#N/A</v>
      </c>
      <c r="GN38" s="162" t="str">
        <f>EXP(-LN(2)/2)*GN37+(1-EXP(-LN(2)/2))/(LN(2)/2)*GH38*GK38*VLOOKUP('Données projet'!$B$17,'Paramètres'!$A$1:$I$88,3,0)*0.475*44/12</f>
        <v>#N/A</v>
      </c>
      <c r="GO38" s="162" t="str">
        <f t="shared" si="28"/>
        <v>#N/A</v>
      </c>
      <c r="GP38" s="159">
        <f>('Scénario référence'!$F$8+'Scénario référence'!$F$9+'Scénario référence'!$B$17+'Scénario référence'!$B$9+'Scénario référence'!$B$10)*70+IF((45+25*(1-EXP(-0.0175*A38)))&lt;70,'Scénario référence'!$B$16*(45+25*(1-EXP(-0.0175*A38))),70*'Scénario référence'!$B$16)+IF((32+38*(1-EXP(-0.0175*A38)))&lt;70,'Scénario référence'!$B$18*(32+38*(1-EXP(-0.0175*A38))),70*'Scénario référence'!$B$18)</f>
        <v>70</v>
      </c>
      <c r="GQ38" s="151">
        <f>IF(A38&gt;30,10,('Scénario référence'!$B$16+'Scénario référence'!$B$17+'Scénario référence'!$B$18+'Scénario référence'!$B$9+'Scénario référence'!$B$10)*A38*10/30+('Scénario référence'!$F$8+'Scénario référence'!$F$9)*10)</f>
        <v>10</v>
      </c>
      <c r="GR38" s="151" t="str">
        <f>VLOOKUP(A38,'Données projet'!$A$269:$I$289,2,0)</f>
        <v>#N/A</v>
      </c>
      <c r="GS38" s="151" t="str">
        <f>VLOOKUP(A38,'Données projet'!$A$269:$I$289,9,0)</f>
        <v>#N/A</v>
      </c>
      <c r="GT38" s="151" t="str">
        <f t="array" ref="GT38">INDEX(GS:GS,MIN(IF(ISNUMBER(GS38:GS234),ROW(GS38:GS234),"")))</f>
        <v/>
      </c>
      <c r="GU38" s="151">
        <f>IF('Données projet'!$A$270&gt;35,GU37+GT38-HC37,IF(A38&lt;'Données projet'!$A$270,$GR$205^A38,IF(A38='Données projet'!$A$270,'Données projet'!$B$270,GU37+GT38-HC37)))</f>
        <v>0</v>
      </c>
      <c r="GV38" s="158" t="str">
        <f>GU38*VLOOKUP('Données projet'!$B$18,'Paramètres'!$A$1:$I$88,3,0)*VLOOKUP('Données projet'!$B$18,'Paramètres'!$A$1:$I$88,5,0)</f>
        <v>#N/A</v>
      </c>
      <c r="GW38" s="150" t="str">
        <f t="shared" si="52"/>
        <v>#N/A</v>
      </c>
      <c r="GX38" s="161" t="str">
        <f t="shared" si="29"/>
        <v>#N/A</v>
      </c>
      <c r="GY38" s="153" t="str">
        <f t="shared" si="30"/>
        <v>#N/A</v>
      </c>
      <c r="GZ38" s="153" t="str">
        <f>AVERAGE(OFFSET($GY$3,0,0,'Données projet'!$E$18+1,1))-AVERAGE(OFFSET($H$3,0,0,'Données projet'!$E$18+1,1))</f>
        <v>#N/A</v>
      </c>
      <c r="HA38" s="153" t="str">
        <f t="shared" si="53"/>
        <v>#N/A</v>
      </c>
      <c r="HB38" s="154">
        <f>IF(ISNA(VLOOKUP(A38,'Données projet'!$A$269:$I$289,3,0)),0,VLOOKUP(A38,'Données projet'!$A$269:$I$289,3,0))</f>
        <v>0</v>
      </c>
      <c r="HC38" s="154">
        <f>IF(ISNA(VLOOKUP(A38,'Données projet'!$A$269:$I$289,4,0)),0,VLOOKUP(A38,'Données projet'!$A$269:$I$289,4,0))</f>
        <v>0</v>
      </c>
      <c r="HD38" s="155">
        <f>IF(ISNA(VLOOKUP(A38,'Données projet'!$A$269:$I$289,5,0)),0%,VLOOKUP(A38,'Données projet'!$A$269:$I$289,5,0)*VLOOKUP('Données projet'!$B$18,'Paramètres'!$A$1:$I$88,7,0))</f>
        <v>0</v>
      </c>
      <c r="HE38" s="155">
        <f>IF(ISNA(VLOOKUP(A38,'Données projet'!$A$269:$I$289,6,0)),0%,VLOOKUP(A38,'Données projet'!$A$269:$I$289,6,0)*VLOOKUP('Données projet'!$B$18,'Paramètres'!$A$1:$I$88,7,0))</f>
        <v>0</v>
      </c>
      <c r="HF38" s="155">
        <f>IF(ISNA(VLOOKUP(A38,'Données projet'!$A$269:$I$289,7,0)),0%,VLOOKUP(A38,'Données projet'!$A$269:$I$289,7,0))</f>
        <v>0</v>
      </c>
      <c r="HG38" s="162" t="str">
        <f>EXP(-LN(2)/35)*HG37+(1-EXP(-LN(2)/35))/(LN(2)/35)*HC38*HD38*VLOOKUP('Données projet'!$B$18,'Paramètres'!$A$1:$I$88,3,0)*0.475*44/12</f>
        <v>#N/A</v>
      </c>
      <c r="HH38" s="162" t="str">
        <f>EXP(-LN(2)/25)*HH37+(1-EXP(-LN(2)/25))/(LN(2)/25)*Calculateur!HC38*Calculateur!HE38*VLOOKUP('Données projet'!$B$18,'Paramètres'!$A$1:$I$88,3,0)*0.475*44/12</f>
        <v>#N/A</v>
      </c>
      <c r="HI38" s="162" t="str">
        <f>EXP(-LN(2)/2)*HI37+(1-EXP(-LN(2)/2))/(LN(2)/2)*HC38*HF38*VLOOKUP('Données projet'!$B$18,'Paramètres'!$A$1:$I$88,3,0)*0.475*44/12</f>
        <v>#N/A</v>
      </c>
      <c r="HJ38" s="163" t="str">
        <f t="shared" si="31"/>
        <v>#N/A</v>
      </c>
    </row>
    <row r="39" ht="15.75" customHeight="1">
      <c r="A39" s="145">
        <f t="shared" si="32"/>
        <v>36</v>
      </c>
      <c r="B39" s="146">
        <f>'Scénario référence'!$B$16*5+'Scénario référence'!$B$17*0+'Scénario référence'!$B$18*5</f>
        <v>0</v>
      </c>
      <c r="C39" s="160">
        <f>Calculateur!C38+'Scénario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39" s="147">
        <f t="shared" si="33"/>
        <v>0</v>
      </c>
      <c r="E39" s="147">
        <f>'Scénario référence'!$B$16*45+('Scénario référence'!$B$17+'Scénario référence'!$F$8+'Scénario référence'!$F$9+'Scénario référence'!$B$10+'Scénario référence'!$B$9)*70+'Scénario référence'!$B$18*32</f>
        <v>70</v>
      </c>
      <c r="F39" s="147">
        <f>IF(OR('Scénario référence'!$F$8&gt;0,'Scénario référence'!$F$9&gt;0),('Scénario référence'!$F$8+'Scénario référence'!$F$9)*10,0)</f>
        <v>0</v>
      </c>
      <c r="G39" s="147">
        <f>'Scénario référence'!$B$8*B39*44/12+'Scénario référence'!$B$9*(C39+D39)/0.475*44/12+'Scénario référence'!$B$10*(C39+D39)/0.475*44/12+'Scénario référence'!$F$8*(C39+D39)/0.475*44/12+'Scénario référence'!$F$9*(C39+D39)/0.475*44/12</f>
        <v>0</v>
      </c>
      <c r="H39" s="148">
        <f t="shared" si="1"/>
        <v>256.6666667</v>
      </c>
      <c r="I39" s="149">
        <f>('Scénario référence'!$F$8+'Scénario référence'!$F$9+'Scénario référence'!$B$17+'Scénario référence'!$B$9+'Scénario référence'!$B$10)*70+IF((45+25*(1-EXP(-0.0175*A39)))&lt;70,'Scénario référence'!$B$16*(45+25*(1-EXP(-0.0175*A39))),70*'Scénario référence'!$B$16)+IF((32+38*(1-EXP(-0.0175*A39)))&lt;70,'Scénario référence'!$B$18*(32+38*(1-EXP(-0.0175*A39))),70*'Scénario référence'!$B$18)</f>
        <v>70</v>
      </c>
      <c r="J39" s="150">
        <f>IF(A39&gt;30,10,('Scénario référence'!$B$16+'Scénario référence'!$B$17+'Scénario référence'!$B$18+'Scénario référence'!$B$9+'Scénario référence'!$B$10)*A39*10/30+('Scénario référence'!$F$8+'Scénario référence'!$F$9)*10)</f>
        <v>10</v>
      </c>
      <c r="K39" s="151" t="str">
        <f>VLOOKUP(A39,'Données projet'!$A$35:$I$55,2,0)</f>
        <v>#N/A</v>
      </c>
      <c r="L39" s="151" t="str">
        <f>VLOOKUP(A39,'Données projet'!$A$35:$I$55,9,0)</f>
        <v>#N/A</v>
      </c>
      <c r="M39" s="150">
        <f t="array" ref="M39">INDEX(L:L,MIN(IF(ISNUMBER(L39:L235),ROW(L39:L235),"")))</f>
        <v>11.2</v>
      </c>
      <c r="N39" s="150">
        <f>IF('Données projet'!$A$36&gt;35,N38+M39-V38,IF(A39&lt;'Données projet'!$A$36,$K$205^A39,IF(A39='Données projet'!$A$36,'Données projet'!$B$36,N38+M39-V38)))</f>
        <v>130.2</v>
      </c>
      <c r="O39" s="150">
        <f>N39*VLOOKUP('Données projet'!$B$9,'Paramètres'!$A$1:$I$88,3,0)*VLOOKUP('Données projet'!$B$9,'Paramètres'!$A$1:$I$88,5,0)</f>
        <v>117.80496</v>
      </c>
      <c r="P39" s="150">
        <f t="shared" si="34"/>
        <v>31.16249349</v>
      </c>
      <c r="Q39" s="161">
        <f t="shared" si="2"/>
        <v>259.4516482</v>
      </c>
      <c r="R39" s="153">
        <f t="shared" si="3"/>
        <v>552.7849815</v>
      </c>
      <c r="S39" s="153">
        <f>AVERAGE(OFFSET($R$3,0,0,'Données projet'!$E$9+1,1))-AVERAGE(OFFSET($H$3,0,0,'Données projet'!$E$9+1,1))</f>
        <v>439.1985427</v>
      </c>
      <c r="T39" s="153">
        <f t="shared" si="35"/>
        <v>278.2174123</v>
      </c>
      <c r="U39" s="154">
        <f>IF(ISNA(VLOOKUP(A39,'Données projet'!$A$35:$I$55,3,0)),0,VLOOKUP(A39,'Données projet'!$A$35:$I$55,3,0))</f>
        <v>0</v>
      </c>
      <c r="V39" s="154">
        <f>IF(ISNA(VLOOKUP(A39,'Données projet'!$A$35:$I$55,4,0)),0,VLOOKUP(A39,'Données projet'!$A$35:$I$55,4,0))</f>
        <v>0</v>
      </c>
      <c r="W39" s="155">
        <f>IF(ISNA(VLOOKUP(A39,'Données projet'!$A$35:$I$55,5,0)),0%,VLOOKUP(A39,'Données projet'!$A$35:$I$55,5,0)*VLOOKUP('Données projet'!$B$9,'Paramètres'!$A$1:$I$88,7,0))</f>
        <v>0</v>
      </c>
      <c r="X39" s="155">
        <f>IF(ISNA(VLOOKUP(A39,'Données projet'!$A$35:$I$55,6,0)),0%,VLOOKUP(A39,'Données projet'!$A$35:$I$55,6,0)*VLOOKUP('Données projet'!$B$9,'Paramètres'!$A$1:$I$88,7,0))</f>
        <v>0</v>
      </c>
      <c r="Y39" s="155">
        <f>IF(ISNA(VLOOKUP(A39,'Données projet'!$A$35:$I$55,7,0)),0%,VLOOKUP(A39,'Données projet'!$A$35:$I$55,7,0))</f>
        <v>0</v>
      </c>
      <c r="Z39" s="162">
        <f>EXP(-LN(2)/35)*Z38+(1-EXP(-LN(2)/35))/(LN(2)/35)*V39*W39*VLOOKUP('Données projet'!$B$9,'Paramètres'!$A$1:$I$88,3,0)*0.475*44/12</f>
        <v>0</v>
      </c>
      <c r="AA39" s="162">
        <f>EXP(-LN(2)/25)*AA38+(1-EXP(-LN(2)/25))/(LN(2)/25)*Calculateur!V39*Calculateur!X39*VLOOKUP('Données projet'!$B$9,'Paramètres'!$A$1:$I$88,3,0)*0.475*44/12</f>
        <v>3.799837986</v>
      </c>
      <c r="AB39" s="162">
        <f>EXP(-LN(2)/2)*AB38+(1-EXP(-LN(2)/2))/(LN(2)/2)*V39*Y39*VLOOKUP('Données projet'!$B$9,'Paramètres'!$A$1:$I$88,3,0)*0.475*44/12</f>
        <v>0</v>
      </c>
      <c r="AC39" s="163">
        <f t="shared" si="4"/>
        <v>3.799837986</v>
      </c>
      <c r="AD39" s="150">
        <f>('Scénario référence'!$F$8+'Scénario référence'!$F$9+'Scénario référence'!$B$17+'Scénario référence'!$B$9+'Scénario référence'!$B$10)*70+IF((45+25*(1-EXP(-0.0175*A39)))&lt;70,'Scénario référence'!$B$16*(45+25*(1-EXP(-0.0175*A39))),70*'Scénario référence'!$B$16)+IF((32+38*(1-EXP(-0.0175*A39)))&lt;70,'Scénario référence'!$B$18*(32+38*(1-EXP(-0.0175*A39))),70*'Scénario référence'!$B$18)</f>
        <v>70</v>
      </c>
      <c r="AE39" s="150">
        <f>IF(A39&gt;30,10,('Scénario référence'!$B$16+'Scénario référence'!$B$17+'Scénario référence'!$B$18+'Scénario référence'!$B$9+'Scénario référence'!$B$10)*A39*10/30+('Scénario référence'!$F$8+'Scénario référence'!$F$9)*10)</f>
        <v>10</v>
      </c>
      <c r="AF39" s="151" t="str">
        <f>VLOOKUP(A39,'Données projet'!$A$61:$I$81,2,0)</f>
        <v>#N/A</v>
      </c>
      <c r="AG39" s="151" t="str">
        <f>VLOOKUP(A39,'Données projet'!$A$61:$I$81,9,0)</f>
        <v>#N/A</v>
      </c>
      <c r="AH39" s="150">
        <f t="array" ref="AH39">INDEX(AG:AG,MIN(IF(ISNUMBER(AG39:AG235),ROW(AG39:AG235),"")))</f>
        <v>13.2</v>
      </c>
      <c r="AI39" s="150">
        <f>IF('Données projet'!$A$62&gt;35,AI38+AH39-AQ38,IF(A39&lt;'Données projet'!$A$62,$AF$205^A39,IF(A39='Données projet'!$A$62,'Données projet'!$B$62,AI38+AH39-AQ38)))</f>
        <v>210.2</v>
      </c>
      <c r="AJ39" s="150">
        <f>AI39*VLOOKUP('Données projet'!$B$10,'Paramètres'!$A$1:$I$88,3,0)*VLOOKUP('Données projet'!$B$10,'Paramètres'!$A$1:$I$88,5,0)</f>
        <v>167.23512</v>
      </c>
      <c r="AK39" s="150">
        <f t="shared" si="36"/>
        <v>42.47019271</v>
      </c>
      <c r="AL39" s="161">
        <f t="shared" si="5"/>
        <v>365.236753</v>
      </c>
      <c r="AM39" s="153">
        <f t="shared" si="6"/>
        <v>658.5700863</v>
      </c>
      <c r="AN39" s="153">
        <f>AVERAGE(OFFSET($AM$3,0,0,'Données projet'!$E$10+1,1))-AVERAGE(OFFSET($H$3,0,0,'Données projet'!$E$10+1,1))</f>
        <v>405.6113614</v>
      </c>
      <c r="AO39" s="153">
        <f t="shared" si="37"/>
        <v>393.0787141</v>
      </c>
      <c r="AP39" s="154">
        <f>IF(ISNA(VLOOKUP(A39,'Données projet'!$A$61:$I$81,3,0)),0,VLOOKUP(A39,'Données projet'!$A$61:$I$81,3,0))</f>
        <v>0</v>
      </c>
      <c r="AQ39" s="154">
        <f>IF(ISNA(VLOOKUP(A39,'Données projet'!$A$61:$I$81,4,0)),0,VLOOKUP(A39,'Données projet'!$A$61:$I$81,4,0))</f>
        <v>0</v>
      </c>
      <c r="AR39" s="155">
        <f>IF(ISNA(VLOOKUP(A39,'Données projet'!$A$61:$I$81,5,0)),0%,VLOOKUP(A39,'Données projet'!$A$61:$I$81,5,0)*VLOOKUP('Données projet'!$B$10,'Paramètres'!$A$1:$I$88,7,0))</f>
        <v>0</v>
      </c>
      <c r="AS39" s="155">
        <f>IF(ISNA(VLOOKUP(A39,'Données projet'!$A$61:$I$81,6,0)),0%,VLOOKUP(A39,'Données projet'!$A$61:$I$81,6,0)*VLOOKUP('Données projet'!$B$10,'Paramètres'!$A$1:$I$88,7,0))</f>
        <v>0</v>
      </c>
      <c r="AT39" s="155">
        <f>IF(ISNA(VLOOKUP(A39,'Données projet'!$A$61:$I$81,7,0)),0%,VLOOKUP(A39,'Données projet'!$A$61:$I$81,7,0))</f>
        <v>0</v>
      </c>
      <c r="AU39" s="162">
        <f>EXP(-LN(2)/35)*AU38+(1-EXP(-LN(2)/35))/(LN(2)/35)*AQ39*AR39*VLOOKUP('Données projet'!$B$10,'Paramètres'!$A$1:$I$88,3,0)*0.475*44/12</f>
        <v>0</v>
      </c>
      <c r="AV39" s="162">
        <f>EXP(-LN(2)/25)*AV38+(1-EXP(-LN(2)/25))/(LN(2)/25)*Calculateur!AQ39*Calculateur!AS39*VLOOKUP('Données projet'!$B$10,'Paramètres'!$A$1:$I$88,3,0)*0.475*44/12</f>
        <v>15.44350753</v>
      </c>
      <c r="AW39" s="162">
        <f>EXP(-LN(2)/2)*AW38+(1-EXP(-LN(2)/2))/(LN(2)/2)*AQ39*AT39*VLOOKUP('Données projet'!$B$10,'Paramètres'!$A$1:$I$88,3,0)*0.475*44/12</f>
        <v>0.07246402549</v>
      </c>
      <c r="AX39" s="162">
        <f t="shared" si="7"/>
        <v>15.51597156</v>
      </c>
      <c r="AY39" s="157">
        <f>('Scénario référence'!$F$8+'Scénario référence'!$F$9+'Scénario référence'!$B$17+'Scénario référence'!$B$9+'Scénario référence'!$B$10)*70+IF((45+25*(1-EXP(-0.0175*A39)))&lt;70,'Scénario référence'!$B$16*(45+25*(1-EXP(-0.0175*A39))),70*'Scénario référence'!$B$16)+IF((32+38*(1-EXP(-0.0175*A39)))&lt;70,'Scénario référence'!$B$18*(32+38*(1-EXP(-0.0175*A39))),70*'Scénario référence'!$B$18)</f>
        <v>70</v>
      </c>
      <c r="AZ39" s="151">
        <f>IF(A39&gt;30,10,('Scénario référence'!$B$16+'Scénario référence'!$B$17+'Scénario référence'!$B$18+'Scénario référence'!$B$9+'Scénario référence'!$B$10)*A39*10/30+('Scénario référence'!$F$8+'Scénario référence'!$F$9)*10)</f>
        <v>10</v>
      </c>
      <c r="BA39" s="151" t="str">
        <f>VLOOKUP(A39,'Données projet'!$A$87:$I$107,2,0)</f>
        <v>#N/A</v>
      </c>
      <c r="BB39" s="151" t="str">
        <f>VLOOKUP(A39,'Données projet'!$A$87:$I$107,9,0)</f>
        <v>#N/A</v>
      </c>
      <c r="BC39" s="150" t="str">
        <f t="array" ref="BC39">INDEX(BB:BB,MIN(IF(ISNUMBER(BB39:BB235),ROW(BB39:BB235),"")))</f>
        <v/>
      </c>
      <c r="BD39" s="150">
        <f>IF('Données projet'!$A$88&gt;35,BD38+BC39-BL38,IF(A39&lt;'Données projet'!$A$88,$BA$205^A39,IF(A39='Données projet'!$A$88,'Données projet'!$B$88,BD38+BC39-BL38)))</f>
        <v>0</v>
      </c>
      <c r="BE39" s="150">
        <f>BD39*VLOOKUP('Données projet'!$B$11,'Paramètres'!$A$1:$I$88,3,0)*VLOOKUP('Données projet'!$B$11,'Paramètres'!$A$1:$I$88,5,0)</f>
        <v>0</v>
      </c>
      <c r="BF39" s="150" t="str">
        <f t="shared" si="38"/>
        <v>#NUM!</v>
      </c>
      <c r="BG39" s="161" t="str">
        <f t="shared" si="8"/>
        <v>#NUM!</v>
      </c>
      <c r="BH39" s="153" t="str">
        <f t="shared" si="9"/>
        <v>#NUM!</v>
      </c>
      <c r="BI39" s="153">
        <f>AVERAGE(OFFSET($BH$3,0,0,'Données projet'!$E$11+1,1))-AVERAGE(OFFSET($H$3,0,0,'Données projet'!$E$11+1,1))</f>
        <v>0</v>
      </c>
      <c r="BJ39" s="153">
        <f t="shared" si="39"/>
        <v>0</v>
      </c>
      <c r="BK39" s="154">
        <f>IF(ISNA(VLOOKUP(A39,'Données projet'!$A$87:$I$107,3,0)),0,VLOOKUP(A39,'Données projet'!$A$87:$I$107,3,0))</f>
        <v>0</v>
      </c>
      <c r="BL39" s="154">
        <f>IF(ISNA(VLOOKUP(A39,'Données projet'!$A$87:$I$107,4,0)),0,VLOOKUP(A39,'Données projet'!$A$87:$I$107,4,0))</f>
        <v>0</v>
      </c>
      <c r="BM39" s="155">
        <f>IF(ISNA(VLOOKUP(A39,'Données projet'!$A$87:$I$107,5,0)),0%,VLOOKUP(A39,'Données projet'!$A$87:$I$107,5,0)*VLOOKUP('Données projet'!$B$11,'Paramètres'!$A$1:$I$88,7,0))</f>
        <v>0</v>
      </c>
      <c r="BN39" s="155">
        <f>IF(ISNA(VLOOKUP(A39,'Données projet'!$A$87:$I$107,6,0)),0%,VLOOKUP(A39,'Données projet'!$A$87:$I$107,6,0)*VLOOKUP('Données projet'!$B$11,'Paramètres'!$A$1:$I$88,7,0))</f>
        <v>0</v>
      </c>
      <c r="BO39" s="155">
        <f>IF(ISNA(VLOOKUP(A39,'Données projet'!$A$87:$I$107,7,0)),0%,VLOOKUP(A39,'Données projet'!$A$87:$I$107,7,0))</f>
        <v>0</v>
      </c>
      <c r="BP39" s="162">
        <f>EXP(-LN(2)/35)*BP38+(1-EXP(-LN(2)/35))/(LN(2)/35)*BL39*BM39*VLOOKUP('Données projet'!$B$11,'Paramètres'!$A$1:$I$88,3,0)*0.475*44/12</f>
        <v>0</v>
      </c>
      <c r="BQ39" s="162">
        <f>EXP(-LN(2)/25)*BQ38+(1-EXP(-LN(2)/25))/(LN(2)/25)*Calculateur!BL39*Calculateur!BN39*VLOOKUP('Données projet'!$B$11,'Paramètres'!$A$1:$I$88,3,0)*0.475*44/12</f>
        <v>0</v>
      </c>
      <c r="BR39" s="162">
        <f>EXP(-LN(2)/2)*BR38+(1-EXP(-LN(2)/2))/(LN(2)/2)*BL39*BO39*VLOOKUP('Données projet'!$B$11,'Paramètres'!$A$1:$I$88,3,0)*0.475*44/12</f>
        <v>0</v>
      </c>
      <c r="BS39" s="163">
        <f t="shared" si="10"/>
        <v>0</v>
      </c>
      <c r="BT39" s="159">
        <f>('Scénario référence'!$F$8+'Scénario référence'!$F$9+'Scénario référence'!$B$17+'Scénario référence'!$B$9+'Scénario référence'!$B$10)*70+IF((45+25*(1-EXP(-0.0175*A39)))&lt;70,'Scénario référence'!$B$16*(45+25*(1-EXP(-0.0175*A39))),70*'Scénario référence'!$B$16)+IF((32+38*(1-EXP(-0.0175*A39)))&lt;70,'Scénario référence'!$B$18*(32+38*(1-EXP(-0.0175*A39))),70*'Scénario référence'!$B$18)</f>
        <v>70</v>
      </c>
      <c r="BU39" s="151">
        <f>IF(A39&gt;30,10,('Scénario référence'!$B$16+'Scénario référence'!$B$17+'Scénario référence'!$B$18+'Scénario référence'!$B$9+'Scénario référence'!$B$10)*A39*10/30+('Scénario référence'!$F$8+'Scénario référence'!$F$9)*10)</f>
        <v>10</v>
      </c>
      <c r="BV39" s="151" t="str">
        <f>VLOOKUP(A39,'Données projet'!$A$113:$I$133,2,0)</f>
        <v>#N/A</v>
      </c>
      <c r="BW39" s="151" t="str">
        <f>VLOOKUP(A39,'Données projet'!$A$113:$I$133,9,0)</f>
        <v>#N/A</v>
      </c>
      <c r="BX39" s="150" t="str">
        <f t="array" ref="BX39">INDEX(BW:BW,MIN(IF(ISNUMBER(BW39:BW235),ROW(BW39:BW235),"")))</f>
        <v/>
      </c>
      <c r="BY39" s="150">
        <f>IF('Données projet'!$A$114&gt;35,BY38+BX39-CG38,IF(A39&lt;'Données projet'!$A$114,$BV$205^A39,IF(A39='Données projet'!$A$114,'Données projet'!$B$114,BY38+BX39-CG38)))</f>
        <v>0</v>
      </c>
      <c r="BZ39" s="150" t="str">
        <f>BY39*VLOOKUP('Données projet'!$B$12,'Paramètres'!$A$1:$I$88,3,0)*VLOOKUP('Données projet'!$B$12,'Paramètres'!$A$1:$I$88,5,0)</f>
        <v>#N/A</v>
      </c>
      <c r="CA39" s="150" t="str">
        <f t="shared" si="40"/>
        <v>#N/A</v>
      </c>
      <c r="CB39" s="161" t="str">
        <f t="shared" si="11"/>
        <v>#N/A</v>
      </c>
      <c r="CC39" s="153" t="str">
        <f t="shared" si="12"/>
        <v>#N/A</v>
      </c>
      <c r="CD39" s="153" t="str">
        <f>AVERAGE(OFFSET($CC$3,0,0,'Données projet'!$E$12+1,1))-AVERAGE(OFFSET($H$3,0,0,'Données projet'!$E$12+1,1))</f>
        <v>#N/A</v>
      </c>
      <c r="CE39" s="153" t="str">
        <f t="shared" si="41"/>
        <v>#N/A</v>
      </c>
      <c r="CF39" s="154">
        <f>IF(ISNA(VLOOKUP(A39,'Données projet'!$A$113:$I$133,3,0)),0,VLOOKUP(A39,'Données projet'!$A$113:$I$133,3,0))</f>
        <v>0</v>
      </c>
      <c r="CG39" s="154">
        <f>IF(ISNA(VLOOKUP(A39,'Données projet'!$A$113:$I$133,4,0)),0,VLOOKUP(A39,'Données projet'!$A$113:$I$133,4,0))</f>
        <v>0</v>
      </c>
      <c r="CH39" s="155">
        <f>IF(ISNA(VLOOKUP(A39,'Données projet'!$A$113:$I$133,5,0)),0%,VLOOKUP(A39,'Données projet'!$A$113:$I$133,5,0)*VLOOKUP('Données projet'!$B$12,'Paramètres'!$A$1:$I$88,7,0))</f>
        <v>0</v>
      </c>
      <c r="CI39" s="155">
        <f>IF(ISNA(VLOOKUP(A39,'Données projet'!$A$113:$I$133,6,0)),0%,VLOOKUP(A39,'Données projet'!$A$113:$I$133,6,0)*VLOOKUP('Données projet'!$B$12,'Paramètres'!$A$1:$I$88,7,0))</f>
        <v>0</v>
      </c>
      <c r="CJ39" s="155">
        <f>IF(ISNA(VLOOKUP(A39,'Données projet'!$A$113:$I$133,7,0)),0%,VLOOKUP(A39,'Données projet'!$A$113:$I$133,7,0))</f>
        <v>0</v>
      </c>
      <c r="CK39" s="162" t="str">
        <f>EXP(-LN(2)/35)*CK38+(1-EXP(-LN(2)/35))/(LN(2)/35)*CG39*CH39*VLOOKUP('Données projet'!$B$12,'Paramètres'!$A$1:$I$88,3,0)*0.475*44/12</f>
        <v>#N/A</v>
      </c>
      <c r="CL39" s="162" t="str">
        <f>EXP(-LN(2)/25)*CL38+(1-EXP(-LN(2)/25))/(LN(2)/25)*Calculateur!CG39*Calculateur!CI39*VLOOKUP('Données projet'!$B$12,'Paramètres'!$A$1:$I$88,3,0)*0.475*44/12</f>
        <v>#N/A</v>
      </c>
      <c r="CM39" s="162" t="str">
        <f>EXP(-LN(2)/2)*CM38+(1-EXP(-LN(2)/2))/(LN(2)/2)*CG39*CJ39*VLOOKUP('Données projet'!$B$12,'Paramètres'!$A$1:$I$88,3,0)*0.475*44/12</f>
        <v>#N/A</v>
      </c>
      <c r="CN39" s="163" t="str">
        <f t="shared" si="13"/>
        <v>#N/A</v>
      </c>
      <c r="CO39" s="159">
        <f>('Scénario référence'!$F$8+'Scénario référence'!$F$9+'Scénario référence'!$B$17+'Scénario référence'!$B$9+'Scénario référence'!$B$10)*70+IF((45+25*(1-EXP(-0.0175*A39)))&lt;70,'Scénario référence'!$B$16*(45+25*(1-EXP(-0.0175*A39))),70*'Scénario référence'!$B$16)+IF((32+38*(1-EXP(-0.0175*A39)))&lt;70,'Scénario référence'!$B$18*(32+38*(1-EXP(-0.0175*A39))),70*'Scénario référence'!$B$18)</f>
        <v>70</v>
      </c>
      <c r="CP39" s="151">
        <f>IF(A39&gt;30,10,('Scénario référence'!$B$16+'Scénario référence'!$B$17+'Scénario référence'!$B$18+'Scénario référence'!$B$9+'Scénario référence'!$B$10)*A39*10/30+('Scénario référence'!$F$8+'Scénario référence'!$F$9)*10)</f>
        <v>10</v>
      </c>
      <c r="CQ39" s="151" t="str">
        <f>VLOOKUP(A39,'Données projet'!$A$139:$I$159,2,0)</f>
        <v>#N/A</v>
      </c>
      <c r="CR39" s="151" t="str">
        <f>VLOOKUP(A39,'Données projet'!$A$139:$I$159,9,0)</f>
        <v>#N/A</v>
      </c>
      <c r="CS39" s="151" t="str">
        <f t="array" ref="CS39">INDEX(CR:CR,MIN(IF(ISNUMBER(CR39:CR235),ROW(CR39:CR235),"")))</f>
        <v/>
      </c>
      <c r="CT39" s="151">
        <f>IF('Données projet'!$A$140&gt;35,CT38+CS39-DB38,IF(A39&lt;'Données projet'!$A$140,$CQ$205^A39,IF(A39='Données projet'!$A$140,'Données projet'!$B$140,CT38+CS39-DB38)))</f>
        <v>0</v>
      </c>
      <c r="CU39" s="158" t="str">
        <f>CT39*VLOOKUP('Données projet'!$B$13,'Paramètres'!$A$1:$I$88,3,0)*VLOOKUP('Données projet'!$B$13,'Paramètres'!$A$1:$I$88,5,0)</f>
        <v>#N/A</v>
      </c>
      <c r="CV39" s="150" t="str">
        <f t="shared" si="42"/>
        <v>#N/A</v>
      </c>
      <c r="CW39" s="161" t="str">
        <f t="shared" si="14"/>
        <v>#N/A</v>
      </c>
      <c r="CX39" s="153" t="str">
        <f t="shared" si="15"/>
        <v>#N/A</v>
      </c>
      <c r="CY39" s="153" t="str">
        <f>AVERAGE(OFFSET($CX$3,0,0,'Données projet'!$E$13+1,1))-AVERAGE(OFFSET($H$3,0,0,'Données projet'!$E$13+1,1))</f>
        <v>#N/A</v>
      </c>
      <c r="CZ39" s="153" t="str">
        <f t="shared" si="43"/>
        <v>#N/A</v>
      </c>
      <c r="DA39" s="154">
        <f>IF(ISNA(VLOOKUP(A39,'Données projet'!$A$139:$I$159,3,0)),0,VLOOKUP(A39,'Données projet'!$A$139:$I$159,3,0))</f>
        <v>0</v>
      </c>
      <c r="DB39" s="154">
        <f>IF(ISNA(VLOOKUP(A39,'Données projet'!$A$139:$I$159,4,0)),0,VLOOKUP(A39,'Données projet'!$A$139:$I$159,4,0))</f>
        <v>0</v>
      </c>
      <c r="DC39" s="155">
        <f>IF(ISNA(VLOOKUP(A39,'Données projet'!$A$139:$I$159,5,0)),0%,VLOOKUP(A39,'Données projet'!$A$139:$I$159,5,0)*VLOOKUP('Données projet'!$B$13,'Paramètres'!$A$1:$I$88,7,0))</f>
        <v>0</v>
      </c>
      <c r="DD39" s="155">
        <f>IF(ISNA(VLOOKUP(A39,'Données projet'!$A$139:$I$159,6,0)),0%,VLOOKUP(A39,'Données projet'!$A$139:$I$159,6,0)*VLOOKUP('Données projet'!$B$13,'Paramètres'!$A$1:$I$88,7,0))</f>
        <v>0</v>
      </c>
      <c r="DE39" s="155">
        <f>IF(ISNA(VLOOKUP(A39,'Données projet'!$A$139:$I$159,7,0)),0%,VLOOKUP(A39,'Données projet'!$A$139:$I$159,7,0))</f>
        <v>0</v>
      </c>
      <c r="DF39" s="162" t="str">
        <f>EXP(-LN(2)/35)*DF38+(1-EXP(-LN(2)/35))/(LN(2)/35)*DB39*DC39*VLOOKUP('Données projet'!$B$13,'Paramètres'!$A$1:$I$88,3,0)*0.475*44/12</f>
        <v>#N/A</v>
      </c>
      <c r="DG39" s="162" t="str">
        <f>EXP(-LN(2)/25)*DG38+(1-EXP(-LN(2)/25))/(LN(2)/25)*Calculateur!DB39*Calculateur!DD39*VLOOKUP('Données projet'!$B$13,'Paramètres'!$A$1:$I$88,3,0)*0.475*44/12</f>
        <v>#N/A</v>
      </c>
      <c r="DH39" s="162" t="str">
        <f>EXP(-LN(2)/2)*DH38+(1-EXP(-LN(2)/2))/(LN(2)/2)*DB39*DE39*VLOOKUP('Données projet'!$B$13,'Paramètres'!$A$1:$I$88,3,0)*0.475*44/12</f>
        <v>#N/A</v>
      </c>
      <c r="DI39" s="163" t="str">
        <f t="shared" si="16"/>
        <v>#N/A</v>
      </c>
      <c r="DJ39" s="159">
        <f>('Scénario référence'!$F$8+'Scénario référence'!$F$9+'Scénario référence'!$B$17+'Scénario référence'!$B$9+'Scénario référence'!$B$10)*70+IF((45+25*(1-EXP(-0.0175*A39)))&lt;70,'Scénario référence'!$B$16*(45+25*(1-EXP(-0.0175*A39))),70*'Scénario référence'!$B$16)+IF((32+38*(1-EXP(-0.0175*A39)))&lt;70,'Scénario référence'!$B$18*(32+38*(1-EXP(-0.0175*A39))),70*'Scénario référence'!$B$18)</f>
        <v>70</v>
      </c>
      <c r="DK39" s="151">
        <f>IF(A39&gt;30,10,('Scénario référence'!$B$16+'Scénario référence'!$B$17+'Scénario référence'!$B$18+'Scénario référence'!$B$9+'Scénario référence'!$B$10)*A39*10/30+('Scénario référence'!$F$8+'Scénario référence'!$F$9)*10)</f>
        <v>10</v>
      </c>
      <c r="DL39" s="151" t="str">
        <f>VLOOKUP(A39,'Données projet'!$A$165:$I$185,2,0)</f>
        <v>#N/A</v>
      </c>
      <c r="DM39" s="151" t="str">
        <f>VLOOKUP(A39,'Données projet'!$A$165:$I$185,9,0)</f>
        <v>#N/A</v>
      </c>
      <c r="DN39" s="151" t="str">
        <f t="array" ref="DN39">INDEX(DM:DM,MIN(IF(ISNUMBER(DM39:DM235),ROW(DM39:DM235),"")))</f>
        <v/>
      </c>
      <c r="DO39" s="151">
        <f>IF('Données projet'!$A$166&gt;35,DO38+DN39-DW38,IF(A39&lt;'Données projet'!$A$166,$DL$205^A39,IF(A39='Données projet'!$A$166,'Données projet'!$B$166,DO38+DN39-DW38)))</f>
        <v>0</v>
      </c>
      <c r="DP39" s="158" t="str">
        <f>DO39*VLOOKUP('Données projet'!$B$14,'Paramètres'!$A$1:$I$88,3,0)*VLOOKUP('Données projet'!$B$14,'Paramètres'!$A$1:$I$88,5,0)</f>
        <v>#N/A</v>
      </c>
      <c r="DQ39" s="150" t="str">
        <f t="shared" si="44"/>
        <v>#N/A</v>
      </c>
      <c r="DR39" s="161" t="str">
        <f t="shared" si="17"/>
        <v>#N/A</v>
      </c>
      <c r="DS39" s="153" t="str">
        <f t="shared" si="18"/>
        <v>#N/A</v>
      </c>
      <c r="DT39" s="153" t="str">
        <f>AVERAGE(OFFSET($DS$3,0,0,'Données projet'!$E$14+1,1))-AVERAGE(OFFSET($H$3,0,0,'Données projet'!$E$14+1,1))</f>
        <v>#N/A</v>
      </c>
      <c r="DU39" s="153" t="str">
        <f t="shared" si="45"/>
        <v>#N/A</v>
      </c>
      <c r="DV39" s="154">
        <f>IF(ISNA(VLOOKUP(A39,'Données projet'!$A$165:$I$185,3,0)),0,VLOOKUP(A39,'Données projet'!$A$165:$I$185,3,0))</f>
        <v>0</v>
      </c>
      <c r="DW39" s="154">
        <f>IF(ISNA(VLOOKUP(A39,'Données projet'!$A$165:$I$185,4,0)),0,VLOOKUP(A39,'Données projet'!$A$165:$I$185,4,0))</f>
        <v>0</v>
      </c>
      <c r="DX39" s="155">
        <f>IF(ISNA(VLOOKUP(A39,'Données projet'!$A$165:$I$185,5,0)),0%,VLOOKUP(A39,'Données projet'!$A$165:$I$185,5,0)*VLOOKUP('Données projet'!$B$14,'Paramètres'!$A$1:$I$88,7,0))</f>
        <v>0</v>
      </c>
      <c r="DY39" s="155">
        <f>IF(ISNA(VLOOKUP(A39,'Données projet'!$A$165:$I$185,6,0)),0%,VLOOKUP(A39,'Données projet'!$A$165:$I$185,6,0)*VLOOKUP('Données projet'!$B$14,'Paramètres'!$A$1:$I$88,7,0))</f>
        <v>0</v>
      </c>
      <c r="DZ39" s="155">
        <f>IF(ISNA(VLOOKUP(A39,'Données projet'!$A$165:$I$185,7,0)),0%,VLOOKUP(A39,'Données projet'!$A$165:$I$185,7,0))</f>
        <v>0</v>
      </c>
      <c r="EA39" s="162" t="str">
        <f>EXP(-LN(2)/35)*EA38+(1-EXP(-LN(2)/35))/(LN(2)/35)*DW39*DX39*VLOOKUP('Données projet'!$B$14,'Paramètres'!$A$1:$I$88,3,0)*0.475*44/12</f>
        <v>#N/A</v>
      </c>
      <c r="EB39" s="162" t="str">
        <f>EXP(-LN(2)/25)*EB38+(1-EXP(-LN(2)/25))/(LN(2)/25)*Calculateur!DW39*Calculateur!DY39*VLOOKUP('Données projet'!$B$14,'Paramètres'!$A$1:$I$88,3,0)*0.475*44/12</f>
        <v>#N/A</v>
      </c>
      <c r="EC39" s="162" t="str">
        <f>EXP(-LN(2)/2)*EC38+(1-EXP(-LN(2)/2))/(LN(2)/2)*DW39*DZ39*VLOOKUP('Données projet'!$B$14,'Paramètres'!$A$1:$I$88,3,0)*0.475*44/12</f>
        <v>#N/A</v>
      </c>
      <c r="ED39" s="163" t="str">
        <f t="shared" si="19"/>
        <v>#N/A</v>
      </c>
      <c r="EE39" s="159">
        <f>('Scénario référence'!$F$8+'Scénario référence'!$F$9+'Scénario référence'!$B$17+'Scénario référence'!$B$9+'Scénario référence'!$B$10)*70+IF((45+25*(1-EXP(-0.0175*A39)))&lt;70,'Scénario référence'!$B$16*(45+25*(1-EXP(-0.0175*A39))),70*'Scénario référence'!$B$16)+IF((32+38*(1-EXP(-0.0175*A39)))&lt;70,'Scénario référence'!$B$18*(32+38*(1-EXP(-0.0175*A39))),70*'Scénario référence'!$B$18)</f>
        <v>70</v>
      </c>
      <c r="EF39" s="151">
        <f>IF(A39&gt;30,10,('Scénario référence'!$B$16+'Scénario référence'!$B$17+'Scénario référence'!$B$18+'Scénario référence'!$B$9+'Scénario référence'!$B$10)*A39*10/30+('Scénario référence'!$F$8+'Scénario référence'!$F$9)*10)</f>
        <v>10</v>
      </c>
      <c r="EG39" s="151" t="str">
        <f>VLOOKUP(A39,'Données projet'!$A$191:$I$211,2,0)</f>
        <v>#N/A</v>
      </c>
      <c r="EH39" s="151" t="str">
        <f>VLOOKUP(A39,'Données projet'!$A$191:$I$211,9,0)</f>
        <v>#N/A</v>
      </c>
      <c r="EI39" s="151" t="str">
        <f t="array" ref="EI39">INDEX(EH:EH,MIN(IF(ISNUMBER(EH39:EH235),ROW(EH39:EH235),"")))</f>
        <v/>
      </c>
      <c r="EJ39" s="151">
        <f>IF('Données projet'!$A$192&gt;35,EJ38+EI39-ER38,IF(A39&lt;'Données projet'!$A$192,$EG$205^A39,IF(A39='Données projet'!$A$192,'Données projet'!$B$192,EJ38+EI39-ER38)))</f>
        <v>0</v>
      </c>
      <c r="EK39" s="158" t="str">
        <f>EJ39*VLOOKUP('Données projet'!$B$15,'Paramètres'!$A$1:$I$88,3,0)*VLOOKUP('Données projet'!$B$15,'Paramètres'!$A$1:$I$88,5,0)</f>
        <v>#N/A</v>
      </c>
      <c r="EL39" s="150" t="str">
        <f t="shared" si="46"/>
        <v>#N/A</v>
      </c>
      <c r="EM39" s="161" t="str">
        <f t="shared" si="20"/>
        <v>#N/A</v>
      </c>
      <c r="EN39" s="153" t="str">
        <f t="shared" si="21"/>
        <v>#N/A</v>
      </c>
      <c r="EO39" s="153" t="str">
        <f>AVERAGE(OFFSET($EN$3,0,0,'Données projet'!$E$15+1,1))-AVERAGE(OFFSET($H$3,0,0,'Données projet'!$E$15+1,1))</f>
        <v>#N/A</v>
      </c>
      <c r="EP39" s="153" t="str">
        <f t="shared" si="47"/>
        <v>#N/A</v>
      </c>
      <c r="EQ39" s="154">
        <f>IF(ISNA(VLOOKUP(A39,'Données projet'!$A$191:$I$211,3,0)),0,VLOOKUP(A39,'Données projet'!$A$191:$I$211,3,0))</f>
        <v>0</v>
      </c>
      <c r="ER39" s="154">
        <f>IF(ISNA(VLOOKUP(A39,'Données projet'!$A$191:$I$211,4,0)),0,VLOOKUP(A39,'Données projet'!$A$191:$I$211,4,0))</f>
        <v>0</v>
      </c>
      <c r="ES39" s="155">
        <f>IF(ISNA(VLOOKUP(A39,'Données projet'!$A$191:$I$211,5,0)),0%,VLOOKUP(A39,'Données projet'!$A$191:$I$211,5,0)*VLOOKUP('Données projet'!$B$15,'Paramètres'!$A$1:$I$88,7,0))</f>
        <v>0</v>
      </c>
      <c r="ET39" s="155">
        <f>IF(ISNA(VLOOKUP(A39,'Données projet'!$A$191:$I$211,6,0)),0%,VLOOKUP(A39,'Données projet'!$A$191:$I$211,6,0)*VLOOKUP('Données projet'!$B$15,'Paramètres'!$A$1:$I$88,7,0))</f>
        <v>0</v>
      </c>
      <c r="EU39" s="155">
        <f>IF(ISNA(VLOOKUP(A39,'Données projet'!$A$191:$I$211,7,0)),0%,VLOOKUP(A39,'Données projet'!$A$191:$I$211,7,0))</f>
        <v>0</v>
      </c>
      <c r="EV39" s="162" t="str">
        <f>EXP(-LN(2)/35)*EV38+(1-EXP(-LN(2)/35))/(LN(2)/35)*ER39*ES39*VLOOKUP('Données projet'!$B$15,'Paramètres'!$A$1:$I$88,3,0)*0.475*44/12</f>
        <v>#N/A</v>
      </c>
      <c r="EW39" s="162" t="str">
        <f>EXP(-LN(2)/25)*EW38+(1-EXP(-LN(2)/25))/(LN(2)/25)*Calculateur!ER39*Calculateur!ET39*VLOOKUP('Données projet'!$B$15,'Paramètres'!$A$1:$I$88,3,0)*0.475*44/12</f>
        <v>#N/A</v>
      </c>
      <c r="EX39" s="162" t="str">
        <f>EXP(-LN(2)/2)*EX38+(1-EXP(-LN(2)/2))/(LN(2)/2)*ER39*EU39*VLOOKUP('Données projet'!$B$15,'Paramètres'!$A$1:$I$88,3,0)*0.475*44/12</f>
        <v>#N/A</v>
      </c>
      <c r="EY39" s="163" t="str">
        <f t="shared" si="22"/>
        <v>#N/A</v>
      </c>
      <c r="EZ39" s="159">
        <f>('Scénario référence'!$F$8+'Scénario référence'!$F$9+'Scénario référence'!$B$17+'Scénario référence'!$B$9+'Scénario référence'!$B$10)*70+IF((45+25*(1-EXP(-0.0175*A39)))&lt;70,'Scénario référence'!$B$16*(45+25*(1-EXP(-0.0175*A39))),70*'Scénario référence'!$B$16)+IF((32+38*(1-EXP(-0.0175*A39)))&lt;70,'Scénario référence'!$B$18*(32+38*(1-EXP(-0.0175*A39))),70*'Scénario référence'!$B$18)</f>
        <v>70</v>
      </c>
      <c r="FA39" s="151">
        <f>IF(A39&gt;30,10,('Scénario référence'!$B$16+'Scénario référence'!$B$17+'Scénario référence'!$B$18+'Scénario référence'!$B$9+'Scénario référence'!$B$10)*A39*10/30+('Scénario référence'!$F$8+'Scénario référence'!$F$9)*10)</f>
        <v>10</v>
      </c>
      <c r="FB39" s="151" t="str">
        <f>VLOOKUP(A39,'Données projet'!$A$217:$I$237,2,0)</f>
        <v>#N/A</v>
      </c>
      <c r="FC39" s="151" t="str">
        <f>VLOOKUP(A39,'Données projet'!$A$217:$I$237,9,0)</f>
        <v>#N/A</v>
      </c>
      <c r="FD39" s="151" t="str">
        <f t="array" ref="FD39">INDEX(FC:FC,MIN(IF(ISNUMBER(FC39:FC235),ROW(FC39:FC235),"")))</f>
        <v/>
      </c>
      <c r="FE39" s="151">
        <f>IF('Données projet'!$A$218&gt;35,FE38+FD39-FM38,IF(A39&lt;'Données projet'!$A$218,$FB$205^A39,IF(A39='Données projet'!$A$218,'Données projet'!$B$218,FE38+FD39-FM38)))</f>
        <v>0</v>
      </c>
      <c r="FF39" s="158" t="str">
        <f>FE39*VLOOKUP('Données projet'!$B$16,'Paramètres'!$A$1:$I$88,3,0)*VLOOKUP('Données projet'!$B$16,'Paramètres'!$A$1:$I$88,5,0)</f>
        <v>#N/A</v>
      </c>
      <c r="FG39" s="150" t="str">
        <f t="shared" si="48"/>
        <v>#N/A</v>
      </c>
      <c r="FH39" s="161" t="str">
        <f t="shared" si="23"/>
        <v>#N/A</v>
      </c>
      <c r="FI39" s="153" t="str">
        <f t="shared" si="24"/>
        <v>#N/A</v>
      </c>
      <c r="FJ39" s="153" t="str">
        <f>AVERAGE(OFFSET($FI$3,0,0,'Données projet'!$E$16+1,1))-AVERAGE(OFFSET($H$3,0,0,'Données projet'!$E$16+1,1))</f>
        <v>#N/A</v>
      </c>
      <c r="FK39" s="153" t="str">
        <f t="shared" si="49"/>
        <v>#N/A</v>
      </c>
      <c r="FL39" s="154">
        <f>IF(ISNA(VLOOKUP(A39,'Données projet'!$A$217:$I$237,3,0)),0,VLOOKUP(A39,'Données projet'!$A$217:$I$237,3,0))</f>
        <v>0</v>
      </c>
      <c r="FM39" s="154">
        <f>IF(ISNA(VLOOKUP(A39,'Données projet'!$A$217:$I$237,4,0)),0,VLOOKUP(A39,'Données projet'!$A$217:$I$237,4,0))</f>
        <v>0</v>
      </c>
      <c r="FN39" s="155">
        <f>IF(ISNA(VLOOKUP(A39,'Données projet'!$A$217:$I$237,5,0)),0%,VLOOKUP(A39,'Données projet'!$A$217:$I$237,5,0)*VLOOKUP('Données projet'!$B$16,'Paramètres'!$A$1:$I$88,7,0))</f>
        <v>0</v>
      </c>
      <c r="FO39" s="155">
        <f>IF(ISNA(VLOOKUP(A39,'Données projet'!$A$217:$I$237,6,0)),0%,VLOOKUP(A39,'Données projet'!$A$217:$I$237,6,0)*VLOOKUP('Données projet'!$B$16,'Paramètres'!$A$1:$I$88,7,0))</f>
        <v>0</v>
      </c>
      <c r="FP39" s="155">
        <f>IF(ISNA(VLOOKUP(A39,'Données projet'!$A$217:$I$237,7,0)),0%,VLOOKUP(A39,'Données projet'!$A$217:$I$237,7,0))</f>
        <v>0</v>
      </c>
      <c r="FQ39" s="162" t="str">
        <f>EXP(-LN(2)/35)*FQ38+(1-EXP(-LN(2)/35))/(LN(2)/35)*FM39*FN39*VLOOKUP('Données projet'!$B$16,'Paramètres'!$A$1:$I$88,3,0)*0.475*44/12</f>
        <v>#N/A</v>
      </c>
      <c r="FR39" s="162" t="str">
        <f>EXP(-LN(2)/25)*FR38+(1-EXP(-LN(2)/25))/(LN(2)/25)*Calculateur!FM39*Calculateur!FO39*VLOOKUP('Données projet'!$B$16,'Paramètres'!$A$1:$I$88,3,0)*0.475*44/12</f>
        <v>#N/A</v>
      </c>
      <c r="FS39" s="162" t="str">
        <f>EXP(-LN(2)/2)*FS38+(1-EXP(-LN(2)/2))/(LN(2)/2)*FM39*FP39*VLOOKUP('Données projet'!$B$16,'Paramètres'!$A$1:$I$88,3,0)*0.475*44/12</f>
        <v>#N/A</v>
      </c>
      <c r="FT39" s="163" t="str">
        <f t="shared" si="25"/>
        <v>#N/A</v>
      </c>
      <c r="FU39" s="159">
        <f>('Scénario référence'!$F$8+'Scénario référence'!$F$9+'Scénario référence'!$B$17+'Scénario référence'!$B$9+'Scénario référence'!$B$10)*70+IF((45+25*(1-EXP(-0.0175*A39)))&lt;70,'Scénario référence'!$B$16*(45+25*(1-EXP(-0.0175*A39))),70*'Scénario référence'!$B$16)+IF((32+38*(1-EXP(-0.0175*A39)))&lt;70,'Scénario référence'!$B$18*(32+38*(1-EXP(-0.0175*A39))),70*'Scénario référence'!$B$18)</f>
        <v>70</v>
      </c>
      <c r="FV39" s="151">
        <f>IF(A39&gt;30,10,('Scénario référence'!$B$16+'Scénario référence'!$B$17+'Scénario référence'!$B$18+'Scénario référence'!$B$9+'Scénario référence'!$B$10)*A39*10/30+('Scénario référence'!$F$8+'Scénario référence'!$F$9)*10)</f>
        <v>10</v>
      </c>
      <c r="FW39" s="151" t="str">
        <f>VLOOKUP(A39,'Données projet'!$A$243:$I$263,2,0)</f>
        <v>#N/A</v>
      </c>
      <c r="FX39" s="151" t="str">
        <f>VLOOKUP(A39,'Données projet'!$A$243:$I$263,9,0)</f>
        <v>#N/A</v>
      </c>
      <c r="FY39" s="151" t="str">
        <f t="array" ref="FY39">INDEX(FX:FX,MIN(IF(ISNUMBER(FX39:FX235),ROW(FX39:FX235),"")))</f>
        <v/>
      </c>
      <c r="FZ39" s="151">
        <f>IF('Données projet'!$A$244&gt;35,FZ38+FY39-GH38,IF(A39&lt;'Données projet'!$A$244,$FW$205^A39,IF(A39='Données projet'!$A$244,'Données projet'!$B$244,FZ38+FY39-GH38)))</f>
        <v>0</v>
      </c>
      <c r="GA39" s="158" t="str">
        <f>FZ39*VLOOKUP('Données projet'!$B$17,'Paramètres'!$A$1:$I$88,3,0)*VLOOKUP('Données projet'!$B$17,'Paramètres'!$A$1:$I$88,5,0)</f>
        <v>#N/A</v>
      </c>
      <c r="GB39" s="150" t="str">
        <f t="shared" si="50"/>
        <v>#N/A</v>
      </c>
      <c r="GC39" s="161" t="str">
        <f t="shared" si="26"/>
        <v>#N/A</v>
      </c>
      <c r="GD39" s="153" t="str">
        <f t="shared" si="27"/>
        <v>#N/A</v>
      </c>
      <c r="GE39" s="153" t="str">
        <f>AVERAGE(OFFSET($GD$3,0,0,'Données projet'!$E$17+1,1))-AVERAGE(OFFSET($H$3,0,0,'Données projet'!$E$17+1,1))</f>
        <v>#N/A</v>
      </c>
      <c r="GF39" s="153" t="str">
        <f t="shared" si="51"/>
        <v>#N/A</v>
      </c>
      <c r="GG39" s="154">
        <f>IF(ISNA(VLOOKUP(A39,'Données projet'!$A$243:$I$263,3,0)),0,VLOOKUP(A39,'Données projet'!$A$243:$I$263,3,0))</f>
        <v>0</v>
      </c>
      <c r="GH39" s="154">
        <f>IF(ISNA(VLOOKUP(A39,'Données projet'!$A$243:$I$263,4,0)),0,VLOOKUP(A39,'Données projet'!$A$243:$I$263,4,0))</f>
        <v>0</v>
      </c>
      <c r="GI39" s="155">
        <f>IF(ISNA(VLOOKUP(A39,'Données projet'!$A$243:$I$263,5,0)),0%,VLOOKUP(A39,'Données projet'!$A$243:$I$263,5,0)*VLOOKUP('Données projet'!$B$17,'Paramètres'!$A$1:$I$88,7,0))</f>
        <v>0</v>
      </c>
      <c r="GJ39" s="155">
        <f>IF(ISNA(VLOOKUP(A39,'Données projet'!$A$243:$I$263,6,0)),0%,VLOOKUP(A39,'Données projet'!$A$243:$I$263,6,0)*VLOOKUP('Données projet'!$B$17,'Paramètres'!$A$1:$I$88,7,0))</f>
        <v>0</v>
      </c>
      <c r="GK39" s="155">
        <f>IF(ISNA(VLOOKUP(A39,'Données projet'!$A$243:$I$263,7,0)),0%,VLOOKUP(A39,'Données projet'!$A$243:$I$263,7,0))</f>
        <v>0</v>
      </c>
      <c r="GL39" s="162" t="str">
        <f>EXP(-LN(2)/35)*GL38+(1-EXP(-LN(2)/35))/(LN(2)/35)*GH39*GI39*VLOOKUP('Données projet'!$B$17,'Paramètres'!$A$1:$I$88,3,0)*0.475*44/12</f>
        <v>#N/A</v>
      </c>
      <c r="GM39" s="162" t="str">
        <f>EXP(-LN(2)/25)*GM38+(1-EXP(-LN(2)/25))/(LN(2)/25)*Calculateur!GH39*Calculateur!GJ39*VLOOKUP('Données projet'!$B$17,'Paramètres'!$A$1:$I$88,3,0)*0.475*44/12</f>
        <v>#N/A</v>
      </c>
      <c r="GN39" s="162" t="str">
        <f>EXP(-LN(2)/2)*GN38+(1-EXP(-LN(2)/2))/(LN(2)/2)*GH39*GK39*VLOOKUP('Données projet'!$B$17,'Paramètres'!$A$1:$I$88,3,0)*0.475*44/12</f>
        <v>#N/A</v>
      </c>
      <c r="GO39" s="162" t="str">
        <f t="shared" si="28"/>
        <v>#N/A</v>
      </c>
      <c r="GP39" s="159">
        <f>('Scénario référence'!$F$8+'Scénario référence'!$F$9+'Scénario référence'!$B$17+'Scénario référence'!$B$9+'Scénario référence'!$B$10)*70+IF((45+25*(1-EXP(-0.0175*A39)))&lt;70,'Scénario référence'!$B$16*(45+25*(1-EXP(-0.0175*A39))),70*'Scénario référence'!$B$16)+IF((32+38*(1-EXP(-0.0175*A39)))&lt;70,'Scénario référence'!$B$18*(32+38*(1-EXP(-0.0175*A39))),70*'Scénario référence'!$B$18)</f>
        <v>70</v>
      </c>
      <c r="GQ39" s="151">
        <f>IF(A39&gt;30,10,('Scénario référence'!$B$16+'Scénario référence'!$B$17+'Scénario référence'!$B$18+'Scénario référence'!$B$9+'Scénario référence'!$B$10)*A39*10/30+('Scénario référence'!$F$8+'Scénario référence'!$F$9)*10)</f>
        <v>10</v>
      </c>
      <c r="GR39" s="151" t="str">
        <f>VLOOKUP(A39,'Données projet'!$A$269:$I$289,2,0)</f>
        <v>#N/A</v>
      </c>
      <c r="GS39" s="151" t="str">
        <f>VLOOKUP(A39,'Données projet'!$A$269:$I$289,9,0)</f>
        <v>#N/A</v>
      </c>
      <c r="GT39" s="151" t="str">
        <f t="array" ref="GT39">INDEX(GS:GS,MIN(IF(ISNUMBER(GS39:GS235),ROW(GS39:GS235),"")))</f>
        <v/>
      </c>
      <c r="GU39" s="151">
        <f>IF('Données projet'!$A$270&gt;35,GU38+GT39-HC38,IF(A39&lt;'Données projet'!$A$270,$GR$205^A39,IF(A39='Données projet'!$A$270,'Données projet'!$B$270,GU38+GT39-HC38)))</f>
        <v>0</v>
      </c>
      <c r="GV39" s="158" t="str">
        <f>GU39*VLOOKUP('Données projet'!$B$18,'Paramètres'!$A$1:$I$88,3,0)*VLOOKUP('Données projet'!$B$18,'Paramètres'!$A$1:$I$88,5,0)</f>
        <v>#N/A</v>
      </c>
      <c r="GW39" s="150" t="str">
        <f t="shared" si="52"/>
        <v>#N/A</v>
      </c>
      <c r="GX39" s="161" t="str">
        <f t="shared" si="29"/>
        <v>#N/A</v>
      </c>
      <c r="GY39" s="153" t="str">
        <f t="shared" si="30"/>
        <v>#N/A</v>
      </c>
      <c r="GZ39" s="153" t="str">
        <f>AVERAGE(OFFSET($GY$3,0,0,'Données projet'!$E$18+1,1))-AVERAGE(OFFSET($H$3,0,0,'Données projet'!$E$18+1,1))</f>
        <v>#N/A</v>
      </c>
      <c r="HA39" s="153" t="str">
        <f t="shared" si="53"/>
        <v>#N/A</v>
      </c>
      <c r="HB39" s="154">
        <f>IF(ISNA(VLOOKUP(A39,'Données projet'!$A$269:$I$289,3,0)),0,VLOOKUP(A39,'Données projet'!$A$269:$I$289,3,0))</f>
        <v>0</v>
      </c>
      <c r="HC39" s="154">
        <f>IF(ISNA(VLOOKUP(A39,'Données projet'!$A$269:$I$289,4,0)),0,VLOOKUP(A39,'Données projet'!$A$269:$I$289,4,0))</f>
        <v>0</v>
      </c>
      <c r="HD39" s="155">
        <f>IF(ISNA(VLOOKUP(A39,'Données projet'!$A$269:$I$289,5,0)),0%,VLOOKUP(A39,'Données projet'!$A$269:$I$289,5,0)*VLOOKUP('Données projet'!$B$18,'Paramètres'!$A$1:$I$88,7,0))</f>
        <v>0</v>
      </c>
      <c r="HE39" s="155">
        <f>IF(ISNA(VLOOKUP(A39,'Données projet'!$A$269:$I$289,6,0)),0%,VLOOKUP(A39,'Données projet'!$A$269:$I$289,6,0)*VLOOKUP('Données projet'!$B$18,'Paramètres'!$A$1:$I$88,7,0))</f>
        <v>0</v>
      </c>
      <c r="HF39" s="155">
        <f>IF(ISNA(VLOOKUP(A39,'Données projet'!$A$269:$I$289,7,0)),0%,VLOOKUP(A39,'Données projet'!$A$269:$I$289,7,0))</f>
        <v>0</v>
      </c>
      <c r="HG39" s="162" t="str">
        <f>EXP(-LN(2)/35)*HG38+(1-EXP(-LN(2)/35))/(LN(2)/35)*HC39*HD39*VLOOKUP('Données projet'!$B$18,'Paramètres'!$A$1:$I$88,3,0)*0.475*44/12</f>
        <v>#N/A</v>
      </c>
      <c r="HH39" s="162" t="str">
        <f>EXP(-LN(2)/25)*HH38+(1-EXP(-LN(2)/25))/(LN(2)/25)*Calculateur!HC39*Calculateur!HE39*VLOOKUP('Données projet'!$B$18,'Paramètres'!$A$1:$I$88,3,0)*0.475*44/12</f>
        <v>#N/A</v>
      </c>
      <c r="HI39" s="162" t="str">
        <f>EXP(-LN(2)/2)*HI38+(1-EXP(-LN(2)/2))/(LN(2)/2)*HC39*HF39*VLOOKUP('Données projet'!$B$18,'Paramètres'!$A$1:$I$88,3,0)*0.475*44/12</f>
        <v>#N/A</v>
      </c>
      <c r="HJ39" s="163" t="str">
        <f t="shared" si="31"/>
        <v>#N/A</v>
      </c>
    </row>
    <row r="40" ht="15.75" customHeight="1">
      <c r="A40" s="145">
        <f t="shared" si="32"/>
        <v>37</v>
      </c>
      <c r="B40" s="146">
        <f>'Scénario référence'!$B$16*5+'Scénario référence'!$B$17*0+'Scénario référence'!$B$18*5</f>
        <v>0</v>
      </c>
      <c r="C40" s="160">
        <f>Calculateur!C39+'Scénario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40" s="147">
        <f t="shared" si="33"/>
        <v>0</v>
      </c>
      <c r="E40" s="147">
        <f>'Scénario référence'!$B$16*45+('Scénario référence'!$B$17+'Scénario référence'!$F$8+'Scénario référence'!$F$9+'Scénario référence'!$B$10+'Scénario référence'!$B$9)*70+'Scénario référence'!$B$18*32</f>
        <v>70</v>
      </c>
      <c r="F40" s="147">
        <f>IF(OR('Scénario référence'!$F$8&gt;0,'Scénario référence'!$F$9&gt;0),('Scénario référence'!$F$8+'Scénario référence'!$F$9)*10,0)</f>
        <v>0</v>
      </c>
      <c r="G40" s="147">
        <f>'Scénario référence'!$B$8*B40*44/12+'Scénario référence'!$B$9*(C40+D40)/0.475*44/12+'Scénario référence'!$B$10*(C40+D40)/0.475*44/12+'Scénario référence'!$F$8*(C40+D40)/0.475*44/12+'Scénario référence'!$F$9*(C40+D40)/0.475*44/12</f>
        <v>0</v>
      </c>
      <c r="H40" s="148">
        <f t="shared" si="1"/>
        <v>256.6666667</v>
      </c>
      <c r="I40" s="149">
        <f>('Scénario référence'!$F$8+'Scénario référence'!$F$9+'Scénario référence'!$B$17+'Scénario référence'!$B$9+'Scénario référence'!$B$10)*70+IF((45+25*(1-EXP(-0.0175*A40)))&lt;70,'Scénario référence'!$B$16*(45+25*(1-EXP(-0.0175*A40))),70*'Scénario référence'!$B$16)+IF((32+38*(1-EXP(-0.0175*A40)))&lt;70,'Scénario référence'!$B$18*(32+38*(1-EXP(-0.0175*A40))),70*'Scénario référence'!$B$18)</f>
        <v>70</v>
      </c>
      <c r="J40" s="150">
        <f>IF(A40&gt;30,10,('Scénario référence'!$B$16+'Scénario référence'!$B$17+'Scénario référence'!$B$18+'Scénario référence'!$B$9+'Scénario référence'!$B$10)*A40*10/30+('Scénario référence'!$F$8+'Scénario référence'!$F$9)*10)</f>
        <v>10</v>
      </c>
      <c r="K40" s="151" t="str">
        <f>VLOOKUP(A40,'Données projet'!$A$35:$I$55,2,0)</f>
        <v>#N/A</v>
      </c>
      <c r="L40" s="151" t="str">
        <f>VLOOKUP(A40,'Données projet'!$A$35:$I$55,9,0)</f>
        <v>#N/A</v>
      </c>
      <c r="M40" s="150">
        <f t="array" ref="M40">INDEX(L:L,MIN(IF(ISNUMBER(L40:L236),ROW(L40:L236),"")))</f>
        <v>11.2</v>
      </c>
      <c r="N40" s="150">
        <f>IF('Données projet'!$A$36&gt;35,N39+M40-V39,IF(A40&lt;'Données projet'!$A$36,$K$205^A40,IF(A40='Données projet'!$A$36,'Données projet'!$B$36,N39+M40-V39)))</f>
        <v>141.4</v>
      </c>
      <c r="O40" s="150">
        <f>N40*VLOOKUP('Données projet'!$B$9,'Paramètres'!$A$1:$I$88,3,0)*VLOOKUP('Données projet'!$B$9,'Paramètres'!$A$1:$I$88,5,0)</f>
        <v>127.93872</v>
      </c>
      <c r="P40" s="150">
        <f t="shared" si="34"/>
        <v>33.51961589</v>
      </c>
      <c r="Q40" s="161">
        <f t="shared" si="2"/>
        <v>281.2066017</v>
      </c>
      <c r="R40" s="153">
        <f t="shared" si="3"/>
        <v>574.539935</v>
      </c>
      <c r="S40" s="153">
        <f>AVERAGE(OFFSET($R$3,0,0,'Données projet'!$E$9+1,1))-AVERAGE(OFFSET($H$3,0,0,'Données projet'!$E$9+1,1))</f>
        <v>439.1985427</v>
      </c>
      <c r="T40" s="153">
        <f t="shared" si="35"/>
        <v>278.2174123</v>
      </c>
      <c r="U40" s="154">
        <f>IF(ISNA(VLOOKUP(A40,'Données projet'!$A$35:$I$55,3,0)),0,VLOOKUP(A40,'Données projet'!$A$35:$I$55,3,0))</f>
        <v>0</v>
      </c>
      <c r="V40" s="154">
        <f>IF(ISNA(VLOOKUP(A40,'Données projet'!$A$35:$I$55,4,0)),0,VLOOKUP(A40,'Données projet'!$A$35:$I$55,4,0))</f>
        <v>0</v>
      </c>
      <c r="W40" s="155">
        <f>IF(ISNA(VLOOKUP(A40,'Données projet'!$A$35:$I$55,5,0)),0%,VLOOKUP(A40,'Données projet'!$A$35:$I$55,5,0)*VLOOKUP('Données projet'!$B$9,'Paramètres'!$A$1:$I$88,7,0))</f>
        <v>0</v>
      </c>
      <c r="X40" s="155">
        <f>IF(ISNA(VLOOKUP(A40,'Données projet'!$A$35:$I$55,6,0)),0%,VLOOKUP(A40,'Données projet'!$A$35:$I$55,6,0)*VLOOKUP('Données projet'!$B$9,'Paramètres'!$A$1:$I$88,7,0))</f>
        <v>0</v>
      </c>
      <c r="Y40" s="155">
        <f>IF(ISNA(VLOOKUP(A40,'Données projet'!$A$35:$I$55,7,0)),0%,VLOOKUP(A40,'Données projet'!$A$35:$I$55,7,0))</f>
        <v>0</v>
      </c>
      <c r="Z40" s="162">
        <f>EXP(-LN(2)/35)*Z39+(1-EXP(-LN(2)/35))/(LN(2)/35)*V40*W40*VLOOKUP('Données projet'!$B$9,'Paramètres'!$A$1:$I$88,3,0)*0.475*44/12</f>
        <v>0</v>
      </c>
      <c r="AA40" s="162">
        <f>EXP(-LN(2)/25)*AA39+(1-EXP(-LN(2)/25))/(LN(2)/25)*Calculateur!V40*Calculateur!X40*VLOOKUP('Données projet'!$B$9,'Paramètres'!$A$1:$I$88,3,0)*0.475*44/12</f>
        <v>3.695931217</v>
      </c>
      <c r="AB40" s="162">
        <f>EXP(-LN(2)/2)*AB39+(1-EXP(-LN(2)/2))/(LN(2)/2)*V40*Y40*VLOOKUP('Données projet'!$B$9,'Paramètres'!$A$1:$I$88,3,0)*0.475*44/12</f>
        <v>0</v>
      </c>
      <c r="AC40" s="163">
        <f t="shared" si="4"/>
        <v>3.695931217</v>
      </c>
      <c r="AD40" s="150">
        <f>('Scénario référence'!$F$8+'Scénario référence'!$F$9+'Scénario référence'!$B$17+'Scénario référence'!$B$9+'Scénario référence'!$B$10)*70+IF((45+25*(1-EXP(-0.0175*A40)))&lt;70,'Scénario référence'!$B$16*(45+25*(1-EXP(-0.0175*A40))),70*'Scénario référence'!$B$16)+IF((32+38*(1-EXP(-0.0175*A40)))&lt;70,'Scénario référence'!$B$18*(32+38*(1-EXP(-0.0175*A40))),70*'Scénario référence'!$B$18)</f>
        <v>70</v>
      </c>
      <c r="AE40" s="150">
        <f>IF(A40&gt;30,10,('Scénario référence'!$B$16+'Scénario référence'!$B$17+'Scénario référence'!$B$18+'Scénario référence'!$B$9+'Scénario référence'!$B$10)*A40*10/30+('Scénario référence'!$F$8+'Scénario référence'!$F$9)*10)</f>
        <v>10</v>
      </c>
      <c r="AF40" s="151" t="str">
        <f>VLOOKUP(A40,'Données projet'!$A$61:$I$81,2,0)</f>
        <v>#N/A</v>
      </c>
      <c r="AG40" s="151" t="str">
        <f>VLOOKUP(A40,'Données projet'!$A$61:$I$81,9,0)</f>
        <v>#N/A</v>
      </c>
      <c r="AH40" s="150">
        <f t="array" ref="AH40">INDEX(AG:AG,MIN(IF(ISNUMBER(AG40:AG236),ROW(AG40:AG236),"")))</f>
        <v>13.2</v>
      </c>
      <c r="AI40" s="150">
        <f>IF('Données projet'!$A$62&gt;35,AI39+AH40-AQ39,IF(A40&lt;'Données projet'!$A$62,$AF$205^A40,IF(A40='Données projet'!$A$62,'Données projet'!$B$62,AI39+AH40-AQ39)))</f>
        <v>223.4</v>
      </c>
      <c r="AJ40" s="150">
        <f>AI40*VLOOKUP('Données projet'!$B$10,'Paramètres'!$A$1:$I$88,3,0)*VLOOKUP('Données projet'!$B$10,'Paramètres'!$A$1:$I$88,5,0)</f>
        <v>177.73704</v>
      </c>
      <c r="AK40" s="150">
        <f t="shared" si="36"/>
        <v>44.81834914</v>
      </c>
      <c r="AL40" s="161">
        <f t="shared" si="5"/>
        <v>387.6173028</v>
      </c>
      <c r="AM40" s="153">
        <f t="shared" si="6"/>
        <v>680.9506361</v>
      </c>
      <c r="AN40" s="153">
        <f>AVERAGE(OFFSET($AM$3,0,0,'Données projet'!$E$10+1,1))-AVERAGE(OFFSET($H$3,0,0,'Données projet'!$E$10+1,1))</f>
        <v>405.6113614</v>
      </c>
      <c r="AO40" s="153">
        <f t="shared" si="37"/>
        <v>393.0787141</v>
      </c>
      <c r="AP40" s="154">
        <f>IF(ISNA(VLOOKUP(A40,'Données projet'!$A$61:$I$81,3,0)),0,VLOOKUP(A40,'Données projet'!$A$61:$I$81,3,0))</f>
        <v>0</v>
      </c>
      <c r="AQ40" s="154">
        <f>IF(ISNA(VLOOKUP(A40,'Données projet'!$A$61:$I$81,4,0)),0,VLOOKUP(A40,'Données projet'!$A$61:$I$81,4,0))</f>
        <v>0</v>
      </c>
      <c r="AR40" s="155">
        <f>IF(ISNA(VLOOKUP(A40,'Données projet'!$A$61:$I$81,5,0)),0%,VLOOKUP(A40,'Données projet'!$A$61:$I$81,5,0)*VLOOKUP('Données projet'!$B$10,'Paramètres'!$A$1:$I$88,7,0))</f>
        <v>0</v>
      </c>
      <c r="AS40" s="155">
        <f>IF(ISNA(VLOOKUP(A40,'Données projet'!$A$61:$I$81,6,0)),0%,VLOOKUP(A40,'Données projet'!$A$61:$I$81,6,0)*VLOOKUP('Données projet'!$B$10,'Paramètres'!$A$1:$I$88,7,0))</f>
        <v>0</v>
      </c>
      <c r="AT40" s="155">
        <f>IF(ISNA(VLOOKUP(A40,'Données projet'!$A$61:$I$81,7,0)),0%,VLOOKUP(A40,'Données projet'!$A$61:$I$81,7,0))</f>
        <v>0</v>
      </c>
      <c r="AU40" s="162">
        <f>EXP(-LN(2)/35)*AU39+(1-EXP(-LN(2)/35))/(LN(2)/35)*AQ40*AR40*VLOOKUP('Données projet'!$B$10,'Paramètres'!$A$1:$I$88,3,0)*0.475*44/12</f>
        <v>0</v>
      </c>
      <c r="AV40" s="162">
        <f>EXP(-LN(2)/25)*AV39+(1-EXP(-LN(2)/25))/(LN(2)/25)*Calculateur!AQ40*Calculateur!AS40*VLOOKUP('Données projet'!$B$10,'Paramètres'!$A$1:$I$88,3,0)*0.475*44/12</f>
        <v>15.02120401</v>
      </c>
      <c r="AW40" s="162">
        <f>EXP(-LN(2)/2)*AW39+(1-EXP(-LN(2)/2))/(LN(2)/2)*AQ40*AT40*VLOOKUP('Données projet'!$B$10,'Paramètres'!$A$1:$I$88,3,0)*0.475*44/12</f>
        <v>0.05123980382</v>
      </c>
      <c r="AX40" s="162">
        <f t="shared" si="7"/>
        <v>15.07244381</v>
      </c>
      <c r="AY40" s="157">
        <f>('Scénario référence'!$F$8+'Scénario référence'!$F$9+'Scénario référence'!$B$17+'Scénario référence'!$B$9+'Scénario référence'!$B$10)*70+IF((45+25*(1-EXP(-0.0175*A40)))&lt;70,'Scénario référence'!$B$16*(45+25*(1-EXP(-0.0175*A40))),70*'Scénario référence'!$B$16)+IF((32+38*(1-EXP(-0.0175*A40)))&lt;70,'Scénario référence'!$B$18*(32+38*(1-EXP(-0.0175*A40))),70*'Scénario référence'!$B$18)</f>
        <v>70</v>
      </c>
      <c r="AZ40" s="151">
        <f>IF(A40&gt;30,10,('Scénario référence'!$B$16+'Scénario référence'!$B$17+'Scénario référence'!$B$18+'Scénario référence'!$B$9+'Scénario référence'!$B$10)*A40*10/30+('Scénario référence'!$F$8+'Scénario référence'!$F$9)*10)</f>
        <v>10</v>
      </c>
      <c r="BA40" s="151" t="str">
        <f>VLOOKUP(A40,'Données projet'!$A$87:$I$107,2,0)</f>
        <v>#N/A</v>
      </c>
      <c r="BB40" s="151" t="str">
        <f>VLOOKUP(A40,'Données projet'!$A$87:$I$107,9,0)</f>
        <v>#N/A</v>
      </c>
      <c r="BC40" s="150" t="str">
        <f t="array" ref="BC40">INDEX(BB:BB,MIN(IF(ISNUMBER(BB40:BB236),ROW(BB40:BB236),"")))</f>
        <v/>
      </c>
      <c r="BD40" s="150">
        <f>IF('Données projet'!$A$88&gt;35,BD39+BC40-BL39,IF(A40&lt;'Données projet'!$A$88,$BA$205^A40,IF(A40='Données projet'!$A$88,'Données projet'!$B$88,BD39+BC40-BL39)))</f>
        <v>0</v>
      </c>
      <c r="BE40" s="150">
        <f>BD40*VLOOKUP('Données projet'!$B$11,'Paramètres'!$A$1:$I$88,3,0)*VLOOKUP('Données projet'!$B$11,'Paramètres'!$A$1:$I$88,5,0)</f>
        <v>0</v>
      </c>
      <c r="BF40" s="150" t="str">
        <f t="shared" si="38"/>
        <v>#NUM!</v>
      </c>
      <c r="BG40" s="161" t="str">
        <f t="shared" si="8"/>
        <v>#NUM!</v>
      </c>
      <c r="BH40" s="153" t="str">
        <f t="shared" si="9"/>
        <v>#NUM!</v>
      </c>
      <c r="BI40" s="153">
        <f>AVERAGE(OFFSET($BH$3,0,0,'Données projet'!$E$11+1,1))-AVERAGE(OFFSET($H$3,0,0,'Données projet'!$E$11+1,1))</f>
        <v>0</v>
      </c>
      <c r="BJ40" s="153">
        <f t="shared" si="39"/>
        <v>0</v>
      </c>
      <c r="BK40" s="154">
        <f>IF(ISNA(VLOOKUP(A40,'Données projet'!$A$87:$I$107,3,0)),0,VLOOKUP(A40,'Données projet'!$A$87:$I$107,3,0))</f>
        <v>0</v>
      </c>
      <c r="BL40" s="154">
        <f>IF(ISNA(VLOOKUP(A40,'Données projet'!$A$87:$I$107,4,0)),0,VLOOKUP(A40,'Données projet'!$A$87:$I$107,4,0))</f>
        <v>0</v>
      </c>
      <c r="BM40" s="155">
        <f>IF(ISNA(VLOOKUP(A40,'Données projet'!$A$87:$I$107,5,0)),0%,VLOOKUP(A40,'Données projet'!$A$87:$I$107,5,0)*VLOOKUP('Données projet'!$B$11,'Paramètres'!$A$1:$I$88,7,0))</f>
        <v>0</v>
      </c>
      <c r="BN40" s="155">
        <f>IF(ISNA(VLOOKUP(A40,'Données projet'!$A$87:$I$107,6,0)),0%,VLOOKUP(A40,'Données projet'!$A$87:$I$107,6,0)*VLOOKUP('Données projet'!$B$11,'Paramètres'!$A$1:$I$88,7,0))</f>
        <v>0</v>
      </c>
      <c r="BO40" s="155">
        <f>IF(ISNA(VLOOKUP(A40,'Données projet'!$A$87:$I$107,7,0)),0%,VLOOKUP(A40,'Données projet'!$A$87:$I$107,7,0))</f>
        <v>0</v>
      </c>
      <c r="BP40" s="162">
        <f>EXP(-LN(2)/35)*BP39+(1-EXP(-LN(2)/35))/(LN(2)/35)*BL40*BM40*VLOOKUP('Données projet'!$B$11,'Paramètres'!$A$1:$I$88,3,0)*0.475*44/12</f>
        <v>0</v>
      </c>
      <c r="BQ40" s="162">
        <f>EXP(-LN(2)/25)*BQ39+(1-EXP(-LN(2)/25))/(LN(2)/25)*Calculateur!BL40*Calculateur!BN40*VLOOKUP('Données projet'!$B$11,'Paramètres'!$A$1:$I$88,3,0)*0.475*44/12</f>
        <v>0</v>
      </c>
      <c r="BR40" s="162">
        <f>EXP(-LN(2)/2)*BR39+(1-EXP(-LN(2)/2))/(LN(2)/2)*BL40*BO40*VLOOKUP('Données projet'!$B$11,'Paramètres'!$A$1:$I$88,3,0)*0.475*44/12</f>
        <v>0</v>
      </c>
      <c r="BS40" s="163">
        <f t="shared" si="10"/>
        <v>0</v>
      </c>
      <c r="BT40" s="159">
        <f>('Scénario référence'!$F$8+'Scénario référence'!$F$9+'Scénario référence'!$B$17+'Scénario référence'!$B$9+'Scénario référence'!$B$10)*70+IF((45+25*(1-EXP(-0.0175*A40)))&lt;70,'Scénario référence'!$B$16*(45+25*(1-EXP(-0.0175*A40))),70*'Scénario référence'!$B$16)+IF((32+38*(1-EXP(-0.0175*A40)))&lt;70,'Scénario référence'!$B$18*(32+38*(1-EXP(-0.0175*A40))),70*'Scénario référence'!$B$18)</f>
        <v>70</v>
      </c>
      <c r="BU40" s="151">
        <f>IF(A40&gt;30,10,('Scénario référence'!$B$16+'Scénario référence'!$B$17+'Scénario référence'!$B$18+'Scénario référence'!$B$9+'Scénario référence'!$B$10)*A40*10/30+('Scénario référence'!$F$8+'Scénario référence'!$F$9)*10)</f>
        <v>10</v>
      </c>
      <c r="BV40" s="151" t="str">
        <f>VLOOKUP(A40,'Données projet'!$A$113:$I$133,2,0)</f>
        <v>#N/A</v>
      </c>
      <c r="BW40" s="151" t="str">
        <f>VLOOKUP(A40,'Données projet'!$A$113:$I$133,9,0)</f>
        <v>#N/A</v>
      </c>
      <c r="BX40" s="150" t="str">
        <f t="array" ref="BX40">INDEX(BW:BW,MIN(IF(ISNUMBER(BW40:BW236),ROW(BW40:BW236),"")))</f>
        <v/>
      </c>
      <c r="BY40" s="150">
        <f>IF('Données projet'!$A$114&gt;35,BY39+BX40-CG39,IF(A40&lt;'Données projet'!$A$114,$BV$205^A40,IF(A40='Données projet'!$A$114,'Données projet'!$B$114,BY39+BX40-CG39)))</f>
        <v>0</v>
      </c>
      <c r="BZ40" s="150" t="str">
        <f>BY40*VLOOKUP('Données projet'!$B$12,'Paramètres'!$A$1:$I$88,3,0)*VLOOKUP('Données projet'!$B$12,'Paramètres'!$A$1:$I$88,5,0)</f>
        <v>#N/A</v>
      </c>
      <c r="CA40" s="150" t="str">
        <f t="shared" si="40"/>
        <v>#N/A</v>
      </c>
      <c r="CB40" s="161" t="str">
        <f t="shared" si="11"/>
        <v>#N/A</v>
      </c>
      <c r="CC40" s="153" t="str">
        <f t="shared" si="12"/>
        <v>#N/A</v>
      </c>
      <c r="CD40" s="153" t="str">
        <f>AVERAGE(OFFSET($CC$3,0,0,'Données projet'!$E$12+1,1))-AVERAGE(OFFSET($H$3,0,0,'Données projet'!$E$12+1,1))</f>
        <v>#N/A</v>
      </c>
      <c r="CE40" s="153" t="str">
        <f t="shared" si="41"/>
        <v>#N/A</v>
      </c>
      <c r="CF40" s="154">
        <f>IF(ISNA(VLOOKUP(A40,'Données projet'!$A$113:$I$133,3,0)),0,VLOOKUP(A40,'Données projet'!$A$113:$I$133,3,0))</f>
        <v>0</v>
      </c>
      <c r="CG40" s="154">
        <f>IF(ISNA(VLOOKUP(A40,'Données projet'!$A$113:$I$133,4,0)),0,VLOOKUP(A40,'Données projet'!$A$113:$I$133,4,0))</f>
        <v>0</v>
      </c>
      <c r="CH40" s="155">
        <f>IF(ISNA(VLOOKUP(A40,'Données projet'!$A$113:$I$133,5,0)),0%,VLOOKUP(A40,'Données projet'!$A$113:$I$133,5,0)*VLOOKUP('Données projet'!$B$12,'Paramètres'!$A$1:$I$88,7,0))</f>
        <v>0</v>
      </c>
      <c r="CI40" s="155">
        <f>IF(ISNA(VLOOKUP(A40,'Données projet'!$A$113:$I$133,6,0)),0%,VLOOKUP(A40,'Données projet'!$A$113:$I$133,6,0)*VLOOKUP('Données projet'!$B$12,'Paramètres'!$A$1:$I$88,7,0))</f>
        <v>0</v>
      </c>
      <c r="CJ40" s="155">
        <f>IF(ISNA(VLOOKUP(A40,'Données projet'!$A$113:$I$133,7,0)),0%,VLOOKUP(A40,'Données projet'!$A$113:$I$133,7,0))</f>
        <v>0</v>
      </c>
      <c r="CK40" s="162" t="str">
        <f>EXP(-LN(2)/35)*CK39+(1-EXP(-LN(2)/35))/(LN(2)/35)*CG40*CH40*VLOOKUP('Données projet'!$B$12,'Paramètres'!$A$1:$I$88,3,0)*0.475*44/12</f>
        <v>#N/A</v>
      </c>
      <c r="CL40" s="162" t="str">
        <f>EXP(-LN(2)/25)*CL39+(1-EXP(-LN(2)/25))/(LN(2)/25)*Calculateur!CG40*Calculateur!CI40*VLOOKUP('Données projet'!$B$12,'Paramètres'!$A$1:$I$88,3,0)*0.475*44/12</f>
        <v>#N/A</v>
      </c>
      <c r="CM40" s="162" t="str">
        <f>EXP(-LN(2)/2)*CM39+(1-EXP(-LN(2)/2))/(LN(2)/2)*CG40*CJ40*VLOOKUP('Données projet'!$B$12,'Paramètres'!$A$1:$I$88,3,0)*0.475*44/12</f>
        <v>#N/A</v>
      </c>
      <c r="CN40" s="163" t="str">
        <f t="shared" si="13"/>
        <v>#N/A</v>
      </c>
      <c r="CO40" s="159">
        <f>('Scénario référence'!$F$8+'Scénario référence'!$F$9+'Scénario référence'!$B$17+'Scénario référence'!$B$9+'Scénario référence'!$B$10)*70+IF((45+25*(1-EXP(-0.0175*A40)))&lt;70,'Scénario référence'!$B$16*(45+25*(1-EXP(-0.0175*A40))),70*'Scénario référence'!$B$16)+IF((32+38*(1-EXP(-0.0175*A40)))&lt;70,'Scénario référence'!$B$18*(32+38*(1-EXP(-0.0175*A40))),70*'Scénario référence'!$B$18)</f>
        <v>70</v>
      </c>
      <c r="CP40" s="151">
        <f>IF(A40&gt;30,10,('Scénario référence'!$B$16+'Scénario référence'!$B$17+'Scénario référence'!$B$18+'Scénario référence'!$B$9+'Scénario référence'!$B$10)*A40*10/30+('Scénario référence'!$F$8+'Scénario référence'!$F$9)*10)</f>
        <v>10</v>
      </c>
      <c r="CQ40" s="151" t="str">
        <f>VLOOKUP(A40,'Données projet'!$A$139:$I$159,2,0)</f>
        <v>#N/A</v>
      </c>
      <c r="CR40" s="151" t="str">
        <f>VLOOKUP(A40,'Données projet'!$A$139:$I$159,9,0)</f>
        <v>#N/A</v>
      </c>
      <c r="CS40" s="151" t="str">
        <f t="array" ref="CS40">INDEX(CR:CR,MIN(IF(ISNUMBER(CR40:CR236),ROW(CR40:CR236),"")))</f>
        <v/>
      </c>
      <c r="CT40" s="151">
        <f>IF('Données projet'!$A$140&gt;35,CT39+CS40-DB39,IF(A40&lt;'Données projet'!$A$140,$CQ$205^A40,IF(A40='Données projet'!$A$140,'Données projet'!$B$140,CT39+CS40-DB39)))</f>
        <v>0</v>
      </c>
      <c r="CU40" s="158" t="str">
        <f>CT40*VLOOKUP('Données projet'!$B$13,'Paramètres'!$A$1:$I$88,3,0)*VLOOKUP('Données projet'!$B$13,'Paramètres'!$A$1:$I$88,5,0)</f>
        <v>#N/A</v>
      </c>
      <c r="CV40" s="150" t="str">
        <f t="shared" si="42"/>
        <v>#N/A</v>
      </c>
      <c r="CW40" s="161" t="str">
        <f t="shared" si="14"/>
        <v>#N/A</v>
      </c>
      <c r="CX40" s="153" t="str">
        <f t="shared" si="15"/>
        <v>#N/A</v>
      </c>
      <c r="CY40" s="153" t="str">
        <f>AVERAGE(OFFSET($CX$3,0,0,'Données projet'!$E$13+1,1))-AVERAGE(OFFSET($H$3,0,0,'Données projet'!$E$13+1,1))</f>
        <v>#N/A</v>
      </c>
      <c r="CZ40" s="153" t="str">
        <f t="shared" si="43"/>
        <v>#N/A</v>
      </c>
      <c r="DA40" s="154">
        <f>IF(ISNA(VLOOKUP(A40,'Données projet'!$A$139:$I$159,3,0)),0,VLOOKUP(A40,'Données projet'!$A$139:$I$159,3,0))</f>
        <v>0</v>
      </c>
      <c r="DB40" s="154">
        <f>IF(ISNA(VLOOKUP(A40,'Données projet'!$A$139:$I$159,4,0)),0,VLOOKUP(A40,'Données projet'!$A$139:$I$159,4,0))</f>
        <v>0</v>
      </c>
      <c r="DC40" s="155">
        <f>IF(ISNA(VLOOKUP(A40,'Données projet'!$A$139:$I$159,5,0)),0%,VLOOKUP(A40,'Données projet'!$A$139:$I$159,5,0)*VLOOKUP('Données projet'!$B$13,'Paramètres'!$A$1:$I$88,7,0))</f>
        <v>0</v>
      </c>
      <c r="DD40" s="155">
        <f>IF(ISNA(VLOOKUP(A40,'Données projet'!$A$139:$I$159,6,0)),0%,VLOOKUP(A40,'Données projet'!$A$139:$I$159,6,0)*VLOOKUP('Données projet'!$B$13,'Paramètres'!$A$1:$I$88,7,0))</f>
        <v>0</v>
      </c>
      <c r="DE40" s="155">
        <f>IF(ISNA(VLOOKUP(A40,'Données projet'!$A$139:$I$159,7,0)),0%,VLOOKUP(A40,'Données projet'!$A$139:$I$159,7,0))</f>
        <v>0</v>
      </c>
      <c r="DF40" s="162" t="str">
        <f>EXP(-LN(2)/35)*DF39+(1-EXP(-LN(2)/35))/(LN(2)/35)*DB40*DC40*VLOOKUP('Données projet'!$B$13,'Paramètres'!$A$1:$I$88,3,0)*0.475*44/12</f>
        <v>#N/A</v>
      </c>
      <c r="DG40" s="162" t="str">
        <f>EXP(-LN(2)/25)*DG39+(1-EXP(-LN(2)/25))/(LN(2)/25)*Calculateur!DB40*Calculateur!DD40*VLOOKUP('Données projet'!$B$13,'Paramètres'!$A$1:$I$88,3,0)*0.475*44/12</f>
        <v>#N/A</v>
      </c>
      <c r="DH40" s="162" t="str">
        <f>EXP(-LN(2)/2)*DH39+(1-EXP(-LN(2)/2))/(LN(2)/2)*DB40*DE40*VLOOKUP('Données projet'!$B$13,'Paramètres'!$A$1:$I$88,3,0)*0.475*44/12</f>
        <v>#N/A</v>
      </c>
      <c r="DI40" s="163" t="str">
        <f t="shared" si="16"/>
        <v>#N/A</v>
      </c>
      <c r="DJ40" s="159">
        <f>('Scénario référence'!$F$8+'Scénario référence'!$F$9+'Scénario référence'!$B$17+'Scénario référence'!$B$9+'Scénario référence'!$B$10)*70+IF((45+25*(1-EXP(-0.0175*A40)))&lt;70,'Scénario référence'!$B$16*(45+25*(1-EXP(-0.0175*A40))),70*'Scénario référence'!$B$16)+IF((32+38*(1-EXP(-0.0175*A40)))&lt;70,'Scénario référence'!$B$18*(32+38*(1-EXP(-0.0175*A40))),70*'Scénario référence'!$B$18)</f>
        <v>70</v>
      </c>
      <c r="DK40" s="151">
        <f>IF(A40&gt;30,10,('Scénario référence'!$B$16+'Scénario référence'!$B$17+'Scénario référence'!$B$18+'Scénario référence'!$B$9+'Scénario référence'!$B$10)*A40*10/30+('Scénario référence'!$F$8+'Scénario référence'!$F$9)*10)</f>
        <v>10</v>
      </c>
      <c r="DL40" s="151" t="str">
        <f>VLOOKUP(A40,'Données projet'!$A$165:$I$185,2,0)</f>
        <v>#N/A</v>
      </c>
      <c r="DM40" s="151" t="str">
        <f>VLOOKUP(A40,'Données projet'!$A$165:$I$185,9,0)</f>
        <v>#N/A</v>
      </c>
      <c r="DN40" s="151" t="str">
        <f t="array" ref="DN40">INDEX(DM:DM,MIN(IF(ISNUMBER(DM40:DM236),ROW(DM40:DM236),"")))</f>
        <v/>
      </c>
      <c r="DO40" s="151">
        <f>IF('Données projet'!$A$166&gt;35,DO39+DN40-DW39,IF(A40&lt;'Données projet'!$A$166,$DL$205^A40,IF(A40='Données projet'!$A$166,'Données projet'!$B$166,DO39+DN40-DW39)))</f>
        <v>0</v>
      </c>
      <c r="DP40" s="158" t="str">
        <f>DO40*VLOOKUP('Données projet'!$B$14,'Paramètres'!$A$1:$I$88,3,0)*VLOOKUP('Données projet'!$B$14,'Paramètres'!$A$1:$I$88,5,0)</f>
        <v>#N/A</v>
      </c>
      <c r="DQ40" s="150" t="str">
        <f t="shared" si="44"/>
        <v>#N/A</v>
      </c>
      <c r="DR40" s="161" t="str">
        <f t="shared" si="17"/>
        <v>#N/A</v>
      </c>
      <c r="DS40" s="153" t="str">
        <f t="shared" si="18"/>
        <v>#N/A</v>
      </c>
      <c r="DT40" s="153" t="str">
        <f>AVERAGE(OFFSET($DS$3,0,0,'Données projet'!$E$14+1,1))-AVERAGE(OFFSET($H$3,0,0,'Données projet'!$E$14+1,1))</f>
        <v>#N/A</v>
      </c>
      <c r="DU40" s="153" t="str">
        <f t="shared" si="45"/>
        <v>#N/A</v>
      </c>
      <c r="DV40" s="154">
        <f>IF(ISNA(VLOOKUP(A40,'Données projet'!$A$165:$I$185,3,0)),0,VLOOKUP(A40,'Données projet'!$A$165:$I$185,3,0))</f>
        <v>0</v>
      </c>
      <c r="DW40" s="154">
        <f>IF(ISNA(VLOOKUP(A40,'Données projet'!$A$165:$I$185,4,0)),0,VLOOKUP(A40,'Données projet'!$A$165:$I$185,4,0))</f>
        <v>0</v>
      </c>
      <c r="DX40" s="155">
        <f>IF(ISNA(VLOOKUP(A40,'Données projet'!$A$165:$I$185,5,0)),0%,VLOOKUP(A40,'Données projet'!$A$165:$I$185,5,0)*VLOOKUP('Données projet'!$B$14,'Paramètres'!$A$1:$I$88,7,0))</f>
        <v>0</v>
      </c>
      <c r="DY40" s="155">
        <f>IF(ISNA(VLOOKUP(A40,'Données projet'!$A$165:$I$185,6,0)),0%,VLOOKUP(A40,'Données projet'!$A$165:$I$185,6,0)*VLOOKUP('Données projet'!$B$14,'Paramètres'!$A$1:$I$88,7,0))</f>
        <v>0</v>
      </c>
      <c r="DZ40" s="155">
        <f>IF(ISNA(VLOOKUP(A40,'Données projet'!$A$165:$I$185,7,0)),0%,VLOOKUP(A40,'Données projet'!$A$165:$I$185,7,0))</f>
        <v>0</v>
      </c>
      <c r="EA40" s="162" t="str">
        <f>EXP(-LN(2)/35)*EA39+(1-EXP(-LN(2)/35))/(LN(2)/35)*DW40*DX40*VLOOKUP('Données projet'!$B$14,'Paramètres'!$A$1:$I$88,3,0)*0.475*44/12</f>
        <v>#N/A</v>
      </c>
      <c r="EB40" s="162" t="str">
        <f>EXP(-LN(2)/25)*EB39+(1-EXP(-LN(2)/25))/(LN(2)/25)*Calculateur!DW40*Calculateur!DY40*VLOOKUP('Données projet'!$B$14,'Paramètres'!$A$1:$I$88,3,0)*0.475*44/12</f>
        <v>#N/A</v>
      </c>
      <c r="EC40" s="162" t="str">
        <f>EXP(-LN(2)/2)*EC39+(1-EXP(-LN(2)/2))/(LN(2)/2)*DW40*DZ40*VLOOKUP('Données projet'!$B$14,'Paramètres'!$A$1:$I$88,3,0)*0.475*44/12</f>
        <v>#N/A</v>
      </c>
      <c r="ED40" s="163" t="str">
        <f t="shared" si="19"/>
        <v>#N/A</v>
      </c>
      <c r="EE40" s="159">
        <f>('Scénario référence'!$F$8+'Scénario référence'!$F$9+'Scénario référence'!$B$17+'Scénario référence'!$B$9+'Scénario référence'!$B$10)*70+IF((45+25*(1-EXP(-0.0175*A40)))&lt;70,'Scénario référence'!$B$16*(45+25*(1-EXP(-0.0175*A40))),70*'Scénario référence'!$B$16)+IF((32+38*(1-EXP(-0.0175*A40)))&lt;70,'Scénario référence'!$B$18*(32+38*(1-EXP(-0.0175*A40))),70*'Scénario référence'!$B$18)</f>
        <v>70</v>
      </c>
      <c r="EF40" s="151">
        <f>IF(A40&gt;30,10,('Scénario référence'!$B$16+'Scénario référence'!$B$17+'Scénario référence'!$B$18+'Scénario référence'!$B$9+'Scénario référence'!$B$10)*A40*10/30+('Scénario référence'!$F$8+'Scénario référence'!$F$9)*10)</f>
        <v>10</v>
      </c>
      <c r="EG40" s="151" t="str">
        <f>VLOOKUP(A40,'Données projet'!$A$191:$I$211,2,0)</f>
        <v>#N/A</v>
      </c>
      <c r="EH40" s="151" t="str">
        <f>VLOOKUP(A40,'Données projet'!$A$191:$I$211,9,0)</f>
        <v>#N/A</v>
      </c>
      <c r="EI40" s="151" t="str">
        <f t="array" ref="EI40">INDEX(EH:EH,MIN(IF(ISNUMBER(EH40:EH236),ROW(EH40:EH236),"")))</f>
        <v/>
      </c>
      <c r="EJ40" s="151">
        <f>IF('Données projet'!$A$192&gt;35,EJ39+EI40-ER39,IF(A40&lt;'Données projet'!$A$192,$EG$205^A40,IF(A40='Données projet'!$A$192,'Données projet'!$B$192,EJ39+EI40-ER39)))</f>
        <v>0</v>
      </c>
      <c r="EK40" s="158" t="str">
        <f>EJ40*VLOOKUP('Données projet'!$B$15,'Paramètres'!$A$1:$I$88,3,0)*VLOOKUP('Données projet'!$B$15,'Paramètres'!$A$1:$I$88,5,0)</f>
        <v>#N/A</v>
      </c>
      <c r="EL40" s="150" t="str">
        <f t="shared" si="46"/>
        <v>#N/A</v>
      </c>
      <c r="EM40" s="161" t="str">
        <f t="shared" si="20"/>
        <v>#N/A</v>
      </c>
      <c r="EN40" s="153" t="str">
        <f t="shared" si="21"/>
        <v>#N/A</v>
      </c>
      <c r="EO40" s="153" t="str">
        <f>AVERAGE(OFFSET($EN$3,0,0,'Données projet'!$E$15+1,1))-AVERAGE(OFFSET($H$3,0,0,'Données projet'!$E$15+1,1))</f>
        <v>#N/A</v>
      </c>
      <c r="EP40" s="153" t="str">
        <f t="shared" si="47"/>
        <v>#N/A</v>
      </c>
      <c r="EQ40" s="154">
        <f>IF(ISNA(VLOOKUP(A40,'Données projet'!$A$191:$I$211,3,0)),0,VLOOKUP(A40,'Données projet'!$A$191:$I$211,3,0))</f>
        <v>0</v>
      </c>
      <c r="ER40" s="154">
        <f>IF(ISNA(VLOOKUP(A40,'Données projet'!$A$191:$I$211,4,0)),0,VLOOKUP(A40,'Données projet'!$A$191:$I$211,4,0))</f>
        <v>0</v>
      </c>
      <c r="ES40" s="155">
        <f>IF(ISNA(VLOOKUP(A40,'Données projet'!$A$191:$I$211,5,0)),0%,VLOOKUP(A40,'Données projet'!$A$191:$I$211,5,0)*VLOOKUP('Données projet'!$B$15,'Paramètres'!$A$1:$I$88,7,0))</f>
        <v>0</v>
      </c>
      <c r="ET40" s="155">
        <f>IF(ISNA(VLOOKUP(A40,'Données projet'!$A$191:$I$211,6,0)),0%,VLOOKUP(A40,'Données projet'!$A$191:$I$211,6,0)*VLOOKUP('Données projet'!$B$15,'Paramètres'!$A$1:$I$88,7,0))</f>
        <v>0</v>
      </c>
      <c r="EU40" s="155">
        <f>IF(ISNA(VLOOKUP(A40,'Données projet'!$A$191:$I$211,7,0)),0%,VLOOKUP(A40,'Données projet'!$A$191:$I$211,7,0))</f>
        <v>0</v>
      </c>
      <c r="EV40" s="162" t="str">
        <f>EXP(-LN(2)/35)*EV39+(1-EXP(-LN(2)/35))/(LN(2)/35)*ER40*ES40*VLOOKUP('Données projet'!$B$15,'Paramètres'!$A$1:$I$88,3,0)*0.475*44/12</f>
        <v>#N/A</v>
      </c>
      <c r="EW40" s="162" t="str">
        <f>EXP(-LN(2)/25)*EW39+(1-EXP(-LN(2)/25))/(LN(2)/25)*Calculateur!ER40*Calculateur!ET40*VLOOKUP('Données projet'!$B$15,'Paramètres'!$A$1:$I$88,3,0)*0.475*44/12</f>
        <v>#N/A</v>
      </c>
      <c r="EX40" s="162" t="str">
        <f>EXP(-LN(2)/2)*EX39+(1-EXP(-LN(2)/2))/(LN(2)/2)*ER40*EU40*VLOOKUP('Données projet'!$B$15,'Paramètres'!$A$1:$I$88,3,0)*0.475*44/12</f>
        <v>#N/A</v>
      </c>
      <c r="EY40" s="163" t="str">
        <f t="shared" si="22"/>
        <v>#N/A</v>
      </c>
      <c r="EZ40" s="159">
        <f>('Scénario référence'!$F$8+'Scénario référence'!$F$9+'Scénario référence'!$B$17+'Scénario référence'!$B$9+'Scénario référence'!$B$10)*70+IF((45+25*(1-EXP(-0.0175*A40)))&lt;70,'Scénario référence'!$B$16*(45+25*(1-EXP(-0.0175*A40))),70*'Scénario référence'!$B$16)+IF((32+38*(1-EXP(-0.0175*A40)))&lt;70,'Scénario référence'!$B$18*(32+38*(1-EXP(-0.0175*A40))),70*'Scénario référence'!$B$18)</f>
        <v>70</v>
      </c>
      <c r="FA40" s="151">
        <f>IF(A40&gt;30,10,('Scénario référence'!$B$16+'Scénario référence'!$B$17+'Scénario référence'!$B$18+'Scénario référence'!$B$9+'Scénario référence'!$B$10)*A40*10/30+('Scénario référence'!$F$8+'Scénario référence'!$F$9)*10)</f>
        <v>10</v>
      </c>
      <c r="FB40" s="151" t="str">
        <f>VLOOKUP(A40,'Données projet'!$A$217:$I$237,2,0)</f>
        <v>#N/A</v>
      </c>
      <c r="FC40" s="151" t="str">
        <f>VLOOKUP(A40,'Données projet'!$A$217:$I$237,9,0)</f>
        <v>#N/A</v>
      </c>
      <c r="FD40" s="151" t="str">
        <f t="array" ref="FD40">INDEX(FC:FC,MIN(IF(ISNUMBER(FC40:FC236),ROW(FC40:FC236),"")))</f>
        <v/>
      </c>
      <c r="FE40" s="151">
        <f>IF('Données projet'!$A$218&gt;35,FE39+FD40-FM39,IF(A40&lt;'Données projet'!$A$218,$FB$205^A40,IF(A40='Données projet'!$A$218,'Données projet'!$B$218,FE39+FD40-FM39)))</f>
        <v>0</v>
      </c>
      <c r="FF40" s="158" t="str">
        <f>FE40*VLOOKUP('Données projet'!$B$16,'Paramètres'!$A$1:$I$88,3,0)*VLOOKUP('Données projet'!$B$16,'Paramètres'!$A$1:$I$88,5,0)</f>
        <v>#N/A</v>
      </c>
      <c r="FG40" s="150" t="str">
        <f t="shared" si="48"/>
        <v>#N/A</v>
      </c>
      <c r="FH40" s="161" t="str">
        <f t="shared" si="23"/>
        <v>#N/A</v>
      </c>
      <c r="FI40" s="153" t="str">
        <f t="shared" si="24"/>
        <v>#N/A</v>
      </c>
      <c r="FJ40" s="153" t="str">
        <f>AVERAGE(OFFSET($FI$3,0,0,'Données projet'!$E$16+1,1))-AVERAGE(OFFSET($H$3,0,0,'Données projet'!$E$16+1,1))</f>
        <v>#N/A</v>
      </c>
      <c r="FK40" s="153" t="str">
        <f t="shared" si="49"/>
        <v>#N/A</v>
      </c>
      <c r="FL40" s="154">
        <f>IF(ISNA(VLOOKUP(A40,'Données projet'!$A$217:$I$237,3,0)),0,VLOOKUP(A40,'Données projet'!$A$217:$I$237,3,0))</f>
        <v>0</v>
      </c>
      <c r="FM40" s="154">
        <f>IF(ISNA(VLOOKUP(A40,'Données projet'!$A$217:$I$237,4,0)),0,VLOOKUP(A40,'Données projet'!$A$217:$I$237,4,0))</f>
        <v>0</v>
      </c>
      <c r="FN40" s="155">
        <f>IF(ISNA(VLOOKUP(A40,'Données projet'!$A$217:$I$237,5,0)),0%,VLOOKUP(A40,'Données projet'!$A$217:$I$237,5,0)*VLOOKUP('Données projet'!$B$16,'Paramètres'!$A$1:$I$88,7,0))</f>
        <v>0</v>
      </c>
      <c r="FO40" s="155">
        <f>IF(ISNA(VLOOKUP(A40,'Données projet'!$A$217:$I$237,6,0)),0%,VLOOKUP(A40,'Données projet'!$A$217:$I$237,6,0)*VLOOKUP('Données projet'!$B$16,'Paramètres'!$A$1:$I$88,7,0))</f>
        <v>0</v>
      </c>
      <c r="FP40" s="155">
        <f>IF(ISNA(VLOOKUP(A40,'Données projet'!$A$217:$I$237,7,0)),0%,VLOOKUP(A40,'Données projet'!$A$217:$I$237,7,0))</f>
        <v>0</v>
      </c>
      <c r="FQ40" s="162" t="str">
        <f>EXP(-LN(2)/35)*FQ39+(1-EXP(-LN(2)/35))/(LN(2)/35)*FM40*FN40*VLOOKUP('Données projet'!$B$16,'Paramètres'!$A$1:$I$88,3,0)*0.475*44/12</f>
        <v>#N/A</v>
      </c>
      <c r="FR40" s="162" t="str">
        <f>EXP(-LN(2)/25)*FR39+(1-EXP(-LN(2)/25))/(LN(2)/25)*Calculateur!FM40*Calculateur!FO40*VLOOKUP('Données projet'!$B$16,'Paramètres'!$A$1:$I$88,3,0)*0.475*44/12</f>
        <v>#N/A</v>
      </c>
      <c r="FS40" s="162" t="str">
        <f>EXP(-LN(2)/2)*FS39+(1-EXP(-LN(2)/2))/(LN(2)/2)*FM40*FP40*VLOOKUP('Données projet'!$B$16,'Paramètres'!$A$1:$I$88,3,0)*0.475*44/12</f>
        <v>#N/A</v>
      </c>
      <c r="FT40" s="163" t="str">
        <f t="shared" si="25"/>
        <v>#N/A</v>
      </c>
      <c r="FU40" s="159">
        <f>('Scénario référence'!$F$8+'Scénario référence'!$F$9+'Scénario référence'!$B$17+'Scénario référence'!$B$9+'Scénario référence'!$B$10)*70+IF((45+25*(1-EXP(-0.0175*A40)))&lt;70,'Scénario référence'!$B$16*(45+25*(1-EXP(-0.0175*A40))),70*'Scénario référence'!$B$16)+IF((32+38*(1-EXP(-0.0175*A40)))&lt;70,'Scénario référence'!$B$18*(32+38*(1-EXP(-0.0175*A40))),70*'Scénario référence'!$B$18)</f>
        <v>70</v>
      </c>
      <c r="FV40" s="151">
        <f>IF(A40&gt;30,10,('Scénario référence'!$B$16+'Scénario référence'!$B$17+'Scénario référence'!$B$18+'Scénario référence'!$B$9+'Scénario référence'!$B$10)*A40*10/30+('Scénario référence'!$F$8+'Scénario référence'!$F$9)*10)</f>
        <v>10</v>
      </c>
      <c r="FW40" s="151" t="str">
        <f>VLOOKUP(A40,'Données projet'!$A$243:$I$263,2,0)</f>
        <v>#N/A</v>
      </c>
      <c r="FX40" s="151" t="str">
        <f>VLOOKUP(A40,'Données projet'!$A$243:$I$263,9,0)</f>
        <v>#N/A</v>
      </c>
      <c r="FY40" s="151" t="str">
        <f t="array" ref="FY40">INDEX(FX:FX,MIN(IF(ISNUMBER(FX40:FX236),ROW(FX40:FX236),"")))</f>
        <v/>
      </c>
      <c r="FZ40" s="151">
        <f>IF('Données projet'!$A$244&gt;35,FZ39+FY40-GH39,IF(A40&lt;'Données projet'!$A$244,$FW$205^A40,IF(A40='Données projet'!$A$244,'Données projet'!$B$244,FZ39+FY40-GH39)))</f>
        <v>0</v>
      </c>
      <c r="GA40" s="158" t="str">
        <f>FZ40*VLOOKUP('Données projet'!$B$17,'Paramètres'!$A$1:$I$88,3,0)*VLOOKUP('Données projet'!$B$17,'Paramètres'!$A$1:$I$88,5,0)</f>
        <v>#N/A</v>
      </c>
      <c r="GB40" s="150" t="str">
        <f t="shared" si="50"/>
        <v>#N/A</v>
      </c>
      <c r="GC40" s="161" t="str">
        <f t="shared" si="26"/>
        <v>#N/A</v>
      </c>
      <c r="GD40" s="153" t="str">
        <f t="shared" si="27"/>
        <v>#N/A</v>
      </c>
      <c r="GE40" s="153" t="str">
        <f>AVERAGE(OFFSET($GD$3,0,0,'Données projet'!$E$17+1,1))-AVERAGE(OFFSET($H$3,0,0,'Données projet'!$E$17+1,1))</f>
        <v>#N/A</v>
      </c>
      <c r="GF40" s="153" t="str">
        <f t="shared" si="51"/>
        <v>#N/A</v>
      </c>
      <c r="GG40" s="154">
        <f>IF(ISNA(VLOOKUP(A40,'Données projet'!$A$243:$I$263,3,0)),0,VLOOKUP(A40,'Données projet'!$A$243:$I$263,3,0))</f>
        <v>0</v>
      </c>
      <c r="GH40" s="154">
        <f>IF(ISNA(VLOOKUP(A40,'Données projet'!$A$243:$I$263,4,0)),0,VLOOKUP(A40,'Données projet'!$A$243:$I$263,4,0))</f>
        <v>0</v>
      </c>
      <c r="GI40" s="155">
        <f>IF(ISNA(VLOOKUP(A40,'Données projet'!$A$243:$I$263,5,0)),0%,VLOOKUP(A40,'Données projet'!$A$243:$I$263,5,0)*VLOOKUP('Données projet'!$B$17,'Paramètres'!$A$1:$I$88,7,0))</f>
        <v>0</v>
      </c>
      <c r="GJ40" s="155">
        <f>IF(ISNA(VLOOKUP(A40,'Données projet'!$A$243:$I$263,6,0)),0%,VLOOKUP(A40,'Données projet'!$A$243:$I$263,6,0)*VLOOKUP('Données projet'!$B$17,'Paramètres'!$A$1:$I$88,7,0))</f>
        <v>0</v>
      </c>
      <c r="GK40" s="155">
        <f>IF(ISNA(VLOOKUP(A40,'Données projet'!$A$243:$I$263,7,0)),0%,VLOOKUP(A40,'Données projet'!$A$243:$I$263,7,0))</f>
        <v>0</v>
      </c>
      <c r="GL40" s="162" t="str">
        <f>EXP(-LN(2)/35)*GL39+(1-EXP(-LN(2)/35))/(LN(2)/35)*GH40*GI40*VLOOKUP('Données projet'!$B$17,'Paramètres'!$A$1:$I$88,3,0)*0.475*44/12</f>
        <v>#N/A</v>
      </c>
      <c r="GM40" s="162" t="str">
        <f>EXP(-LN(2)/25)*GM39+(1-EXP(-LN(2)/25))/(LN(2)/25)*Calculateur!GH40*Calculateur!GJ40*VLOOKUP('Données projet'!$B$17,'Paramètres'!$A$1:$I$88,3,0)*0.475*44/12</f>
        <v>#N/A</v>
      </c>
      <c r="GN40" s="162" t="str">
        <f>EXP(-LN(2)/2)*GN39+(1-EXP(-LN(2)/2))/(LN(2)/2)*GH40*GK40*VLOOKUP('Données projet'!$B$17,'Paramètres'!$A$1:$I$88,3,0)*0.475*44/12</f>
        <v>#N/A</v>
      </c>
      <c r="GO40" s="162" t="str">
        <f t="shared" si="28"/>
        <v>#N/A</v>
      </c>
      <c r="GP40" s="159">
        <f>('Scénario référence'!$F$8+'Scénario référence'!$F$9+'Scénario référence'!$B$17+'Scénario référence'!$B$9+'Scénario référence'!$B$10)*70+IF((45+25*(1-EXP(-0.0175*A40)))&lt;70,'Scénario référence'!$B$16*(45+25*(1-EXP(-0.0175*A40))),70*'Scénario référence'!$B$16)+IF((32+38*(1-EXP(-0.0175*A40)))&lt;70,'Scénario référence'!$B$18*(32+38*(1-EXP(-0.0175*A40))),70*'Scénario référence'!$B$18)</f>
        <v>70</v>
      </c>
      <c r="GQ40" s="151">
        <f>IF(A40&gt;30,10,('Scénario référence'!$B$16+'Scénario référence'!$B$17+'Scénario référence'!$B$18+'Scénario référence'!$B$9+'Scénario référence'!$B$10)*A40*10/30+('Scénario référence'!$F$8+'Scénario référence'!$F$9)*10)</f>
        <v>10</v>
      </c>
      <c r="GR40" s="151" t="str">
        <f>VLOOKUP(A40,'Données projet'!$A$269:$I$289,2,0)</f>
        <v>#N/A</v>
      </c>
      <c r="GS40" s="151" t="str">
        <f>VLOOKUP(A40,'Données projet'!$A$269:$I$289,9,0)</f>
        <v>#N/A</v>
      </c>
      <c r="GT40" s="151" t="str">
        <f t="array" ref="GT40">INDEX(GS:GS,MIN(IF(ISNUMBER(GS40:GS236),ROW(GS40:GS236),"")))</f>
        <v/>
      </c>
      <c r="GU40" s="151">
        <f>IF('Données projet'!$A$270&gt;35,GU39+GT40-HC39,IF(A40&lt;'Données projet'!$A$270,$GR$205^A40,IF(A40='Données projet'!$A$270,'Données projet'!$B$270,GU39+GT40-HC39)))</f>
        <v>0</v>
      </c>
      <c r="GV40" s="158" t="str">
        <f>GU40*VLOOKUP('Données projet'!$B$18,'Paramètres'!$A$1:$I$88,3,0)*VLOOKUP('Données projet'!$B$18,'Paramètres'!$A$1:$I$88,5,0)</f>
        <v>#N/A</v>
      </c>
      <c r="GW40" s="150" t="str">
        <f t="shared" si="52"/>
        <v>#N/A</v>
      </c>
      <c r="GX40" s="161" t="str">
        <f t="shared" si="29"/>
        <v>#N/A</v>
      </c>
      <c r="GY40" s="153" t="str">
        <f t="shared" si="30"/>
        <v>#N/A</v>
      </c>
      <c r="GZ40" s="153" t="str">
        <f>AVERAGE(OFFSET($GY$3,0,0,'Données projet'!$E$18+1,1))-AVERAGE(OFFSET($H$3,0,0,'Données projet'!$E$18+1,1))</f>
        <v>#N/A</v>
      </c>
      <c r="HA40" s="153" t="str">
        <f t="shared" si="53"/>
        <v>#N/A</v>
      </c>
      <c r="HB40" s="154">
        <f>IF(ISNA(VLOOKUP(A40,'Données projet'!$A$269:$I$289,3,0)),0,VLOOKUP(A40,'Données projet'!$A$269:$I$289,3,0))</f>
        <v>0</v>
      </c>
      <c r="HC40" s="154">
        <f>IF(ISNA(VLOOKUP(A40,'Données projet'!$A$269:$I$289,4,0)),0,VLOOKUP(A40,'Données projet'!$A$269:$I$289,4,0))</f>
        <v>0</v>
      </c>
      <c r="HD40" s="155">
        <f>IF(ISNA(VLOOKUP(A40,'Données projet'!$A$269:$I$289,5,0)),0%,VLOOKUP(A40,'Données projet'!$A$269:$I$289,5,0)*VLOOKUP('Données projet'!$B$18,'Paramètres'!$A$1:$I$88,7,0))</f>
        <v>0</v>
      </c>
      <c r="HE40" s="155">
        <f>IF(ISNA(VLOOKUP(A40,'Données projet'!$A$269:$I$289,6,0)),0%,VLOOKUP(A40,'Données projet'!$A$269:$I$289,6,0)*VLOOKUP('Données projet'!$B$18,'Paramètres'!$A$1:$I$88,7,0))</f>
        <v>0</v>
      </c>
      <c r="HF40" s="155">
        <f>IF(ISNA(VLOOKUP(A40,'Données projet'!$A$269:$I$289,7,0)),0%,VLOOKUP(A40,'Données projet'!$A$269:$I$289,7,0))</f>
        <v>0</v>
      </c>
      <c r="HG40" s="162" t="str">
        <f>EXP(-LN(2)/35)*HG39+(1-EXP(-LN(2)/35))/(LN(2)/35)*HC40*HD40*VLOOKUP('Données projet'!$B$18,'Paramètres'!$A$1:$I$88,3,0)*0.475*44/12</f>
        <v>#N/A</v>
      </c>
      <c r="HH40" s="162" t="str">
        <f>EXP(-LN(2)/25)*HH39+(1-EXP(-LN(2)/25))/(LN(2)/25)*Calculateur!HC40*Calculateur!HE40*VLOOKUP('Données projet'!$B$18,'Paramètres'!$A$1:$I$88,3,0)*0.475*44/12</f>
        <v>#N/A</v>
      </c>
      <c r="HI40" s="162" t="str">
        <f>EXP(-LN(2)/2)*HI39+(1-EXP(-LN(2)/2))/(LN(2)/2)*HC40*HF40*VLOOKUP('Données projet'!$B$18,'Paramètres'!$A$1:$I$88,3,0)*0.475*44/12</f>
        <v>#N/A</v>
      </c>
      <c r="HJ40" s="163" t="str">
        <f t="shared" si="31"/>
        <v>#N/A</v>
      </c>
    </row>
    <row r="41" ht="15.75" customHeight="1">
      <c r="A41" s="145">
        <f t="shared" si="32"/>
        <v>38</v>
      </c>
      <c r="B41" s="146">
        <f>'Scénario référence'!$B$16*5+'Scénario référence'!$B$17*0+'Scénario référence'!$B$18*5</f>
        <v>0</v>
      </c>
      <c r="C41" s="160">
        <f>Calculateur!C40+'Scénario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41" s="147">
        <f t="shared" si="33"/>
        <v>0</v>
      </c>
      <c r="E41" s="147">
        <f>'Scénario référence'!$B$16*45+('Scénario référence'!$B$17+'Scénario référence'!$F$8+'Scénario référence'!$F$9+'Scénario référence'!$B$10+'Scénario référence'!$B$9)*70+'Scénario référence'!$B$18*32</f>
        <v>70</v>
      </c>
      <c r="F41" s="147">
        <f>IF(OR('Scénario référence'!$F$8&gt;0,'Scénario référence'!$F$9&gt;0),('Scénario référence'!$F$8+'Scénario référence'!$F$9)*10,0)</f>
        <v>0</v>
      </c>
      <c r="G41" s="147">
        <f>'Scénario référence'!$B$8*B41*44/12+'Scénario référence'!$B$9*(C41+D41)/0.475*44/12+'Scénario référence'!$B$10*(C41+D41)/0.475*44/12+'Scénario référence'!$F$8*(C41+D41)/0.475*44/12+'Scénario référence'!$F$9*(C41+D41)/0.475*44/12</f>
        <v>0</v>
      </c>
      <c r="H41" s="148">
        <f t="shared" si="1"/>
        <v>256.6666667</v>
      </c>
      <c r="I41" s="149">
        <f>('Scénario référence'!$F$8+'Scénario référence'!$F$9+'Scénario référence'!$B$17+'Scénario référence'!$B$9+'Scénario référence'!$B$10)*70+IF((45+25*(1-EXP(-0.0175*A41)))&lt;70,'Scénario référence'!$B$16*(45+25*(1-EXP(-0.0175*A41))),70*'Scénario référence'!$B$16)+IF((32+38*(1-EXP(-0.0175*A41)))&lt;70,'Scénario référence'!$B$18*(32+38*(1-EXP(-0.0175*A41))),70*'Scénario référence'!$B$18)</f>
        <v>70</v>
      </c>
      <c r="J41" s="150">
        <f>IF(A41&gt;30,10,('Scénario référence'!$B$16+'Scénario référence'!$B$17+'Scénario référence'!$B$18+'Scénario référence'!$B$9+'Scénario référence'!$B$10)*A41*10/30+('Scénario référence'!$F$8+'Scénario référence'!$F$9)*10)</f>
        <v>10</v>
      </c>
      <c r="K41" s="151" t="str">
        <f>VLOOKUP(A41,'Données projet'!$A$35:$I$55,2,0)</f>
        <v>#N/A</v>
      </c>
      <c r="L41" s="151" t="str">
        <f>VLOOKUP(A41,'Données projet'!$A$35:$I$55,9,0)</f>
        <v>#N/A</v>
      </c>
      <c r="M41" s="150">
        <f t="array" ref="M41">INDEX(L:L,MIN(IF(ISNUMBER(L41:L237),ROW(L41:L237),"")))</f>
        <v>11.2</v>
      </c>
      <c r="N41" s="150">
        <f>IF('Données projet'!$A$36&gt;35,N40+M41-V40,IF(A41&lt;'Données projet'!$A$36,$K$205^A41,IF(A41='Données projet'!$A$36,'Données projet'!$B$36,N40+M41-V40)))</f>
        <v>152.6</v>
      </c>
      <c r="O41" s="150">
        <f>N41*VLOOKUP('Données projet'!$B$9,'Paramètres'!$A$1:$I$88,3,0)*VLOOKUP('Données projet'!$B$9,'Paramètres'!$A$1:$I$88,5,0)</f>
        <v>138.07248</v>
      </c>
      <c r="P41" s="150">
        <f t="shared" si="34"/>
        <v>35.85508208</v>
      </c>
      <c r="Q41" s="161">
        <f t="shared" si="2"/>
        <v>302.9238373</v>
      </c>
      <c r="R41" s="153">
        <f t="shared" si="3"/>
        <v>596.2571706</v>
      </c>
      <c r="S41" s="153">
        <f>AVERAGE(OFFSET($R$3,0,0,'Données projet'!$E$9+1,1))-AVERAGE(OFFSET($H$3,0,0,'Données projet'!$E$9+1,1))</f>
        <v>439.1985427</v>
      </c>
      <c r="T41" s="153">
        <f t="shared" si="35"/>
        <v>278.2174123</v>
      </c>
      <c r="U41" s="154">
        <f>IF(ISNA(VLOOKUP(A41,'Données projet'!$A$35:$I$55,3,0)),0,VLOOKUP(A41,'Données projet'!$A$35:$I$55,3,0))</f>
        <v>0</v>
      </c>
      <c r="V41" s="154">
        <f>IF(ISNA(VLOOKUP(A41,'Données projet'!$A$35:$I$55,4,0)),0,VLOOKUP(A41,'Données projet'!$A$35:$I$55,4,0))</f>
        <v>0</v>
      </c>
      <c r="W41" s="155">
        <f>IF(ISNA(VLOOKUP(A41,'Données projet'!$A$35:$I$55,5,0)),0%,VLOOKUP(A41,'Données projet'!$A$35:$I$55,5,0)*VLOOKUP('Données projet'!$B$9,'Paramètres'!$A$1:$I$88,7,0))</f>
        <v>0</v>
      </c>
      <c r="X41" s="155">
        <f>IF(ISNA(VLOOKUP(A41,'Données projet'!$A$35:$I$55,6,0)),0%,VLOOKUP(A41,'Données projet'!$A$35:$I$55,6,0)*VLOOKUP('Données projet'!$B$9,'Paramètres'!$A$1:$I$88,7,0))</f>
        <v>0</v>
      </c>
      <c r="Y41" s="155">
        <f>IF(ISNA(VLOOKUP(A41,'Données projet'!$A$35:$I$55,7,0)),0%,VLOOKUP(A41,'Données projet'!$A$35:$I$55,7,0))</f>
        <v>0</v>
      </c>
      <c r="Z41" s="162">
        <f>EXP(-LN(2)/35)*Z40+(1-EXP(-LN(2)/35))/(LN(2)/35)*V41*W41*VLOOKUP('Données projet'!$B$9,'Paramètres'!$A$1:$I$88,3,0)*0.475*44/12</f>
        <v>0</v>
      </c>
      <c r="AA41" s="162">
        <f>EXP(-LN(2)/25)*AA40+(1-EXP(-LN(2)/25))/(LN(2)/25)*Calculateur!V41*Calculateur!X41*VLOOKUP('Données projet'!$B$9,'Paramètres'!$A$1:$I$88,3,0)*0.475*44/12</f>
        <v>3.594865783</v>
      </c>
      <c r="AB41" s="162">
        <f>EXP(-LN(2)/2)*AB40+(1-EXP(-LN(2)/2))/(LN(2)/2)*V41*Y41*VLOOKUP('Données projet'!$B$9,'Paramètres'!$A$1:$I$88,3,0)*0.475*44/12</f>
        <v>0</v>
      </c>
      <c r="AC41" s="163">
        <f t="shared" si="4"/>
        <v>3.594865783</v>
      </c>
      <c r="AD41" s="150">
        <f>('Scénario référence'!$F$8+'Scénario référence'!$F$9+'Scénario référence'!$B$17+'Scénario référence'!$B$9+'Scénario référence'!$B$10)*70+IF((45+25*(1-EXP(-0.0175*A41)))&lt;70,'Scénario référence'!$B$16*(45+25*(1-EXP(-0.0175*A41))),70*'Scénario référence'!$B$16)+IF((32+38*(1-EXP(-0.0175*A41)))&lt;70,'Scénario référence'!$B$18*(32+38*(1-EXP(-0.0175*A41))),70*'Scénario référence'!$B$18)</f>
        <v>70</v>
      </c>
      <c r="AE41" s="150">
        <f>IF(A41&gt;30,10,('Scénario référence'!$B$16+'Scénario référence'!$B$17+'Scénario référence'!$B$18+'Scénario référence'!$B$9+'Scénario référence'!$B$10)*A41*10/30+('Scénario référence'!$F$8+'Scénario référence'!$F$9)*10)</f>
        <v>10</v>
      </c>
      <c r="AF41" s="151" t="str">
        <f>VLOOKUP(A41,'Données projet'!$A$61:$I$81,2,0)</f>
        <v>#N/A</v>
      </c>
      <c r="AG41" s="151" t="str">
        <f>VLOOKUP(A41,'Données projet'!$A$61:$I$81,9,0)</f>
        <v>#N/A</v>
      </c>
      <c r="AH41" s="150">
        <f t="array" ref="AH41">INDEX(AG:AG,MIN(IF(ISNUMBER(AG41:AG237),ROW(AG41:AG237),"")))</f>
        <v>13.2</v>
      </c>
      <c r="AI41" s="150">
        <f>IF('Données projet'!$A$62&gt;35,AI40+AH41-AQ40,IF(A41&lt;'Données projet'!$A$62,$AF$205^A41,IF(A41='Données projet'!$A$62,'Données projet'!$B$62,AI40+AH41-AQ40)))</f>
        <v>236.6</v>
      </c>
      <c r="AJ41" s="150">
        <f>AI41*VLOOKUP('Données projet'!$B$10,'Paramètres'!$A$1:$I$88,3,0)*VLOOKUP('Données projet'!$B$10,'Paramètres'!$A$1:$I$88,5,0)</f>
        <v>188.23896</v>
      </c>
      <c r="AK41" s="150">
        <f t="shared" si="36"/>
        <v>47.15040116</v>
      </c>
      <c r="AL41" s="161">
        <f t="shared" si="5"/>
        <v>409.969804</v>
      </c>
      <c r="AM41" s="153">
        <f t="shared" si="6"/>
        <v>703.3031374</v>
      </c>
      <c r="AN41" s="153">
        <f>AVERAGE(OFFSET($AM$3,0,0,'Données projet'!$E$10+1,1))-AVERAGE(OFFSET($H$3,0,0,'Données projet'!$E$10+1,1))</f>
        <v>405.6113614</v>
      </c>
      <c r="AO41" s="153">
        <f t="shared" si="37"/>
        <v>393.0787141</v>
      </c>
      <c r="AP41" s="154">
        <f>IF(ISNA(VLOOKUP(A41,'Données projet'!$A$61:$I$81,3,0)),0,VLOOKUP(A41,'Données projet'!$A$61:$I$81,3,0))</f>
        <v>0</v>
      </c>
      <c r="AQ41" s="154">
        <f>IF(ISNA(VLOOKUP(A41,'Données projet'!$A$61:$I$81,4,0)),0,VLOOKUP(A41,'Données projet'!$A$61:$I$81,4,0))</f>
        <v>0</v>
      </c>
      <c r="AR41" s="155">
        <f>IF(ISNA(VLOOKUP(A41,'Données projet'!$A$61:$I$81,5,0)),0%,VLOOKUP(A41,'Données projet'!$A$61:$I$81,5,0)*VLOOKUP('Données projet'!$B$10,'Paramètres'!$A$1:$I$88,7,0))</f>
        <v>0</v>
      </c>
      <c r="AS41" s="155">
        <f>IF(ISNA(VLOOKUP(A41,'Données projet'!$A$61:$I$81,6,0)),0%,VLOOKUP(A41,'Données projet'!$A$61:$I$81,6,0)*VLOOKUP('Données projet'!$B$10,'Paramètres'!$A$1:$I$88,7,0))</f>
        <v>0</v>
      </c>
      <c r="AT41" s="155">
        <f>IF(ISNA(VLOOKUP(A41,'Données projet'!$A$61:$I$81,7,0)),0%,VLOOKUP(A41,'Données projet'!$A$61:$I$81,7,0))</f>
        <v>0</v>
      </c>
      <c r="AU41" s="162">
        <f>EXP(-LN(2)/35)*AU40+(1-EXP(-LN(2)/35))/(LN(2)/35)*AQ41*AR41*VLOOKUP('Données projet'!$B$10,'Paramètres'!$A$1:$I$88,3,0)*0.475*44/12</f>
        <v>0</v>
      </c>
      <c r="AV41" s="162">
        <f>EXP(-LN(2)/25)*AV40+(1-EXP(-LN(2)/25))/(LN(2)/25)*Calculateur!AQ41*Calculateur!AS41*VLOOKUP('Données projet'!$B$10,'Paramètres'!$A$1:$I$88,3,0)*0.475*44/12</f>
        <v>14.61044839</v>
      </c>
      <c r="AW41" s="162">
        <f>EXP(-LN(2)/2)*AW40+(1-EXP(-LN(2)/2))/(LN(2)/2)*AQ41*AT41*VLOOKUP('Données projet'!$B$10,'Paramètres'!$A$1:$I$88,3,0)*0.475*44/12</f>
        <v>0.03623201275</v>
      </c>
      <c r="AX41" s="162">
        <f t="shared" si="7"/>
        <v>14.64668041</v>
      </c>
      <c r="AY41" s="157">
        <f>('Scénario référence'!$F$8+'Scénario référence'!$F$9+'Scénario référence'!$B$17+'Scénario référence'!$B$9+'Scénario référence'!$B$10)*70+IF((45+25*(1-EXP(-0.0175*A41)))&lt;70,'Scénario référence'!$B$16*(45+25*(1-EXP(-0.0175*A41))),70*'Scénario référence'!$B$16)+IF((32+38*(1-EXP(-0.0175*A41)))&lt;70,'Scénario référence'!$B$18*(32+38*(1-EXP(-0.0175*A41))),70*'Scénario référence'!$B$18)</f>
        <v>70</v>
      </c>
      <c r="AZ41" s="151">
        <f>IF(A41&gt;30,10,('Scénario référence'!$B$16+'Scénario référence'!$B$17+'Scénario référence'!$B$18+'Scénario référence'!$B$9+'Scénario référence'!$B$10)*A41*10/30+('Scénario référence'!$F$8+'Scénario référence'!$F$9)*10)</f>
        <v>10</v>
      </c>
      <c r="BA41" s="151" t="str">
        <f>VLOOKUP(A41,'Données projet'!$A$87:$I$107,2,0)</f>
        <v>#N/A</v>
      </c>
      <c r="BB41" s="151" t="str">
        <f>VLOOKUP(A41,'Données projet'!$A$87:$I$107,9,0)</f>
        <v>#N/A</v>
      </c>
      <c r="BC41" s="150" t="str">
        <f t="array" ref="BC41">INDEX(BB:BB,MIN(IF(ISNUMBER(BB41:BB237),ROW(BB41:BB237),"")))</f>
        <v/>
      </c>
      <c r="BD41" s="150">
        <f>IF('Données projet'!$A$88&gt;35,BD40+BC41-BL40,IF(A41&lt;'Données projet'!$A$88,$BA$205^A41,IF(A41='Données projet'!$A$88,'Données projet'!$B$88,BD40+BC41-BL40)))</f>
        <v>0</v>
      </c>
      <c r="BE41" s="150">
        <f>BD41*VLOOKUP('Données projet'!$B$11,'Paramètres'!$A$1:$I$88,3,0)*VLOOKUP('Données projet'!$B$11,'Paramètres'!$A$1:$I$88,5,0)</f>
        <v>0</v>
      </c>
      <c r="BF41" s="150" t="str">
        <f t="shared" si="38"/>
        <v>#NUM!</v>
      </c>
      <c r="BG41" s="161" t="str">
        <f t="shared" si="8"/>
        <v>#NUM!</v>
      </c>
      <c r="BH41" s="153" t="str">
        <f t="shared" si="9"/>
        <v>#NUM!</v>
      </c>
      <c r="BI41" s="153">
        <f>AVERAGE(OFFSET($BH$3,0,0,'Données projet'!$E$11+1,1))-AVERAGE(OFFSET($H$3,0,0,'Données projet'!$E$11+1,1))</f>
        <v>0</v>
      </c>
      <c r="BJ41" s="153">
        <f t="shared" si="39"/>
        <v>0</v>
      </c>
      <c r="BK41" s="154">
        <f>IF(ISNA(VLOOKUP(A41,'Données projet'!$A$87:$I$107,3,0)),0,VLOOKUP(A41,'Données projet'!$A$87:$I$107,3,0))</f>
        <v>0</v>
      </c>
      <c r="BL41" s="154">
        <f>IF(ISNA(VLOOKUP(A41,'Données projet'!$A$87:$I$107,4,0)),0,VLOOKUP(A41,'Données projet'!$A$87:$I$107,4,0))</f>
        <v>0</v>
      </c>
      <c r="BM41" s="155">
        <f>IF(ISNA(VLOOKUP(A41,'Données projet'!$A$87:$I$107,5,0)),0%,VLOOKUP(A41,'Données projet'!$A$87:$I$107,5,0)*VLOOKUP('Données projet'!$B$11,'Paramètres'!$A$1:$I$88,7,0))</f>
        <v>0</v>
      </c>
      <c r="BN41" s="155">
        <f>IF(ISNA(VLOOKUP(A41,'Données projet'!$A$87:$I$107,6,0)),0%,VLOOKUP(A41,'Données projet'!$A$87:$I$107,6,0)*VLOOKUP('Données projet'!$B$11,'Paramètres'!$A$1:$I$88,7,0))</f>
        <v>0</v>
      </c>
      <c r="BO41" s="155">
        <f>IF(ISNA(VLOOKUP(A41,'Données projet'!$A$87:$I$107,7,0)),0%,VLOOKUP(A41,'Données projet'!$A$87:$I$107,7,0))</f>
        <v>0</v>
      </c>
      <c r="BP41" s="162">
        <f>EXP(-LN(2)/35)*BP40+(1-EXP(-LN(2)/35))/(LN(2)/35)*BL41*BM41*VLOOKUP('Données projet'!$B$11,'Paramètres'!$A$1:$I$88,3,0)*0.475*44/12</f>
        <v>0</v>
      </c>
      <c r="BQ41" s="162">
        <f>EXP(-LN(2)/25)*BQ40+(1-EXP(-LN(2)/25))/(LN(2)/25)*Calculateur!BL41*Calculateur!BN41*VLOOKUP('Données projet'!$B$11,'Paramètres'!$A$1:$I$88,3,0)*0.475*44/12</f>
        <v>0</v>
      </c>
      <c r="BR41" s="162">
        <f>EXP(-LN(2)/2)*BR40+(1-EXP(-LN(2)/2))/(LN(2)/2)*BL41*BO41*VLOOKUP('Données projet'!$B$11,'Paramètres'!$A$1:$I$88,3,0)*0.475*44/12</f>
        <v>0</v>
      </c>
      <c r="BS41" s="163">
        <f t="shared" si="10"/>
        <v>0</v>
      </c>
      <c r="BT41" s="159">
        <f>('Scénario référence'!$F$8+'Scénario référence'!$F$9+'Scénario référence'!$B$17+'Scénario référence'!$B$9+'Scénario référence'!$B$10)*70+IF((45+25*(1-EXP(-0.0175*A41)))&lt;70,'Scénario référence'!$B$16*(45+25*(1-EXP(-0.0175*A41))),70*'Scénario référence'!$B$16)+IF((32+38*(1-EXP(-0.0175*A41)))&lt;70,'Scénario référence'!$B$18*(32+38*(1-EXP(-0.0175*A41))),70*'Scénario référence'!$B$18)</f>
        <v>70</v>
      </c>
      <c r="BU41" s="151">
        <f>IF(A41&gt;30,10,('Scénario référence'!$B$16+'Scénario référence'!$B$17+'Scénario référence'!$B$18+'Scénario référence'!$B$9+'Scénario référence'!$B$10)*A41*10/30+('Scénario référence'!$F$8+'Scénario référence'!$F$9)*10)</f>
        <v>10</v>
      </c>
      <c r="BV41" s="151" t="str">
        <f>VLOOKUP(A41,'Données projet'!$A$113:$I$133,2,0)</f>
        <v>#N/A</v>
      </c>
      <c r="BW41" s="151" t="str">
        <f>VLOOKUP(A41,'Données projet'!$A$113:$I$133,9,0)</f>
        <v>#N/A</v>
      </c>
      <c r="BX41" s="150" t="str">
        <f t="array" ref="BX41">INDEX(BW:BW,MIN(IF(ISNUMBER(BW41:BW237),ROW(BW41:BW237),"")))</f>
        <v/>
      </c>
      <c r="BY41" s="150">
        <f>IF('Données projet'!$A$114&gt;35,BY40+BX41-CG40,IF(A41&lt;'Données projet'!$A$114,$BV$205^A41,IF(A41='Données projet'!$A$114,'Données projet'!$B$114,BY40+BX41-CG40)))</f>
        <v>0</v>
      </c>
      <c r="BZ41" s="150" t="str">
        <f>BY41*VLOOKUP('Données projet'!$B$12,'Paramètres'!$A$1:$I$88,3,0)*VLOOKUP('Données projet'!$B$12,'Paramètres'!$A$1:$I$88,5,0)</f>
        <v>#N/A</v>
      </c>
      <c r="CA41" s="150" t="str">
        <f t="shared" si="40"/>
        <v>#N/A</v>
      </c>
      <c r="CB41" s="161" t="str">
        <f t="shared" si="11"/>
        <v>#N/A</v>
      </c>
      <c r="CC41" s="153" t="str">
        <f t="shared" si="12"/>
        <v>#N/A</v>
      </c>
      <c r="CD41" s="153" t="str">
        <f>AVERAGE(OFFSET($CC$3,0,0,'Données projet'!$E$12+1,1))-AVERAGE(OFFSET($H$3,0,0,'Données projet'!$E$12+1,1))</f>
        <v>#N/A</v>
      </c>
      <c r="CE41" s="153" t="str">
        <f t="shared" si="41"/>
        <v>#N/A</v>
      </c>
      <c r="CF41" s="154">
        <f>IF(ISNA(VLOOKUP(A41,'Données projet'!$A$113:$I$133,3,0)),0,VLOOKUP(A41,'Données projet'!$A$113:$I$133,3,0))</f>
        <v>0</v>
      </c>
      <c r="CG41" s="154">
        <f>IF(ISNA(VLOOKUP(A41,'Données projet'!$A$113:$I$133,4,0)),0,VLOOKUP(A41,'Données projet'!$A$113:$I$133,4,0))</f>
        <v>0</v>
      </c>
      <c r="CH41" s="155">
        <f>IF(ISNA(VLOOKUP(A41,'Données projet'!$A$113:$I$133,5,0)),0%,VLOOKUP(A41,'Données projet'!$A$113:$I$133,5,0)*VLOOKUP('Données projet'!$B$12,'Paramètres'!$A$1:$I$88,7,0))</f>
        <v>0</v>
      </c>
      <c r="CI41" s="155">
        <f>IF(ISNA(VLOOKUP(A41,'Données projet'!$A$113:$I$133,6,0)),0%,VLOOKUP(A41,'Données projet'!$A$113:$I$133,6,0)*VLOOKUP('Données projet'!$B$12,'Paramètres'!$A$1:$I$88,7,0))</f>
        <v>0</v>
      </c>
      <c r="CJ41" s="155">
        <f>IF(ISNA(VLOOKUP(A41,'Données projet'!$A$113:$I$133,7,0)),0%,VLOOKUP(A41,'Données projet'!$A$113:$I$133,7,0))</f>
        <v>0</v>
      </c>
      <c r="CK41" s="162" t="str">
        <f>EXP(-LN(2)/35)*CK40+(1-EXP(-LN(2)/35))/(LN(2)/35)*CG41*CH41*VLOOKUP('Données projet'!$B$12,'Paramètres'!$A$1:$I$88,3,0)*0.475*44/12</f>
        <v>#N/A</v>
      </c>
      <c r="CL41" s="162" t="str">
        <f>EXP(-LN(2)/25)*CL40+(1-EXP(-LN(2)/25))/(LN(2)/25)*Calculateur!CG41*Calculateur!CI41*VLOOKUP('Données projet'!$B$12,'Paramètres'!$A$1:$I$88,3,0)*0.475*44/12</f>
        <v>#N/A</v>
      </c>
      <c r="CM41" s="162" t="str">
        <f>EXP(-LN(2)/2)*CM40+(1-EXP(-LN(2)/2))/(LN(2)/2)*CG41*CJ41*VLOOKUP('Données projet'!$B$12,'Paramètres'!$A$1:$I$88,3,0)*0.475*44/12</f>
        <v>#N/A</v>
      </c>
      <c r="CN41" s="163" t="str">
        <f t="shared" si="13"/>
        <v>#N/A</v>
      </c>
      <c r="CO41" s="159">
        <f>('Scénario référence'!$F$8+'Scénario référence'!$F$9+'Scénario référence'!$B$17+'Scénario référence'!$B$9+'Scénario référence'!$B$10)*70+IF((45+25*(1-EXP(-0.0175*A41)))&lt;70,'Scénario référence'!$B$16*(45+25*(1-EXP(-0.0175*A41))),70*'Scénario référence'!$B$16)+IF((32+38*(1-EXP(-0.0175*A41)))&lt;70,'Scénario référence'!$B$18*(32+38*(1-EXP(-0.0175*A41))),70*'Scénario référence'!$B$18)</f>
        <v>70</v>
      </c>
      <c r="CP41" s="151">
        <f>IF(A41&gt;30,10,('Scénario référence'!$B$16+'Scénario référence'!$B$17+'Scénario référence'!$B$18+'Scénario référence'!$B$9+'Scénario référence'!$B$10)*A41*10/30+('Scénario référence'!$F$8+'Scénario référence'!$F$9)*10)</f>
        <v>10</v>
      </c>
      <c r="CQ41" s="151" t="str">
        <f>VLOOKUP(A41,'Données projet'!$A$139:$I$159,2,0)</f>
        <v>#N/A</v>
      </c>
      <c r="CR41" s="151" t="str">
        <f>VLOOKUP(A41,'Données projet'!$A$139:$I$159,9,0)</f>
        <v>#N/A</v>
      </c>
      <c r="CS41" s="151" t="str">
        <f t="array" ref="CS41">INDEX(CR:CR,MIN(IF(ISNUMBER(CR41:CR237),ROW(CR41:CR237),"")))</f>
        <v/>
      </c>
      <c r="CT41" s="151">
        <f>IF('Données projet'!$A$140&gt;35,CT40+CS41-DB40,IF(A41&lt;'Données projet'!$A$140,$CQ$205^A41,IF(A41='Données projet'!$A$140,'Données projet'!$B$140,CT40+CS41-DB40)))</f>
        <v>0</v>
      </c>
      <c r="CU41" s="158" t="str">
        <f>CT41*VLOOKUP('Données projet'!$B$13,'Paramètres'!$A$1:$I$88,3,0)*VLOOKUP('Données projet'!$B$13,'Paramètres'!$A$1:$I$88,5,0)</f>
        <v>#N/A</v>
      </c>
      <c r="CV41" s="150" t="str">
        <f t="shared" si="42"/>
        <v>#N/A</v>
      </c>
      <c r="CW41" s="161" t="str">
        <f t="shared" si="14"/>
        <v>#N/A</v>
      </c>
      <c r="CX41" s="153" t="str">
        <f t="shared" si="15"/>
        <v>#N/A</v>
      </c>
      <c r="CY41" s="153" t="str">
        <f>AVERAGE(OFFSET($CX$3,0,0,'Données projet'!$E$13+1,1))-AVERAGE(OFFSET($H$3,0,0,'Données projet'!$E$13+1,1))</f>
        <v>#N/A</v>
      </c>
      <c r="CZ41" s="153" t="str">
        <f t="shared" si="43"/>
        <v>#N/A</v>
      </c>
      <c r="DA41" s="154">
        <f>IF(ISNA(VLOOKUP(A41,'Données projet'!$A$139:$I$159,3,0)),0,VLOOKUP(A41,'Données projet'!$A$139:$I$159,3,0))</f>
        <v>0</v>
      </c>
      <c r="DB41" s="154">
        <f>IF(ISNA(VLOOKUP(A41,'Données projet'!$A$139:$I$159,4,0)),0,VLOOKUP(A41,'Données projet'!$A$139:$I$159,4,0))</f>
        <v>0</v>
      </c>
      <c r="DC41" s="155">
        <f>IF(ISNA(VLOOKUP(A41,'Données projet'!$A$139:$I$159,5,0)),0%,VLOOKUP(A41,'Données projet'!$A$139:$I$159,5,0)*VLOOKUP('Données projet'!$B$13,'Paramètres'!$A$1:$I$88,7,0))</f>
        <v>0</v>
      </c>
      <c r="DD41" s="155">
        <f>IF(ISNA(VLOOKUP(A41,'Données projet'!$A$139:$I$159,6,0)),0%,VLOOKUP(A41,'Données projet'!$A$139:$I$159,6,0)*VLOOKUP('Données projet'!$B$13,'Paramètres'!$A$1:$I$88,7,0))</f>
        <v>0</v>
      </c>
      <c r="DE41" s="155">
        <f>IF(ISNA(VLOOKUP(A41,'Données projet'!$A$139:$I$159,7,0)),0%,VLOOKUP(A41,'Données projet'!$A$139:$I$159,7,0))</f>
        <v>0</v>
      </c>
      <c r="DF41" s="162" t="str">
        <f>EXP(-LN(2)/35)*DF40+(1-EXP(-LN(2)/35))/(LN(2)/35)*DB41*DC41*VLOOKUP('Données projet'!$B$13,'Paramètres'!$A$1:$I$88,3,0)*0.475*44/12</f>
        <v>#N/A</v>
      </c>
      <c r="DG41" s="162" t="str">
        <f>EXP(-LN(2)/25)*DG40+(1-EXP(-LN(2)/25))/(LN(2)/25)*Calculateur!DB41*Calculateur!DD41*VLOOKUP('Données projet'!$B$13,'Paramètres'!$A$1:$I$88,3,0)*0.475*44/12</f>
        <v>#N/A</v>
      </c>
      <c r="DH41" s="162" t="str">
        <f>EXP(-LN(2)/2)*DH40+(1-EXP(-LN(2)/2))/(LN(2)/2)*DB41*DE41*VLOOKUP('Données projet'!$B$13,'Paramètres'!$A$1:$I$88,3,0)*0.475*44/12</f>
        <v>#N/A</v>
      </c>
      <c r="DI41" s="163" t="str">
        <f t="shared" si="16"/>
        <v>#N/A</v>
      </c>
      <c r="DJ41" s="159">
        <f>('Scénario référence'!$F$8+'Scénario référence'!$F$9+'Scénario référence'!$B$17+'Scénario référence'!$B$9+'Scénario référence'!$B$10)*70+IF((45+25*(1-EXP(-0.0175*A41)))&lt;70,'Scénario référence'!$B$16*(45+25*(1-EXP(-0.0175*A41))),70*'Scénario référence'!$B$16)+IF((32+38*(1-EXP(-0.0175*A41)))&lt;70,'Scénario référence'!$B$18*(32+38*(1-EXP(-0.0175*A41))),70*'Scénario référence'!$B$18)</f>
        <v>70</v>
      </c>
      <c r="DK41" s="151">
        <f>IF(A41&gt;30,10,('Scénario référence'!$B$16+'Scénario référence'!$B$17+'Scénario référence'!$B$18+'Scénario référence'!$B$9+'Scénario référence'!$B$10)*A41*10/30+('Scénario référence'!$F$8+'Scénario référence'!$F$9)*10)</f>
        <v>10</v>
      </c>
      <c r="DL41" s="151" t="str">
        <f>VLOOKUP(A41,'Données projet'!$A$165:$I$185,2,0)</f>
        <v>#N/A</v>
      </c>
      <c r="DM41" s="151" t="str">
        <f>VLOOKUP(A41,'Données projet'!$A$165:$I$185,9,0)</f>
        <v>#N/A</v>
      </c>
      <c r="DN41" s="151" t="str">
        <f t="array" ref="DN41">INDEX(DM:DM,MIN(IF(ISNUMBER(DM41:DM237),ROW(DM41:DM237),"")))</f>
        <v/>
      </c>
      <c r="DO41" s="151">
        <f>IF('Données projet'!$A$166&gt;35,DO40+DN41-DW40,IF(A41&lt;'Données projet'!$A$166,$DL$205^A41,IF(A41='Données projet'!$A$166,'Données projet'!$B$166,DO40+DN41-DW40)))</f>
        <v>0</v>
      </c>
      <c r="DP41" s="158" t="str">
        <f>DO41*VLOOKUP('Données projet'!$B$14,'Paramètres'!$A$1:$I$88,3,0)*VLOOKUP('Données projet'!$B$14,'Paramètres'!$A$1:$I$88,5,0)</f>
        <v>#N/A</v>
      </c>
      <c r="DQ41" s="150" t="str">
        <f t="shared" si="44"/>
        <v>#N/A</v>
      </c>
      <c r="DR41" s="161" t="str">
        <f t="shared" si="17"/>
        <v>#N/A</v>
      </c>
      <c r="DS41" s="153" t="str">
        <f t="shared" si="18"/>
        <v>#N/A</v>
      </c>
      <c r="DT41" s="153" t="str">
        <f>AVERAGE(OFFSET($DS$3,0,0,'Données projet'!$E$14+1,1))-AVERAGE(OFFSET($H$3,0,0,'Données projet'!$E$14+1,1))</f>
        <v>#N/A</v>
      </c>
      <c r="DU41" s="153" t="str">
        <f t="shared" si="45"/>
        <v>#N/A</v>
      </c>
      <c r="DV41" s="154">
        <f>IF(ISNA(VLOOKUP(A41,'Données projet'!$A$165:$I$185,3,0)),0,VLOOKUP(A41,'Données projet'!$A$165:$I$185,3,0))</f>
        <v>0</v>
      </c>
      <c r="DW41" s="154">
        <f>IF(ISNA(VLOOKUP(A41,'Données projet'!$A$165:$I$185,4,0)),0,VLOOKUP(A41,'Données projet'!$A$165:$I$185,4,0))</f>
        <v>0</v>
      </c>
      <c r="DX41" s="155">
        <f>IF(ISNA(VLOOKUP(A41,'Données projet'!$A$165:$I$185,5,0)),0%,VLOOKUP(A41,'Données projet'!$A$165:$I$185,5,0)*VLOOKUP('Données projet'!$B$14,'Paramètres'!$A$1:$I$88,7,0))</f>
        <v>0</v>
      </c>
      <c r="DY41" s="155">
        <f>IF(ISNA(VLOOKUP(A41,'Données projet'!$A$165:$I$185,6,0)),0%,VLOOKUP(A41,'Données projet'!$A$165:$I$185,6,0)*VLOOKUP('Données projet'!$B$14,'Paramètres'!$A$1:$I$88,7,0))</f>
        <v>0</v>
      </c>
      <c r="DZ41" s="155">
        <f>IF(ISNA(VLOOKUP(A41,'Données projet'!$A$165:$I$185,7,0)),0%,VLOOKUP(A41,'Données projet'!$A$165:$I$185,7,0))</f>
        <v>0</v>
      </c>
      <c r="EA41" s="162" t="str">
        <f>EXP(-LN(2)/35)*EA40+(1-EXP(-LN(2)/35))/(LN(2)/35)*DW41*DX41*VLOOKUP('Données projet'!$B$14,'Paramètres'!$A$1:$I$88,3,0)*0.475*44/12</f>
        <v>#N/A</v>
      </c>
      <c r="EB41" s="162" t="str">
        <f>EXP(-LN(2)/25)*EB40+(1-EXP(-LN(2)/25))/(LN(2)/25)*Calculateur!DW41*Calculateur!DY41*VLOOKUP('Données projet'!$B$14,'Paramètres'!$A$1:$I$88,3,0)*0.475*44/12</f>
        <v>#N/A</v>
      </c>
      <c r="EC41" s="162" t="str">
        <f>EXP(-LN(2)/2)*EC40+(1-EXP(-LN(2)/2))/(LN(2)/2)*DW41*DZ41*VLOOKUP('Données projet'!$B$14,'Paramètres'!$A$1:$I$88,3,0)*0.475*44/12</f>
        <v>#N/A</v>
      </c>
      <c r="ED41" s="163" t="str">
        <f t="shared" si="19"/>
        <v>#N/A</v>
      </c>
      <c r="EE41" s="159">
        <f>('Scénario référence'!$F$8+'Scénario référence'!$F$9+'Scénario référence'!$B$17+'Scénario référence'!$B$9+'Scénario référence'!$B$10)*70+IF((45+25*(1-EXP(-0.0175*A41)))&lt;70,'Scénario référence'!$B$16*(45+25*(1-EXP(-0.0175*A41))),70*'Scénario référence'!$B$16)+IF((32+38*(1-EXP(-0.0175*A41)))&lt;70,'Scénario référence'!$B$18*(32+38*(1-EXP(-0.0175*A41))),70*'Scénario référence'!$B$18)</f>
        <v>70</v>
      </c>
      <c r="EF41" s="151">
        <f>IF(A41&gt;30,10,('Scénario référence'!$B$16+'Scénario référence'!$B$17+'Scénario référence'!$B$18+'Scénario référence'!$B$9+'Scénario référence'!$B$10)*A41*10/30+('Scénario référence'!$F$8+'Scénario référence'!$F$9)*10)</f>
        <v>10</v>
      </c>
      <c r="EG41" s="151" t="str">
        <f>VLOOKUP(A41,'Données projet'!$A$191:$I$211,2,0)</f>
        <v>#N/A</v>
      </c>
      <c r="EH41" s="151" t="str">
        <f>VLOOKUP(A41,'Données projet'!$A$191:$I$211,9,0)</f>
        <v>#N/A</v>
      </c>
      <c r="EI41" s="151" t="str">
        <f t="array" ref="EI41">INDEX(EH:EH,MIN(IF(ISNUMBER(EH41:EH237),ROW(EH41:EH237),"")))</f>
        <v/>
      </c>
      <c r="EJ41" s="151">
        <f>IF('Données projet'!$A$192&gt;35,EJ40+EI41-ER40,IF(A41&lt;'Données projet'!$A$192,$EG$205^A41,IF(A41='Données projet'!$A$192,'Données projet'!$B$192,EJ40+EI41-ER40)))</f>
        <v>0</v>
      </c>
      <c r="EK41" s="158" t="str">
        <f>EJ41*VLOOKUP('Données projet'!$B$15,'Paramètres'!$A$1:$I$88,3,0)*VLOOKUP('Données projet'!$B$15,'Paramètres'!$A$1:$I$88,5,0)</f>
        <v>#N/A</v>
      </c>
      <c r="EL41" s="150" t="str">
        <f t="shared" si="46"/>
        <v>#N/A</v>
      </c>
      <c r="EM41" s="161" t="str">
        <f t="shared" si="20"/>
        <v>#N/A</v>
      </c>
      <c r="EN41" s="153" t="str">
        <f t="shared" si="21"/>
        <v>#N/A</v>
      </c>
      <c r="EO41" s="153" t="str">
        <f>AVERAGE(OFFSET($EN$3,0,0,'Données projet'!$E$15+1,1))-AVERAGE(OFFSET($H$3,0,0,'Données projet'!$E$15+1,1))</f>
        <v>#N/A</v>
      </c>
      <c r="EP41" s="153" t="str">
        <f t="shared" si="47"/>
        <v>#N/A</v>
      </c>
      <c r="EQ41" s="154">
        <f>IF(ISNA(VLOOKUP(A41,'Données projet'!$A$191:$I$211,3,0)),0,VLOOKUP(A41,'Données projet'!$A$191:$I$211,3,0))</f>
        <v>0</v>
      </c>
      <c r="ER41" s="154">
        <f>IF(ISNA(VLOOKUP(A41,'Données projet'!$A$191:$I$211,4,0)),0,VLOOKUP(A41,'Données projet'!$A$191:$I$211,4,0))</f>
        <v>0</v>
      </c>
      <c r="ES41" s="155">
        <f>IF(ISNA(VLOOKUP(A41,'Données projet'!$A$191:$I$211,5,0)),0%,VLOOKUP(A41,'Données projet'!$A$191:$I$211,5,0)*VLOOKUP('Données projet'!$B$15,'Paramètres'!$A$1:$I$88,7,0))</f>
        <v>0</v>
      </c>
      <c r="ET41" s="155">
        <f>IF(ISNA(VLOOKUP(A41,'Données projet'!$A$191:$I$211,6,0)),0%,VLOOKUP(A41,'Données projet'!$A$191:$I$211,6,0)*VLOOKUP('Données projet'!$B$15,'Paramètres'!$A$1:$I$88,7,0))</f>
        <v>0</v>
      </c>
      <c r="EU41" s="155">
        <f>IF(ISNA(VLOOKUP(A41,'Données projet'!$A$191:$I$211,7,0)),0%,VLOOKUP(A41,'Données projet'!$A$191:$I$211,7,0))</f>
        <v>0</v>
      </c>
      <c r="EV41" s="162" t="str">
        <f>EXP(-LN(2)/35)*EV40+(1-EXP(-LN(2)/35))/(LN(2)/35)*ER41*ES41*VLOOKUP('Données projet'!$B$15,'Paramètres'!$A$1:$I$88,3,0)*0.475*44/12</f>
        <v>#N/A</v>
      </c>
      <c r="EW41" s="162" t="str">
        <f>EXP(-LN(2)/25)*EW40+(1-EXP(-LN(2)/25))/(LN(2)/25)*Calculateur!ER41*Calculateur!ET41*VLOOKUP('Données projet'!$B$15,'Paramètres'!$A$1:$I$88,3,0)*0.475*44/12</f>
        <v>#N/A</v>
      </c>
      <c r="EX41" s="162" t="str">
        <f>EXP(-LN(2)/2)*EX40+(1-EXP(-LN(2)/2))/(LN(2)/2)*ER41*EU41*VLOOKUP('Données projet'!$B$15,'Paramètres'!$A$1:$I$88,3,0)*0.475*44/12</f>
        <v>#N/A</v>
      </c>
      <c r="EY41" s="163" t="str">
        <f t="shared" si="22"/>
        <v>#N/A</v>
      </c>
      <c r="EZ41" s="159">
        <f>('Scénario référence'!$F$8+'Scénario référence'!$F$9+'Scénario référence'!$B$17+'Scénario référence'!$B$9+'Scénario référence'!$B$10)*70+IF((45+25*(1-EXP(-0.0175*A41)))&lt;70,'Scénario référence'!$B$16*(45+25*(1-EXP(-0.0175*A41))),70*'Scénario référence'!$B$16)+IF((32+38*(1-EXP(-0.0175*A41)))&lt;70,'Scénario référence'!$B$18*(32+38*(1-EXP(-0.0175*A41))),70*'Scénario référence'!$B$18)</f>
        <v>70</v>
      </c>
      <c r="FA41" s="151">
        <f>IF(A41&gt;30,10,('Scénario référence'!$B$16+'Scénario référence'!$B$17+'Scénario référence'!$B$18+'Scénario référence'!$B$9+'Scénario référence'!$B$10)*A41*10/30+('Scénario référence'!$F$8+'Scénario référence'!$F$9)*10)</f>
        <v>10</v>
      </c>
      <c r="FB41" s="151" t="str">
        <f>VLOOKUP(A41,'Données projet'!$A$217:$I$237,2,0)</f>
        <v>#N/A</v>
      </c>
      <c r="FC41" s="151" t="str">
        <f>VLOOKUP(A41,'Données projet'!$A$217:$I$237,9,0)</f>
        <v>#N/A</v>
      </c>
      <c r="FD41" s="151" t="str">
        <f t="array" ref="FD41">INDEX(FC:FC,MIN(IF(ISNUMBER(FC41:FC237),ROW(FC41:FC237),"")))</f>
        <v/>
      </c>
      <c r="FE41" s="151">
        <f>IF('Données projet'!$A$218&gt;35,FE40+FD41-FM40,IF(A41&lt;'Données projet'!$A$218,$FB$205^A41,IF(A41='Données projet'!$A$218,'Données projet'!$B$218,FE40+FD41-FM40)))</f>
        <v>0</v>
      </c>
      <c r="FF41" s="158" t="str">
        <f>FE41*VLOOKUP('Données projet'!$B$16,'Paramètres'!$A$1:$I$88,3,0)*VLOOKUP('Données projet'!$B$16,'Paramètres'!$A$1:$I$88,5,0)</f>
        <v>#N/A</v>
      </c>
      <c r="FG41" s="150" t="str">
        <f t="shared" si="48"/>
        <v>#N/A</v>
      </c>
      <c r="FH41" s="161" t="str">
        <f t="shared" si="23"/>
        <v>#N/A</v>
      </c>
      <c r="FI41" s="153" t="str">
        <f t="shared" si="24"/>
        <v>#N/A</v>
      </c>
      <c r="FJ41" s="153" t="str">
        <f>AVERAGE(OFFSET($FI$3,0,0,'Données projet'!$E$16+1,1))-AVERAGE(OFFSET($H$3,0,0,'Données projet'!$E$16+1,1))</f>
        <v>#N/A</v>
      </c>
      <c r="FK41" s="153" t="str">
        <f t="shared" si="49"/>
        <v>#N/A</v>
      </c>
      <c r="FL41" s="154">
        <f>IF(ISNA(VLOOKUP(A41,'Données projet'!$A$217:$I$237,3,0)),0,VLOOKUP(A41,'Données projet'!$A$217:$I$237,3,0))</f>
        <v>0</v>
      </c>
      <c r="FM41" s="154">
        <f>IF(ISNA(VLOOKUP(A41,'Données projet'!$A$217:$I$237,4,0)),0,VLOOKUP(A41,'Données projet'!$A$217:$I$237,4,0))</f>
        <v>0</v>
      </c>
      <c r="FN41" s="155">
        <f>IF(ISNA(VLOOKUP(A41,'Données projet'!$A$217:$I$237,5,0)),0%,VLOOKUP(A41,'Données projet'!$A$217:$I$237,5,0)*VLOOKUP('Données projet'!$B$16,'Paramètres'!$A$1:$I$88,7,0))</f>
        <v>0</v>
      </c>
      <c r="FO41" s="155">
        <f>IF(ISNA(VLOOKUP(A41,'Données projet'!$A$217:$I$237,6,0)),0%,VLOOKUP(A41,'Données projet'!$A$217:$I$237,6,0)*VLOOKUP('Données projet'!$B$16,'Paramètres'!$A$1:$I$88,7,0))</f>
        <v>0</v>
      </c>
      <c r="FP41" s="155">
        <f>IF(ISNA(VLOOKUP(A41,'Données projet'!$A$217:$I$237,7,0)),0%,VLOOKUP(A41,'Données projet'!$A$217:$I$237,7,0))</f>
        <v>0</v>
      </c>
      <c r="FQ41" s="162" t="str">
        <f>EXP(-LN(2)/35)*FQ40+(1-EXP(-LN(2)/35))/(LN(2)/35)*FM41*FN41*VLOOKUP('Données projet'!$B$16,'Paramètres'!$A$1:$I$88,3,0)*0.475*44/12</f>
        <v>#N/A</v>
      </c>
      <c r="FR41" s="162" t="str">
        <f>EXP(-LN(2)/25)*FR40+(1-EXP(-LN(2)/25))/(LN(2)/25)*Calculateur!FM41*Calculateur!FO41*VLOOKUP('Données projet'!$B$16,'Paramètres'!$A$1:$I$88,3,0)*0.475*44/12</f>
        <v>#N/A</v>
      </c>
      <c r="FS41" s="162" t="str">
        <f>EXP(-LN(2)/2)*FS40+(1-EXP(-LN(2)/2))/(LN(2)/2)*FM41*FP41*VLOOKUP('Données projet'!$B$16,'Paramètres'!$A$1:$I$88,3,0)*0.475*44/12</f>
        <v>#N/A</v>
      </c>
      <c r="FT41" s="163" t="str">
        <f t="shared" si="25"/>
        <v>#N/A</v>
      </c>
      <c r="FU41" s="159">
        <f>('Scénario référence'!$F$8+'Scénario référence'!$F$9+'Scénario référence'!$B$17+'Scénario référence'!$B$9+'Scénario référence'!$B$10)*70+IF((45+25*(1-EXP(-0.0175*A41)))&lt;70,'Scénario référence'!$B$16*(45+25*(1-EXP(-0.0175*A41))),70*'Scénario référence'!$B$16)+IF((32+38*(1-EXP(-0.0175*A41)))&lt;70,'Scénario référence'!$B$18*(32+38*(1-EXP(-0.0175*A41))),70*'Scénario référence'!$B$18)</f>
        <v>70</v>
      </c>
      <c r="FV41" s="151">
        <f>IF(A41&gt;30,10,('Scénario référence'!$B$16+'Scénario référence'!$B$17+'Scénario référence'!$B$18+'Scénario référence'!$B$9+'Scénario référence'!$B$10)*A41*10/30+('Scénario référence'!$F$8+'Scénario référence'!$F$9)*10)</f>
        <v>10</v>
      </c>
      <c r="FW41" s="151" t="str">
        <f>VLOOKUP(A41,'Données projet'!$A$243:$I$263,2,0)</f>
        <v>#N/A</v>
      </c>
      <c r="FX41" s="151" t="str">
        <f>VLOOKUP(A41,'Données projet'!$A$243:$I$263,9,0)</f>
        <v>#N/A</v>
      </c>
      <c r="FY41" s="151" t="str">
        <f t="array" ref="FY41">INDEX(FX:FX,MIN(IF(ISNUMBER(FX41:FX237),ROW(FX41:FX237),"")))</f>
        <v/>
      </c>
      <c r="FZ41" s="151">
        <f>IF('Données projet'!$A$244&gt;35,FZ40+FY41-GH40,IF(A41&lt;'Données projet'!$A$244,$FW$205^A41,IF(A41='Données projet'!$A$244,'Données projet'!$B$244,FZ40+FY41-GH40)))</f>
        <v>0</v>
      </c>
      <c r="GA41" s="158" t="str">
        <f>FZ41*VLOOKUP('Données projet'!$B$17,'Paramètres'!$A$1:$I$88,3,0)*VLOOKUP('Données projet'!$B$17,'Paramètres'!$A$1:$I$88,5,0)</f>
        <v>#N/A</v>
      </c>
      <c r="GB41" s="150" t="str">
        <f t="shared" si="50"/>
        <v>#N/A</v>
      </c>
      <c r="GC41" s="161" t="str">
        <f t="shared" si="26"/>
        <v>#N/A</v>
      </c>
      <c r="GD41" s="153" t="str">
        <f t="shared" si="27"/>
        <v>#N/A</v>
      </c>
      <c r="GE41" s="153" t="str">
        <f>AVERAGE(OFFSET($GD$3,0,0,'Données projet'!$E$17+1,1))-AVERAGE(OFFSET($H$3,0,0,'Données projet'!$E$17+1,1))</f>
        <v>#N/A</v>
      </c>
      <c r="GF41" s="153" t="str">
        <f t="shared" si="51"/>
        <v>#N/A</v>
      </c>
      <c r="GG41" s="154">
        <f>IF(ISNA(VLOOKUP(A41,'Données projet'!$A$243:$I$263,3,0)),0,VLOOKUP(A41,'Données projet'!$A$243:$I$263,3,0))</f>
        <v>0</v>
      </c>
      <c r="GH41" s="154">
        <f>IF(ISNA(VLOOKUP(A41,'Données projet'!$A$243:$I$263,4,0)),0,VLOOKUP(A41,'Données projet'!$A$243:$I$263,4,0))</f>
        <v>0</v>
      </c>
      <c r="GI41" s="155">
        <f>IF(ISNA(VLOOKUP(A41,'Données projet'!$A$243:$I$263,5,0)),0%,VLOOKUP(A41,'Données projet'!$A$243:$I$263,5,0)*VLOOKUP('Données projet'!$B$17,'Paramètres'!$A$1:$I$88,7,0))</f>
        <v>0</v>
      </c>
      <c r="GJ41" s="155">
        <f>IF(ISNA(VLOOKUP(A41,'Données projet'!$A$243:$I$263,6,0)),0%,VLOOKUP(A41,'Données projet'!$A$243:$I$263,6,0)*VLOOKUP('Données projet'!$B$17,'Paramètres'!$A$1:$I$88,7,0))</f>
        <v>0</v>
      </c>
      <c r="GK41" s="155">
        <f>IF(ISNA(VLOOKUP(A41,'Données projet'!$A$243:$I$263,7,0)),0%,VLOOKUP(A41,'Données projet'!$A$243:$I$263,7,0))</f>
        <v>0</v>
      </c>
      <c r="GL41" s="162" t="str">
        <f>EXP(-LN(2)/35)*GL40+(1-EXP(-LN(2)/35))/(LN(2)/35)*GH41*GI41*VLOOKUP('Données projet'!$B$17,'Paramètres'!$A$1:$I$88,3,0)*0.475*44/12</f>
        <v>#N/A</v>
      </c>
      <c r="GM41" s="162" t="str">
        <f>EXP(-LN(2)/25)*GM40+(1-EXP(-LN(2)/25))/(LN(2)/25)*Calculateur!GH41*Calculateur!GJ41*VLOOKUP('Données projet'!$B$17,'Paramètres'!$A$1:$I$88,3,0)*0.475*44/12</f>
        <v>#N/A</v>
      </c>
      <c r="GN41" s="162" t="str">
        <f>EXP(-LN(2)/2)*GN40+(1-EXP(-LN(2)/2))/(LN(2)/2)*GH41*GK41*VLOOKUP('Données projet'!$B$17,'Paramètres'!$A$1:$I$88,3,0)*0.475*44/12</f>
        <v>#N/A</v>
      </c>
      <c r="GO41" s="162" t="str">
        <f t="shared" si="28"/>
        <v>#N/A</v>
      </c>
      <c r="GP41" s="159">
        <f>('Scénario référence'!$F$8+'Scénario référence'!$F$9+'Scénario référence'!$B$17+'Scénario référence'!$B$9+'Scénario référence'!$B$10)*70+IF((45+25*(1-EXP(-0.0175*A41)))&lt;70,'Scénario référence'!$B$16*(45+25*(1-EXP(-0.0175*A41))),70*'Scénario référence'!$B$16)+IF((32+38*(1-EXP(-0.0175*A41)))&lt;70,'Scénario référence'!$B$18*(32+38*(1-EXP(-0.0175*A41))),70*'Scénario référence'!$B$18)</f>
        <v>70</v>
      </c>
      <c r="GQ41" s="151">
        <f>IF(A41&gt;30,10,('Scénario référence'!$B$16+'Scénario référence'!$B$17+'Scénario référence'!$B$18+'Scénario référence'!$B$9+'Scénario référence'!$B$10)*A41*10/30+('Scénario référence'!$F$8+'Scénario référence'!$F$9)*10)</f>
        <v>10</v>
      </c>
      <c r="GR41" s="151" t="str">
        <f>VLOOKUP(A41,'Données projet'!$A$269:$I$289,2,0)</f>
        <v>#N/A</v>
      </c>
      <c r="GS41" s="151" t="str">
        <f>VLOOKUP(A41,'Données projet'!$A$269:$I$289,9,0)</f>
        <v>#N/A</v>
      </c>
      <c r="GT41" s="151" t="str">
        <f t="array" ref="GT41">INDEX(GS:GS,MIN(IF(ISNUMBER(GS41:GS237),ROW(GS41:GS237),"")))</f>
        <v/>
      </c>
      <c r="GU41" s="151">
        <f>IF('Données projet'!$A$270&gt;35,GU40+GT41-HC40,IF(A41&lt;'Données projet'!$A$270,$GR$205^A41,IF(A41='Données projet'!$A$270,'Données projet'!$B$270,GU40+GT41-HC40)))</f>
        <v>0</v>
      </c>
      <c r="GV41" s="158" t="str">
        <f>GU41*VLOOKUP('Données projet'!$B$18,'Paramètres'!$A$1:$I$88,3,0)*VLOOKUP('Données projet'!$B$18,'Paramètres'!$A$1:$I$88,5,0)</f>
        <v>#N/A</v>
      </c>
      <c r="GW41" s="150" t="str">
        <f t="shared" si="52"/>
        <v>#N/A</v>
      </c>
      <c r="GX41" s="161" t="str">
        <f t="shared" si="29"/>
        <v>#N/A</v>
      </c>
      <c r="GY41" s="153" t="str">
        <f t="shared" si="30"/>
        <v>#N/A</v>
      </c>
      <c r="GZ41" s="153" t="str">
        <f>AVERAGE(OFFSET($GY$3,0,0,'Données projet'!$E$18+1,1))-AVERAGE(OFFSET($H$3,0,0,'Données projet'!$E$18+1,1))</f>
        <v>#N/A</v>
      </c>
      <c r="HA41" s="153" t="str">
        <f t="shared" si="53"/>
        <v>#N/A</v>
      </c>
      <c r="HB41" s="154">
        <f>IF(ISNA(VLOOKUP(A41,'Données projet'!$A$269:$I$289,3,0)),0,VLOOKUP(A41,'Données projet'!$A$269:$I$289,3,0))</f>
        <v>0</v>
      </c>
      <c r="HC41" s="154">
        <f>IF(ISNA(VLOOKUP(A41,'Données projet'!$A$269:$I$289,4,0)),0,VLOOKUP(A41,'Données projet'!$A$269:$I$289,4,0))</f>
        <v>0</v>
      </c>
      <c r="HD41" s="155">
        <f>IF(ISNA(VLOOKUP(A41,'Données projet'!$A$269:$I$289,5,0)),0%,VLOOKUP(A41,'Données projet'!$A$269:$I$289,5,0)*VLOOKUP('Données projet'!$B$18,'Paramètres'!$A$1:$I$88,7,0))</f>
        <v>0</v>
      </c>
      <c r="HE41" s="155">
        <f>IF(ISNA(VLOOKUP(A41,'Données projet'!$A$269:$I$289,6,0)),0%,VLOOKUP(A41,'Données projet'!$A$269:$I$289,6,0)*VLOOKUP('Données projet'!$B$18,'Paramètres'!$A$1:$I$88,7,0))</f>
        <v>0</v>
      </c>
      <c r="HF41" s="155">
        <f>IF(ISNA(VLOOKUP(A41,'Données projet'!$A$269:$I$289,7,0)),0%,VLOOKUP(A41,'Données projet'!$A$269:$I$289,7,0))</f>
        <v>0</v>
      </c>
      <c r="HG41" s="162" t="str">
        <f>EXP(-LN(2)/35)*HG40+(1-EXP(-LN(2)/35))/(LN(2)/35)*HC41*HD41*VLOOKUP('Données projet'!$B$18,'Paramètres'!$A$1:$I$88,3,0)*0.475*44/12</f>
        <v>#N/A</v>
      </c>
      <c r="HH41" s="162" t="str">
        <f>EXP(-LN(2)/25)*HH40+(1-EXP(-LN(2)/25))/(LN(2)/25)*Calculateur!HC41*Calculateur!HE41*VLOOKUP('Données projet'!$B$18,'Paramètres'!$A$1:$I$88,3,0)*0.475*44/12</f>
        <v>#N/A</v>
      </c>
      <c r="HI41" s="162" t="str">
        <f>EXP(-LN(2)/2)*HI40+(1-EXP(-LN(2)/2))/(LN(2)/2)*HC41*HF41*VLOOKUP('Données projet'!$B$18,'Paramètres'!$A$1:$I$88,3,0)*0.475*44/12</f>
        <v>#N/A</v>
      </c>
      <c r="HJ41" s="163" t="str">
        <f t="shared" si="31"/>
        <v>#N/A</v>
      </c>
    </row>
    <row r="42" ht="15.75" customHeight="1">
      <c r="A42" s="145">
        <f t="shared" si="32"/>
        <v>39</v>
      </c>
      <c r="B42" s="146">
        <f>'Scénario référence'!$B$16*5+'Scénario référence'!$B$17*0+'Scénario référence'!$B$18*5</f>
        <v>0</v>
      </c>
      <c r="C42" s="160">
        <f>Calculateur!C41+'Scénario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42" s="147">
        <f t="shared" si="33"/>
        <v>0</v>
      </c>
      <c r="E42" s="147">
        <f>'Scénario référence'!$B$16*45+('Scénario référence'!$B$17+'Scénario référence'!$F$8+'Scénario référence'!$F$9+'Scénario référence'!$B$10+'Scénario référence'!$B$9)*70+'Scénario référence'!$B$18*32</f>
        <v>70</v>
      </c>
      <c r="F42" s="147">
        <f>IF(OR('Scénario référence'!$F$8&gt;0,'Scénario référence'!$F$9&gt;0),('Scénario référence'!$F$8+'Scénario référence'!$F$9)*10,0)</f>
        <v>0</v>
      </c>
      <c r="G42" s="147">
        <f>'Scénario référence'!$B$8*B42*44/12+'Scénario référence'!$B$9*(C42+D42)/0.475*44/12+'Scénario référence'!$B$10*(C42+D42)/0.475*44/12+'Scénario référence'!$F$8*(C42+D42)/0.475*44/12+'Scénario référence'!$F$9*(C42+D42)/0.475*44/12</f>
        <v>0</v>
      </c>
      <c r="H42" s="148">
        <f t="shared" si="1"/>
        <v>256.6666667</v>
      </c>
      <c r="I42" s="149">
        <f>('Scénario référence'!$F$8+'Scénario référence'!$F$9+'Scénario référence'!$B$17+'Scénario référence'!$B$9+'Scénario référence'!$B$10)*70+IF((45+25*(1-EXP(-0.0175*A42)))&lt;70,'Scénario référence'!$B$16*(45+25*(1-EXP(-0.0175*A42))),70*'Scénario référence'!$B$16)+IF((32+38*(1-EXP(-0.0175*A42)))&lt;70,'Scénario référence'!$B$18*(32+38*(1-EXP(-0.0175*A42))),70*'Scénario référence'!$B$18)</f>
        <v>70</v>
      </c>
      <c r="J42" s="150">
        <f>IF(A42&gt;30,10,('Scénario référence'!$B$16+'Scénario référence'!$B$17+'Scénario référence'!$B$18+'Scénario référence'!$B$9+'Scénario référence'!$B$10)*A42*10/30+('Scénario référence'!$F$8+'Scénario référence'!$F$9)*10)</f>
        <v>10</v>
      </c>
      <c r="K42" s="151" t="str">
        <f>VLOOKUP(A42,'Données projet'!$A$35:$I$55,2,0)</f>
        <v>#N/A</v>
      </c>
      <c r="L42" s="151" t="str">
        <f>VLOOKUP(A42,'Données projet'!$A$35:$I$55,9,0)</f>
        <v>#N/A</v>
      </c>
      <c r="M42" s="150">
        <f t="array" ref="M42">INDEX(L:L,MIN(IF(ISNUMBER(L42:L238),ROW(L42:L238),"")))</f>
        <v>11.2</v>
      </c>
      <c r="N42" s="150">
        <f>IF('Données projet'!$A$36&gt;35,N41+M42-V41,IF(A42&lt;'Données projet'!$A$36,$K$205^A42,IF(A42='Données projet'!$A$36,'Données projet'!$B$36,N41+M42-V41)))</f>
        <v>163.8</v>
      </c>
      <c r="O42" s="150">
        <f>N42*VLOOKUP('Données projet'!$B$9,'Paramètres'!$A$1:$I$88,3,0)*VLOOKUP('Données projet'!$B$9,'Paramètres'!$A$1:$I$88,5,0)</f>
        <v>148.20624</v>
      </c>
      <c r="P42" s="150">
        <f t="shared" si="34"/>
        <v>38.17066225</v>
      </c>
      <c r="Q42" s="161">
        <f t="shared" si="2"/>
        <v>324.6064381</v>
      </c>
      <c r="R42" s="153">
        <f t="shared" si="3"/>
        <v>617.9397714</v>
      </c>
      <c r="S42" s="153">
        <f>AVERAGE(OFFSET($R$3,0,0,'Données projet'!$E$9+1,1))-AVERAGE(OFFSET($H$3,0,0,'Données projet'!$E$9+1,1))</f>
        <v>439.1985427</v>
      </c>
      <c r="T42" s="153">
        <f t="shared" si="35"/>
        <v>278.2174123</v>
      </c>
      <c r="U42" s="154">
        <f>IF(ISNA(VLOOKUP(A42,'Données projet'!$A$35:$I$55,3,0)),0,VLOOKUP(A42,'Données projet'!$A$35:$I$55,3,0))</f>
        <v>0</v>
      </c>
      <c r="V42" s="154">
        <f>IF(ISNA(VLOOKUP(A42,'Données projet'!$A$35:$I$55,4,0)),0,VLOOKUP(A42,'Données projet'!$A$35:$I$55,4,0))</f>
        <v>0</v>
      </c>
      <c r="W42" s="155">
        <f>IF(ISNA(VLOOKUP(A42,'Données projet'!$A$35:$I$55,5,0)),0%,VLOOKUP(A42,'Données projet'!$A$35:$I$55,5,0)*VLOOKUP('Données projet'!$B$9,'Paramètres'!$A$1:$I$88,7,0))</f>
        <v>0</v>
      </c>
      <c r="X42" s="155">
        <f>IF(ISNA(VLOOKUP(A42,'Données projet'!$A$35:$I$55,6,0)),0%,VLOOKUP(A42,'Données projet'!$A$35:$I$55,6,0)*VLOOKUP('Données projet'!$B$9,'Paramètres'!$A$1:$I$88,7,0))</f>
        <v>0</v>
      </c>
      <c r="Y42" s="155">
        <f>IF(ISNA(VLOOKUP(A42,'Données projet'!$A$35:$I$55,7,0)),0%,VLOOKUP(A42,'Données projet'!$A$35:$I$55,7,0))</f>
        <v>0</v>
      </c>
      <c r="Z42" s="162">
        <f>EXP(-LN(2)/35)*Z41+(1-EXP(-LN(2)/35))/(LN(2)/35)*V42*W42*VLOOKUP('Données projet'!$B$9,'Paramètres'!$A$1:$I$88,3,0)*0.475*44/12</f>
        <v>0</v>
      </c>
      <c r="AA42" s="162">
        <f>EXP(-LN(2)/25)*AA41+(1-EXP(-LN(2)/25))/(LN(2)/25)*Calculateur!V42*Calculateur!X42*VLOOKUP('Données projet'!$B$9,'Paramètres'!$A$1:$I$88,3,0)*0.475*44/12</f>
        <v>3.496563989</v>
      </c>
      <c r="AB42" s="162">
        <f>EXP(-LN(2)/2)*AB41+(1-EXP(-LN(2)/2))/(LN(2)/2)*V42*Y42*VLOOKUP('Données projet'!$B$9,'Paramètres'!$A$1:$I$88,3,0)*0.475*44/12</f>
        <v>0</v>
      </c>
      <c r="AC42" s="163">
        <f t="shared" si="4"/>
        <v>3.496563989</v>
      </c>
      <c r="AD42" s="150">
        <f>('Scénario référence'!$F$8+'Scénario référence'!$F$9+'Scénario référence'!$B$17+'Scénario référence'!$B$9+'Scénario référence'!$B$10)*70+IF((45+25*(1-EXP(-0.0175*A42)))&lt;70,'Scénario référence'!$B$16*(45+25*(1-EXP(-0.0175*A42))),70*'Scénario référence'!$B$16)+IF((32+38*(1-EXP(-0.0175*A42)))&lt;70,'Scénario référence'!$B$18*(32+38*(1-EXP(-0.0175*A42))),70*'Scénario référence'!$B$18)</f>
        <v>70</v>
      </c>
      <c r="AE42" s="150">
        <f>IF(A42&gt;30,10,('Scénario référence'!$B$16+'Scénario référence'!$B$17+'Scénario référence'!$B$18+'Scénario référence'!$B$9+'Scénario référence'!$B$10)*A42*10/30+('Scénario référence'!$F$8+'Scénario référence'!$F$9)*10)</f>
        <v>10</v>
      </c>
      <c r="AF42" s="151" t="str">
        <f>VLOOKUP(A42,'Données projet'!$A$61:$I$81,2,0)</f>
        <v>#N/A</v>
      </c>
      <c r="AG42" s="151" t="str">
        <f>VLOOKUP(A42,'Données projet'!$A$61:$I$81,9,0)</f>
        <v>#N/A</v>
      </c>
      <c r="AH42" s="150">
        <f t="array" ref="AH42">INDEX(AG:AG,MIN(IF(ISNUMBER(AG42:AG238),ROW(AG42:AG238),"")))</f>
        <v>13.2</v>
      </c>
      <c r="AI42" s="150">
        <f>IF('Données projet'!$A$62&gt;35,AI41+AH42-AQ41,IF(A42&lt;'Données projet'!$A$62,$AF$205^A42,IF(A42='Données projet'!$A$62,'Données projet'!$B$62,AI41+AH42-AQ41)))</f>
        <v>249.8</v>
      </c>
      <c r="AJ42" s="150">
        <f>AI42*VLOOKUP('Données projet'!$B$10,'Paramètres'!$A$1:$I$88,3,0)*VLOOKUP('Données projet'!$B$10,'Paramètres'!$A$1:$I$88,5,0)</f>
        <v>198.74088</v>
      </c>
      <c r="AK42" s="150">
        <f t="shared" si="36"/>
        <v>49.46734963</v>
      </c>
      <c r="AL42" s="161">
        <f t="shared" si="5"/>
        <v>432.2959999</v>
      </c>
      <c r="AM42" s="153">
        <f t="shared" si="6"/>
        <v>725.6293333</v>
      </c>
      <c r="AN42" s="153">
        <f>AVERAGE(OFFSET($AM$3,0,0,'Données projet'!$E$10+1,1))-AVERAGE(OFFSET($H$3,0,0,'Données projet'!$E$10+1,1))</f>
        <v>405.6113614</v>
      </c>
      <c r="AO42" s="153">
        <f t="shared" si="37"/>
        <v>393.0787141</v>
      </c>
      <c r="AP42" s="154">
        <f>IF(ISNA(VLOOKUP(A42,'Données projet'!$A$61:$I$81,3,0)),0,VLOOKUP(A42,'Données projet'!$A$61:$I$81,3,0))</f>
        <v>0</v>
      </c>
      <c r="AQ42" s="154">
        <f>IF(ISNA(VLOOKUP(A42,'Données projet'!$A$61:$I$81,4,0)),0,VLOOKUP(A42,'Données projet'!$A$61:$I$81,4,0))</f>
        <v>0</v>
      </c>
      <c r="AR42" s="155">
        <f>IF(ISNA(VLOOKUP(A42,'Données projet'!$A$61:$I$81,5,0)),0%,VLOOKUP(A42,'Données projet'!$A$61:$I$81,5,0)*VLOOKUP('Données projet'!$B$10,'Paramètres'!$A$1:$I$88,7,0))</f>
        <v>0</v>
      </c>
      <c r="AS42" s="155">
        <f>IF(ISNA(VLOOKUP(A42,'Données projet'!$A$61:$I$81,6,0)),0%,VLOOKUP(A42,'Données projet'!$A$61:$I$81,6,0)*VLOOKUP('Données projet'!$B$10,'Paramètres'!$A$1:$I$88,7,0))</f>
        <v>0</v>
      </c>
      <c r="AT42" s="155">
        <f>IF(ISNA(VLOOKUP(A42,'Données projet'!$A$61:$I$81,7,0)),0%,VLOOKUP(A42,'Données projet'!$A$61:$I$81,7,0))</f>
        <v>0</v>
      </c>
      <c r="AU42" s="162">
        <f>EXP(-LN(2)/35)*AU41+(1-EXP(-LN(2)/35))/(LN(2)/35)*AQ42*AR42*VLOOKUP('Données projet'!$B$10,'Paramètres'!$A$1:$I$88,3,0)*0.475*44/12</f>
        <v>0</v>
      </c>
      <c r="AV42" s="162">
        <f>EXP(-LN(2)/25)*AV41+(1-EXP(-LN(2)/25))/(LN(2)/25)*Calculateur!AQ42*Calculateur!AS42*VLOOKUP('Données projet'!$B$10,'Paramètres'!$A$1:$I$88,3,0)*0.475*44/12</f>
        <v>14.21092491</v>
      </c>
      <c r="AW42" s="162">
        <f>EXP(-LN(2)/2)*AW41+(1-EXP(-LN(2)/2))/(LN(2)/2)*AQ42*AT42*VLOOKUP('Données projet'!$B$10,'Paramètres'!$A$1:$I$88,3,0)*0.475*44/12</f>
        <v>0.02561990191</v>
      </c>
      <c r="AX42" s="162">
        <f t="shared" si="7"/>
        <v>14.23654482</v>
      </c>
      <c r="AY42" s="157">
        <f>('Scénario référence'!$F$8+'Scénario référence'!$F$9+'Scénario référence'!$B$17+'Scénario référence'!$B$9+'Scénario référence'!$B$10)*70+IF((45+25*(1-EXP(-0.0175*A42)))&lt;70,'Scénario référence'!$B$16*(45+25*(1-EXP(-0.0175*A42))),70*'Scénario référence'!$B$16)+IF((32+38*(1-EXP(-0.0175*A42)))&lt;70,'Scénario référence'!$B$18*(32+38*(1-EXP(-0.0175*A42))),70*'Scénario référence'!$B$18)</f>
        <v>70</v>
      </c>
      <c r="AZ42" s="151">
        <f>IF(A42&gt;30,10,('Scénario référence'!$B$16+'Scénario référence'!$B$17+'Scénario référence'!$B$18+'Scénario référence'!$B$9+'Scénario référence'!$B$10)*A42*10/30+('Scénario référence'!$F$8+'Scénario référence'!$F$9)*10)</f>
        <v>10</v>
      </c>
      <c r="BA42" s="151" t="str">
        <f>VLOOKUP(A42,'Données projet'!$A$87:$I$107,2,0)</f>
        <v>#N/A</v>
      </c>
      <c r="BB42" s="151" t="str">
        <f>VLOOKUP(A42,'Données projet'!$A$87:$I$107,9,0)</f>
        <v>#N/A</v>
      </c>
      <c r="BC42" s="150" t="str">
        <f t="array" ref="BC42">INDEX(BB:BB,MIN(IF(ISNUMBER(BB42:BB238),ROW(BB42:BB238),"")))</f>
        <v/>
      </c>
      <c r="BD42" s="150">
        <f>IF('Données projet'!$A$88&gt;35,BD41+BC42-BL41,IF(A42&lt;'Données projet'!$A$88,$BA$205^A42,IF(A42='Données projet'!$A$88,'Données projet'!$B$88,BD41+BC42-BL41)))</f>
        <v>0</v>
      </c>
      <c r="BE42" s="150">
        <f>BD42*VLOOKUP('Données projet'!$B$11,'Paramètres'!$A$1:$I$88,3,0)*VLOOKUP('Données projet'!$B$11,'Paramètres'!$A$1:$I$88,5,0)</f>
        <v>0</v>
      </c>
      <c r="BF42" s="150" t="str">
        <f t="shared" si="38"/>
        <v>#NUM!</v>
      </c>
      <c r="BG42" s="161" t="str">
        <f t="shared" si="8"/>
        <v>#NUM!</v>
      </c>
      <c r="BH42" s="153" t="str">
        <f t="shared" si="9"/>
        <v>#NUM!</v>
      </c>
      <c r="BI42" s="153">
        <f>AVERAGE(OFFSET($BH$3,0,0,'Données projet'!$E$11+1,1))-AVERAGE(OFFSET($H$3,0,0,'Données projet'!$E$11+1,1))</f>
        <v>0</v>
      </c>
      <c r="BJ42" s="153">
        <f t="shared" si="39"/>
        <v>0</v>
      </c>
      <c r="BK42" s="154">
        <f>IF(ISNA(VLOOKUP(A42,'Données projet'!$A$87:$I$107,3,0)),0,VLOOKUP(A42,'Données projet'!$A$87:$I$107,3,0))</f>
        <v>0</v>
      </c>
      <c r="BL42" s="154">
        <f>IF(ISNA(VLOOKUP(A42,'Données projet'!$A$87:$I$107,4,0)),0,VLOOKUP(A42,'Données projet'!$A$87:$I$107,4,0))</f>
        <v>0</v>
      </c>
      <c r="BM42" s="155">
        <f>IF(ISNA(VLOOKUP(A42,'Données projet'!$A$87:$I$107,5,0)),0%,VLOOKUP(A42,'Données projet'!$A$87:$I$107,5,0)*VLOOKUP('Données projet'!$B$11,'Paramètres'!$A$1:$I$88,7,0))</f>
        <v>0</v>
      </c>
      <c r="BN42" s="155">
        <f>IF(ISNA(VLOOKUP(A42,'Données projet'!$A$87:$I$107,6,0)),0%,VLOOKUP(A42,'Données projet'!$A$87:$I$107,6,0)*VLOOKUP('Données projet'!$B$11,'Paramètres'!$A$1:$I$88,7,0))</f>
        <v>0</v>
      </c>
      <c r="BO42" s="155">
        <f>IF(ISNA(VLOOKUP(A42,'Données projet'!$A$87:$I$107,7,0)),0%,VLOOKUP(A42,'Données projet'!$A$87:$I$107,7,0))</f>
        <v>0</v>
      </c>
      <c r="BP42" s="162">
        <f>EXP(-LN(2)/35)*BP41+(1-EXP(-LN(2)/35))/(LN(2)/35)*BL42*BM42*VLOOKUP('Données projet'!$B$11,'Paramètres'!$A$1:$I$88,3,0)*0.475*44/12</f>
        <v>0</v>
      </c>
      <c r="BQ42" s="162">
        <f>EXP(-LN(2)/25)*BQ41+(1-EXP(-LN(2)/25))/(LN(2)/25)*Calculateur!BL42*Calculateur!BN42*VLOOKUP('Données projet'!$B$11,'Paramètres'!$A$1:$I$88,3,0)*0.475*44/12</f>
        <v>0</v>
      </c>
      <c r="BR42" s="162">
        <f>EXP(-LN(2)/2)*BR41+(1-EXP(-LN(2)/2))/(LN(2)/2)*BL42*BO42*VLOOKUP('Données projet'!$B$11,'Paramètres'!$A$1:$I$88,3,0)*0.475*44/12</f>
        <v>0</v>
      </c>
      <c r="BS42" s="163">
        <f t="shared" si="10"/>
        <v>0</v>
      </c>
      <c r="BT42" s="159">
        <f>('Scénario référence'!$F$8+'Scénario référence'!$F$9+'Scénario référence'!$B$17+'Scénario référence'!$B$9+'Scénario référence'!$B$10)*70+IF((45+25*(1-EXP(-0.0175*A42)))&lt;70,'Scénario référence'!$B$16*(45+25*(1-EXP(-0.0175*A42))),70*'Scénario référence'!$B$16)+IF((32+38*(1-EXP(-0.0175*A42)))&lt;70,'Scénario référence'!$B$18*(32+38*(1-EXP(-0.0175*A42))),70*'Scénario référence'!$B$18)</f>
        <v>70</v>
      </c>
      <c r="BU42" s="151">
        <f>IF(A42&gt;30,10,('Scénario référence'!$B$16+'Scénario référence'!$B$17+'Scénario référence'!$B$18+'Scénario référence'!$B$9+'Scénario référence'!$B$10)*A42*10/30+('Scénario référence'!$F$8+'Scénario référence'!$F$9)*10)</f>
        <v>10</v>
      </c>
      <c r="BV42" s="151" t="str">
        <f>VLOOKUP(A42,'Données projet'!$A$113:$I$133,2,0)</f>
        <v>#N/A</v>
      </c>
      <c r="BW42" s="151" t="str">
        <f>VLOOKUP(A42,'Données projet'!$A$113:$I$133,9,0)</f>
        <v>#N/A</v>
      </c>
      <c r="BX42" s="150" t="str">
        <f t="array" ref="BX42">INDEX(BW:BW,MIN(IF(ISNUMBER(BW42:BW238),ROW(BW42:BW238),"")))</f>
        <v/>
      </c>
      <c r="BY42" s="150">
        <f>IF('Données projet'!$A$114&gt;35,BY41+BX42-CG41,IF(A42&lt;'Données projet'!$A$114,$BV$205^A42,IF(A42='Données projet'!$A$114,'Données projet'!$B$114,BY41+BX42-CG41)))</f>
        <v>0</v>
      </c>
      <c r="BZ42" s="150" t="str">
        <f>BY42*VLOOKUP('Données projet'!$B$12,'Paramètres'!$A$1:$I$88,3,0)*VLOOKUP('Données projet'!$B$12,'Paramètres'!$A$1:$I$88,5,0)</f>
        <v>#N/A</v>
      </c>
      <c r="CA42" s="150" t="str">
        <f t="shared" si="40"/>
        <v>#N/A</v>
      </c>
      <c r="CB42" s="161" t="str">
        <f t="shared" si="11"/>
        <v>#N/A</v>
      </c>
      <c r="CC42" s="153" t="str">
        <f t="shared" si="12"/>
        <v>#N/A</v>
      </c>
      <c r="CD42" s="153" t="str">
        <f>AVERAGE(OFFSET($CC$3,0,0,'Données projet'!$E$12+1,1))-AVERAGE(OFFSET($H$3,0,0,'Données projet'!$E$12+1,1))</f>
        <v>#N/A</v>
      </c>
      <c r="CE42" s="153" t="str">
        <f t="shared" si="41"/>
        <v>#N/A</v>
      </c>
      <c r="CF42" s="154">
        <f>IF(ISNA(VLOOKUP(A42,'Données projet'!$A$113:$I$133,3,0)),0,VLOOKUP(A42,'Données projet'!$A$113:$I$133,3,0))</f>
        <v>0</v>
      </c>
      <c r="CG42" s="154">
        <f>IF(ISNA(VLOOKUP(A42,'Données projet'!$A$113:$I$133,4,0)),0,VLOOKUP(A42,'Données projet'!$A$113:$I$133,4,0))</f>
        <v>0</v>
      </c>
      <c r="CH42" s="155">
        <f>IF(ISNA(VLOOKUP(A42,'Données projet'!$A$113:$I$133,5,0)),0%,VLOOKUP(A42,'Données projet'!$A$113:$I$133,5,0)*VLOOKUP('Données projet'!$B$12,'Paramètres'!$A$1:$I$88,7,0))</f>
        <v>0</v>
      </c>
      <c r="CI42" s="155">
        <f>IF(ISNA(VLOOKUP(A42,'Données projet'!$A$113:$I$133,6,0)),0%,VLOOKUP(A42,'Données projet'!$A$113:$I$133,6,0)*VLOOKUP('Données projet'!$B$12,'Paramètres'!$A$1:$I$88,7,0))</f>
        <v>0</v>
      </c>
      <c r="CJ42" s="155">
        <f>IF(ISNA(VLOOKUP(A42,'Données projet'!$A$113:$I$133,7,0)),0%,VLOOKUP(A42,'Données projet'!$A$113:$I$133,7,0))</f>
        <v>0</v>
      </c>
      <c r="CK42" s="162" t="str">
        <f>EXP(-LN(2)/35)*CK41+(1-EXP(-LN(2)/35))/(LN(2)/35)*CG42*CH42*VLOOKUP('Données projet'!$B$12,'Paramètres'!$A$1:$I$88,3,0)*0.475*44/12</f>
        <v>#N/A</v>
      </c>
      <c r="CL42" s="162" t="str">
        <f>EXP(-LN(2)/25)*CL41+(1-EXP(-LN(2)/25))/(LN(2)/25)*Calculateur!CG42*Calculateur!CI42*VLOOKUP('Données projet'!$B$12,'Paramètres'!$A$1:$I$88,3,0)*0.475*44/12</f>
        <v>#N/A</v>
      </c>
      <c r="CM42" s="162" t="str">
        <f>EXP(-LN(2)/2)*CM41+(1-EXP(-LN(2)/2))/(LN(2)/2)*CG42*CJ42*VLOOKUP('Données projet'!$B$12,'Paramètres'!$A$1:$I$88,3,0)*0.475*44/12</f>
        <v>#N/A</v>
      </c>
      <c r="CN42" s="163" t="str">
        <f t="shared" si="13"/>
        <v>#N/A</v>
      </c>
      <c r="CO42" s="159">
        <f>('Scénario référence'!$F$8+'Scénario référence'!$F$9+'Scénario référence'!$B$17+'Scénario référence'!$B$9+'Scénario référence'!$B$10)*70+IF((45+25*(1-EXP(-0.0175*A42)))&lt;70,'Scénario référence'!$B$16*(45+25*(1-EXP(-0.0175*A42))),70*'Scénario référence'!$B$16)+IF((32+38*(1-EXP(-0.0175*A42)))&lt;70,'Scénario référence'!$B$18*(32+38*(1-EXP(-0.0175*A42))),70*'Scénario référence'!$B$18)</f>
        <v>70</v>
      </c>
      <c r="CP42" s="151">
        <f>IF(A42&gt;30,10,('Scénario référence'!$B$16+'Scénario référence'!$B$17+'Scénario référence'!$B$18+'Scénario référence'!$B$9+'Scénario référence'!$B$10)*A42*10/30+('Scénario référence'!$F$8+'Scénario référence'!$F$9)*10)</f>
        <v>10</v>
      </c>
      <c r="CQ42" s="151" t="str">
        <f>VLOOKUP(A42,'Données projet'!$A$139:$I$159,2,0)</f>
        <v>#N/A</v>
      </c>
      <c r="CR42" s="151" t="str">
        <f>VLOOKUP(A42,'Données projet'!$A$139:$I$159,9,0)</f>
        <v>#N/A</v>
      </c>
      <c r="CS42" s="151" t="str">
        <f t="array" ref="CS42">INDEX(CR:CR,MIN(IF(ISNUMBER(CR42:CR238),ROW(CR42:CR238),"")))</f>
        <v/>
      </c>
      <c r="CT42" s="151">
        <f>IF('Données projet'!$A$140&gt;35,CT41+CS42-DB41,IF(A42&lt;'Données projet'!$A$140,$CQ$205^A42,IF(A42='Données projet'!$A$140,'Données projet'!$B$140,CT41+CS42-DB41)))</f>
        <v>0</v>
      </c>
      <c r="CU42" s="158" t="str">
        <f>CT42*VLOOKUP('Données projet'!$B$13,'Paramètres'!$A$1:$I$88,3,0)*VLOOKUP('Données projet'!$B$13,'Paramètres'!$A$1:$I$88,5,0)</f>
        <v>#N/A</v>
      </c>
      <c r="CV42" s="150" t="str">
        <f t="shared" si="42"/>
        <v>#N/A</v>
      </c>
      <c r="CW42" s="161" t="str">
        <f t="shared" si="14"/>
        <v>#N/A</v>
      </c>
      <c r="CX42" s="153" t="str">
        <f t="shared" si="15"/>
        <v>#N/A</v>
      </c>
      <c r="CY42" s="153" t="str">
        <f>AVERAGE(OFFSET($CX$3,0,0,'Données projet'!$E$13+1,1))-AVERAGE(OFFSET($H$3,0,0,'Données projet'!$E$13+1,1))</f>
        <v>#N/A</v>
      </c>
      <c r="CZ42" s="153" t="str">
        <f t="shared" si="43"/>
        <v>#N/A</v>
      </c>
      <c r="DA42" s="154">
        <f>IF(ISNA(VLOOKUP(A42,'Données projet'!$A$139:$I$159,3,0)),0,VLOOKUP(A42,'Données projet'!$A$139:$I$159,3,0))</f>
        <v>0</v>
      </c>
      <c r="DB42" s="154">
        <f>IF(ISNA(VLOOKUP(A42,'Données projet'!$A$139:$I$159,4,0)),0,VLOOKUP(A42,'Données projet'!$A$139:$I$159,4,0))</f>
        <v>0</v>
      </c>
      <c r="DC42" s="155">
        <f>IF(ISNA(VLOOKUP(A42,'Données projet'!$A$139:$I$159,5,0)),0%,VLOOKUP(A42,'Données projet'!$A$139:$I$159,5,0)*VLOOKUP('Données projet'!$B$13,'Paramètres'!$A$1:$I$88,7,0))</f>
        <v>0</v>
      </c>
      <c r="DD42" s="155">
        <f>IF(ISNA(VLOOKUP(A42,'Données projet'!$A$139:$I$159,6,0)),0%,VLOOKUP(A42,'Données projet'!$A$139:$I$159,6,0)*VLOOKUP('Données projet'!$B$13,'Paramètres'!$A$1:$I$88,7,0))</f>
        <v>0</v>
      </c>
      <c r="DE42" s="155">
        <f>IF(ISNA(VLOOKUP(A42,'Données projet'!$A$139:$I$159,7,0)),0%,VLOOKUP(A42,'Données projet'!$A$139:$I$159,7,0))</f>
        <v>0</v>
      </c>
      <c r="DF42" s="162" t="str">
        <f>EXP(-LN(2)/35)*DF41+(1-EXP(-LN(2)/35))/(LN(2)/35)*DB42*DC42*VLOOKUP('Données projet'!$B$13,'Paramètres'!$A$1:$I$88,3,0)*0.475*44/12</f>
        <v>#N/A</v>
      </c>
      <c r="DG42" s="162" t="str">
        <f>EXP(-LN(2)/25)*DG41+(1-EXP(-LN(2)/25))/(LN(2)/25)*Calculateur!DB42*Calculateur!DD42*VLOOKUP('Données projet'!$B$13,'Paramètres'!$A$1:$I$88,3,0)*0.475*44/12</f>
        <v>#N/A</v>
      </c>
      <c r="DH42" s="162" t="str">
        <f>EXP(-LN(2)/2)*DH41+(1-EXP(-LN(2)/2))/(LN(2)/2)*DB42*DE42*VLOOKUP('Données projet'!$B$13,'Paramètres'!$A$1:$I$88,3,0)*0.475*44/12</f>
        <v>#N/A</v>
      </c>
      <c r="DI42" s="163" t="str">
        <f t="shared" si="16"/>
        <v>#N/A</v>
      </c>
      <c r="DJ42" s="159">
        <f>('Scénario référence'!$F$8+'Scénario référence'!$F$9+'Scénario référence'!$B$17+'Scénario référence'!$B$9+'Scénario référence'!$B$10)*70+IF((45+25*(1-EXP(-0.0175*A42)))&lt;70,'Scénario référence'!$B$16*(45+25*(1-EXP(-0.0175*A42))),70*'Scénario référence'!$B$16)+IF((32+38*(1-EXP(-0.0175*A42)))&lt;70,'Scénario référence'!$B$18*(32+38*(1-EXP(-0.0175*A42))),70*'Scénario référence'!$B$18)</f>
        <v>70</v>
      </c>
      <c r="DK42" s="151">
        <f>IF(A42&gt;30,10,('Scénario référence'!$B$16+'Scénario référence'!$B$17+'Scénario référence'!$B$18+'Scénario référence'!$B$9+'Scénario référence'!$B$10)*A42*10/30+('Scénario référence'!$F$8+'Scénario référence'!$F$9)*10)</f>
        <v>10</v>
      </c>
      <c r="DL42" s="151" t="str">
        <f>VLOOKUP(A42,'Données projet'!$A$165:$I$185,2,0)</f>
        <v>#N/A</v>
      </c>
      <c r="DM42" s="151" t="str">
        <f>VLOOKUP(A42,'Données projet'!$A$165:$I$185,9,0)</f>
        <v>#N/A</v>
      </c>
      <c r="DN42" s="151" t="str">
        <f t="array" ref="DN42">INDEX(DM:DM,MIN(IF(ISNUMBER(DM42:DM238),ROW(DM42:DM238),"")))</f>
        <v/>
      </c>
      <c r="DO42" s="151">
        <f>IF('Données projet'!$A$166&gt;35,DO41+DN42-DW41,IF(A42&lt;'Données projet'!$A$166,$DL$205^A42,IF(A42='Données projet'!$A$166,'Données projet'!$B$166,DO41+DN42-DW41)))</f>
        <v>0</v>
      </c>
      <c r="DP42" s="158" t="str">
        <f>DO42*VLOOKUP('Données projet'!$B$14,'Paramètres'!$A$1:$I$88,3,0)*VLOOKUP('Données projet'!$B$14,'Paramètres'!$A$1:$I$88,5,0)</f>
        <v>#N/A</v>
      </c>
      <c r="DQ42" s="150" t="str">
        <f t="shared" si="44"/>
        <v>#N/A</v>
      </c>
      <c r="DR42" s="161" t="str">
        <f t="shared" si="17"/>
        <v>#N/A</v>
      </c>
      <c r="DS42" s="153" t="str">
        <f t="shared" si="18"/>
        <v>#N/A</v>
      </c>
      <c r="DT42" s="153" t="str">
        <f>AVERAGE(OFFSET($DS$3,0,0,'Données projet'!$E$14+1,1))-AVERAGE(OFFSET($H$3,0,0,'Données projet'!$E$14+1,1))</f>
        <v>#N/A</v>
      </c>
      <c r="DU42" s="153" t="str">
        <f t="shared" si="45"/>
        <v>#N/A</v>
      </c>
      <c r="DV42" s="154">
        <f>IF(ISNA(VLOOKUP(A42,'Données projet'!$A$165:$I$185,3,0)),0,VLOOKUP(A42,'Données projet'!$A$165:$I$185,3,0))</f>
        <v>0</v>
      </c>
      <c r="DW42" s="154">
        <f>IF(ISNA(VLOOKUP(A42,'Données projet'!$A$165:$I$185,4,0)),0,VLOOKUP(A42,'Données projet'!$A$165:$I$185,4,0))</f>
        <v>0</v>
      </c>
      <c r="DX42" s="155">
        <f>IF(ISNA(VLOOKUP(A42,'Données projet'!$A$165:$I$185,5,0)),0%,VLOOKUP(A42,'Données projet'!$A$165:$I$185,5,0)*VLOOKUP('Données projet'!$B$14,'Paramètres'!$A$1:$I$88,7,0))</f>
        <v>0</v>
      </c>
      <c r="DY42" s="155">
        <f>IF(ISNA(VLOOKUP(A42,'Données projet'!$A$165:$I$185,6,0)),0%,VLOOKUP(A42,'Données projet'!$A$165:$I$185,6,0)*VLOOKUP('Données projet'!$B$14,'Paramètres'!$A$1:$I$88,7,0))</f>
        <v>0</v>
      </c>
      <c r="DZ42" s="155">
        <f>IF(ISNA(VLOOKUP(A42,'Données projet'!$A$165:$I$185,7,0)),0%,VLOOKUP(A42,'Données projet'!$A$165:$I$185,7,0))</f>
        <v>0</v>
      </c>
      <c r="EA42" s="162" t="str">
        <f>EXP(-LN(2)/35)*EA41+(1-EXP(-LN(2)/35))/(LN(2)/35)*DW42*DX42*VLOOKUP('Données projet'!$B$14,'Paramètres'!$A$1:$I$88,3,0)*0.475*44/12</f>
        <v>#N/A</v>
      </c>
      <c r="EB42" s="162" t="str">
        <f>EXP(-LN(2)/25)*EB41+(1-EXP(-LN(2)/25))/(LN(2)/25)*Calculateur!DW42*Calculateur!DY42*VLOOKUP('Données projet'!$B$14,'Paramètres'!$A$1:$I$88,3,0)*0.475*44/12</f>
        <v>#N/A</v>
      </c>
      <c r="EC42" s="162" t="str">
        <f>EXP(-LN(2)/2)*EC41+(1-EXP(-LN(2)/2))/(LN(2)/2)*DW42*DZ42*VLOOKUP('Données projet'!$B$14,'Paramètres'!$A$1:$I$88,3,0)*0.475*44/12</f>
        <v>#N/A</v>
      </c>
      <c r="ED42" s="163" t="str">
        <f t="shared" si="19"/>
        <v>#N/A</v>
      </c>
      <c r="EE42" s="159">
        <f>('Scénario référence'!$F$8+'Scénario référence'!$F$9+'Scénario référence'!$B$17+'Scénario référence'!$B$9+'Scénario référence'!$B$10)*70+IF((45+25*(1-EXP(-0.0175*A42)))&lt;70,'Scénario référence'!$B$16*(45+25*(1-EXP(-0.0175*A42))),70*'Scénario référence'!$B$16)+IF((32+38*(1-EXP(-0.0175*A42)))&lt;70,'Scénario référence'!$B$18*(32+38*(1-EXP(-0.0175*A42))),70*'Scénario référence'!$B$18)</f>
        <v>70</v>
      </c>
      <c r="EF42" s="151">
        <f>IF(A42&gt;30,10,('Scénario référence'!$B$16+'Scénario référence'!$B$17+'Scénario référence'!$B$18+'Scénario référence'!$B$9+'Scénario référence'!$B$10)*A42*10/30+('Scénario référence'!$F$8+'Scénario référence'!$F$9)*10)</f>
        <v>10</v>
      </c>
      <c r="EG42" s="151" t="str">
        <f>VLOOKUP(A42,'Données projet'!$A$191:$I$211,2,0)</f>
        <v>#N/A</v>
      </c>
      <c r="EH42" s="151" t="str">
        <f>VLOOKUP(A42,'Données projet'!$A$191:$I$211,9,0)</f>
        <v>#N/A</v>
      </c>
      <c r="EI42" s="151" t="str">
        <f t="array" ref="EI42">INDEX(EH:EH,MIN(IF(ISNUMBER(EH42:EH238),ROW(EH42:EH238),"")))</f>
        <v/>
      </c>
      <c r="EJ42" s="151">
        <f>IF('Données projet'!$A$192&gt;35,EJ41+EI42-ER41,IF(A42&lt;'Données projet'!$A$192,$EG$205^A42,IF(A42='Données projet'!$A$192,'Données projet'!$B$192,EJ41+EI42-ER41)))</f>
        <v>0</v>
      </c>
      <c r="EK42" s="158" t="str">
        <f>EJ42*VLOOKUP('Données projet'!$B$15,'Paramètres'!$A$1:$I$88,3,0)*VLOOKUP('Données projet'!$B$15,'Paramètres'!$A$1:$I$88,5,0)</f>
        <v>#N/A</v>
      </c>
      <c r="EL42" s="150" t="str">
        <f t="shared" si="46"/>
        <v>#N/A</v>
      </c>
      <c r="EM42" s="161" t="str">
        <f t="shared" si="20"/>
        <v>#N/A</v>
      </c>
      <c r="EN42" s="153" t="str">
        <f t="shared" si="21"/>
        <v>#N/A</v>
      </c>
      <c r="EO42" s="153" t="str">
        <f>AVERAGE(OFFSET($EN$3,0,0,'Données projet'!$E$15+1,1))-AVERAGE(OFFSET($H$3,0,0,'Données projet'!$E$15+1,1))</f>
        <v>#N/A</v>
      </c>
      <c r="EP42" s="153" t="str">
        <f t="shared" si="47"/>
        <v>#N/A</v>
      </c>
      <c r="EQ42" s="154">
        <f>IF(ISNA(VLOOKUP(A42,'Données projet'!$A$191:$I$211,3,0)),0,VLOOKUP(A42,'Données projet'!$A$191:$I$211,3,0))</f>
        <v>0</v>
      </c>
      <c r="ER42" s="154">
        <f>IF(ISNA(VLOOKUP(A42,'Données projet'!$A$191:$I$211,4,0)),0,VLOOKUP(A42,'Données projet'!$A$191:$I$211,4,0))</f>
        <v>0</v>
      </c>
      <c r="ES42" s="155">
        <f>IF(ISNA(VLOOKUP(A42,'Données projet'!$A$191:$I$211,5,0)),0%,VLOOKUP(A42,'Données projet'!$A$191:$I$211,5,0)*VLOOKUP('Données projet'!$B$15,'Paramètres'!$A$1:$I$88,7,0))</f>
        <v>0</v>
      </c>
      <c r="ET42" s="155">
        <f>IF(ISNA(VLOOKUP(A42,'Données projet'!$A$191:$I$211,6,0)),0%,VLOOKUP(A42,'Données projet'!$A$191:$I$211,6,0)*VLOOKUP('Données projet'!$B$15,'Paramètres'!$A$1:$I$88,7,0))</f>
        <v>0</v>
      </c>
      <c r="EU42" s="155">
        <f>IF(ISNA(VLOOKUP(A42,'Données projet'!$A$191:$I$211,7,0)),0%,VLOOKUP(A42,'Données projet'!$A$191:$I$211,7,0))</f>
        <v>0</v>
      </c>
      <c r="EV42" s="162" t="str">
        <f>EXP(-LN(2)/35)*EV41+(1-EXP(-LN(2)/35))/(LN(2)/35)*ER42*ES42*VLOOKUP('Données projet'!$B$15,'Paramètres'!$A$1:$I$88,3,0)*0.475*44/12</f>
        <v>#N/A</v>
      </c>
      <c r="EW42" s="162" t="str">
        <f>EXP(-LN(2)/25)*EW41+(1-EXP(-LN(2)/25))/(LN(2)/25)*Calculateur!ER42*Calculateur!ET42*VLOOKUP('Données projet'!$B$15,'Paramètres'!$A$1:$I$88,3,0)*0.475*44/12</f>
        <v>#N/A</v>
      </c>
      <c r="EX42" s="162" t="str">
        <f>EXP(-LN(2)/2)*EX41+(1-EXP(-LN(2)/2))/(LN(2)/2)*ER42*EU42*VLOOKUP('Données projet'!$B$15,'Paramètres'!$A$1:$I$88,3,0)*0.475*44/12</f>
        <v>#N/A</v>
      </c>
      <c r="EY42" s="163" t="str">
        <f t="shared" si="22"/>
        <v>#N/A</v>
      </c>
      <c r="EZ42" s="159">
        <f>('Scénario référence'!$F$8+'Scénario référence'!$F$9+'Scénario référence'!$B$17+'Scénario référence'!$B$9+'Scénario référence'!$B$10)*70+IF((45+25*(1-EXP(-0.0175*A42)))&lt;70,'Scénario référence'!$B$16*(45+25*(1-EXP(-0.0175*A42))),70*'Scénario référence'!$B$16)+IF((32+38*(1-EXP(-0.0175*A42)))&lt;70,'Scénario référence'!$B$18*(32+38*(1-EXP(-0.0175*A42))),70*'Scénario référence'!$B$18)</f>
        <v>70</v>
      </c>
      <c r="FA42" s="151">
        <f>IF(A42&gt;30,10,('Scénario référence'!$B$16+'Scénario référence'!$B$17+'Scénario référence'!$B$18+'Scénario référence'!$B$9+'Scénario référence'!$B$10)*A42*10/30+('Scénario référence'!$F$8+'Scénario référence'!$F$9)*10)</f>
        <v>10</v>
      </c>
      <c r="FB42" s="151" t="str">
        <f>VLOOKUP(A42,'Données projet'!$A$217:$I$237,2,0)</f>
        <v>#N/A</v>
      </c>
      <c r="FC42" s="151" t="str">
        <f>VLOOKUP(A42,'Données projet'!$A$217:$I$237,9,0)</f>
        <v>#N/A</v>
      </c>
      <c r="FD42" s="151" t="str">
        <f t="array" ref="FD42">INDEX(FC:FC,MIN(IF(ISNUMBER(FC42:FC238),ROW(FC42:FC238),"")))</f>
        <v/>
      </c>
      <c r="FE42" s="151">
        <f>IF('Données projet'!$A$218&gt;35,FE41+FD42-FM41,IF(A42&lt;'Données projet'!$A$218,$FB$205^A42,IF(A42='Données projet'!$A$218,'Données projet'!$B$218,FE41+FD42-FM41)))</f>
        <v>0</v>
      </c>
      <c r="FF42" s="158" t="str">
        <f>FE42*VLOOKUP('Données projet'!$B$16,'Paramètres'!$A$1:$I$88,3,0)*VLOOKUP('Données projet'!$B$16,'Paramètres'!$A$1:$I$88,5,0)</f>
        <v>#N/A</v>
      </c>
      <c r="FG42" s="150" t="str">
        <f t="shared" si="48"/>
        <v>#N/A</v>
      </c>
      <c r="FH42" s="161" t="str">
        <f t="shared" si="23"/>
        <v>#N/A</v>
      </c>
      <c r="FI42" s="153" t="str">
        <f t="shared" si="24"/>
        <v>#N/A</v>
      </c>
      <c r="FJ42" s="153" t="str">
        <f>AVERAGE(OFFSET($FI$3,0,0,'Données projet'!$E$16+1,1))-AVERAGE(OFFSET($H$3,0,0,'Données projet'!$E$16+1,1))</f>
        <v>#N/A</v>
      </c>
      <c r="FK42" s="153" t="str">
        <f t="shared" si="49"/>
        <v>#N/A</v>
      </c>
      <c r="FL42" s="154">
        <f>IF(ISNA(VLOOKUP(A42,'Données projet'!$A$217:$I$237,3,0)),0,VLOOKUP(A42,'Données projet'!$A$217:$I$237,3,0))</f>
        <v>0</v>
      </c>
      <c r="FM42" s="154">
        <f>IF(ISNA(VLOOKUP(A42,'Données projet'!$A$217:$I$237,4,0)),0,VLOOKUP(A42,'Données projet'!$A$217:$I$237,4,0))</f>
        <v>0</v>
      </c>
      <c r="FN42" s="155">
        <f>IF(ISNA(VLOOKUP(A42,'Données projet'!$A$217:$I$237,5,0)),0%,VLOOKUP(A42,'Données projet'!$A$217:$I$237,5,0)*VLOOKUP('Données projet'!$B$16,'Paramètres'!$A$1:$I$88,7,0))</f>
        <v>0</v>
      </c>
      <c r="FO42" s="155">
        <f>IF(ISNA(VLOOKUP(A42,'Données projet'!$A$217:$I$237,6,0)),0%,VLOOKUP(A42,'Données projet'!$A$217:$I$237,6,0)*VLOOKUP('Données projet'!$B$16,'Paramètres'!$A$1:$I$88,7,0))</f>
        <v>0</v>
      </c>
      <c r="FP42" s="155">
        <f>IF(ISNA(VLOOKUP(A42,'Données projet'!$A$217:$I$237,7,0)),0%,VLOOKUP(A42,'Données projet'!$A$217:$I$237,7,0))</f>
        <v>0</v>
      </c>
      <c r="FQ42" s="162" t="str">
        <f>EXP(-LN(2)/35)*FQ41+(1-EXP(-LN(2)/35))/(LN(2)/35)*FM42*FN42*VLOOKUP('Données projet'!$B$16,'Paramètres'!$A$1:$I$88,3,0)*0.475*44/12</f>
        <v>#N/A</v>
      </c>
      <c r="FR42" s="162" t="str">
        <f>EXP(-LN(2)/25)*FR41+(1-EXP(-LN(2)/25))/(LN(2)/25)*Calculateur!FM42*Calculateur!FO42*VLOOKUP('Données projet'!$B$16,'Paramètres'!$A$1:$I$88,3,0)*0.475*44/12</f>
        <v>#N/A</v>
      </c>
      <c r="FS42" s="162" t="str">
        <f>EXP(-LN(2)/2)*FS41+(1-EXP(-LN(2)/2))/(LN(2)/2)*FM42*FP42*VLOOKUP('Données projet'!$B$16,'Paramètres'!$A$1:$I$88,3,0)*0.475*44/12</f>
        <v>#N/A</v>
      </c>
      <c r="FT42" s="163" t="str">
        <f t="shared" si="25"/>
        <v>#N/A</v>
      </c>
      <c r="FU42" s="159">
        <f>('Scénario référence'!$F$8+'Scénario référence'!$F$9+'Scénario référence'!$B$17+'Scénario référence'!$B$9+'Scénario référence'!$B$10)*70+IF((45+25*(1-EXP(-0.0175*A42)))&lt;70,'Scénario référence'!$B$16*(45+25*(1-EXP(-0.0175*A42))),70*'Scénario référence'!$B$16)+IF((32+38*(1-EXP(-0.0175*A42)))&lt;70,'Scénario référence'!$B$18*(32+38*(1-EXP(-0.0175*A42))),70*'Scénario référence'!$B$18)</f>
        <v>70</v>
      </c>
      <c r="FV42" s="151">
        <f>IF(A42&gt;30,10,('Scénario référence'!$B$16+'Scénario référence'!$B$17+'Scénario référence'!$B$18+'Scénario référence'!$B$9+'Scénario référence'!$B$10)*A42*10/30+('Scénario référence'!$F$8+'Scénario référence'!$F$9)*10)</f>
        <v>10</v>
      </c>
      <c r="FW42" s="151" t="str">
        <f>VLOOKUP(A42,'Données projet'!$A$243:$I$263,2,0)</f>
        <v>#N/A</v>
      </c>
      <c r="FX42" s="151" t="str">
        <f>VLOOKUP(A42,'Données projet'!$A$243:$I$263,9,0)</f>
        <v>#N/A</v>
      </c>
      <c r="FY42" s="151" t="str">
        <f t="array" ref="FY42">INDEX(FX:FX,MIN(IF(ISNUMBER(FX42:FX238),ROW(FX42:FX238),"")))</f>
        <v/>
      </c>
      <c r="FZ42" s="151">
        <f>IF('Données projet'!$A$244&gt;35,FZ41+FY42-GH41,IF(A42&lt;'Données projet'!$A$244,$FW$205^A42,IF(A42='Données projet'!$A$244,'Données projet'!$B$244,FZ41+FY42-GH41)))</f>
        <v>0</v>
      </c>
      <c r="GA42" s="158" t="str">
        <f>FZ42*VLOOKUP('Données projet'!$B$17,'Paramètres'!$A$1:$I$88,3,0)*VLOOKUP('Données projet'!$B$17,'Paramètres'!$A$1:$I$88,5,0)</f>
        <v>#N/A</v>
      </c>
      <c r="GB42" s="150" t="str">
        <f t="shared" si="50"/>
        <v>#N/A</v>
      </c>
      <c r="GC42" s="161" t="str">
        <f t="shared" si="26"/>
        <v>#N/A</v>
      </c>
      <c r="GD42" s="153" t="str">
        <f t="shared" si="27"/>
        <v>#N/A</v>
      </c>
      <c r="GE42" s="153" t="str">
        <f>AVERAGE(OFFSET($GD$3,0,0,'Données projet'!$E$17+1,1))-AVERAGE(OFFSET($H$3,0,0,'Données projet'!$E$17+1,1))</f>
        <v>#N/A</v>
      </c>
      <c r="GF42" s="153" t="str">
        <f t="shared" si="51"/>
        <v>#N/A</v>
      </c>
      <c r="GG42" s="154">
        <f>IF(ISNA(VLOOKUP(A42,'Données projet'!$A$243:$I$263,3,0)),0,VLOOKUP(A42,'Données projet'!$A$243:$I$263,3,0))</f>
        <v>0</v>
      </c>
      <c r="GH42" s="154">
        <f>IF(ISNA(VLOOKUP(A42,'Données projet'!$A$243:$I$263,4,0)),0,VLOOKUP(A42,'Données projet'!$A$243:$I$263,4,0))</f>
        <v>0</v>
      </c>
      <c r="GI42" s="155">
        <f>IF(ISNA(VLOOKUP(A42,'Données projet'!$A$243:$I$263,5,0)),0%,VLOOKUP(A42,'Données projet'!$A$243:$I$263,5,0)*VLOOKUP('Données projet'!$B$17,'Paramètres'!$A$1:$I$88,7,0))</f>
        <v>0</v>
      </c>
      <c r="GJ42" s="155">
        <f>IF(ISNA(VLOOKUP(A42,'Données projet'!$A$243:$I$263,6,0)),0%,VLOOKUP(A42,'Données projet'!$A$243:$I$263,6,0)*VLOOKUP('Données projet'!$B$17,'Paramètres'!$A$1:$I$88,7,0))</f>
        <v>0</v>
      </c>
      <c r="GK42" s="155">
        <f>IF(ISNA(VLOOKUP(A42,'Données projet'!$A$243:$I$263,7,0)),0%,VLOOKUP(A42,'Données projet'!$A$243:$I$263,7,0))</f>
        <v>0</v>
      </c>
      <c r="GL42" s="162" t="str">
        <f>EXP(-LN(2)/35)*GL41+(1-EXP(-LN(2)/35))/(LN(2)/35)*GH42*GI42*VLOOKUP('Données projet'!$B$17,'Paramètres'!$A$1:$I$88,3,0)*0.475*44/12</f>
        <v>#N/A</v>
      </c>
      <c r="GM42" s="162" t="str">
        <f>EXP(-LN(2)/25)*GM41+(1-EXP(-LN(2)/25))/(LN(2)/25)*Calculateur!GH42*Calculateur!GJ42*VLOOKUP('Données projet'!$B$17,'Paramètres'!$A$1:$I$88,3,0)*0.475*44/12</f>
        <v>#N/A</v>
      </c>
      <c r="GN42" s="162" t="str">
        <f>EXP(-LN(2)/2)*GN41+(1-EXP(-LN(2)/2))/(LN(2)/2)*GH42*GK42*VLOOKUP('Données projet'!$B$17,'Paramètres'!$A$1:$I$88,3,0)*0.475*44/12</f>
        <v>#N/A</v>
      </c>
      <c r="GO42" s="162" t="str">
        <f t="shared" si="28"/>
        <v>#N/A</v>
      </c>
      <c r="GP42" s="159">
        <f>('Scénario référence'!$F$8+'Scénario référence'!$F$9+'Scénario référence'!$B$17+'Scénario référence'!$B$9+'Scénario référence'!$B$10)*70+IF((45+25*(1-EXP(-0.0175*A42)))&lt;70,'Scénario référence'!$B$16*(45+25*(1-EXP(-0.0175*A42))),70*'Scénario référence'!$B$16)+IF((32+38*(1-EXP(-0.0175*A42)))&lt;70,'Scénario référence'!$B$18*(32+38*(1-EXP(-0.0175*A42))),70*'Scénario référence'!$B$18)</f>
        <v>70</v>
      </c>
      <c r="GQ42" s="151">
        <f>IF(A42&gt;30,10,('Scénario référence'!$B$16+'Scénario référence'!$B$17+'Scénario référence'!$B$18+'Scénario référence'!$B$9+'Scénario référence'!$B$10)*A42*10/30+('Scénario référence'!$F$8+'Scénario référence'!$F$9)*10)</f>
        <v>10</v>
      </c>
      <c r="GR42" s="151" t="str">
        <f>VLOOKUP(A42,'Données projet'!$A$269:$I$289,2,0)</f>
        <v>#N/A</v>
      </c>
      <c r="GS42" s="151" t="str">
        <f>VLOOKUP(A42,'Données projet'!$A$269:$I$289,9,0)</f>
        <v>#N/A</v>
      </c>
      <c r="GT42" s="151" t="str">
        <f t="array" ref="GT42">INDEX(GS:GS,MIN(IF(ISNUMBER(GS42:GS238),ROW(GS42:GS238),"")))</f>
        <v/>
      </c>
      <c r="GU42" s="151">
        <f>IF('Données projet'!$A$270&gt;35,GU41+GT42-HC41,IF(A42&lt;'Données projet'!$A$270,$GR$205^A42,IF(A42='Données projet'!$A$270,'Données projet'!$B$270,GU41+GT42-HC41)))</f>
        <v>0</v>
      </c>
      <c r="GV42" s="158" t="str">
        <f>GU42*VLOOKUP('Données projet'!$B$18,'Paramètres'!$A$1:$I$88,3,0)*VLOOKUP('Données projet'!$B$18,'Paramètres'!$A$1:$I$88,5,0)</f>
        <v>#N/A</v>
      </c>
      <c r="GW42" s="150" t="str">
        <f t="shared" si="52"/>
        <v>#N/A</v>
      </c>
      <c r="GX42" s="161" t="str">
        <f t="shared" si="29"/>
        <v>#N/A</v>
      </c>
      <c r="GY42" s="153" t="str">
        <f t="shared" si="30"/>
        <v>#N/A</v>
      </c>
      <c r="GZ42" s="153" t="str">
        <f>AVERAGE(OFFSET($GY$3,0,0,'Données projet'!$E$18+1,1))-AVERAGE(OFFSET($H$3,0,0,'Données projet'!$E$18+1,1))</f>
        <v>#N/A</v>
      </c>
      <c r="HA42" s="153" t="str">
        <f t="shared" si="53"/>
        <v>#N/A</v>
      </c>
      <c r="HB42" s="154">
        <f>IF(ISNA(VLOOKUP(A42,'Données projet'!$A$269:$I$289,3,0)),0,VLOOKUP(A42,'Données projet'!$A$269:$I$289,3,0))</f>
        <v>0</v>
      </c>
      <c r="HC42" s="154">
        <f>IF(ISNA(VLOOKUP(A42,'Données projet'!$A$269:$I$289,4,0)),0,VLOOKUP(A42,'Données projet'!$A$269:$I$289,4,0))</f>
        <v>0</v>
      </c>
      <c r="HD42" s="155">
        <f>IF(ISNA(VLOOKUP(A42,'Données projet'!$A$269:$I$289,5,0)),0%,VLOOKUP(A42,'Données projet'!$A$269:$I$289,5,0)*VLOOKUP('Données projet'!$B$18,'Paramètres'!$A$1:$I$88,7,0))</f>
        <v>0</v>
      </c>
      <c r="HE42" s="155">
        <f>IF(ISNA(VLOOKUP(A42,'Données projet'!$A$269:$I$289,6,0)),0%,VLOOKUP(A42,'Données projet'!$A$269:$I$289,6,0)*VLOOKUP('Données projet'!$B$18,'Paramètres'!$A$1:$I$88,7,0))</f>
        <v>0</v>
      </c>
      <c r="HF42" s="155">
        <f>IF(ISNA(VLOOKUP(A42,'Données projet'!$A$269:$I$289,7,0)),0%,VLOOKUP(A42,'Données projet'!$A$269:$I$289,7,0))</f>
        <v>0</v>
      </c>
      <c r="HG42" s="162" t="str">
        <f>EXP(-LN(2)/35)*HG41+(1-EXP(-LN(2)/35))/(LN(2)/35)*HC42*HD42*VLOOKUP('Données projet'!$B$18,'Paramètres'!$A$1:$I$88,3,0)*0.475*44/12</f>
        <v>#N/A</v>
      </c>
      <c r="HH42" s="162" t="str">
        <f>EXP(-LN(2)/25)*HH41+(1-EXP(-LN(2)/25))/(LN(2)/25)*Calculateur!HC42*Calculateur!HE42*VLOOKUP('Données projet'!$B$18,'Paramètres'!$A$1:$I$88,3,0)*0.475*44/12</f>
        <v>#N/A</v>
      </c>
      <c r="HI42" s="162" t="str">
        <f>EXP(-LN(2)/2)*HI41+(1-EXP(-LN(2)/2))/(LN(2)/2)*HC42*HF42*VLOOKUP('Données projet'!$B$18,'Paramètres'!$A$1:$I$88,3,0)*0.475*44/12</f>
        <v>#N/A</v>
      </c>
      <c r="HJ42" s="163" t="str">
        <f t="shared" si="31"/>
        <v>#N/A</v>
      </c>
    </row>
    <row r="43" ht="15.75" customHeight="1">
      <c r="A43" s="145">
        <f t="shared" si="32"/>
        <v>40</v>
      </c>
      <c r="B43" s="146">
        <f>'Scénario référence'!$B$16*5+'Scénario référence'!$B$17*0+'Scénario référence'!$B$18*5</f>
        <v>0</v>
      </c>
      <c r="C43" s="160">
        <f>Calculateur!C42+'Scénario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43" s="147">
        <f t="shared" si="33"/>
        <v>0</v>
      </c>
      <c r="E43" s="147">
        <f>'Scénario référence'!$B$16*45+('Scénario référence'!$B$17+'Scénario référence'!$F$8+'Scénario référence'!$F$9+'Scénario référence'!$B$10+'Scénario référence'!$B$9)*70+'Scénario référence'!$B$18*32</f>
        <v>70</v>
      </c>
      <c r="F43" s="147">
        <f>IF(OR('Scénario référence'!$F$8&gt;0,'Scénario référence'!$F$9&gt;0),('Scénario référence'!$F$8+'Scénario référence'!$F$9)*10,0)</f>
        <v>0</v>
      </c>
      <c r="G43" s="147">
        <f>'Scénario référence'!$B$8*B43*44/12+'Scénario référence'!$B$9*(C43+D43)/0.475*44/12+'Scénario référence'!$B$10*(C43+D43)/0.475*44/12+'Scénario référence'!$F$8*(C43+D43)/0.475*44/12+'Scénario référence'!$F$9*(C43+D43)/0.475*44/12</f>
        <v>0</v>
      </c>
      <c r="H43" s="148">
        <f t="shared" si="1"/>
        <v>256.6666667</v>
      </c>
      <c r="I43" s="149">
        <f>('Scénario référence'!$F$8+'Scénario référence'!$F$9+'Scénario référence'!$B$17+'Scénario référence'!$B$9+'Scénario référence'!$B$10)*70+IF((45+25*(1-EXP(-0.0175*A43)))&lt;70,'Scénario référence'!$B$16*(45+25*(1-EXP(-0.0175*A43))),70*'Scénario référence'!$B$16)+IF((32+38*(1-EXP(-0.0175*A43)))&lt;70,'Scénario référence'!$B$18*(32+38*(1-EXP(-0.0175*A43))),70*'Scénario référence'!$B$18)</f>
        <v>70</v>
      </c>
      <c r="J43" s="150">
        <f>IF(A43&gt;30,10,('Scénario référence'!$B$16+'Scénario référence'!$B$17+'Scénario référence'!$B$18+'Scénario référence'!$B$9+'Scénario référence'!$B$10)*A43*10/30+('Scénario référence'!$F$8+'Scénario référence'!$F$9)*10)</f>
        <v>10</v>
      </c>
      <c r="K43" s="165">
        <f>VLOOKUP(A43,'Données projet'!$A$35:$I$55,2,0)</f>
        <v>175</v>
      </c>
      <c r="L43" s="150">
        <f>VLOOKUP(A43,'Données projet'!$A$35:$I$55,9,0)</f>
        <v>11.2</v>
      </c>
      <c r="M43" s="150">
        <f t="array" ref="M43">INDEX(L:L,MIN(IF(ISNUMBER(L43:L239),ROW(L43:L239),"")))</f>
        <v>11.2</v>
      </c>
      <c r="N43" s="150">
        <f>IF('Données projet'!$A$36&gt;35,N42+M43-V42,IF(A43&lt;'Données projet'!$A$36,$K$205^A43,IF(A43='Données projet'!$A$36,'Données projet'!$B$36,N42+M43-V42)))</f>
        <v>175</v>
      </c>
      <c r="O43" s="150">
        <f>N43*VLOOKUP('Données projet'!$B$9,'Paramètres'!$A$1:$I$88,3,0)*VLOOKUP('Données projet'!$B$9,'Paramètres'!$A$1:$I$88,5,0)</f>
        <v>158.34</v>
      </c>
      <c r="P43" s="150">
        <f t="shared" si="34"/>
        <v>40.46787081</v>
      </c>
      <c r="Q43" s="161">
        <f t="shared" si="2"/>
        <v>346.2570417</v>
      </c>
      <c r="R43" s="153">
        <f t="shared" si="3"/>
        <v>639.590375</v>
      </c>
      <c r="S43" s="153">
        <f>AVERAGE(OFFSET($R$3,0,0,'Données projet'!$E$9+1,1))-AVERAGE(OFFSET($H$3,0,0,'Données projet'!$E$9+1,1))</f>
        <v>439.1985427</v>
      </c>
      <c r="T43" s="153">
        <f t="shared" si="35"/>
        <v>278.2174123</v>
      </c>
      <c r="U43" s="154">
        <f>IF(ISNA(VLOOKUP(A43,'Données projet'!$A$35:$I$55,3,0)),0,VLOOKUP(A43,'Données projet'!$A$35:$I$55,3,0))</f>
        <v>5</v>
      </c>
      <c r="V43" s="164">
        <f>IF(ISNA(VLOOKUP(A43,'Données projet'!$A$35:$I$55,4,0)),0,VLOOKUP(A43,'Données projet'!$A$35:$I$55,4,0))</f>
        <v>28</v>
      </c>
      <c r="W43" s="155">
        <f>IF(ISNA(VLOOKUP(A43,'Données projet'!$A$35:$I$55,5,0)),0%,VLOOKUP(A43,'Données projet'!$A$35:$I$55,5,0)*VLOOKUP('Données projet'!$B$9,'Paramètres'!$A$1:$I$88,7,0))</f>
        <v>0</v>
      </c>
      <c r="X43" s="155">
        <f>IF(ISNA(VLOOKUP(A43,'Données projet'!$A$35:$I$55,6,0)),0%,VLOOKUP(A43,'Données projet'!$A$35:$I$55,6,0)*VLOOKUP('Données projet'!$B$9,'Paramètres'!$A$1:$I$88,7,0))</f>
        <v>0</v>
      </c>
      <c r="Y43" s="155" t="str">
        <f>IF(ISNA(VLOOKUP(A43,'Données projet'!$A$35:$I$55,7,0)),0%,VLOOKUP(A43,'Données projet'!$A$35:$I$55,7,0))</f>
        <v/>
      </c>
      <c r="Z43" s="162">
        <f>EXP(-LN(2)/35)*Z42+(1-EXP(-LN(2)/35))/(LN(2)/35)*V43*W43*VLOOKUP('Données projet'!$B$9,'Paramètres'!$A$1:$I$88,3,0)*0.475*44/12</f>
        <v>0</v>
      </c>
      <c r="AA43" s="162">
        <f>EXP(-LN(2)/25)*AA42+(1-EXP(-LN(2)/25))/(LN(2)/25)*Calculateur!V43*Calculateur!X43*VLOOKUP('Données projet'!$B$9,'Paramètres'!$A$1:$I$88,3,0)*0.475*44/12</f>
        <v>3.400950263</v>
      </c>
      <c r="AB43" s="162">
        <f>EXP(-LN(2)/2)*AB42+(1-EXP(-LN(2)/2))/(LN(2)/2)*V43*Y43*VLOOKUP('Données projet'!$B$9,'Paramètres'!$A$1:$I$88,3,0)*0.475*44/12</f>
        <v>0</v>
      </c>
      <c r="AC43" s="163">
        <f t="shared" si="4"/>
        <v>3.400950263</v>
      </c>
      <c r="AD43" s="150">
        <f>('Scénario référence'!$F$8+'Scénario référence'!$F$9+'Scénario référence'!$B$17+'Scénario référence'!$B$9+'Scénario référence'!$B$10)*70+IF((45+25*(1-EXP(-0.0175*A43)))&lt;70,'Scénario référence'!$B$16*(45+25*(1-EXP(-0.0175*A43))),70*'Scénario référence'!$B$16)+IF((32+38*(1-EXP(-0.0175*A43)))&lt;70,'Scénario référence'!$B$18*(32+38*(1-EXP(-0.0175*A43))),70*'Scénario référence'!$B$18)</f>
        <v>70</v>
      </c>
      <c r="AE43" s="150">
        <f>IF(A43&gt;30,10,('Scénario référence'!$B$16+'Scénario référence'!$B$17+'Scénario référence'!$B$18+'Scénario référence'!$B$9+'Scénario référence'!$B$10)*A43*10/30+('Scénario référence'!$F$8+'Scénario référence'!$F$9)*10)</f>
        <v>10</v>
      </c>
      <c r="AF43" s="151">
        <f>VLOOKUP(A43,'Données projet'!$A$61:$I$81,2,0)</f>
        <v>263</v>
      </c>
      <c r="AG43" s="150">
        <f>VLOOKUP(A43,'Données projet'!$A$61:$I$81,9,0)</f>
        <v>13.2</v>
      </c>
      <c r="AH43" s="150">
        <f t="array" ref="AH43">INDEX(AG:AG,MIN(IF(ISNUMBER(AG43:AG239),ROW(AG43:AG239),"")))</f>
        <v>13.2</v>
      </c>
      <c r="AI43" s="150">
        <f>IF('Données projet'!$A$62&gt;35,AI42+AH43-AQ42,IF(A43&lt;'Données projet'!$A$62,$AF$205^A43,IF(A43='Données projet'!$A$62,'Données projet'!$B$62,AI42+AH43-AQ42)))</f>
        <v>263</v>
      </c>
      <c r="AJ43" s="150">
        <f>AI43*VLOOKUP('Données projet'!$B$10,'Paramètres'!$A$1:$I$88,3,0)*VLOOKUP('Données projet'!$B$10,'Paramètres'!$A$1:$I$88,5,0)</f>
        <v>209.2428</v>
      </c>
      <c r="AK43" s="150">
        <f t="shared" si="36"/>
        <v>51.77008368</v>
      </c>
      <c r="AL43" s="161">
        <f t="shared" si="5"/>
        <v>454.5974391</v>
      </c>
      <c r="AM43" s="153">
        <f t="shared" si="6"/>
        <v>747.9307724</v>
      </c>
      <c r="AN43" s="153">
        <f>AVERAGE(OFFSET($AM$3,0,0,'Données projet'!$E$10+1,1))-AVERAGE(OFFSET($H$3,0,0,'Données projet'!$E$10+1,1))</f>
        <v>405.6113614</v>
      </c>
      <c r="AO43" s="153">
        <f t="shared" si="37"/>
        <v>393.0787141</v>
      </c>
      <c r="AP43" s="154">
        <f>IF(ISNA(VLOOKUP(A43,'Données projet'!$A$61:$I$81,3,0)),0,VLOOKUP(A43,'Données projet'!$A$61:$I$81,3,0))</f>
        <v>7</v>
      </c>
      <c r="AQ43" s="164">
        <f>IF(ISNA(VLOOKUP(A43,'Données projet'!$A$61:$I$81,4,0)),0,VLOOKUP(A43,'Données projet'!$A$61:$I$81,4,0))</f>
        <v>40</v>
      </c>
      <c r="AR43" s="155">
        <f>IF(ISNA(VLOOKUP(A43,'Données projet'!$A$61:$I$81,5,0)),0%,VLOOKUP(A43,'Données projet'!$A$61:$I$81,5,0)*VLOOKUP('Données projet'!$B$10,'Paramètres'!$A$1:$I$88,7,0))</f>
        <v>0</v>
      </c>
      <c r="AS43" s="155">
        <f>IF(ISNA(VLOOKUP(A43,'Données projet'!$A$61:$I$81,6,0)),0%,VLOOKUP(A43,'Données projet'!$A$61:$I$81,6,0)*VLOOKUP('Données projet'!$B$10,'Paramètres'!$A$1:$I$88,7,0))</f>
        <v>0</v>
      </c>
      <c r="AT43" s="155" t="str">
        <f>IF(ISNA(VLOOKUP(A43,'Données projet'!$A$61:$I$81,7,0)),0%,VLOOKUP(A43,'Données projet'!$A$61:$I$81,7,0))</f>
        <v/>
      </c>
      <c r="AU43" s="162">
        <f>EXP(-LN(2)/35)*AU42+(1-EXP(-LN(2)/35))/(LN(2)/35)*AQ43*AR43*VLOOKUP('Données projet'!$B$10,'Paramètres'!$A$1:$I$88,3,0)*0.475*44/12</f>
        <v>0</v>
      </c>
      <c r="AV43" s="162">
        <f>EXP(-LN(2)/25)*AV42+(1-EXP(-LN(2)/25))/(LN(2)/25)*Calculateur!AQ43*Calculateur!AS43*VLOOKUP('Données projet'!$B$10,'Paramètres'!$A$1:$I$88,3,0)*0.475*44/12</f>
        <v>13.82232643</v>
      </c>
      <c r="AW43" s="162">
        <f>EXP(-LN(2)/2)*AW42+(1-EXP(-LN(2)/2))/(LN(2)/2)*AQ43*AT43*VLOOKUP('Données projet'!$B$10,'Paramètres'!$A$1:$I$88,3,0)*0.475*44/12</f>
        <v>0.01811600637</v>
      </c>
      <c r="AX43" s="162">
        <f t="shared" si="7"/>
        <v>13.84044243</v>
      </c>
      <c r="AY43" s="157">
        <f>('Scénario référence'!$F$8+'Scénario référence'!$F$9+'Scénario référence'!$B$17+'Scénario référence'!$B$9+'Scénario référence'!$B$10)*70+IF((45+25*(1-EXP(-0.0175*A43)))&lt;70,'Scénario référence'!$B$16*(45+25*(1-EXP(-0.0175*A43))),70*'Scénario référence'!$B$16)+IF((32+38*(1-EXP(-0.0175*A43)))&lt;70,'Scénario référence'!$B$18*(32+38*(1-EXP(-0.0175*A43))),70*'Scénario référence'!$B$18)</f>
        <v>70</v>
      </c>
      <c r="AZ43" s="151">
        <f>IF(A43&gt;30,10,('Scénario référence'!$B$16+'Scénario référence'!$B$17+'Scénario référence'!$B$18+'Scénario référence'!$B$9+'Scénario référence'!$B$10)*A43*10/30+('Scénario référence'!$F$8+'Scénario référence'!$F$9)*10)</f>
        <v>10</v>
      </c>
      <c r="BA43" s="151" t="str">
        <f>VLOOKUP(A43,'Données projet'!$A$87:$I$107,2,0)</f>
        <v>#N/A</v>
      </c>
      <c r="BB43" s="150" t="str">
        <f>VLOOKUP(A43,'Données projet'!$A$87:$I$107,9,0)</f>
        <v>#N/A</v>
      </c>
      <c r="BC43" s="150" t="str">
        <f t="array" ref="BC43">INDEX(BB:BB,MIN(IF(ISNUMBER(BB43:BB239),ROW(BB43:BB239),"")))</f>
        <v/>
      </c>
      <c r="BD43" s="150">
        <f>IF('Données projet'!$A$88&gt;35,BD42+BC43-BL42,IF(A43&lt;'Données projet'!$A$88,$BA$205^A43,IF(A43='Données projet'!$A$88,'Données projet'!$B$88,BD42+BC43-BL42)))</f>
        <v>0</v>
      </c>
      <c r="BE43" s="150">
        <f>BD43*VLOOKUP('Données projet'!$B$11,'Paramètres'!$A$1:$I$88,3,0)*VLOOKUP('Données projet'!$B$11,'Paramètres'!$A$1:$I$88,5,0)</f>
        <v>0</v>
      </c>
      <c r="BF43" s="150" t="str">
        <f t="shared" si="38"/>
        <v>#NUM!</v>
      </c>
      <c r="BG43" s="161" t="str">
        <f t="shared" si="8"/>
        <v>#NUM!</v>
      </c>
      <c r="BH43" s="153" t="str">
        <f t="shared" si="9"/>
        <v>#NUM!</v>
      </c>
      <c r="BI43" s="153">
        <f>AVERAGE(OFFSET($BH$3,0,0,'Données projet'!$E$11+1,1))-AVERAGE(OFFSET($H$3,0,0,'Données projet'!$E$11+1,1))</f>
        <v>0</v>
      </c>
      <c r="BJ43" s="153">
        <f t="shared" si="39"/>
        <v>0</v>
      </c>
      <c r="BK43" s="154">
        <f>IF(ISNA(VLOOKUP(A43,'Données projet'!$A$87:$I$107,3,0)),0,VLOOKUP(A43,'Données projet'!$A$87:$I$107,3,0))</f>
        <v>0</v>
      </c>
      <c r="BL43" s="154">
        <f>IF(ISNA(VLOOKUP(A43,'Données projet'!$A$87:$I$107,4,0)),0,VLOOKUP(A43,'Données projet'!$A$87:$I$107,4,0))</f>
        <v>0</v>
      </c>
      <c r="BM43" s="155">
        <f>IF(ISNA(VLOOKUP(A43,'Données projet'!$A$87:$I$107,5,0)),0%,VLOOKUP(A43,'Données projet'!$A$87:$I$107,5,0)*VLOOKUP('Données projet'!$B$11,'Paramètres'!$A$1:$I$88,7,0))</f>
        <v>0</v>
      </c>
      <c r="BN43" s="155">
        <f>IF(ISNA(VLOOKUP(A43,'Données projet'!$A$87:$I$107,6,0)),0%,VLOOKUP(A43,'Données projet'!$A$87:$I$107,6,0)*VLOOKUP('Données projet'!$B$11,'Paramètres'!$A$1:$I$88,7,0))</f>
        <v>0</v>
      </c>
      <c r="BO43" s="155">
        <f>IF(ISNA(VLOOKUP(A43,'Données projet'!$A$87:$I$107,7,0)),0%,VLOOKUP(A43,'Données projet'!$A$87:$I$107,7,0))</f>
        <v>0</v>
      </c>
      <c r="BP43" s="162">
        <f>EXP(-LN(2)/35)*BP42+(1-EXP(-LN(2)/35))/(LN(2)/35)*BL43*BM43*VLOOKUP('Données projet'!$B$11,'Paramètres'!$A$1:$I$88,3,0)*0.475*44/12</f>
        <v>0</v>
      </c>
      <c r="BQ43" s="162">
        <f>EXP(-LN(2)/25)*BQ42+(1-EXP(-LN(2)/25))/(LN(2)/25)*Calculateur!BL43*Calculateur!BN43*VLOOKUP('Données projet'!$B$11,'Paramètres'!$A$1:$I$88,3,0)*0.475*44/12</f>
        <v>0</v>
      </c>
      <c r="BR43" s="162">
        <f>EXP(-LN(2)/2)*BR42+(1-EXP(-LN(2)/2))/(LN(2)/2)*BL43*BO43*VLOOKUP('Données projet'!$B$11,'Paramètres'!$A$1:$I$88,3,0)*0.475*44/12</f>
        <v>0</v>
      </c>
      <c r="BS43" s="163">
        <f t="shared" si="10"/>
        <v>0</v>
      </c>
      <c r="BT43" s="159">
        <f>('Scénario référence'!$F$8+'Scénario référence'!$F$9+'Scénario référence'!$B$17+'Scénario référence'!$B$9+'Scénario référence'!$B$10)*70+IF((45+25*(1-EXP(-0.0175*A43)))&lt;70,'Scénario référence'!$B$16*(45+25*(1-EXP(-0.0175*A43))),70*'Scénario référence'!$B$16)+IF((32+38*(1-EXP(-0.0175*A43)))&lt;70,'Scénario référence'!$B$18*(32+38*(1-EXP(-0.0175*A43))),70*'Scénario référence'!$B$18)</f>
        <v>70</v>
      </c>
      <c r="BU43" s="151">
        <f>IF(A43&gt;30,10,('Scénario référence'!$B$16+'Scénario référence'!$B$17+'Scénario référence'!$B$18+'Scénario référence'!$B$9+'Scénario référence'!$B$10)*A43*10/30+('Scénario référence'!$F$8+'Scénario référence'!$F$9)*10)</f>
        <v>10</v>
      </c>
      <c r="BV43" s="151" t="str">
        <f>VLOOKUP(A43,'Données projet'!$A$113:$I$133,2,0)</f>
        <v>#N/A</v>
      </c>
      <c r="BW43" s="150" t="str">
        <f>VLOOKUP(A43,'Données projet'!$A$113:$I$133,9,0)</f>
        <v>#N/A</v>
      </c>
      <c r="BX43" s="150" t="str">
        <f t="array" ref="BX43">INDEX(BW:BW,MIN(IF(ISNUMBER(BW43:BW239),ROW(BW43:BW239),"")))</f>
        <v/>
      </c>
      <c r="BY43" s="150">
        <f>IF('Données projet'!$A$114&gt;35,BY42+BX43-CG42,IF(A43&lt;'Données projet'!$A$114,$BV$205^A43,IF(A43='Données projet'!$A$114,'Données projet'!$B$114,BY42+BX43-CG42)))</f>
        <v>0</v>
      </c>
      <c r="BZ43" s="150" t="str">
        <f>BY43*VLOOKUP('Données projet'!$B$12,'Paramètres'!$A$1:$I$88,3,0)*VLOOKUP('Données projet'!$B$12,'Paramètres'!$A$1:$I$88,5,0)</f>
        <v>#N/A</v>
      </c>
      <c r="CA43" s="150" t="str">
        <f t="shared" si="40"/>
        <v>#N/A</v>
      </c>
      <c r="CB43" s="161" t="str">
        <f t="shared" si="11"/>
        <v>#N/A</v>
      </c>
      <c r="CC43" s="153" t="str">
        <f t="shared" si="12"/>
        <v>#N/A</v>
      </c>
      <c r="CD43" s="153" t="str">
        <f>AVERAGE(OFFSET($CC$3,0,0,'Données projet'!$E$12+1,1))-AVERAGE(OFFSET($H$3,0,0,'Données projet'!$E$12+1,1))</f>
        <v>#N/A</v>
      </c>
      <c r="CE43" s="153" t="str">
        <f t="shared" si="41"/>
        <v>#N/A</v>
      </c>
      <c r="CF43" s="154">
        <f>IF(ISNA(VLOOKUP(A43,'Données projet'!$A$113:$I$133,3,0)),0,VLOOKUP(A43,'Données projet'!$A$113:$I$133,3,0))</f>
        <v>0</v>
      </c>
      <c r="CG43" s="154">
        <f>IF(ISNA(VLOOKUP(A43,'Données projet'!$A$113:$I$133,4,0)),0,VLOOKUP(A43,'Données projet'!$A$113:$I$133,4,0))</f>
        <v>0</v>
      </c>
      <c r="CH43" s="155">
        <f>IF(ISNA(VLOOKUP(A43,'Données projet'!$A$113:$I$133,5,0)),0%,VLOOKUP(A43,'Données projet'!$A$113:$I$133,5,0)*VLOOKUP('Données projet'!$B$12,'Paramètres'!$A$1:$I$88,7,0))</f>
        <v>0</v>
      </c>
      <c r="CI43" s="155">
        <f>IF(ISNA(VLOOKUP(A43,'Données projet'!$A$113:$I$133,6,0)),0%,VLOOKUP(A43,'Données projet'!$A$113:$I$133,6,0)*VLOOKUP('Données projet'!$B$12,'Paramètres'!$A$1:$I$88,7,0))</f>
        <v>0</v>
      </c>
      <c r="CJ43" s="155">
        <f>IF(ISNA(VLOOKUP(A43,'Données projet'!$A$113:$I$133,7,0)),0%,VLOOKUP(A43,'Données projet'!$A$113:$I$133,7,0))</f>
        <v>0</v>
      </c>
      <c r="CK43" s="162" t="str">
        <f>EXP(-LN(2)/35)*CK42+(1-EXP(-LN(2)/35))/(LN(2)/35)*CG43*CH43*VLOOKUP('Données projet'!$B$12,'Paramètres'!$A$1:$I$88,3,0)*0.475*44/12</f>
        <v>#N/A</v>
      </c>
      <c r="CL43" s="162" t="str">
        <f>EXP(-LN(2)/25)*CL42+(1-EXP(-LN(2)/25))/(LN(2)/25)*Calculateur!CG43*Calculateur!CI43*VLOOKUP('Données projet'!$B$12,'Paramètres'!$A$1:$I$88,3,0)*0.475*44/12</f>
        <v>#N/A</v>
      </c>
      <c r="CM43" s="162" t="str">
        <f>EXP(-LN(2)/2)*CM42+(1-EXP(-LN(2)/2))/(LN(2)/2)*CG43*CJ43*VLOOKUP('Données projet'!$B$12,'Paramètres'!$A$1:$I$88,3,0)*0.475*44/12</f>
        <v>#N/A</v>
      </c>
      <c r="CN43" s="163" t="str">
        <f t="shared" si="13"/>
        <v>#N/A</v>
      </c>
      <c r="CO43" s="159">
        <f>('Scénario référence'!$F$8+'Scénario référence'!$F$9+'Scénario référence'!$B$17+'Scénario référence'!$B$9+'Scénario référence'!$B$10)*70+IF((45+25*(1-EXP(-0.0175*A43)))&lt;70,'Scénario référence'!$B$16*(45+25*(1-EXP(-0.0175*A43))),70*'Scénario référence'!$B$16)+IF((32+38*(1-EXP(-0.0175*A43)))&lt;70,'Scénario référence'!$B$18*(32+38*(1-EXP(-0.0175*A43))),70*'Scénario référence'!$B$18)</f>
        <v>70</v>
      </c>
      <c r="CP43" s="151">
        <f>IF(A43&gt;30,10,('Scénario référence'!$B$16+'Scénario référence'!$B$17+'Scénario référence'!$B$18+'Scénario référence'!$B$9+'Scénario référence'!$B$10)*A43*10/30+('Scénario référence'!$F$8+'Scénario référence'!$F$9)*10)</f>
        <v>10</v>
      </c>
      <c r="CQ43" s="151" t="str">
        <f>VLOOKUP(A43,'Données projet'!$A$139:$I$159,2,0)</f>
        <v>#N/A</v>
      </c>
      <c r="CR43" s="151" t="str">
        <f>VLOOKUP(A43,'Données projet'!$A$139:$I$159,9,0)</f>
        <v>#N/A</v>
      </c>
      <c r="CS43" s="151" t="str">
        <f t="array" ref="CS43">INDEX(CR:CR,MIN(IF(ISNUMBER(CR43:CR239),ROW(CR43:CR239),"")))</f>
        <v/>
      </c>
      <c r="CT43" s="151">
        <f>IF('Données projet'!$A$140&gt;35,CT42+CS43-DB42,IF(A43&lt;'Données projet'!$A$140,$CQ$205^A43,IF(A43='Données projet'!$A$140,'Données projet'!$B$140,CT42+CS43-DB42)))</f>
        <v>0</v>
      </c>
      <c r="CU43" s="158" t="str">
        <f>CT43*VLOOKUP('Données projet'!$B$13,'Paramètres'!$A$1:$I$88,3,0)*VLOOKUP('Données projet'!$B$13,'Paramètres'!$A$1:$I$88,5,0)</f>
        <v>#N/A</v>
      </c>
      <c r="CV43" s="150" t="str">
        <f t="shared" si="42"/>
        <v>#N/A</v>
      </c>
      <c r="CW43" s="161" t="str">
        <f t="shared" si="14"/>
        <v>#N/A</v>
      </c>
      <c r="CX43" s="153" t="str">
        <f t="shared" si="15"/>
        <v>#N/A</v>
      </c>
      <c r="CY43" s="153" t="str">
        <f>AVERAGE(OFFSET($CX$3,0,0,'Données projet'!$E$13+1,1))-AVERAGE(OFFSET($H$3,0,0,'Données projet'!$E$13+1,1))</f>
        <v>#N/A</v>
      </c>
      <c r="CZ43" s="153" t="str">
        <f t="shared" si="43"/>
        <v>#N/A</v>
      </c>
      <c r="DA43" s="154">
        <f>IF(ISNA(VLOOKUP(A43,'Données projet'!$A$139:$I$159,3,0)),0,VLOOKUP(A43,'Données projet'!$A$139:$I$159,3,0))</f>
        <v>0</v>
      </c>
      <c r="DB43" s="154">
        <f>IF(ISNA(VLOOKUP(A43,'Données projet'!$A$139:$I$159,4,0)),0,VLOOKUP(A43,'Données projet'!$A$139:$I$159,4,0))</f>
        <v>0</v>
      </c>
      <c r="DC43" s="155">
        <f>IF(ISNA(VLOOKUP(A43,'Données projet'!$A$139:$I$159,5,0)),0%,VLOOKUP(A43,'Données projet'!$A$139:$I$159,5,0)*VLOOKUP('Données projet'!$B$13,'Paramètres'!$A$1:$I$88,7,0))</f>
        <v>0</v>
      </c>
      <c r="DD43" s="155">
        <f>IF(ISNA(VLOOKUP(A43,'Données projet'!$A$139:$I$159,6,0)),0%,VLOOKUP(A43,'Données projet'!$A$139:$I$159,6,0)*VLOOKUP('Données projet'!$B$13,'Paramètres'!$A$1:$I$88,7,0))</f>
        <v>0</v>
      </c>
      <c r="DE43" s="155">
        <f>IF(ISNA(VLOOKUP(A43,'Données projet'!$A$139:$I$159,7,0)),0%,VLOOKUP(A43,'Données projet'!$A$139:$I$159,7,0))</f>
        <v>0</v>
      </c>
      <c r="DF43" s="162" t="str">
        <f>EXP(-LN(2)/35)*DF42+(1-EXP(-LN(2)/35))/(LN(2)/35)*DB43*DC43*VLOOKUP('Données projet'!$B$13,'Paramètres'!$A$1:$I$88,3,0)*0.475*44/12</f>
        <v>#N/A</v>
      </c>
      <c r="DG43" s="162" t="str">
        <f>EXP(-LN(2)/25)*DG42+(1-EXP(-LN(2)/25))/(LN(2)/25)*Calculateur!DB43*Calculateur!DD43*VLOOKUP('Données projet'!$B$13,'Paramètres'!$A$1:$I$88,3,0)*0.475*44/12</f>
        <v>#N/A</v>
      </c>
      <c r="DH43" s="162" t="str">
        <f>EXP(-LN(2)/2)*DH42+(1-EXP(-LN(2)/2))/(LN(2)/2)*DB43*DE43*VLOOKUP('Données projet'!$B$13,'Paramètres'!$A$1:$I$88,3,0)*0.475*44/12</f>
        <v>#N/A</v>
      </c>
      <c r="DI43" s="163" t="str">
        <f t="shared" si="16"/>
        <v>#N/A</v>
      </c>
      <c r="DJ43" s="159">
        <f>('Scénario référence'!$F$8+'Scénario référence'!$F$9+'Scénario référence'!$B$17+'Scénario référence'!$B$9+'Scénario référence'!$B$10)*70+IF((45+25*(1-EXP(-0.0175*A43)))&lt;70,'Scénario référence'!$B$16*(45+25*(1-EXP(-0.0175*A43))),70*'Scénario référence'!$B$16)+IF((32+38*(1-EXP(-0.0175*A43)))&lt;70,'Scénario référence'!$B$18*(32+38*(1-EXP(-0.0175*A43))),70*'Scénario référence'!$B$18)</f>
        <v>70</v>
      </c>
      <c r="DK43" s="151">
        <f>IF(A43&gt;30,10,('Scénario référence'!$B$16+'Scénario référence'!$B$17+'Scénario référence'!$B$18+'Scénario référence'!$B$9+'Scénario référence'!$B$10)*A43*10/30+('Scénario référence'!$F$8+'Scénario référence'!$F$9)*10)</f>
        <v>10</v>
      </c>
      <c r="DL43" s="151" t="str">
        <f>VLOOKUP(A43,'Données projet'!$A$165:$I$185,2,0)</f>
        <v>#N/A</v>
      </c>
      <c r="DM43" s="151" t="str">
        <f>VLOOKUP(A43,'Données projet'!$A$165:$I$185,9,0)</f>
        <v>#N/A</v>
      </c>
      <c r="DN43" s="151" t="str">
        <f t="array" ref="DN43">INDEX(DM:DM,MIN(IF(ISNUMBER(DM43:DM239),ROW(DM43:DM239),"")))</f>
        <v/>
      </c>
      <c r="DO43" s="151">
        <f>IF('Données projet'!$A$166&gt;35,DO42+DN43-DW42,IF(A43&lt;'Données projet'!$A$166,$DL$205^A43,IF(A43='Données projet'!$A$166,'Données projet'!$B$166,DO42+DN43-DW42)))</f>
        <v>0</v>
      </c>
      <c r="DP43" s="158" t="str">
        <f>DO43*VLOOKUP('Données projet'!$B$14,'Paramètres'!$A$1:$I$88,3,0)*VLOOKUP('Données projet'!$B$14,'Paramètres'!$A$1:$I$88,5,0)</f>
        <v>#N/A</v>
      </c>
      <c r="DQ43" s="150" t="str">
        <f t="shared" si="44"/>
        <v>#N/A</v>
      </c>
      <c r="DR43" s="161" t="str">
        <f t="shared" si="17"/>
        <v>#N/A</v>
      </c>
      <c r="DS43" s="153" t="str">
        <f t="shared" si="18"/>
        <v>#N/A</v>
      </c>
      <c r="DT43" s="153" t="str">
        <f>AVERAGE(OFFSET($DS$3,0,0,'Données projet'!$E$14+1,1))-AVERAGE(OFFSET($H$3,0,0,'Données projet'!$E$14+1,1))</f>
        <v>#N/A</v>
      </c>
      <c r="DU43" s="153" t="str">
        <f t="shared" si="45"/>
        <v>#N/A</v>
      </c>
      <c r="DV43" s="154">
        <f>IF(ISNA(VLOOKUP(A43,'Données projet'!$A$165:$I$185,3,0)),0,VLOOKUP(A43,'Données projet'!$A$165:$I$185,3,0))</f>
        <v>0</v>
      </c>
      <c r="DW43" s="154">
        <f>IF(ISNA(VLOOKUP(A43,'Données projet'!$A$165:$I$185,4,0)),0,VLOOKUP(A43,'Données projet'!$A$165:$I$185,4,0))</f>
        <v>0</v>
      </c>
      <c r="DX43" s="155">
        <f>IF(ISNA(VLOOKUP(A43,'Données projet'!$A$165:$I$185,5,0)),0%,VLOOKUP(A43,'Données projet'!$A$165:$I$185,5,0)*VLOOKUP('Données projet'!$B$14,'Paramètres'!$A$1:$I$88,7,0))</f>
        <v>0</v>
      </c>
      <c r="DY43" s="155">
        <f>IF(ISNA(VLOOKUP(A43,'Données projet'!$A$165:$I$185,6,0)),0%,VLOOKUP(A43,'Données projet'!$A$165:$I$185,6,0)*VLOOKUP('Données projet'!$B$14,'Paramètres'!$A$1:$I$88,7,0))</f>
        <v>0</v>
      </c>
      <c r="DZ43" s="155">
        <f>IF(ISNA(VLOOKUP(A43,'Données projet'!$A$165:$I$185,7,0)),0%,VLOOKUP(A43,'Données projet'!$A$165:$I$185,7,0))</f>
        <v>0</v>
      </c>
      <c r="EA43" s="162" t="str">
        <f>EXP(-LN(2)/35)*EA42+(1-EXP(-LN(2)/35))/(LN(2)/35)*DW43*DX43*VLOOKUP('Données projet'!$B$14,'Paramètres'!$A$1:$I$88,3,0)*0.475*44/12</f>
        <v>#N/A</v>
      </c>
      <c r="EB43" s="162" t="str">
        <f>EXP(-LN(2)/25)*EB42+(1-EXP(-LN(2)/25))/(LN(2)/25)*Calculateur!DW43*Calculateur!DY43*VLOOKUP('Données projet'!$B$14,'Paramètres'!$A$1:$I$88,3,0)*0.475*44/12</f>
        <v>#N/A</v>
      </c>
      <c r="EC43" s="162" t="str">
        <f>EXP(-LN(2)/2)*EC42+(1-EXP(-LN(2)/2))/(LN(2)/2)*DW43*DZ43*VLOOKUP('Données projet'!$B$14,'Paramètres'!$A$1:$I$88,3,0)*0.475*44/12</f>
        <v>#N/A</v>
      </c>
      <c r="ED43" s="163" t="str">
        <f t="shared" si="19"/>
        <v>#N/A</v>
      </c>
      <c r="EE43" s="159">
        <f>('Scénario référence'!$F$8+'Scénario référence'!$F$9+'Scénario référence'!$B$17+'Scénario référence'!$B$9+'Scénario référence'!$B$10)*70+IF((45+25*(1-EXP(-0.0175*A43)))&lt;70,'Scénario référence'!$B$16*(45+25*(1-EXP(-0.0175*A43))),70*'Scénario référence'!$B$16)+IF((32+38*(1-EXP(-0.0175*A43)))&lt;70,'Scénario référence'!$B$18*(32+38*(1-EXP(-0.0175*A43))),70*'Scénario référence'!$B$18)</f>
        <v>70</v>
      </c>
      <c r="EF43" s="151">
        <f>IF(A43&gt;30,10,('Scénario référence'!$B$16+'Scénario référence'!$B$17+'Scénario référence'!$B$18+'Scénario référence'!$B$9+'Scénario référence'!$B$10)*A43*10/30+('Scénario référence'!$F$8+'Scénario référence'!$F$9)*10)</f>
        <v>10</v>
      </c>
      <c r="EG43" s="151" t="str">
        <f>VLOOKUP(A43,'Données projet'!$A$191:$I$211,2,0)</f>
        <v>#N/A</v>
      </c>
      <c r="EH43" s="151" t="str">
        <f>VLOOKUP(A43,'Données projet'!$A$191:$I$211,9,0)</f>
        <v>#N/A</v>
      </c>
      <c r="EI43" s="151" t="str">
        <f t="array" ref="EI43">INDEX(EH:EH,MIN(IF(ISNUMBER(EH43:EH239),ROW(EH43:EH239),"")))</f>
        <v/>
      </c>
      <c r="EJ43" s="151">
        <f>IF('Données projet'!$A$192&gt;35,EJ42+EI43-ER42,IF(A43&lt;'Données projet'!$A$192,$EG$205^A43,IF(A43='Données projet'!$A$192,'Données projet'!$B$192,EJ42+EI43-ER42)))</f>
        <v>0</v>
      </c>
      <c r="EK43" s="158" t="str">
        <f>EJ43*VLOOKUP('Données projet'!$B$15,'Paramètres'!$A$1:$I$88,3,0)*VLOOKUP('Données projet'!$B$15,'Paramètres'!$A$1:$I$88,5,0)</f>
        <v>#N/A</v>
      </c>
      <c r="EL43" s="150" t="str">
        <f t="shared" si="46"/>
        <v>#N/A</v>
      </c>
      <c r="EM43" s="161" t="str">
        <f t="shared" si="20"/>
        <v>#N/A</v>
      </c>
      <c r="EN43" s="153" t="str">
        <f t="shared" si="21"/>
        <v>#N/A</v>
      </c>
      <c r="EO43" s="153" t="str">
        <f>AVERAGE(OFFSET($EN$3,0,0,'Données projet'!$E$15+1,1))-AVERAGE(OFFSET($H$3,0,0,'Données projet'!$E$15+1,1))</f>
        <v>#N/A</v>
      </c>
      <c r="EP43" s="153" t="str">
        <f t="shared" si="47"/>
        <v>#N/A</v>
      </c>
      <c r="EQ43" s="154">
        <f>IF(ISNA(VLOOKUP(A43,'Données projet'!$A$191:$I$211,3,0)),0,VLOOKUP(A43,'Données projet'!$A$191:$I$211,3,0))</f>
        <v>0</v>
      </c>
      <c r="ER43" s="154">
        <f>IF(ISNA(VLOOKUP(A43,'Données projet'!$A$191:$I$211,4,0)),0,VLOOKUP(A43,'Données projet'!$A$191:$I$211,4,0))</f>
        <v>0</v>
      </c>
      <c r="ES43" s="155">
        <f>IF(ISNA(VLOOKUP(A43,'Données projet'!$A$191:$I$211,5,0)),0%,VLOOKUP(A43,'Données projet'!$A$191:$I$211,5,0)*VLOOKUP('Données projet'!$B$15,'Paramètres'!$A$1:$I$88,7,0))</f>
        <v>0</v>
      </c>
      <c r="ET43" s="155">
        <f>IF(ISNA(VLOOKUP(A43,'Données projet'!$A$191:$I$211,6,0)),0%,VLOOKUP(A43,'Données projet'!$A$191:$I$211,6,0)*VLOOKUP('Données projet'!$B$15,'Paramètres'!$A$1:$I$88,7,0))</f>
        <v>0</v>
      </c>
      <c r="EU43" s="155">
        <f>IF(ISNA(VLOOKUP(A43,'Données projet'!$A$191:$I$211,7,0)),0%,VLOOKUP(A43,'Données projet'!$A$191:$I$211,7,0))</f>
        <v>0</v>
      </c>
      <c r="EV43" s="162" t="str">
        <f>EXP(-LN(2)/35)*EV42+(1-EXP(-LN(2)/35))/(LN(2)/35)*ER43*ES43*VLOOKUP('Données projet'!$B$15,'Paramètres'!$A$1:$I$88,3,0)*0.475*44/12</f>
        <v>#N/A</v>
      </c>
      <c r="EW43" s="162" t="str">
        <f>EXP(-LN(2)/25)*EW42+(1-EXP(-LN(2)/25))/(LN(2)/25)*Calculateur!ER43*Calculateur!ET43*VLOOKUP('Données projet'!$B$15,'Paramètres'!$A$1:$I$88,3,0)*0.475*44/12</f>
        <v>#N/A</v>
      </c>
      <c r="EX43" s="162" t="str">
        <f>EXP(-LN(2)/2)*EX42+(1-EXP(-LN(2)/2))/(LN(2)/2)*ER43*EU43*VLOOKUP('Données projet'!$B$15,'Paramètres'!$A$1:$I$88,3,0)*0.475*44/12</f>
        <v>#N/A</v>
      </c>
      <c r="EY43" s="163" t="str">
        <f t="shared" si="22"/>
        <v>#N/A</v>
      </c>
      <c r="EZ43" s="159">
        <f>('Scénario référence'!$F$8+'Scénario référence'!$F$9+'Scénario référence'!$B$17+'Scénario référence'!$B$9+'Scénario référence'!$B$10)*70+IF((45+25*(1-EXP(-0.0175*A43)))&lt;70,'Scénario référence'!$B$16*(45+25*(1-EXP(-0.0175*A43))),70*'Scénario référence'!$B$16)+IF((32+38*(1-EXP(-0.0175*A43)))&lt;70,'Scénario référence'!$B$18*(32+38*(1-EXP(-0.0175*A43))),70*'Scénario référence'!$B$18)</f>
        <v>70</v>
      </c>
      <c r="FA43" s="151">
        <f>IF(A43&gt;30,10,('Scénario référence'!$B$16+'Scénario référence'!$B$17+'Scénario référence'!$B$18+'Scénario référence'!$B$9+'Scénario référence'!$B$10)*A43*10/30+('Scénario référence'!$F$8+'Scénario référence'!$F$9)*10)</f>
        <v>10</v>
      </c>
      <c r="FB43" s="151" t="str">
        <f>VLOOKUP(A43,'Données projet'!$A$217:$I$237,2,0)</f>
        <v>#N/A</v>
      </c>
      <c r="FC43" s="151" t="str">
        <f>VLOOKUP(A43,'Données projet'!$A$217:$I$237,9,0)</f>
        <v>#N/A</v>
      </c>
      <c r="FD43" s="151" t="str">
        <f t="array" ref="FD43">INDEX(FC:FC,MIN(IF(ISNUMBER(FC43:FC239),ROW(FC43:FC239),"")))</f>
        <v/>
      </c>
      <c r="FE43" s="151">
        <f>IF('Données projet'!$A$218&gt;35,FE42+FD43-FM42,IF(A43&lt;'Données projet'!$A$218,$FB$205^A43,IF(A43='Données projet'!$A$218,'Données projet'!$B$218,FE42+FD43-FM42)))</f>
        <v>0</v>
      </c>
      <c r="FF43" s="158" t="str">
        <f>FE43*VLOOKUP('Données projet'!$B$16,'Paramètres'!$A$1:$I$88,3,0)*VLOOKUP('Données projet'!$B$16,'Paramètres'!$A$1:$I$88,5,0)</f>
        <v>#N/A</v>
      </c>
      <c r="FG43" s="150" t="str">
        <f t="shared" si="48"/>
        <v>#N/A</v>
      </c>
      <c r="FH43" s="161" t="str">
        <f t="shared" si="23"/>
        <v>#N/A</v>
      </c>
      <c r="FI43" s="153" t="str">
        <f t="shared" si="24"/>
        <v>#N/A</v>
      </c>
      <c r="FJ43" s="153" t="str">
        <f>AVERAGE(OFFSET($FI$3,0,0,'Données projet'!$E$16+1,1))-AVERAGE(OFFSET($H$3,0,0,'Données projet'!$E$16+1,1))</f>
        <v>#N/A</v>
      </c>
      <c r="FK43" s="153" t="str">
        <f t="shared" si="49"/>
        <v>#N/A</v>
      </c>
      <c r="FL43" s="154">
        <f>IF(ISNA(VLOOKUP(A43,'Données projet'!$A$217:$I$237,3,0)),0,VLOOKUP(A43,'Données projet'!$A$217:$I$237,3,0))</f>
        <v>0</v>
      </c>
      <c r="FM43" s="154">
        <f>IF(ISNA(VLOOKUP(A43,'Données projet'!$A$217:$I$237,4,0)),0,VLOOKUP(A43,'Données projet'!$A$217:$I$237,4,0))</f>
        <v>0</v>
      </c>
      <c r="FN43" s="155">
        <f>IF(ISNA(VLOOKUP(A43,'Données projet'!$A$217:$I$237,5,0)),0%,VLOOKUP(A43,'Données projet'!$A$217:$I$237,5,0)*VLOOKUP('Données projet'!$B$16,'Paramètres'!$A$1:$I$88,7,0))</f>
        <v>0</v>
      </c>
      <c r="FO43" s="155">
        <f>IF(ISNA(VLOOKUP(A43,'Données projet'!$A$217:$I$237,6,0)),0%,VLOOKUP(A43,'Données projet'!$A$217:$I$237,6,0)*VLOOKUP('Données projet'!$B$16,'Paramètres'!$A$1:$I$88,7,0))</f>
        <v>0</v>
      </c>
      <c r="FP43" s="155">
        <f>IF(ISNA(VLOOKUP(A43,'Données projet'!$A$217:$I$237,7,0)),0%,VLOOKUP(A43,'Données projet'!$A$217:$I$237,7,0))</f>
        <v>0</v>
      </c>
      <c r="FQ43" s="162" t="str">
        <f>EXP(-LN(2)/35)*FQ42+(1-EXP(-LN(2)/35))/(LN(2)/35)*FM43*FN43*VLOOKUP('Données projet'!$B$16,'Paramètres'!$A$1:$I$88,3,0)*0.475*44/12</f>
        <v>#N/A</v>
      </c>
      <c r="FR43" s="162" t="str">
        <f>EXP(-LN(2)/25)*FR42+(1-EXP(-LN(2)/25))/(LN(2)/25)*Calculateur!FM43*Calculateur!FO43*VLOOKUP('Données projet'!$B$16,'Paramètres'!$A$1:$I$88,3,0)*0.475*44/12</f>
        <v>#N/A</v>
      </c>
      <c r="FS43" s="162" t="str">
        <f>EXP(-LN(2)/2)*FS42+(1-EXP(-LN(2)/2))/(LN(2)/2)*FM43*FP43*VLOOKUP('Données projet'!$B$16,'Paramètres'!$A$1:$I$88,3,0)*0.475*44/12</f>
        <v>#N/A</v>
      </c>
      <c r="FT43" s="163" t="str">
        <f t="shared" si="25"/>
        <v>#N/A</v>
      </c>
      <c r="FU43" s="159">
        <f>('Scénario référence'!$F$8+'Scénario référence'!$F$9+'Scénario référence'!$B$17+'Scénario référence'!$B$9+'Scénario référence'!$B$10)*70+IF((45+25*(1-EXP(-0.0175*A43)))&lt;70,'Scénario référence'!$B$16*(45+25*(1-EXP(-0.0175*A43))),70*'Scénario référence'!$B$16)+IF((32+38*(1-EXP(-0.0175*A43)))&lt;70,'Scénario référence'!$B$18*(32+38*(1-EXP(-0.0175*A43))),70*'Scénario référence'!$B$18)</f>
        <v>70</v>
      </c>
      <c r="FV43" s="151">
        <f>IF(A43&gt;30,10,('Scénario référence'!$B$16+'Scénario référence'!$B$17+'Scénario référence'!$B$18+'Scénario référence'!$B$9+'Scénario référence'!$B$10)*A43*10/30+('Scénario référence'!$F$8+'Scénario référence'!$F$9)*10)</f>
        <v>10</v>
      </c>
      <c r="FW43" s="151" t="str">
        <f>VLOOKUP(A43,'Données projet'!$A$243:$I$263,2,0)</f>
        <v>#N/A</v>
      </c>
      <c r="FX43" s="151" t="str">
        <f>VLOOKUP(A43,'Données projet'!$A$243:$I$263,9,0)</f>
        <v>#N/A</v>
      </c>
      <c r="FY43" s="151" t="str">
        <f t="array" ref="FY43">INDEX(FX:FX,MIN(IF(ISNUMBER(FX43:FX239),ROW(FX43:FX239),"")))</f>
        <v/>
      </c>
      <c r="FZ43" s="151">
        <f>IF('Données projet'!$A$244&gt;35,FZ42+FY43-GH42,IF(A43&lt;'Données projet'!$A$244,$FW$205^A43,IF(A43='Données projet'!$A$244,'Données projet'!$B$244,FZ42+FY43-GH42)))</f>
        <v>0</v>
      </c>
      <c r="GA43" s="158" t="str">
        <f>FZ43*VLOOKUP('Données projet'!$B$17,'Paramètres'!$A$1:$I$88,3,0)*VLOOKUP('Données projet'!$B$17,'Paramètres'!$A$1:$I$88,5,0)</f>
        <v>#N/A</v>
      </c>
      <c r="GB43" s="150" t="str">
        <f t="shared" si="50"/>
        <v>#N/A</v>
      </c>
      <c r="GC43" s="161" t="str">
        <f t="shared" si="26"/>
        <v>#N/A</v>
      </c>
      <c r="GD43" s="153" t="str">
        <f t="shared" si="27"/>
        <v>#N/A</v>
      </c>
      <c r="GE43" s="153" t="str">
        <f>AVERAGE(OFFSET($GD$3,0,0,'Données projet'!$E$17+1,1))-AVERAGE(OFFSET($H$3,0,0,'Données projet'!$E$17+1,1))</f>
        <v>#N/A</v>
      </c>
      <c r="GF43" s="153" t="str">
        <f t="shared" si="51"/>
        <v>#N/A</v>
      </c>
      <c r="GG43" s="154">
        <f>IF(ISNA(VLOOKUP(A43,'Données projet'!$A$243:$I$263,3,0)),0,VLOOKUP(A43,'Données projet'!$A$243:$I$263,3,0))</f>
        <v>0</v>
      </c>
      <c r="GH43" s="154">
        <f>IF(ISNA(VLOOKUP(A43,'Données projet'!$A$243:$I$263,4,0)),0,VLOOKUP(A43,'Données projet'!$A$243:$I$263,4,0))</f>
        <v>0</v>
      </c>
      <c r="GI43" s="155">
        <f>IF(ISNA(VLOOKUP(A43,'Données projet'!$A$243:$I$263,5,0)),0%,VLOOKUP(A43,'Données projet'!$A$243:$I$263,5,0)*VLOOKUP('Données projet'!$B$17,'Paramètres'!$A$1:$I$88,7,0))</f>
        <v>0</v>
      </c>
      <c r="GJ43" s="155">
        <f>IF(ISNA(VLOOKUP(A43,'Données projet'!$A$243:$I$263,6,0)),0%,VLOOKUP(A43,'Données projet'!$A$243:$I$263,6,0)*VLOOKUP('Données projet'!$B$17,'Paramètres'!$A$1:$I$88,7,0))</f>
        <v>0</v>
      </c>
      <c r="GK43" s="155">
        <f>IF(ISNA(VLOOKUP(A43,'Données projet'!$A$243:$I$263,7,0)),0%,VLOOKUP(A43,'Données projet'!$A$243:$I$263,7,0))</f>
        <v>0</v>
      </c>
      <c r="GL43" s="162" t="str">
        <f>EXP(-LN(2)/35)*GL42+(1-EXP(-LN(2)/35))/(LN(2)/35)*GH43*GI43*VLOOKUP('Données projet'!$B$17,'Paramètres'!$A$1:$I$88,3,0)*0.475*44/12</f>
        <v>#N/A</v>
      </c>
      <c r="GM43" s="162" t="str">
        <f>EXP(-LN(2)/25)*GM42+(1-EXP(-LN(2)/25))/(LN(2)/25)*Calculateur!GH43*Calculateur!GJ43*VLOOKUP('Données projet'!$B$17,'Paramètres'!$A$1:$I$88,3,0)*0.475*44/12</f>
        <v>#N/A</v>
      </c>
      <c r="GN43" s="162" t="str">
        <f>EXP(-LN(2)/2)*GN42+(1-EXP(-LN(2)/2))/(LN(2)/2)*GH43*GK43*VLOOKUP('Données projet'!$B$17,'Paramètres'!$A$1:$I$88,3,0)*0.475*44/12</f>
        <v>#N/A</v>
      </c>
      <c r="GO43" s="162" t="str">
        <f t="shared" si="28"/>
        <v>#N/A</v>
      </c>
      <c r="GP43" s="159">
        <f>('Scénario référence'!$F$8+'Scénario référence'!$F$9+'Scénario référence'!$B$17+'Scénario référence'!$B$9+'Scénario référence'!$B$10)*70+IF((45+25*(1-EXP(-0.0175*A43)))&lt;70,'Scénario référence'!$B$16*(45+25*(1-EXP(-0.0175*A43))),70*'Scénario référence'!$B$16)+IF((32+38*(1-EXP(-0.0175*A43)))&lt;70,'Scénario référence'!$B$18*(32+38*(1-EXP(-0.0175*A43))),70*'Scénario référence'!$B$18)</f>
        <v>70</v>
      </c>
      <c r="GQ43" s="151">
        <f>IF(A43&gt;30,10,('Scénario référence'!$B$16+'Scénario référence'!$B$17+'Scénario référence'!$B$18+'Scénario référence'!$B$9+'Scénario référence'!$B$10)*A43*10/30+('Scénario référence'!$F$8+'Scénario référence'!$F$9)*10)</f>
        <v>10</v>
      </c>
      <c r="GR43" s="151" t="str">
        <f>VLOOKUP(A43,'Données projet'!$A$269:$I$289,2,0)</f>
        <v>#N/A</v>
      </c>
      <c r="GS43" s="151" t="str">
        <f>VLOOKUP(A43,'Données projet'!$A$269:$I$289,9,0)</f>
        <v>#N/A</v>
      </c>
      <c r="GT43" s="151" t="str">
        <f t="array" ref="GT43">INDEX(GS:GS,MIN(IF(ISNUMBER(GS43:GS239),ROW(GS43:GS239),"")))</f>
        <v/>
      </c>
      <c r="GU43" s="151">
        <f>IF('Données projet'!$A$270&gt;35,GU42+GT43-HC42,IF(A43&lt;'Données projet'!$A$270,$GR$205^A43,IF(A43='Données projet'!$A$270,'Données projet'!$B$270,GU42+GT43-HC42)))</f>
        <v>0</v>
      </c>
      <c r="GV43" s="158" t="str">
        <f>GU43*VLOOKUP('Données projet'!$B$18,'Paramètres'!$A$1:$I$88,3,0)*VLOOKUP('Données projet'!$B$18,'Paramètres'!$A$1:$I$88,5,0)</f>
        <v>#N/A</v>
      </c>
      <c r="GW43" s="150" t="str">
        <f t="shared" si="52"/>
        <v>#N/A</v>
      </c>
      <c r="GX43" s="161" t="str">
        <f t="shared" si="29"/>
        <v>#N/A</v>
      </c>
      <c r="GY43" s="153" t="str">
        <f t="shared" si="30"/>
        <v>#N/A</v>
      </c>
      <c r="GZ43" s="153" t="str">
        <f>AVERAGE(OFFSET($GY$3,0,0,'Données projet'!$E$18+1,1))-AVERAGE(OFFSET($H$3,0,0,'Données projet'!$E$18+1,1))</f>
        <v>#N/A</v>
      </c>
      <c r="HA43" s="153" t="str">
        <f t="shared" si="53"/>
        <v>#N/A</v>
      </c>
      <c r="HB43" s="154">
        <f>IF(ISNA(VLOOKUP(A43,'Données projet'!$A$269:$I$289,3,0)),0,VLOOKUP(A43,'Données projet'!$A$269:$I$289,3,0))</f>
        <v>0</v>
      </c>
      <c r="HC43" s="154">
        <f>IF(ISNA(VLOOKUP(A43,'Données projet'!$A$269:$I$289,4,0)),0,VLOOKUP(A43,'Données projet'!$A$269:$I$289,4,0))</f>
        <v>0</v>
      </c>
      <c r="HD43" s="155">
        <f>IF(ISNA(VLOOKUP(A43,'Données projet'!$A$269:$I$289,5,0)),0%,VLOOKUP(A43,'Données projet'!$A$269:$I$289,5,0)*VLOOKUP('Données projet'!$B$18,'Paramètres'!$A$1:$I$88,7,0))</f>
        <v>0</v>
      </c>
      <c r="HE43" s="155">
        <f>IF(ISNA(VLOOKUP(A43,'Données projet'!$A$269:$I$289,6,0)),0%,VLOOKUP(A43,'Données projet'!$A$269:$I$289,6,0)*VLOOKUP('Données projet'!$B$18,'Paramètres'!$A$1:$I$88,7,0))</f>
        <v>0</v>
      </c>
      <c r="HF43" s="155">
        <f>IF(ISNA(VLOOKUP(A43,'Données projet'!$A$269:$I$289,7,0)),0%,VLOOKUP(A43,'Données projet'!$A$269:$I$289,7,0))</f>
        <v>0</v>
      </c>
      <c r="HG43" s="162" t="str">
        <f>EXP(-LN(2)/35)*HG42+(1-EXP(-LN(2)/35))/(LN(2)/35)*HC43*HD43*VLOOKUP('Données projet'!$B$18,'Paramètres'!$A$1:$I$88,3,0)*0.475*44/12</f>
        <v>#N/A</v>
      </c>
      <c r="HH43" s="162" t="str">
        <f>EXP(-LN(2)/25)*HH42+(1-EXP(-LN(2)/25))/(LN(2)/25)*Calculateur!HC43*Calculateur!HE43*VLOOKUP('Données projet'!$B$18,'Paramètres'!$A$1:$I$88,3,0)*0.475*44/12</f>
        <v>#N/A</v>
      </c>
      <c r="HI43" s="162" t="str">
        <f>EXP(-LN(2)/2)*HI42+(1-EXP(-LN(2)/2))/(LN(2)/2)*HC43*HF43*VLOOKUP('Données projet'!$B$18,'Paramètres'!$A$1:$I$88,3,0)*0.475*44/12</f>
        <v>#N/A</v>
      </c>
      <c r="HJ43" s="163" t="str">
        <f t="shared" si="31"/>
        <v>#N/A</v>
      </c>
    </row>
    <row r="44" ht="15.75" customHeight="1">
      <c r="A44" s="145">
        <f t="shared" si="32"/>
        <v>41</v>
      </c>
      <c r="B44" s="146">
        <f>'Scénario référence'!$B$16*5+'Scénario référence'!$B$17*0+'Scénario référence'!$B$18*5</f>
        <v>0</v>
      </c>
      <c r="C44" s="160">
        <f>Calculateur!C43+'Scénario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44" s="147">
        <f t="shared" si="33"/>
        <v>0</v>
      </c>
      <c r="E44" s="147">
        <f>'Scénario référence'!$B$16*45+('Scénario référence'!$B$17+'Scénario référence'!$F$8+'Scénario référence'!$F$9+'Scénario référence'!$B$10+'Scénario référence'!$B$9)*70+'Scénario référence'!$B$18*32</f>
        <v>70</v>
      </c>
      <c r="F44" s="147">
        <f>IF(OR('Scénario référence'!$F$8&gt;0,'Scénario référence'!$F$9&gt;0),('Scénario référence'!$F$8+'Scénario référence'!$F$9)*10,0)</f>
        <v>0</v>
      </c>
      <c r="G44" s="147">
        <f>'Scénario référence'!$B$8*B44*44/12+'Scénario référence'!$B$9*(C44+D44)/0.475*44/12+'Scénario référence'!$B$10*(C44+D44)/0.475*44/12+'Scénario référence'!$F$8*(C44+D44)/0.475*44/12+'Scénario référence'!$F$9*(C44+D44)/0.475*44/12</f>
        <v>0</v>
      </c>
      <c r="H44" s="148">
        <f t="shared" si="1"/>
        <v>256.6666667</v>
      </c>
      <c r="I44" s="149">
        <f>('Scénario référence'!$F$8+'Scénario référence'!$F$9+'Scénario référence'!$B$17+'Scénario référence'!$B$9+'Scénario référence'!$B$10)*70+IF((45+25*(1-EXP(-0.0175*A44)))&lt;70,'Scénario référence'!$B$16*(45+25*(1-EXP(-0.0175*A44))),70*'Scénario référence'!$B$16)+IF((32+38*(1-EXP(-0.0175*A44)))&lt;70,'Scénario référence'!$B$18*(32+38*(1-EXP(-0.0175*A44))),70*'Scénario référence'!$B$18)</f>
        <v>70</v>
      </c>
      <c r="J44" s="150">
        <f>IF(A44&gt;30,10,('Scénario référence'!$B$16+'Scénario référence'!$B$17+'Scénario référence'!$B$18+'Scénario référence'!$B$9+'Scénario référence'!$B$10)*A44*10/30+('Scénario référence'!$F$8+'Scénario référence'!$F$9)*10)</f>
        <v>10</v>
      </c>
      <c r="K44" s="151" t="str">
        <f>VLOOKUP(A44,'Données projet'!$A$35:$I$55,2,0)</f>
        <v>#N/A</v>
      </c>
      <c r="L44" s="151" t="str">
        <f>VLOOKUP(A44,'Données projet'!$A$35:$I$55,9,0)</f>
        <v>#N/A</v>
      </c>
      <c r="M44" s="150">
        <f t="array" ref="M44">INDEX(L:L,MIN(IF(ISNUMBER(L44:L240),ROW(L44:L240),"")))</f>
        <v>11.4</v>
      </c>
      <c r="N44" s="150">
        <f>IF('Données projet'!$A$36&gt;35,N43+M44-V43,IF(A44&lt;'Données projet'!$A$36,$K$205^A44,IF(A44='Données projet'!$A$36,'Données projet'!$B$36,N43+M44-V43)))</f>
        <v>158.4</v>
      </c>
      <c r="O44" s="150">
        <f>N44*VLOOKUP('Données projet'!$B$9,'Paramètres'!$A$1:$I$88,3,0)*VLOOKUP('Données projet'!$B$9,'Paramètres'!$A$1:$I$88,5,0)</f>
        <v>143.32032</v>
      </c>
      <c r="P44" s="150">
        <f t="shared" si="34"/>
        <v>37.05660342</v>
      </c>
      <c r="Q44" s="161">
        <f t="shared" si="2"/>
        <v>314.156475</v>
      </c>
      <c r="R44" s="153">
        <f t="shared" si="3"/>
        <v>607.4898083</v>
      </c>
      <c r="S44" s="153">
        <f>AVERAGE(OFFSET($R$3,0,0,'Données projet'!$E$9+1,1))-AVERAGE(OFFSET($H$3,0,0,'Données projet'!$E$9+1,1))</f>
        <v>439.1985427</v>
      </c>
      <c r="T44" s="153">
        <f t="shared" si="35"/>
        <v>278.2174123</v>
      </c>
      <c r="U44" s="154">
        <f>IF(ISNA(VLOOKUP(A44,'Données projet'!$A$35:$I$55,3,0)),0,VLOOKUP(A44,'Données projet'!$A$35:$I$55,3,0))</f>
        <v>0</v>
      </c>
      <c r="V44" s="154">
        <f>IF(ISNA(VLOOKUP(A44,'Données projet'!$A$35:$I$55,4,0)),0,VLOOKUP(A44,'Données projet'!$A$35:$I$55,4,0))</f>
        <v>0</v>
      </c>
      <c r="W44" s="155">
        <f>IF(ISNA(VLOOKUP(A44,'Données projet'!$A$35:$I$55,5,0)),0%,VLOOKUP(A44,'Données projet'!$A$35:$I$55,5,0)*VLOOKUP('Données projet'!$B$9,'Paramètres'!$A$1:$I$88,7,0))</f>
        <v>0</v>
      </c>
      <c r="X44" s="155">
        <f>IF(ISNA(VLOOKUP(A44,'Données projet'!$A$35:$I$55,6,0)),0%,VLOOKUP(A44,'Données projet'!$A$35:$I$55,6,0)*VLOOKUP('Données projet'!$B$9,'Paramètres'!$A$1:$I$88,7,0))</f>
        <v>0</v>
      </c>
      <c r="Y44" s="155">
        <f>IF(ISNA(VLOOKUP(A44,'Données projet'!$A$35:$I$55,7,0)),0%,VLOOKUP(A44,'Données projet'!$A$35:$I$55,7,0))</f>
        <v>0</v>
      </c>
      <c r="Z44" s="162">
        <f>EXP(-LN(2)/35)*Z43+(1-EXP(-LN(2)/35))/(LN(2)/35)*V44*W44*VLOOKUP('Données projet'!$B$9,'Paramètres'!$A$1:$I$88,3,0)*0.475*44/12</f>
        <v>0</v>
      </c>
      <c r="AA44" s="162">
        <f>EXP(-LN(2)/25)*AA43+(1-EXP(-LN(2)/25))/(LN(2)/25)*Calculateur!V44*Calculateur!X44*VLOOKUP('Données projet'!$B$9,'Paramètres'!$A$1:$I$88,3,0)*0.475*44/12</f>
        <v>3.307951099</v>
      </c>
      <c r="AB44" s="162">
        <f>EXP(-LN(2)/2)*AB43+(1-EXP(-LN(2)/2))/(LN(2)/2)*V44*Y44*VLOOKUP('Données projet'!$B$9,'Paramètres'!$A$1:$I$88,3,0)*0.475*44/12</f>
        <v>0</v>
      </c>
      <c r="AC44" s="163">
        <f t="shared" si="4"/>
        <v>3.307951099</v>
      </c>
      <c r="AD44" s="150">
        <f>('Scénario référence'!$F$8+'Scénario référence'!$F$9+'Scénario référence'!$B$17+'Scénario référence'!$B$9+'Scénario référence'!$B$10)*70+IF((45+25*(1-EXP(-0.0175*A44)))&lt;70,'Scénario référence'!$B$16*(45+25*(1-EXP(-0.0175*A44))),70*'Scénario référence'!$B$16)+IF((32+38*(1-EXP(-0.0175*A44)))&lt;70,'Scénario référence'!$B$18*(32+38*(1-EXP(-0.0175*A44))),70*'Scénario référence'!$B$18)</f>
        <v>70</v>
      </c>
      <c r="AE44" s="150">
        <f>IF(A44&gt;30,10,('Scénario référence'!$B$16+'Scénario référence'!$B$17+'Scénario référence'!$B$18+'Scénario référence'!$B$9+'Scénario référence'!$B$10)*A44*10/30+('Scénario référence'!$F$8+'Scénario référence'!$F$9)*10)</f>
        <v>10</v>
      </c>
      <c r="AF44" s="151" t="str">
        <f>VLOOKUP(A44,'Données projet'!$A$61:$I$81,2,0)</f>
        <v>#N/A</v>
      </c>
      <c r="AG44" s="151" t="str">
        <f>VLOOKUP(A44,'Données projet'!$A$61:$I$81,9,0)</f>
        <v>#N/A</v>
      </c>
      <c r="AH44" s="150">
        <f t="array" ref="AH44">INDEX(AG:AG,MIN(IF(ISNUMBER(AG44:AG240),ROW(AG44:AG240),"")))</f>
        <v>11.4</v>
      </c>
      <c r="AI44" s="150">
        <f>IF('Données projet'!$A$62&gt;35,AI43+AH44-AQ43,IF(A44&lt;'Données projet'!$A$62,$AF$205^A44,IF(A44='Données projet'!$A$62,'Données projet'!$B$62,AI43+AH44-AQ43)))</f>
        <v>234.4</v>
      </c>
      <c r="AJ44" s="150">
        <f>AI44*VLOOKUP('Données projet'!$B$10,'Paramètres'!$A$1:$I$88,3,0)*VLOOKUP('Données projet'!$B$10,'Paramètres'!$A$1:$I$88,5,0)</f>
        <v>186.48864</v>
      </c>
      <c r="AK44" s="150">
        <f t="shared" si="36"/>
        <v>46.76280022</v>
      </c>
      <c r="AL44" s="161">
        <f t="shared" si="5"/>
        <v>406.2462584</v>
      </c>
      <c r="AM44" s="153">
        <f t="shared" si="6"/>
        <v>699.5795917</v>
      </c>
      <c r="AN44" s="153">
        <f>AVERAGE(OFFSET($AM$3,0,0,'Données projet'!$E$10+1,1))-AVERAGE(OFFSET($H$3,0,0,'Données projet'!$E$10+1,1))</f>
        <v>405.6113614</v>
      </c>
      <c r="AO44" s="153">
        <f t="shared" si="37"/>
        <v>393.0787141</v>
      </c>
      <c r="AP44" s="154">
        <f>IF(ISNA(VLOOKUP(A44,'Données projet'!$A$61:$I$81,3,0)),0,VLOOKUP(A44,'Données projet'!$A$61:$I$81,3,0))</f>
        <v>0</v>
      </c>
      <c r="AQ44" s="154">
        <f>IF(ISNA(VLOOKUP(A44,'Données projet'!$A$61:$I$81,4,0)),0,VLOOKUP(A44,'Données projet'!$A$61:$I$81,4,0))</f>
        <v>0</v>
      </c>
      <c r="AR44" s="155">
        <f>IF(ISNA(VLOOKUP(A44,'Données projet'!$A$61:$I$81,5,0)),0%,VLOOKUP(A44,'Données projet'!$A$61:$I$81,5,0)*VLOOKUP('Données projet'!$B$10,'Paramètres'!$A$1:$I$88,7,0))</f>
        <v>0</v>
      </c>
      <c r="AS44" s="155">
        <f>IF(ISNA(VLOOKUP(A44,'Données projet'!$A$61:$I$81,6,0)),0%,VLOOKUP(A44,'Données projet'!$A$61:$I$81,6,0)*VLOOKUP('Données projet'!$B$10,'Paramètres'!$A$1:$I$88,7,0))</f>
        <v>0</v>
      </c>
      <c r="AT44" s="155">
        <f>IF(ISNA(VLOOKUP(A44,'Données projet'!$A$61:$I$81,7,0)),0%,VLOOKUP(A44,'Données projet'!$A$61:$I$81,7,0))</f>
        <v>0</v>
      </c>
      <c r="AU44" s="162">
        <f>EXP(-LN(2)/35)*AU43+(1-EXP(-LN(2)/35))/(LN(2)/35)*AQ44*AR44*VLOOKUP('Données projet'!$B$10,'Paramètres'!$A$1:$I$88,3,0)*0.475*44/12</f>
        <v>0</v>
      </c>
      <c r="AV44" s="162">
        <f>EXP(-LN(2)/25)*AV43+(1-EXP(-LN(2)/25))/(LN(2)/25)*Calculateur!AQ44*Calculateur!AS44*VLOOKUP('Données projet'!$B$10,'Paramètres'!$A$1:$I$88,3,0)*0.475*44/12</f>
        <v>13.44435418</v>
      </c>
      <c r="AW44" s="162">
        <f>EXP(-LN(2)/2)*AW43+(1-EXP(-LN(2)/2))/(LN(2)/2)*AQ44*AT44*VLOOKUP('Données projet'!$B$10,'Paramètres'!$A$1:$I$88,3,0)*0.475*44/12</f>
        <v>0.01280995095</v>
      </c>
      <c r="AX44" s="162">
        <f t="shared" si="7"/>
        <v>13.45716413</v>
      </c>
      <c r="AY44" s="157">
        <f>('Scénario référence'!$F$8+'Scénario référence'!$F$9+'Scénario référence'!$B$17+'Scénario référence'!$B$9+'Scénario référence'!$B$10)*70+IF((45+25*(1-EXP(-0.0175*A44)))&lt;70,'Scénario référence'!$B$16*(45+25*(1-EXP(-0.0175*A44))),70*'Scénario référence'!$B$16)+IF((32+38*(1-EXP(-0.0175*A44)))&lt;70,'Scénario référence'!$B$18*(32+38*(1-EXP(-0.0175*A44))),70*'Scénario référence'!$B$18)</f>
        <v>70</v>
      </c>
      <c r="AZ44" s="151">
        <f>IF(A44&gt;30,10,('Scénario référence'!$B$16+'Scénario référence'!$B$17+'Scénario référence'!$B$18+'Scénario référence'!$B$9+'Scénario référence'!$B$10)*A44*10/30+('Scénario référence'!$F$8+'Scénario référence'!$F$9)*10)</f>
        <v>10</v>
      </c>
      <c r="BA44" s="151" t="str">
        <f>VLOOKUP(A44,'Données projet'!$A$87:$I$107,2,0)</f>
        <v>#N/A</v>
      </c>
      <c r="BB44" s="151" t="str">
        <f>VLOOKUP(A44,'Données projet'!$A$87:$I$107,9,0)</f>
        <v>#N/A</v>
      </c>
      <c r="BC44" s="150" t="str">
        <f t="array" ref="BC44">INDEX(BB:BB,MIN(IF(ISNUMBER(BB44:BB240),ROW(BB44:BB240),"")))</f>
        <v/>
      </c>
      <c r="BD44" s="150">
        <f>IF('Données projet'!$A$88&gt;35,BD43+BC44-BL43,IF(A44&lt;'Données projet'!$A$88,$BA$205^A44,IF(A44='Données projet'!$A$88,'Données projet'!$B$88,BD43+BC44-BL43)))</f>
        <v>0</v>
      </c>
      <c r="BE44" s="150">
        <f>BD44*VLOOKUP('Données projet'!$B$11,'Paramètres'!$A$1:$I$88,3,0)*VLOOKUP('Données projet'!$B$11,'Paramètres'!$A$1:$I$88,5,0)</f>
        <v>0</v>
      </c>
      <c r="BF44" s="150" t="str">
        <f t="shared" si="38"/>
        <v>#NUM!</v>
      </c>
      <c r="BG44" s="161" t="str">
        <f t="shared" si="8"/>
        <v>#NUM!</v>
      </c>
      <c r="BH44" s="153" t="str">
        <f t="shared" si="9"/>
        <v>#NUM!</v>
      </c>
      <c r="BI44" s="153">
        <f>AVERAGE(OFFSET($BH$3,0,0,'Données projet'!$E$11+1,1))-AVERAGE(OFFSET($H$3,0,0,'Données projet'!$E$11+1,1))</f>
        <v>0</v>
      </c>
      <c r="BJ44" s="153">
        <f t="shared" si="39"/>
        <v>0</v>
      </c>
      <c r="BK44" s="154">
        <f>IF(ISNA(VLOOKUP(A44,'Données projet'!$A$87:$I$107,3,0)),0,VLOOKUP(A44,'Données projet'!$A$87:$I$107,3,0))</f>
        <v>0</v>
      </c>
      <c r="BL44" s="154">
        <f>IF(ISNA(VLOOKUP(A44,'Données projet'!$A$87:$I$107,4,0)),0,VLOOKUP(A44,'Données projet'!$A$87:$I$107,4,0))</f>
        <v>0</v>
      </c>
      <c r="BM44" s="155">
        <f>IF(ISNA(VLOOKUP(A44,'Données projet'!$A$87:$I$107,5,0)),0%,VLOOKUP(A44,'Données projet'!$A$87:$I$107,5,0)*VLOOKUP('Données projet'!$B$11,'Paramètres'!$A$1:$I$88,7,0))</f>
        <v>0</v>
      </c>
      <c r="BN44" s="155">
        <f>IF(ISNA(VLOOKUP(A44,'Données projet'!$A$87:$I$107,6,0)),0%,VLOOKUP(A44,'Données projet'!$A$87:$I$107,6,0)*VLOOKUP('Données projet'!$B$11,'Paramètres'!$A$1:$I$88,7,0))</f>
        <v>0</v>
      </c>
      <c r="BO44" s="155">
        <f>IF(ISNA(VLOOKUP(A44,'Données projet'!$A$87:$I$107,7,0)),0%,VLOOKUP(A44,'Données projet'!$A$87:$I$107,7,0))</f>
        <v>0</v>
      </c>
      <c r="BP44" s="162">
        <f>EXP(-LN(2)/35)*BP43+(1-EXP(-LN(2)/35))/(LN(2)/35)*BL44*BM44*VLOOKUP('Données projet'!$B$11,'Paramètres'!$A$1:$I$88,3,0)*0.475*44/12</f>
        <v>0</v>
      </c>
      <c r="BQ44" s="162">
        <f>EXP(-LN(2)/25)*BQ43+(1-EXP(-LN(2)/25))/(LN(2)/25)*Calculateur!BL44*Calculateur!BN44*VLOOKUP('Données projet'!$B$11,'Paramètres'!$A$1:$I$88,3,0)*0.475*44/12</f>
        <v>0</v>
      </c>
      <c r="BR44" s="162">
        <f>EXP(-LN(2)/2)*BR43+(1-EXP(-LN(2)/2))/(LN(2)/2)*BL44*BO44*VLOOKUP('Données projet'!$B$11,'Paramètres'!$A$1:$I$88,3,0)*0.475*44/12</f>
        <v>0</v>
      </c>
      <c r="BS44" s="163">
        <f t="shared" si="10"/>
        <v>0</v>
      </c>
      <c r="BT44" s="159">
        <f>('Scénario référence'!$F$8+'Scénario référence'!$F$9+'Scénario référence'!$B$17+'Scénario référence'!$B$9+'Scénario référence'!$B$10)*70+IF((45+25*(1-EXP(-0.0175*A44)))&lt;70,'Scénario référence'!$B$16*(45+25*(1-EXP(-0.0175*A44))),70*'Scénario référence'!$B$16)+IF((32+38*(1-EXP(-0.0175*A44)))&lt;70,'Scénario référence'!$B$18*(32+38*(1-EXP(-0.0175*A44))),70*'Scénario référence'!$B$18)</f>
        <v>70</v>
      </c>
      <c r="BU44" s="151">
        <f>IF(A44&gt;30,10,('Scénario référence'!$B$16+'Scénario référence'!$B$17+'Scénario référence'!$B$18+'Scénario référence'!$B$9+'Scénario référence'!$B$10)*A44*10/30+('Scénario référence'!$F$8+'Scénario référence'!$F$9)*10)</f>
        <v>10</v>
      </c>
      <c r="BV44" s="151" t="str">
        <f>VLOOKUP(A44,'Données projet'!$A$113:$I$133,2,0)</f>
        <v>#N/A</v>
      </c>
      <c r="BW44" s="151" t="str">
        <f>VLOOKUP(A44,'Données projet'!$A$113:$I$133,9,0)</f>
        <v>#N/A</v>
      </c>
      <c r="BX44" s="150" t="str">
        <f t="array" ref="BX44">INDEX(BW:BW,MIN(IF(ISNUMBER(BW44:BW240),ROW(BW44:BW240),"")))</f>
        <v/>
      </c>
      <c r="BY44" s="150">
        <f>IF('Données projet'!$A$114&gt;35,BY43+BX44-CG43,IF(A44&lt;'Données projet'!$A$114,$BV$205^A44,IF(A44='Données projet'!$A$114,'Données projet'!$B$114,BY43+BX44-CG43)))</f>
        <v>0</v>
      </c>
      <c r="BZ44" s="150" t="str">
        <f>BY44*VLOOKUP('Données projet'!$B$12,'Paramètres'!$A$1:$I$88,3,0)*VLOOKUP('Données projet'!$B$12,'Paramètres'!$A$1:$I$88,5,0)</f>
        <v>#N/A</v>
      </c>
      <c r="CA44" s="150" t="str">
        <f t="shared" si="40"/>
        <v>#N/A</v>
      </c>
      <c r="CB44" s="161" t="str">
        <f t="shared" si="11"/>
        <v>#N/A</v>
      </c>
      <c r="CC44" s="153" t="str">
        <f t="shared" si="12"/>
        <v>#N/A</v>
      </c>
      <c r="CD44" s="153" t="str">
        <f>AVERAGE(OFFSET($CC$3,0,0,'Données projet'!$E$12+1,1))-AVERAGE(OFFSET($H$3,0,0,'Données projet'!$E$12+1,1))</f>
        <v>#N/A</v>
      </c>
      <c r="CE44" s="153" t="str">
        <f t="shared" si="41"/>
        <v>#N/A</v>
      </c>
      <c r="CF44" s="154">
        <f>IF(ISNA(VLOOKUP(A44,'Données projet'!$A$113:$I$133,3,0)),0,VLOOKUP(A44,'Données projet'!$A$113:$I$133,3,0))</f>
        <v>0</v>
      </c>
      <c r="CG44" s="154">
        <f>IF(ISNA(VLOOKUP(A44,'Données projet'!$A$113:$I$133,4,0)),0,VLOOKUP(A44,'Données projet'!$A$113:$I$133,4,0))</f>
        <v>0</v>
      </c>
      <c r="CH44" s="155">
        <f>IF(ISNA(VLOOKUP(A44,'Données projet'!$A$113:$I$133,5,0)),0%,VLOOKUP(A44,'Données projet'!$A$113:$I$133,5,0)*VLOOKUP('Données projet'!$B$12,'Paramètres'!$A$1:$I$88,7,0))</f>
        <v>0</v>
      </c>
      <c r="CI44" s="155">
        <f>IF(ISNA(VLOOKUP(A44,'Données projet'!$A$113:$I$133,6,0)),0%,VLOOKUP(A44,'Données projet'!$A$113:$I$133,6,0)*VLOOKUP('Données projet'!$B$12,'Paramètres'!$A$1:$I$88,7,0))</f>
        <v>0</v>
      </c>
      <c r="CJ44" s="155">
        <f>IF(ISNA(VLOOKUP(A44,'Données projet'!$A$113:$I$133,7,0)),0%,VLOOKUP(A44,'Données projet'!$A$113:$I$133,7,0))</f>
        <v>0</v>
      </c>
      <c r="CK44" s="162" t="str">
        <f>EXP(-LN(2)/35)*CK43+(1-EXP(-LN(2)/35))/(LN(2)/35)*CG44*CH44*VLOOKUP('Données projet'!$B$12,'Paramètres'!$A$1:$I$88,3,0)*0.475*44/12</f>
        <v>#N/A</v>
      </c>
      <c r="CL44" s="162" t="str">
        <f>EXP(-LN(2)/25)*CL43+(1-EXP(-LN(2)/25))/(LN(2)/25)*Calculateur!CG44*Calculateur!CI44*VLOOKUP('Données projet'!$B$12,'Paramètres'!$A$1:$I$88,3,0)*0.475*44/12</f>
        <v>#N/A</v>
      </c>
      <c r="CM44" s="162" t="str">
        <f>EXP(-LN(2)/2)*CM43+(1-EXP(-LN(2)/2))/(LN(2)/2)*CG44*CJ44*VLOOKUP('Données projet'!$B$12,'Paramètres'!$A$1:$I$88,3,0)*0.475*44/12</f>
        <v>#N/A</v>
      </c>
      <c r="CN44" s="163" t="str">
        <f t="shared" si="13"/>
        <v>#N/A</v>
      </c>
      <c r="CO44" s="159">
        <f>('Scénario référence'!$F$8+'Scénario référence'!$F$9+'Scénario référence'!$B$17+'Scénario référence'!$B$9+'Scénario référence'!$B$10)*70+IF((45+25*(1-EXP(-0.0175*A44)))&lt;70,'Scénario référence'!$B$16*(45+25*(1-EXP(-0.0175*A44))),70*'Scénario référence'!$B$16)+IF((32+38*(1-EXP(-0.0175*A44)))&lt;70,'Scénario référence'!$B$18*(32+38*(1-EXP(-0.0175*A44))),70*'Scénario référence'!$B$18)</f>
        <v>70</v>
      </c>
      <c r="CP44" s="151">
        <f>IF(A44&gt;30,10,('Scénario référence'!$B$16+'Scénario référence'!$B$17+'Scénario référence'!$B$18+'Scénario référence'!$B$9+'Scénario référence'!$B$10)*A44*10/30+('Scénario référence'!$F$8+'Scénario référence'!$F$9)*10)</f>
        <v>10</v>
      </c>
      <c r="CQ44" s="151" t="str">
        <f>VLOOKUP(A44,'Données projet'!$A$139:$I$159,2,0)</f>
        <v>#N/A</v>
      </c>
      <c r="CR44" s="151" t="str">
        <f>VLOOKUP(A44,'Données projet'!$A$139:$I$159,9,0)</f>
        <v>#N/A</v>
      </c>
      <c r="CS44" s="151" t="str">
        <f t="array" ref="CS44">INDEX(CR:CR,MIN(IF(ISNUMBER(CR44:CR240),ROW(CR44:CR240),"")))</f>
        <v/>
      </c>
      <c r="CT44" s="151">
        <f>IF('Données projet'!$A$140&gt;35,CT43+CS44-DB43,IF(A44&lt;'Données projet'!$A$140,$CQ$205^A44,IF(A44='Données projet'!$A$140,'Données projet'!$B$140,CT43+CS44-DB43)))</f>
        <v>0</v>
      </c>
      <c r="CU44" s="158" t="str">
        <f>CT44*VLOOKUP('Données projet'!$B$13,'Paramètres'!$A$1:$I$88,3,0)*VLOOKUP('Données projet'!$B$13,'Paramètres'!$A$1:$I$88,5,0)</f>
        <v>#N/A</v>
      </c>
      <c r="CV44" s="150" t="str">
        <f t="shared" si="42"/>
        <v>#N/A</v>
      </c>
      <c r="CW44" s="161" t="str">
        <f t="shared" si="14"/>
        <v>#N/A</v>
      </c>
      <c r="CX44" s="153" t="str">
        <f t="shared" si="15"/>
        <v>#N/A</v>
      </c>
      <c r="CY44" s="153" t="str">
        <f>AVERAGE(OFFSET($CX$3,0,0,'Données projet'!$E$13+1,1))-AVERAGE(OFFSET($H$3,0,0,'Données projet'!$E$13+1,1))</f>
        <v>#N/A</v>
      </c>
      <c r="CZ44" s="153" t="str">
        <f t="shared" si="43"/>
        <v>#N/A</v>
      </c>
      <c r="DA44" s="154">
        <f>IF(ISNA(VLOOKUP(A44,'Données projet'!$A$139:$I$159,3,0)),0,VLOOKUP(A44,'Données projet'!$A$139:$I$159,3,0))</f>
        <v>0</v>
      </c>
      <c r="DB44" s="154">
        <f>IF(ISNA(VLOOKUP(A44,'Données projet'!$A$139:$I$159,4,0)),0,VLOOKUP(A44,'Données projet'!$A$139:$I$159,4,0))</f>
        <v>0</v>
      </c>
      <c r="DC44" s="155">
        <f>IF(ISNA(VLOOKUP(A44,'Données projet'!$A$139:$I$159,5,0)),0%,VLOOKUP(A44,'Données projet'!$A$139:$I$159,5,0)*VLOOKUP('Données projet'!$B$13,'Paramètres'!$A$1:$I$88,7,0))</f>
        <v>0</v>
      </c>
      <c r="DD44" s="155">
        <f>IF(ISNA(VLOOKUP(A44,'Données projet'!$A$139:$I$159,6,0)),0%,VLOOKUP(A44,'Données projet'!$A$139:$I$159,6,0)*VLOOKUP('Données projet'!$B$13,'Paramètres'!$A$1:$I$88,7,0))</f>
        <v>0</v>
      </c>
      <c r="DE44" s="155">
        <f>IF(ISNA(VLOOKUP(A44,'Données projet'!$A$139:$I$159,7,0)),0%,VLOOKUP(A44,'Données projet'!$A$139:$I$159,7,0))</f>
        <v>0</v>
      </c>
      <c r="DF44" s="162" t="str">
        <f>EXP(-LN(2)/35)*DF43+(1-EXP(-LN(2)/35))/(LN(2)/35)*DB44*DC44*VLOOKUP('Données projet'!$B$13,'Paramètres'!$A$1:$I$88,3,0)*0.475*44/12</f>
        <v>#N/A</v>
      </c>
      <c r="DG44" s="162" t="str">
        <f>EXP(-LN(2)/25)*DG43+(1-EXP(-LN(2)/25))/(LN(2)/25)*Calculateur!DB44*Calculateur!DD44*VLOOKUP('Données projet'!$B$13,'Paramètres'!$A$1:$I$88,3,0)*0.475*44/12</f>
        <v>#N/A</v>
      </c>
      <c r="DH44" s="162" t="str">
        <f>EXP(-LN(2)/2)*DH43+(1-EXP(-LN(2)/2))/(LN(2)/2)*DB44*DE44*VLOOKUP('Données projet'!$B$13,'Paramètres'!$A$1:$I$88,3,0)*0.475*44/12</f>
        <v>#N/A</v>
      </c>
      <c r="DI44" s="163" t="str">
        <f t="shared" si="16"/>
        <v>#N/A</v>
      </c>
      <c r="DJ44" s="159">
        <f>('Scénario référence'!$F$8+'Scénario référence'!$F$9+'Scénario référence'!$B$17+'Scénario référence'!$B$9+'Scénario référence'!$B$10)*70+IF((45+25*(1-EXP(-0.0175*A44)))&lt;70,'Scénario référence'!$B$16*(45+25*(1-EXP(-0.0175*A44))),70*'Scénario référence'!$B$16)+IF((32+38*(1-EXP(-0.0175*A44)))&lt;70,'Scénario référence'!$B$18*(32+38*(1-EXP(-0.0175*A44))),70*'Scénario référence'!$B$18)</f>
        <v>70</v>
      </c>
      <c r="DK44" s="151">
        <f>IF(A44&gt;30,10,('Scénario référence'!$B$16+'Scénario référence'!$B$17+'Scénario référence'!$B$18+'Scénario référence'!$B$9+'Scénario référence'!$B$10)*A44*10/30+('Scénario référence'!$F$8+'Scénario référence'!$F$9)*10)</f>
        <v>10</v>
      </c>
      <c r="DL44" s="151" t="str">
        <f>VLOOKUP(A44,'Données projet'!$A$165:$I$185,2,0)</f>
        <v>#N/A</v>
      </c>
      <c r="DM44" s="151" t="str">
        <f>VLOOKUP(A44,'Données projet'!$A$165:$I$185,9,0)</f>
        <v>#N/A</v>
      </c>
      <c r="DN44" s="151" t="str">
        <f t="array" ref="DN44">INDEX(DM:DM,MIN(IF(ISNUMBER(DM44:DM240),ROW(DM44:DM240),"")))</f>
        <v/>
      </c>
      <c r="DO44" s="151">
        <f>IF('Données projet'!$A$166&gt;35,DO43+DN44-DW43,IF(A44&lt;'Données projet'!$A$166,$DL$205^A44,IF(A44='Données projet'!$A$166,'Données projet'!$B$166,DO43+DN44-DW43)))</f>
        <v>0</v>
      </c>
      <c r="DP44" s="158" t="str">
        <f>DO44*VLOOKUP('Données projet'!$B$14,'Paramètres'!$A$1:$I$88,3,0)*VLOOKUP('Données projet'!$B$14,'Paramètres'!$A$1:$I$88,5,0)</f>
        <v>#N/A</v>
      </c>
      <c r="DQ44" s="150" t="str">
        <f t="shared" si="44"/>
        <v>#N/A</v>
      </c>
      <c r="DR44" s="161" t="str">
        <f t="shared" si="17"/>
        <v>#N/A</v>
      </c>
      <c r="DS44" s="153" t="str">
        <f t="shared" si="18"/>
        <v>#N/A</v>
      </c>
      <c r="DT44" s="153" t="str">
        <f>AVERAGE(OFFSET($DS$3,0,0,'Données projet'!$E$14+1,1))-AVERAGE(OFFSET($H$3,0,0,'Données projet'!$E$14+1,1))</f>
        <v>#N/A</v>
      </c>
      <c r="DU44" s="153" t="str">
        <f t="shared" si="45"/>
        <v>#N/A</v>
      </c>
      <c r="DV44" s="154">
        <f>IF(ISNA(VLOOKUP(A44,'Données projet'!$A$165:$I$185,3,0)),0,VLOOKUP(A44,'Données projet'!$A$165:$I$185,3,0))</f>
        <v>0</v>
      </c>
      <c r="DW44" s="154">
        <f>IF(ISNA(VLOOKUP(A44,'Données projet'!$A$165:$I$185,4,0)),0,VLOOKUP(A44,'Données projet'!$A$165:$I$185,4,0))</f>
        <v>0</v>
      </c>
      <c r="DX44" s="155">
        <f>IF(ISNA(VLOOKUP(A44,'Données projet'!$A$165:$I$185,5,0)),0%,VLOOKUP(A44,'Données projet'!$A$165:$I$185,5,0)*VLOOKUP('Données projet'!$B$14,'Paramètres'!$A$1:$I$88,7,0))</f>
        <v>0</v>
      </c>
      <c r="DY44" s="155">
        <f>IF(ISNA(VLOOKUP(A44,'Données projet'!$A$165:$I$185,6,0)),0%,VLOOKUP(A44,'Données projet'!$A$165:$I$185,6,0)*VLOOKUP('Données projet'!$B$14,'Paramètres'!$A$1:$I$88,7,0))</f>
        <v>0</v>
      </c>
      <c r="DZ44" s="155">
        <f>IF(ISNA(VLOOKUP(A44,'Données projet'!$A$165:$I$185,7,0)),0%,VLOOKUP(A44,'Données projet'!$A$165:$I$185,7,0))</f>
        <v>0</v>
      </c>
      <c r="EA44" s="162" t="str">
        <f>EXP(-LN(2)/35)*EA43+(1-EXP(-LN(2)/35))/(LN(2)/35)*DW44*DX44*VLOOKUP('Données projet'!$B$14,'Paramètres'!$A$1:$I$88,3,0)*0.475*44/12</f>
        <v>#N/A</v>
      </c>
      <c r="EB44" s="162" t="str">
        <f>EXP(-LN(2)/25)*EB43+(1-EXP(-LN(2)/25))/(LN(2)/25)*Calculateur!DW44*Calculateur!DY44*VLOOKUP('Données projet'!$B$14,'Paramètres'!$A$1:$I$88,3,0)*0.475*44/12</f>
        <v>#N/A</v>
      </c>
      <c r="EC44" s="162" t="str">
        <f>EXP(-LN(2)/2)*EC43+(1-EXP(-LN(2)/2))/(LN(2)/2)*DW44*DZ44*VLOOKUP('Données projet'!$B$14,'Paramètres'!$A$1:$I$88,3,0)*0.475*44/12</f>
        <v>#N/A</v>
      </c>
      <c r="ED44" s="163" t="str">
        <f t="shared" si="19"/>
        <v>#N/A</v>
      </c>
      <c r="EE44" s="159">
        <f>('Scénario référence'!$F$8+'Scénario référence'!$F$9+'Scénario référence'!$B$17+'Scénario référence'!$B$9+'Scénario référence'!$B$10)*70+IF((45+25*(1-EXP(-0.0175*A44)))&lt;70,'Scénario référence'!$B$16*(45+25*(1-EXP(-0.0175*A44))),70*'Scénario référence'!$B$16)+IF((32+38*(1-EXP(-0.0175*A44)))&lt;70,'Scénario référence'!$B$18*(32+38*(1-EXP(-0.0175*A44))),70*'Scénario référence'!$B$18)</f>
        <v>70</v>
      </c>
      <c r="EF44" s="151">
        <f>IF(A44&gt;30,10,('Scénario référence'!$B$16+'Scénario référence'!$B$17+'Scénario référence'!$B$18+'Scénario référence'!$B$9+'Scénario référence'!$B$10)*A44*10/30+('Scénario référence'!$F$8+'Scénario référence'!$F$9)*10)</f>
        <v>10</v>
      </c>
      <c r="EG44" s="151" t="str">
        <f>VLOOKUP(A44,'Données projet'!$A$191:$I$211,2,0)</f>
        <v>#N/A</v>
      </c>
      <c r="EH44" s="151" t="str">
        <f>VLOOKUP(A44,'Données projet'!$A$191:$I$211,9,0)</f>
        <v>#N/A</v>
      </c>
      <c r="EI44" s="151" t="str">
        <f t="array" ref="EI44">INDEX(EH:EH,MIN(IF(ISNUMBER(EH44:EH240),ROW(EH44:EH240),"")))</f>
        <v/>
      </c>
      <c r="EJ44" s="151">
        <f>IF('Données projet'!$A$192&gt;35,EJ43+EI44-ER43,IF(A44&lt;'Données projet'!$A$192,$EG$205^A44,IF(A44='Données projet'!$A$192,'Données projet'!$B$192,EJ43+EI44-ER43)))</f>
        <v>0</v>
      </c>
      <c r="EK44" s="158" t="str">
        <f>EJ44*VLOOKUP('Données projet'!$B$15,'Paramètres'!$A$1:$I$88,3,0)*VLOOKUP('Données projet'!$B$15,'Paramètres'!$A$1:$I$88,5,0)</f>
        <v>#N/A</v>
      </c>
      <c r="EL44" s="150" t="str">
        <f t="shared" si="46"/>
        <v>#N/A</v>
      </c>
      <c r="EM44" s="161" t="str">
        <f t="shared" si="20"/>
        <v>#N/A</v>
      </c>
      <c r="EN44" s="153" t="str">
        <f t="shared" si="21"/>
        <v>#N/A</v>
      </c>
      <c r="EO44" s="153" t="str">
        <f>AVERAGE(OFFSET($EN$3,0,0,'Données projet'!$E$15+1,1))-AVERAGE(OFFSET($H$3,0,0,'Données projet'!$E$15+1,1))</f>
        <v>#N/A</v>
      </c>
      <c r="EP44" s="153" t="str">
        <f t="shared" si="47"/>
        <v>#N/A</v>
      </c>
      <c r="EQ44" s="154">
        <f>IF(ISNA(VLOOKUP(A44,'Données projet'!$A$191:$I$211,3,0)),0,VLOOKUP(A44,'Données projet'!$A$191:$I$211,3,0))</f>
        <v>0</v>
      </c>
      <c r="ER44" s="154">
        <f>IF(ISNA(VLOOKUP(A44,'Données projet'!$A$191:$I$211,4,0)),0,VLOOKUP(A44,'Données projet'!$A$191:$I$211,4,0))</f>
        <v>0</v>
      </c>
      <c r="ES44" s="155">
        <f>IF(ISNA(VLOOKUP(A44,'Données projet'!$A$191:$I$211,5,0)),0%,VLOOKUP(A44,'Données projet'!$A$191:$I$211,5,0)*VLOOKUP('Données projet'!$B$15,'Paramètres'!$A$1:$I$88,7,0))</f>
        <v>0</v>
      </c>
      <c r="ET44" s="155">
        <f>IF(ISNA(VLOOKUP(A44,'Données projet'!$A$191:$I$211,6,0)),0%,VLOOKUP(A44,'Données projet'!$A$191:$I$211,6,0)*VLOOKUP('Données projet'!$B$15,'Paramètres'!$A$1:$I$88,7,0))</f>
        <v>0</v>
      </c>
      <c r="EU44" s="155">
        <f>IF(ISNA(VLOOKUP(A44,'Données projet'!$A$191:$I$211,7,0)),0%,VLOOKUP(A44,'Données projet'!$A$191:$I$211,7,0))</f>
        <v>0</v>
      </c>
      <c r="EV44" s="162" t="str">
        <f>EXP(-LN(2)/35)*EV43+(1-EXP(-LN(2)/35))/(LN(2)/35)*ER44*ES44*VLOOKUP('Données projet'!$B$15,'Paramètres'!$A$1:$I$88,3,0)*0.475*44/12</f>
        <v>#N/A</v>
      </c>
      <c r="EW44" s="162" t="str">
        <f>EXP(-LN(2)/25)*EW43+(1-EXP(-LN(2)/25))/(LN(2)/25)*Calculateur!ER44*Calculateur!ET44*VLOOKUP('Données projet'!$B$15,'Paramètres'!$A$1:$I$88,3,0)*0.475*44/12</f>
        <v>#N/A</v>
      </c>
      <c r="EX44" s="162" t="str">
        <f>EXP(-LN(2)/2)*EX43+(1-EXP(-LN(2)/2))/(LN(2)/2)*ER44*EU44*VLOOKUP('Données projet'!$B$15,'Paramètres'!$A$1:$I$88,3,0)*0.475*44/12</f>
        <v>#N/A</v>
      </c>
      <c r="EY44" s="163" t="str">
        <f t="shared" si="22"/>
        <v>#N/A</v>
      </c>
      <c r="EZ44" s="159">
        <f>('Scénario référence'!$F$8+'Scénario référence'!$F$9+'Scénario référence'!$B$17+'Scénario référence'!$B$9+'Scénario référence'!$B$10)*70+IF((45+25*(1-EXP(-0.0175*A44)))&lt;70,'Scénario référence'!$B$16*(45+25*(1-EXP(-0.0175*A44))),70*'Scénario référence'!$B$16)+IF((32+38*(1-EXP(-0.0175*A44)))&lt;70,'Scénario référence'!$B$18*(32+38*(1-EXP(-0.0175*A44))),70*'Scénario référence'!$B$18)</f>
        <v>70</v>
      </c>
      <c r="FA44" s="151">
        <f>IF(A44&gt;30,10,('Scénario référence'!$B$16+'Scénario référence'!$B$17+'Scénario référence'!$B$18+'Scénario référence'!$B$9+'Scénario référence'!$B$10)*A44*10/30+('Scénario référence'!$F$8+'Scénario référence'!$F$9)*10)</f>
        <v>10</v>
      </c>
      <c r="FB44" s="151" t="str">
        <f>VLOOKUP(A44,'Données projet'!$A$217:$I$237,2,0)</f>
        <v>#N/A</v>
      </c>
      <c r="FC44" s="151" t="str">
        <f>VLOOKUP(A44,'Données projet'!$A$217:$I$237,9,0)</f>
        <v>#N/A</v>
      </c>
      <c r="FD44" s="151" t="str">
        <f t="array" ref="FD44">INDEX(FC:FC,MIN(IF(ISNUMBER(FC44:FC240),ROW(FC44:FC240),"")))</f>
        <v/>
      </c>
      <c r="FE44" s="151">
        <f>IF('Données projet'!$A$218&gt;35,FE43+FD44-FM43,IF(A44&lt;'Données projet'!$A$218,$FB$205^A44,IF(A44='Données projet'!$A$218,'Données projet'!$B$218,FE43+FD44-FM43)))</f>
        <v>0</v>
      </c>
      <c r="FF44" s="158" t="str">
        <f>FE44*VLOOKUP('Données projet'!$B$16,'Paramètres'!$A$1:$I$88,3,0)*VLOOKUP('Données projet'!$B$16,'Paramètres'!$A$1:$I$88,5,0)</f>
        <v>#N/A</v>
      </c>
      <c r="FG44" s="150" t="str">
        <f t="shared" si="48"/>
        <v>#N/A</v>
      </c>
      <c r="FH44" s="161" t="str">
        <f t="shared" si="23"/>
        <v>#N/A</v>
      </c>
      <c r="FI44" s="153" t="str">
        <f t="shared" si="24"/>
        <v>#N/A</v>
      </c>
      <c r="FJ44" s="153" t="str">
        <f>AVERAGE(OFFSET($FI$3,0,0,'Données projet'!$E$16+1,1))-AVERAGE(OFFSET($H$3,0,0,'Données projet'!$E$16+1,1))</f>
        <v>#N/A</v>
      </c>
      <c r="FK44" s="153" t="str">
        <f t="shared" si="49"/>
        <v>#N/A</v>
      </c>
      <c r="FL44" s="154">
        <f>IF(ISNA(VLOOKUP(A44,'Données projet'!$A$217:$I$237,3,0)),0,VLOOKUP(A44,'Données projet'!$A$217:$I$237,3,0))</f>
        <v>0</v>
      </c>
      <c r="FM44" s="154">
        <f>IF(ISNA(VLOOKUP(A44,'Données projet'!$A$217:$I$237,4,0)),0,VLOOKUP(A44,'Données projet'!$A$217:$I$237,4,0))</f>
        <v>0</v>
      </c>
      <c r="FN44" s="155">
        <f>IF(ISNA(VLOOKUP(A44,'Données projet'!$A$217:$I$237,5,0)),0%,VLOOKUP(A44,'Données projet'!$A$217:$I$237,5,0)*VLOOKUP('Données projet'!$B$16,'Paramètres'!$A$1:$I$88,7,0))</f>
        <v>0</v>
      </c>
      <c r="FO44" s="155">
        <f>IF(ISNA(VLOOKUP(A44,'Données projet'!$A$217:$I$237,6,0)),0%,VLOOKUP(A44,'Données projet'!$A$217:$I$237,6,0)*VLOOKUP('Données projet'!$B$16,'Paramètres'!$A$1:$I$88,7,0))</f>
        <v>0</v>
      </c>
      <c r="FP44" s="155">
        <f>IF(ISNA(VLOOKUP(A44,'Données projet'!$A$217:$I$237,7,0)),0%,VLOOKUP(A44,'Données projet'!$A$217:$I$237,7,0))</f>
        <v>0</v>
      </c>
      <c r="FQ44" s="162" t="str">
        <f>EXP(-LN(2)/35)*FQ43+(1-EXP(-LN(2)/35))/(LN(2)/35)*FM44*FN44*VLOOKUP('Données projet'!$B$16,'Paramètres'!$A$1:$I$88,3,0)*0.475*44/12</f>
        <v>#N/A</v>
      </c>
      <c r="FR44" s="162" t="str">
        <f>EXP(-LN(2)/25)*FR43+(1-EXP(-LN(2)/25))/(LN(2)/25)*Calculateur!FM44*Calculateur!FO44*VLOOKUP('Données projet'!$B$16,'Paramètres'!$A$1:$I$88,3,0)*0.475*44/12</f>
        <v>#N/A</v>
      </c>
      <c r="FS44" s="162" t="str">
        <f>EXP(-LN(2)/2)*FS43+(1-EXP(-LN(2)/2))/(LN(2)/2)*FM44*FP44*VLOOKUP('Données projet'!$B$16,'Paramètres'!$A$1:$I$88,3,0)*0.475*44/12</f>
        <v>#N/A</v>
      </c>
      <c r="FT44" s="163" t="str">
        <f t="shared" si="25"/>
        <v>#N/A</v>
      </c>
      <c r="FU44" s="159">
        <f>('Scénario référence'!$F$8+'Scénario référence'!$F$9+'Scénario référence'!$B$17+'Scénario référence'!$B$9+'Scénario référence'!$B$10)*70+IF((45+25*(1-EXP(-0.0175*A44)))&lt;70,'Scénario référence'!$B$16*(45+25*(1-EXP(-0.0175*A44))),70*'Scénario référence'!$B$16)+IF((32+38*(1-EXP(-0.0175*A44)))&lt;70,'Scénario référence'!$B$18*(32+38*(1-EXP(-0.0175*A44))),70*'Scénario référence'!$B$18)</f>
        <v>70</v>
      </c>
      <c r="FV44" s="151">
        <f>IF(A44&gt;30,10,('Scénario référence'!$B$16+'Scénario référence'!$B$17+'Scénario référence'!$B$18+'Scénario référence'!$B$9+'Scénario référence'!$B$10)*A44*10/30+('Scénario référence'!$F$8+'Scénario référence'!$F$9)*10)</f>
        <v>10</v>
      </c>
      <c r="FW44" s="151" t="str">
        <f>VLOOKUP(A44,'Données projet'!$A$243:$I$263,2,0)</f>
        <v>#N/A</v>
      </c>
      <c r="FX44" s="151" t="str">
        <f>VLOOKUP(A44,'Données projet'!$A$243:$I$263,9,0)</f>
        <v>#N/A</v>
      </c>
      <c r="FY44" s="151" t="str">
        <f t="array" ref="FY44">INDEX(FX:FX,MIN(IF(ISNUMBER(FX44:FX240),ROW(FX44:FX240),"")))</f>
        <v/>
      </c>
      <c r="FZ44" s="151">
        <f>IF('Données projet'!$A$244&gt;35,FZ43+FY44-GH43,IF(A44&lt;'Données projet'!$A$244,$FW$205^A44,IF(A44='Données projet'!$A$244,'Données projet'!$B$244,FZ43+FY44-GH43)))</f>
        <v>0</v>
      </c>
      <c r="GA44" s="158" t="str">
        <f>FZ44*VLOOKUP('Données projet'!$B$17,'Paramètres'!$A$1:$I$88,3,0)*VLOOKUP('Données projet'!$B$17,'Paramètres'!$A$1:$I$88,5,0)</f>
        <v>#N/A</v>
      </c>
      <c r="GB44" s="150" t="str">
        <f t="shared" si="50"/>
        <v>#N/A</v>
      </c>
      <c r="GC44" s="161" t="str">
        <f t="shared" si="26"/>
        <v>#N/A</v>
      </c>
      <c r="GD44" s="153" t="str">
        <f t="shared" si="27"/>
        <v>#N/A</v>
      </c>
      <c r="GE44" s="153" t="str">
        <f>AVERAGE(OFFSET($GD$3,0,0,'Données projet'!$E$17+1,1))-AVERAGE(OFFSET($H$3,0,0,'Données projet'!$E$17+1,1))</f>
        <v>#N/A</v>
      </c>
      <c r="GF44" s="153" t="str">
        <f t="shared" si="51"/>
        <v>#N/A</v>
      </c>
      <c r="GG44" s="154">
        <f>IF(ISNA(VLOOKUP(A44,'Données projet'!$A$243:$I$263,3,0)),0,VLOOKUP(A44,'Données projet'!$A$243:$I$263,3,0))</f>
        <v>0</v>
      </c>
      <c r="GH44" s="154">
        <f>IF(ISNA(VLOOKUP(A44,'Données projet'!$A$243:$I$263,4,0)),0,VLOOKUP(A44,'Données projet'!$A$243:$I$263,4,0))</f>
        <v>0</v>
      </c>
      <c r="GI44" s="155">
        <f>IF(ISNA(VLOOKUP(A44,'Données projet'!$A$243:$I$263,5,0)),0%,VLOOKUP(A44,'Données projet'!$A$243:$I$263,5,0)*VLOOKUP('Données projet'!$B$17,'Paramètres'!$A$1:$I$88,7,0))</f>
        <v>0</v>
      </c>
      <c r="GJ44" s="155">
        <f>IF(ISNA(VLOOKUP(A44,'Données projet'!$A$243:$I$263,6,0)),0%,VLOOKUP(A44,'Données projet'!$A$243:$I$263,6,0)*VLOOKUP('Données projet'!$B$17,'Paramètres'!$A$1:$I$88,7,0))</f>
        <v>0</v>
      </c>
      <c r="GK44" s="155">
        <f>IF(ISNA(VLOOKUP(A44,'Données projet'!$A$243:$I$263,7,0)),0%,VLOOKUP(A44,'Données projet'!$A$243:$I$263,7,0))</f>
        <v>0</v>
      </c>
      <c r="GL44" s="162" t="str">
        <f>EXP(-LN(2)/35)*GL43+(1-EXP(-LN(2)/35))/(LN(2)/35)*GH44*GI44*VLOOKUP('Données projet'!$B$17,'Paramètres'!$A$1:$I$88,3,0)*0.475*44/12</f>
        <v>#N/A</v>
      </c>
      <c r="GM44" s="162" t="str">
        <f>EXP(-LN(2)/25)*GM43+(1-EXP(-LN(2)/25))/(LN(2)/25)*Calculateur!GH44*Calculateur!GJ44*VLOOKUP('Données projet'!$B$17,'Paramètres'!$A$1:$I$88,3,0)*0.475*44/12</f>
        <v>#N/A</v>
      </c>
      <c r="GN44" s="162" t="str">
        <f>EXP(-LN(2)/2)*GN43+(1-EXP(-LN(2)/2))/(LN(2)/2)*GH44*GK44*VLOOKUP('Données projet'!$B$17,'Paramètres'!$A$1:$I$88,3,0)*0.475*44/12</f>
        <v>#N/A</v>
      </c>
      <c r="GO44" s="162" t="str">
        <f t="shared" si="28"/>
        <v>#N/A</v>
      </c>
      <c r="GP44" s="159">
        <f>('Scénario référence'!$F$8+'Scénario référence'!$F$9+'Scénario référence'!$B$17+'Scénario référence'!$B$9+'Scénario référence'!$B$10)*70+IF((45+25*(1-EXP(-0.0175*A44)))&lt;70,'Scénario référence'!$B$16*(45+25*(1-EXP(-0.0175*A44))),70*'Scénario référence'!$B$16)+IF((32+38*(1-EXP(-0.0175*A44)))&lt;70,'Scénario référence'!$B$18*(32+38*(1-EXP(-0.0175*A44))),70*'Scénario référence'!$B$18)</f>
        <v>70</v>
      </c>
      <c r="GQ44" s="151">
        <f>IF(A44&gt;30,10,('Scénario référence'!$B$16+'Scénario référence'!$B$17+'Scénario référence'!$B$18+'Scénario référence'!$B$9+'Scénario référence'!$B$10)*A44*10/30+('Scénario référence'!$F$8+'Scénario référence'!$F$9)*10)</f>
        <v>10</v>
      </c>
      <c r="GR44" s="151" t="str">
        <f>VLOOKUP(A44,'Données projet'!$A$269:$I$289,2,0)</f>
        <v>#N/A</v>
      </c>
      <c r="GS44" s="151" t="str">
        <f>VLOOKUP(A44,'Données projet'!$A$269:$I$289,9,0)</f>
        <v>#N/A</v>
      </c>
      <c r="GT44" s="151" t="str">
        <f t="array" ref="GT44">INDEX(GS:GS,MIN(IF(ISNUMBER(GS44:GS240),ROW(GS44:GS240),"")))</f>
        <v/>
      </c>
      <c r="GU44" s="151">
        <f>IF('Données projet'!$A$270&gt;35,GU43+GT44-HC43,IF(A44&lt;'Données projet'!$A$270,$GR$205^A44,IF(A44='Données projet'!$A$270,'Données projet'!$B$270,GU43+GT44-HC43)))</f>
        <v>0</v>
      </c>
      <c r="GV44" s="158" t="str">
        <f>GU44*VLOOKUP('Données projet'!$B$18,'Paramètres'!$A$1:$I$88,3,0)*VLOOKUP('Données projet'!$B$18,'Paramètres'!$A$1:$I$88,5,0)</f>
        <v>#N/A</v>
      </c>
      <c r="GW44" s="150" t="str">
        <f t="shared" si="52"/>
        <v>#N/A</v>
      </c>
      <c r="GX44" s="161" t="str">
        <f t="shared" si="29"/>
        <v>#N/A</v>
      </c>
      <c r="GY44" s="153" t="str">
        <f t="shared" si="30"/>
        <v>#N/A</v>
      </c>
      <c r="GZ44" s="153" t="str">
        <f>AVERAGE(OFFSET($GY$3,0,0,'Données projet'!$E$18+1,1))-AVERAGE(OFFSET($H$3,0,0,'Données projet'!$E$18+1,1))</f>
        <v>#N/A</v>
      </c>
      <c r="HA44" s="153" t="str">
        <f t="shared" si="53"/>
        <v>#N/A</v>
      </c>
      <c r="HB44" s="154">
        <f>IF(ISNA(VLOOKUP(A44,'Données projet'!$A$269:$I$289,3,0)),0,VLOOKUP(A44,'Données projet'!$A$269:$I$289,3,0))</f>
        <v>0</v>
      </c>
      <c r="HC44" s="154">
        <f>IF(ISNA(VLOOKUP(A44,'Données projet'!$A$269:$I$289,4,0)),0,VLOOKUP(A44,'Données projet'!$A$269:$I$289,4,0))</f>
        <v>0</v>
      </c>
      <c r="HD44" s="155">
        <f>IF(ISNA(VLOOKUP(A44,'Données projet'!$A$269:$I$289,5,0)),0%,VLOOKUP(A44,'Données projet'!$A$269:$I$289,5,0)*VLOOKUP('Données projet'!$B$18,'Paramètres'!$A$1:$I$88,7,0))</f>
        <v>0</v>
      </c>
      <c r="HE44" s="155">
        <f>IF(ISNA(VLOOKUP(A44,'Données projet'!$A$269:$I$289,6,0)),0%,VLOOKUP(A44,'Données projet'!$A$269:$I$289,6,0)*VLOOKUP('Données projet'!$B$18,'Paramètres'!$A$1:$I$88,7,0))</f>
        <v>0</v>
      </c>
      <c r="HF44" s="155">
        <f>IF(ISNA(VLOOKUP(A44,'Données projet'!$A$269:$I$289,7,0)),0%,VLOOKUP(A44,'Données projet'!$A$269:$I$289,7,0))</f>
        <v>0</v>
      </c>
      <c r="HG44" s="162" t="str">
        <f>EXP(-LN(2)/35)*HG43+(1-EXP(-LN(2)/35))/(LN(2)/35)*HC44*HD44*VLOOKUP('Données projet'!$B$18,'Paramètres'!$A$1:$I$88,3,0)*0.475*44/12</f>
        <v>#N/A</v>
      </c>
      <c r="HH44" s="162" t="str">
        <f>EXP(-LN(2)/25)*HH43+(1-EXP(-LN(2)/25))/(LN(2)/25)*Calculateur!HC44*Calculateur!HE44*VLOOKUP('Données projet'!$B$18,'Paramètres'!$A$1:$I$88,3,0)*0.475*44/12</f>
        <v>#N/A</v>
      </c>
      <c r="HI44" s="162" t="str">
        <f>EXP(-LN(2)/2)*HI43+(1-EXP(-LN(2)/2))/(LN(2)/2)*HC44*HF44*VLOOKUP('Données projet'!$B$18,'Paramètres'!$A$1:$I$88,3,0)*0.475*44/12</f>
        <v>#N/A</v>
      </c>
      <c r="HJ44" s="163" t="str">
        <f t="shared" si="31"/>
        <v>#N/A</v>
      </c>
    </row>
    <row r="45" ht="15.75" customHeight="1">
      <c r="A45" s="145">
        <f t="shared" si="32"/>
        <v>42</v>
      </c>
      <c r="B45" s="146">
        <f>'Scénario référence'!$B$16*5+'Scénario référence'!$B$17*0+'Scénario référence'!$B$18*5</f>
        <v>0</v>
      </c>
      <c r="C45" s="160">
        <f>Calculateur!C44+'Scénario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45" s="147">
        <f t="shared" si="33"/>
        <v>0</v>
      </c>
      <c r="E45" s="147">
        <f>'Scénario référence'!$B$16*45+('Scénario référence'!$B$17+'Scénario référence'!$F$8+'Scénario référence'!$F$9+'Scénario référence'!$B$10+'Scénario référence'!$B$9)*70+'Scénario référence'!$B$18*32</f>
        <v>70</v>
      </c>
      <c r="F45" s="147">
        <f>IF(OR('Scénario référence'!$F$8&gt;0,'Scénario référence'!$F$9&gt;0),('Scénario référence'!$F$8+'Scénario référence'!$F$9)*10,0)</f>
        <v>0</v>
      </c>
      <c r="G45" s="147">
        <f>'Scénario référence'!$B$8*B45*44/12+'Scénario référence'!$B$9*(C45+D45)/0.475*44/12+'Scénario référence'!$B$10*(C45+D45)/0.475*44/12+'Scénario référence'!$F$8*(C45+D45)/0.475*44/12+'Scénario référence'!$F$9*(C45+D45)/0.475*44/12</f>
        <v>0</v>
      </c>
      <c r="H45" s="148">
        <f t="shared" si="1"/>
        <v>256.6666667</v>
      </c>
      <c r="I45" s="149">
        <f>('Scénario référence'!$F$8+'Scénario référence'!$F$9+'Scénario référence'!$B$17+'Scénario référence'!$B$9+'Scénario référence'!$B$10)*70+IF((45+25*(1-EXP(-0.0175*A45)))&lt;70,'Scénario référence'!$B$16*(45+25*(1-EXP(-0.0175*A45))),70*'Scénario référence'!$B$16)+IF((32+38*(1-EXP(-0.0175*A45)))&lt;70,'Scénario référence'!$B$18*(32+38*(1-EXP(-0.0175*A45))),70*'Scénario référence'!$B$18)</f>
        <v>70</v>
      </c>
      <c r="J45" s="150">
        <f>IF(A45&gt;30,10,('Scénario référence'!$B$16+'Scénario référence'!$B$17+'Scénario référence'!$B$18+'Scénario référence'!$B$9+'Scénario référence'!$B$10)*A45*10/30+('Scénario référence'!$F$8+'Scénario référence'!$F$9)*10)</f>
        <v>10</v>
      </c>
      <c r="K45" s="151" t="str">
        <f>VLOOKUP(A45,'Données projet'!$A$35:$I$55,2,0)</f>
        <v>#N/A</v>
      </c>
      <c r="L45" s="151" t="str">
        <f>VLOOKUP(A45,'Données projet'!$A$35:$I$55,9,0)</f>
        <v>#N/A</v>
      </c>
      <c r="M45" s="150">
        <f t="array" ref="M45">INDEX(L:L,MIN(IF(ISNUMBER(L45:L241),ROW(L45:L241),"")))</f>
        <v>11.4</v>
      </c>
      <c r="N45" s="150">
        <f>IF('Données projet'!$A$36&gt;35,N44+M45-V44,IF(A45&lt;'Données projet'!$A$36,$K$205^A45,IF(A45='Données projet'!$A$36,'Données projet'!$B$36,N44+M45-V44)))</f>
        <v>169.8</v>
      </c>
      <c r="O45" s="150">
        <f>N45*VLOOKUP('Données projet'!$B$9,'Paramètres'!$A$1:$I$88,3,0)*VLOOKUP('Données projet'!$B$9,'Paramètres'!$A$1:$I$88,5,0)</f>
        <v>153.63504</v>
      </c>
      <c r="P45" s="150">
        <f t="shared" si="34"/>
        <v>39.40350679</v>
      </c>
      <c r="Q45" s="161">
        <f t="shared" si="2"/>
        <v>336.2088023</v>
      </c>
      <c r="R45" s="153">
        <f t="shared" si="3"/>
        <v>629.5421357</v>
      </c>
      <c r="S45" s="153">
        <f>AVERAGE(OFFSET($R$3,0,0,'Données projet'!$E$9+1,1))-AVERAGE(OFFSET($H$3,0,0,'Données projet'!$E$9+1,1))</f>
        <v>439.1985427</v>
      </c>
      <c r="T45" s="153">
        <f t="shared" si="35"/>
        <v>278.2174123</v>
      </c>
      <c r="U45" s="154">
        <f>IF(ISNA(VLOOKUP(A45,'Données projet'!$A$35:$I$55,3,0)),0,VLOOKUP(A45,'Données projet'!$A$35:$I$55,3,0))</f>
        <v>0</v>
      </c>
      <c r="V45" s="154">
        <f>IF(ISNA(VLOOKUP(A45,'Données projet'!$A$35:$I$55,4,0)),0,VLOOKUP(A45,'Données projet'!$A$35:$I$55,4,0))</f>
        <v>0</v>
      </c>
      <c r="W45" s="155">
        <f>IF(ISNA(VLOOKUP(A45,'Données projet'!$A$35:$I$55,5,0)),0%,VLOOKUP(A45,'Données projet'!$A$35:$I$55,5,0)*VLOOKUP('Données projet'!$B$9,'Paramètres'!$A$1:$I$88,7,0))</f>
        <v>0</v>
      </c>
      <c r="X45" s="155">
        <f>IF(ISNA(VLOOKUP(A45,'Données projet'!$A$35:$I$55,6,0)),0%,VLOOKUP(A45,'Données projet'!$A$35:$I$55,6,0)*VLOOKUP('Données projet'!$B$9,'Paramètres'!$A$1:$I$88,7,0))</f>
        <v>0</v>
      </c>
      <c r="Y45" s="155">
        <f>IF(ISNA(VLOOKUP(A45,'Données projet'!$A$35:$I$55,7,0)),0%,VLOOKUP(A45,'Données projet'!$A$35:$I$55,7,0))</f>
        <v>0</v>
      </c>
      <c r="Z45" s="162">
        <f>EXP(-LN(2)/35)*Z44+(1-EXP(-LN(2)/35))/(LN(2)/35)*V45*W45*VLOOKUP('Données projet'!$B$9,'Paramètres'!$A$1:$I$88,3,0)*0.475*44/12</f>
        <v>0</v>
      </c>
      <c r="AA45" s="162">
        <f>EXP(-LN(2)/25)*AA44+(1-EXP(-LN(2)/25))/(LN(2)/25)*Calculateur!V45*Calculateur!X45*VLOOKUP('Données projet'!$B$9,'Paramètres'!$A$1:$I$88,3,0)*0.475*44/12</f>
        <v>3.217495003</v>
      </c>
      <c r="AB45" s="162">
        <f>EXP(-LN(2)/2)*AB44+(1-EXP(-LN(2)/2))/(LN(2)/2)*V45*Y45*VLOOKUP('Données projet'!$B$9,'Paramètres'!$A$1:$I$88,3,0)*0.475*44/12</f>
        <v>0</v>
      </c>
      <c r="AC45" s="163">
        <f t="shared" si="4"/>
        <v>3.217495003</v>
      </c>
      <c r="AD45" s="150">
        <f>('Scénario référence'!$F$8+'Scénario référence'!$F$9+'Scénario référence'!$B$17+'Scénario référence'!$B$9+'Scénario référence'!$B$10)*70+IF((45+25*(1-EXP(-0.0175*A45)))&lt;70,'Scénario référence'!$B$16*(45+25*(1-EXP(-0.0175*A45))),70*'Scénario référence'!$B$16)+IF((32+38*(1-EXP(-0.0175*A45)))&lt;70,'Scénario référence'!$B$18*(32+38*(1-EXP(-0.0175*A45))),70*'Scénario référence'!$B$18)</f>
        <v>70</v>
      </c>
      <c r="AE45" s="150">
        <f>IF(A45&gt;30,10,('Scénario référence'!$B$16+'Scénario référence'!$B$17+'Scénario référence'!$B$18+'Scénario référence'!$B$9+'Scénario référence'!$B$10)*A45*10/30+('Scénario référence'!$F$8+'Scénario référence'!$F$9)*10)</f>
        <v>10</v>
      </c>
      <c r="AF45" s="151" t="str">
        <f>VLOOKUP(A45,'Données projet'!$A$61:$I$81,2,0)</f>
        <v>#N/A</v>
      </c>
      <c r="AG45" s="151" t="str">
        <f>VLOOKUP(A45,'Données projet'!$A$61:$I$81,9,0)</f>
        <v>#N/A</v>
      </c>
      <c r="AH45" s="150">
        <f t="array" ref="AH45">INDEX(AG:AG,MIN(IF(ISNUMBER(AG45:AG241),ROW(AG45:AG241),"")))</f>
        <v>11.4</v>
      </c>
      <c r="AI45" s="150">
        <f>IF('Données projet'!$A$62&gt;35,AI44+AH45-AQ44,IF(A45&lt;'Données projet'!$A$62,$AF$205^A45,IF(A45='Données projet'!$A$62,'Données projet'!$B$62,AI44+AH45-AQ44)))</f>
        <v>245.8</v>
      </c>
      <c r="AJ45" s="150">
        <f>AI45*VLOOKUP('Données projet'!$B$10,'Paramètres'!$A$1:$I$88,3,0)*VLOOKUP('Données projet'!$B$10,'Paramètres'!$A$1:$I$88,5,0)</f>
        <v>195.55848</v>
      </c>
      <c r="AK45" s="150">
        <f t="shared" si="36"/>
        <v>48.7667839</v>
      </c>
      <c r="AL45" s="161">
        <f t="shared" si="5"/>
        <v>425.533168</v>
      </c>
      <c r="AM45" s="153">
        <f t="shared" si="6"/>
        <v>718.8665013</v>
      </c>
      <c r="AN45" s="153">
        <f>AVERAGE(OFFSET($AM$3,0,0,'Données projet'!$E$10+1,1))-AVERAGE(OFFSET($H$3,0,0,'Données projet'!$E$10+1,1))</f>
        <v>405.6113614</v>
      </c>
      <c r="AO45" s="153">
        <f t="shared" si="37"/>
        <v>393.0787141</v>
      </c>
      <c r="AP45" s="154">
        <f>IF(ISNA(VLOOKUP(A45,'Données projet'!$A$61:$I$81,3,0)),0,VLOOKUP(A45,'Données projet'!$A$61:$I$81,3,0))</f>
        <v>0</v>
      </c>
      <c r="AQ45" s="154">
        <f>IF(ISNA(VLOOKUP(A45,'Données projet'!$A$61:$I$81,4,0)),0,VLOOKUP(A45,'Données projet'!$A$61:$I$81,4,0))</f>
        <v>0</v>
      </c>
      <c r="AR45" s="155">
        <f>IF(ISNA(VLOOKUP(A45,'Données projet'!$A$61:$I$81,5,0)),0%,VLOOKUP(A45,'Données projet'!$A$61:$I$81,5,0)*VLOOKUP('Données projet'!$B$10,'Paramètres'!$A$1:$I$88,7,0))</f>
        <v>0</v>
      </c>
      <c r="AS45" s="155">
        <f>IF(ISNA(VLOOKUP(A45,'Données projet'!$A$61:$I$81,6,0)),0%,VLOOKUP(A45,'Données projet'!$A$61:$I$81,6,0)*VLOOKUP('Données projet'!$B$10,'Paramètres'!$A$1:$I$88,7,0))</f>
        <v>0</v>
      </c>
      <c r="AT45" s="155">
        <f>IF(ISNA(VLOOKUP(A45,'Données projet'!$A$61:$I$81,7,0)),0%,VLOOKUP(A45,'Données projet'!$A$61:$I$81,7,0))</f>
        <v>0</v>
      </c>
      <c r="AU45" s="162">
        <f>EXP(-LN(2)/35)*AU44+(1-EXP(-LN(2)/35))/(LN(2)/35)*AQ45*AR45*VLOOKUP('Données projet'!$B$10,'Paramètres'!$A$1:$I$88,3,0)*0.475*44/12</f>
        <v>0</v>
      </c>
      <c r="AV45" s="162">
        <f>EXP(-LN(2)/25)*AV44+(1-EXP(-LN(2)/25))/(LN(2)/25)*Calculateur!AQ45*Calculateur!AS45*VLOOKUP('Données projet'!$B$10,'Paramètres'!$A$1:$I$88,3,0)*0.475*44/12</f>
        <v>13.07671761</v>
      </c>
      <c r="AW45" s="162">
        <f>EXP(-LN(2)/2)*AW44+(1-EXP(-LN(2)/2))/(LN(2)/2)*AQ45*AT45*VLOOKUP('Données projet'!$B$10,'Paramètres'!$A$1:$I$88,3,0)*0.475*44/12</f>
        <v>0.009058003187</v>
      </c>
      <c r="AX45" s="162">
        <f t="shared" si="7"/>
        <v>13.08577561</v>
      </c>
      <c r="AY45" s="157">
        <f>('Scénario référence'!$F$8+'Scénario référence'!$F$9+'Scénario référence'!$B$17+'Scénario référence'!$B$9+'Scénario référence'!$B$10)*70+IF((45+25*(1-EXP(-0.0175*A45)))&lt;70,'Scénario référence'!$B$16*(45+25*(1-EXP(-0.0175*A45))),70*'Scénario référence'!$B$16)+IF((32+38*(1-EXP(-0.0175*A45)))&lt;70,'Scénario référence'!$B$18*(32+38*(1-EXP(-0.0175*A45))),70*'Scénario référence'!$B$18)</f>
        <v>70</v>
      </c>
      <c r="AZ45" s="151">
        <f>IF(A45&gt;30,10,('Scénario référence'!$B$16+'Scénario référence'!$B$17+'Scénario référence'!$B$18+'Scénario référence'!$B$9+'Scénario référence'!$B$10)*A45*10/30+('Scénario référence'!$F$8+'Scénario référence'!$F$9)*10)</f>
        <v>10</v>
      </c>
      <c r="BA45" s="151" t="str">
        <f>VLOOKUP(A45,'Données projet'!$A$87:$I$107,2,0)</f>
        <v>#N/A</v>
      </c>
      <c r="BB45" s="151" t="str">
        <f>VLOOKUP(A45,'Données projet'!$A$87:$I$107,9,0)</f>
        <v>#N/A</v>
      </c>
      <c r="BC45" s="150" t="str">
        <f t="array" ref="BC45">INDEX(BB:BB,MIN(IF(ISNUMBER(BB45:BB241),ROW(BB45:BB241),"")))</f>
        <v/>
      </c>
      <c r="BD45" s="150">
        <f>IF('Données projet'!$A$88&gt;35,BD44+BC45-BL44,IF(A45&lt;'Données projet'!$A$88,$BA$205^A45,IF(A45='Données projet'!$A$88,'Données projet'!$B$88,BD44+BC45-BL44)))</f>
        <v>0</v>
      </c>
      <c r="BE45" s="150">
        <f>BD45*VLOOKUP('Données projet'!$B$11,'Paramètres'!$A$1:$I$88,3,0)*VLOOKUP('Données projet'!$B$11,'Paramètres'!$A$1:$I$88,5,0)</f>
        <v>0</v>
      </c>
      <c r="BF45" s="150" t="str">
        <f t="shared" si="38"/>
        <v>#NUM!</v>
      </c>
      <c r="BG45" s="161" t="str">
        <f t="shared" si="8"/>
        <v>#NUM!</v>
      </c>
      <c r="BH45" s="153" t="str">
        <f t="shared" si="9"/>
        <v>#NUM!</v>
      </c>
      <c r="BI45" s="153">
        <f>AVERAGE(OFFSET($BH$3,0,0,'Données projet'!$E$11+1,1))-AVERAGE(OFFSET($H$3,0,0,'Données projet'!$E$11+1,1))</f>
        <v>0</v>
      </c>
      <c r="BJ45" s="153">
        <f t="shared" si="39"/>
        <v>0</v>
      </c>
      <c r="BK45" s="154">
        <f>IF(ISNA(VLOOKUP(A45,'Données projet'!$A$87:$I$107,3,0)),0,VLOOKUP(A45,'Données projet'!$A$87:$I$107,3,0))</f>
        <v>0</v>
      </c>
      <c r="BL45" s="154">
        <f>IF(ISNA(VLOOKUP(A45,'Données projet'!$A$87:$I$107,4,0)),0,VLOOKUP(A45,'Données projet'!$A$87:$I$107,4,0))</f>
        <v>0</v>
      </c>
      <c r="BM45" s="155">
        <f>IF(ISNA(VLOOKUP(A45,'Données projet'!$A$87:$I$107,5,0)),0%,VLOOKUP(A45,'Données projet'!$A$87:$I$107,5,0)*VLOOKUP('Données projet'!$B$11,'Paramètres'!$A$1:$I$88,7,0))</f>
        <v>0</v>
      </c>
      <c r="BN45" s="155">
        <f>IF(ISNA(VLOOKUP(A45,'Données projet'!$A$87:$I$107,6,0)),0%,VLOOKUP(A45,'Données projet'!$A$87:$I$107,6,0)*VLOOKUP('Données projet'!$B$11,'Paramètres'!$A$1:$I$88,7,0))</f>
        <v>0</v>
      </c>
      <c r="BO45" s="155">
        <f>IF(ISNA(VLOOKUP(A45,'Données projet'!$A$87:$I$107,7,0)),0%,VLOOKUP(A45,'Données projet'!$A$87:$I$107,7,0))</f>
        <v>0</v>
      </c>
      <c r="BP45" s="162">
        <f>EXP(-LN(2)/35)*BP44+(1-EXP(-LN(2)/35))/(LN(2)/35)*BL45*BM45*VLOOKUP('Données projet'!$B$11,'Paramètres'!$A$1:$I$88,3,0)*0.475*44/12</f>
        <v>0</v>
      </c>
      <c r="BQ45" s="162">
        <f>EXP(-LN(2)/25)*BQ44+(1-EXP(-LN(2)/25))/(LN(2)/25)*Calculateur!BL45*Calculateur!BN45*VLOOKUP('Données projet'!$B$11,'Paramètres'!$A$1:$I$88,3,0)*0.475*44/12</f>
        <v>0</v>
      </c>
      <c r="BR45" s="162">
        <f>EXP(-LN(2)/2)*BR44+(1-EXP(-LN(2)/2))/(LN(2)/2)*BL45*BO45*VLOOKUP('Données projet'!$B$11,'Paramètres'!$A$1:$I$88,3,0)*0.475*44/12</f>
        <v>0</v>
      </c>
      <c r="BS45" s="163">
        <f t="shared" si="10"/>
        <v>0</v>
      </c>
      <c r="BT45" s="159">
        <f>('Scénario référence'!$F$8+'Scénario référence'!$F$9+'Scénario référence'!$B$17+'Scénario référence'!$B$9+'Scénario référence'!$B$10)*70+IF((45+25*(1-EXP(-0.0175*A45)))&lt;70,'Scénario référence'!$B$16*(45+25*(1-EXP(-0.0175*A45))),70*'Scénario référence'!$B$16)+IF((32+38*(1-EXP(-0.0175*A45)))&lt;70,'Scénario référence'!$B$18*(32+38*(1-EXP(-0.0175*A45))),70*'Scénario référence'!$B$18)</f>
        <v>70</v>
      </c>
      <c r="BU45" s="151">
        <f>IF(A45&gt;30,10,('Scénario référence'!$B$16+'Scénario référence'!$B$17+'Scénario référence'!$B$18+'Scénario référence'!$B$9+'Scénario référence'!$B$10)*A45*10/30+('Scénario référence'!$F$8+'Scénario référence'!$F$9)*10)</f>
        <v>10</v>
      </c>
      <c r="BV45" s="151" t="str">
        <f>VLOOKUP(A45,'Données projet'!$A$113:$I$133,2,0)</f>
        <v>#N/A</v>
      </c>
      <c r="BW45" s="151" t="str">
        <f>VLOOKUP(A45,'Données projet'!$A$113:$I$133,9,0)</f>
        <v>#N/A</v>
      </c>
      <c r="BX45" s="150" t="str">
        <f t="array" ref="BX45">INDEX(BW:BW,MIN(IF(ISNUMBER(BW45:BW241),ROW(BW45:BW241),"")))</f>
        <v/>
      </c>
      <c r="BY45" s="150">
        <f>IF('Données projet'!$A$114&gt;35,BY44+BX45-CG44,IF(A45&lt;'Données projet'!$A$114,$BV$205^A45,IF(A45='Données projet'!$A$114,'Données projet'!$B$114,BY44+BX45-CG44)))</f>
        <v>0</v>
      </c>
      <c r="BZ45" s="150" t="str">
        <f>BY45*VLOOKUP('Données projet'!$B$12,'Paramètres'!$A$1:$I$88,3,0)*VLOOKUP('Données projet'!$B$12,'Paramètres'!$A$1:$I$88,5,0)</f>
        <v>#N/A</v>
      </c>
      <c r="CA45" s="150" t="str">
        <f t="shared" si="40"/>
        <v>#N/A</v>
      </c>
      <c r="CB45" s="161" t="str">
        <f t="shared" si="11"/>
        <v>#N/A</v>
      </c>
      <c r="CC45" s="153" t="str">
        <f t="shared" si="12"/>
        <v>#N/A</v>
      </c>
      <c r="CD45" s="153" t="str">
        <f>AVERAGE(OFFSET($CC$3,0,0,'Données projet'!$E$12+1,1))-AVERAGE(OFFSET($H$3,0,0,'Données projet'!$E$12+1,1))</f>
        <v>#N/A</v>
      </c>
      <c r="CE45" s="153" t="str">
        <f t="shared" si="41"/>
        <v>#N/A</v>
      </c>
      <c r="CF45" s="154">
        <f>IF(ISNA(VLOOKUP(A45,'Données projet'!$A$113:$I$133,3,0)),0,VLOOKUP(A45,'Données projet'!$A$113:$I$133,3,0))</f>
        <v>0</v>
      </c>
      <c r="CG45" s="154">
        <f>IF(ISNA(VLOOKUP(A45,'Données projet'!$A$113:$I$133,4,0)),0,VLOOKUP(A45,'Données projet'!$A$113:$I$133,4,0))</f>
        <v>0</v>
      </c>
      <c r="CH45" s="155">
        <f>IF(ISNA(VLOOKUP(A45,'Données projet'!$A$113:$I$133,5,0)),0%,VLOOKUP(A45,'Données projet'!$A$113:$I$133,5,0)*VLOOKUP('Données projet'!$B$12,'Paramètres'!$A$1:$I$88,7,0))</f>
        <v>0</v>
      </c>
      <c r="CI45" s="155">
        <f>IF(ISNA(VLOOKUP(A45,'Données projet'!$A$113:$I$133,6,0)),0%,VLOOKUP(A45,'Données projet'!$A$113:$I$133,6,0)*VLOOKUP('Données projet'!$B$12,'Paramètres'!$A$1:$I$88,7,0))</f>
        <v>0</v>
      </c>
      <c r="CJ45" s="155">
        <f>IF(ISNA(VLOOKUP(A45,'Données projet'!$A$113:$I$133,7,0)),0%,VLOOKUP(A45,'Données projet'!$A$113:$I$133,7,0))</f>
        <v>0</v>
      </c>
      <c r="CK45" s="162" t="str">
        <f>EXP(-LN(2)/35)*CK44+(1-EXP(-LN(2)/35))/(LN(2)/35)*CG45*CH45*VLOOKUP('Données projet'!$B$12,'Paramètres'!$A$1:$I$88,3,0)*0.475*44/12</f>
        <v>#N/A</v>
      </c>
      <c r="CL45" s="162" t="str">
        <f>EXP(-LN(2)/25)*CL44+(1-EXP(-LN(2)/25))/(LN(2)/25)*Calculateur!CG45*Calculateur!CI45*VLOOKUP('Données projet'!$B$12,'Paramètres'!$A$1:$I$88,3,0)*0.475*44/12</f>
        <v>#N/A</v>
      </c>
      <c r="CM45" s="162" t="str">
        <f>EXP(-LN(2)/2)*CM44+(1-EXP(-LN(2)/2))/(LN(2)/2)*CG45*CJ45*VLOOKUP('Données projet'!$B$12,'Paramètres'!$A$1:$I$88,3,0)*0.475*44/12</f>
        <v>#N/A</v>
      </c>
      <c r="CN45" s="163" t="str">
        <f t="shared" si="13"/>
        <v>#N/A</v>
      </c>
      <c r="CO45" s="159">
        <f>('Scénario référence'!$F$8+'Scénario référence'!$F$9+'Scénario référence'!$B$17+'Scénario référence'!$B$9+'Scénario référence'!$B$10)*70+IF((45+25*(1-EXP(-0.0175*A45)))&lt;70,'Scénario référence'!$B$16*(45+25*(1-EXP(-0.0175*A45))),70*'Scénario référence'!$B$16)+IF((32+38*(1-EXP(-0.0175*A45)))&lt;70,'Scénario référence'!$B$18*(32+38*(1-EXP(-0.0175*A45))),70*'Scénario référence'!$B$18)</f>
        <v>70</v>
      </c>
      <c r="CP45" s="151">
        <f>IF(A45&gt;30,10,('Scénario référence'!$B$16+'Scénario référence'!$B$17+'Scénario référence'!$B$18+'Scénario référence'!$B$9+'Scénario référence'!$B$10)*A45*10/30+('Scénario référence'!$F$8+'Scénario référence'!$F$9)*10)</f>
        <v>10</v>
      </c>
      <c r="CQ45" s="151" t="str">
        <f>VLOOKUP(A45,'Données projet'!$A$139:$I$159,2,0)</f>
        <v>#N/A</v>
      </c>
      <c r="CR45" s="151" t="str">
        <f>VLOOKUP(A45,'Données projet'!$A$139:$I$159,9,0)</f>
        <v>#N/A</v>
      </c>
      <c r="CS45" s="151" t="str">
        <f t="array" ref="CS45">INDEX(CR:CR,MIN(IF(ISNUMBER(CR45:CR241),ROW(CR45:CR241),"")))</f>
        <v/>
      </c>
      <c r="CT45" s="151">
        <f>IF('Données projet'!$A$140&gt;35,CT44+CS45-DB44,IF(A45&lt;'Données projet'!$A$140,$CQ$205^A45,IF(A45='Données projet'!$A$140,'Données projet'!$B$140,CT44+CS45-DB44)))</f>
        <v>0</v>
      </c>
      <c r="CU45" s="158" t="str">
        <f>CT45*VLOOKUP('Données projet'!$B$13,'Paramètres'!$A$1:$I$88,3,0)*VLOOKUP('Données projet'!$B$13,'Paramètres'!$A$1:$I$88,5,0)</f>
        <v>#N/A</v>
      </c>
      <c r="CV45" s="150" t="str">
        <f t="shared" si="42"/>
        <v>#N/A</v>
      </c>
      <c r="CW45" s="161" t="str">
        <f t="shared" si="14"/>
        <v>#N/A</v>
      </c>
      <c r="CX45" s="153" t="str">
        <f t="shared" si="15"/>
        <v>#N/A</v>
      </c>
      <c r="CY45" s="153" t="str">
        <f>AVERAGE(OFFSET($CX$3,0,0,'Données projet'!$E$13+1,1))-AVERAGE(OFFSET($H$3,0,0,'Données projet'!$E$13+1,1))</f>
        <v>#N/A</v>
      </c>
      <c r="CZ45" s="153" t="str">
        <f t="shared" si="43"/>
        <v>#N/A</v>
      </c>
      <c r="DA45" s="154">
        <f>IF(ISNA(VLOOKUP(A45,'Données projet'!$A$139:$I$159,3,0)),0,VLOOKUP(A45,'Données projet'!$A$139:$I$159,3,0))</f>
        <v>0</v>
      </c>
      <c r="DB45" s="154">
        <f>IF(ISNA(VLOOKUP(A45,'Données projet'!$A$139:$I$159,4,0)),0,VLOOKUP(A45,'Données projet'!$A$139:$I$159,4,0))</f>
        <v>0</v>
      </c>
      <c r="DC45" s="155">
        <f>IF(ISNA(VLOOKUP(A45,'Données projet'!$A$139:$I$159,5,0)),0%,VLOOKUP(A45,'Données projet'!$A$139:$I$159,5,0)*VLOOKUP('Données projet'!$B$13,'Paramètres'!$A$1:$I$88,7,0))</f>
        <v>0</v>
      </c>
      <c r="DD45" s="155">
        <f>IF(ISNA(VLOOKUP(A45,'Données projet'!$A$139:$I$159,6,0)),0%,VLOOKUP(A45,'Données projet'!$A$139:$I$159,6,0)*VLOOKUP('Données projet'!$B$13,'Paramètres'!$A$1:$I$88,7,0))</f>
        <v>0</v>
      </c>
      <c r="DE45" s="155">
        <f>IF(ISNA(VLOOKUP(A45,'Données projet'!$A$139:$I$159,7,0)),0%,VLOOKUP(A45,'Données projet'!$A$139:$I$159,7,0))</f>
        <v>0</v>
      </c>
      <c r="DF45" s="162" t="str">
        <f>EXP(-LN(2)/35)*DF44+(1-EXP(-LN(2)/35))/(LN(2)/35)*DB45*DC45*VLOOKUP('Données projet'!$B$13,'Paramètres'!$A$1:$I$88,3,0)*0.475*44/12</f>
        <v>#N/A</v>
      </c>
      <c r="DG45" s="162" t="str">
        <f>EXP(-LN(2)/25)*DG44+(1-EXP(-LN(2)/25))/(LN(2)/25)*Calculateur!DB45*Calculateur!DD45*VLOOKUP('Données projet'!$B$13,'Paramètres'!$A$1:$I$88,3,0)*0.475*44/12</f>
        <v>#N/A</v>
      </c>
      <c r="DH45" s="162" t="str">
        <f>EXP(-LN(2)/2)*DH44+(1-EXP(-LN(2)/2))/(LN(2)/2)*DB45*DE45*VLOOKUP('Données projet'!$B$13,'Paramètres'!$A$1:$I$88,3,0)*0.475*44/12</f>
        <v>#N/A</v>
      </c>
      <c r="DI45" s="163" t="str">
        <f t="shared" si="16"/>
        <v>#N/A</v>
      </c>
      <c r="DJ45" s="159">
        <f>('Scénario référence'!$F$8+'Scénario référence'!$F$9+'Scénario référence'!$B$17+'Scénario référence'!$B$9+'Scénario référence'!$B$10)*70+IF((45+25*(1-EXP(-0.0175*A45)))&lt;70,'Scénario référence'!$B$16*(45+25*(1-EXP(-0.0175*A45))),70*'Scénario référence'!$B$16)+IF((32+38*(1-EXP(-0.0175*A45)))&lt;70,'Scénario référence'!$B$18*(32+38*(1-EXP(-0.0175*A45))),70*'Scénario référence'!$B$18)</f>
        <v>70</v>
      </c>
      <c r="DK45" s="151">
        <f>IF(A45&gt;30,10,('Scénario référence'!$B$16+'Scénario référence'!$B$17+'Scénario référence'!$B$18+'Scénario référence'!$B$9+'Scénario référence'!$B$10)*A45*10/30+('Scénario référence'!$F$8+'Scénario référence'!$F$9)*10)</f>
        <v>10</v>
      </c>
      <c r="DL45" s="151" t="str">
        <f>VLOOKUP(A45,'Données projet'!$A$165:$I$185,2,0)</f>
        <v>#N/A</v>
      </c>
      <c r="DM45" s="151" t="str">
        <f>VLOOKUP(A45,'Données projet'!$A$165:$I$185,9,0)</f>
        <v>#N/A</v>
      </c>
      <c r="DN45" s="151" t="str">
        <f t="array" ref="DN45">INDEX(DM:DM,MIN(IF(ISNUMBER(DM45:DM241),ROW(DM45:DM241),"")))</f>
        <v/>
      </c>
      <c r="DO45" s="151">
        <f>IF('Données projet'!$A$166&gt;35,DO44+DN45-DW44,IF(A45&lt;'Données projet'!$A$166,$DL$205^A45,IF(A45='Données projet'!$A$166,'Données projet'!$B$166,DO44+DN45-DW44)))</f>
        <v>0</v>
      </c>
      <c r="DP45" s="158" t="str">
        <f>DO45*VLOOKUP('Données projet'!$B$14,'Paramètres'!$A$1:$I$88,3,0)*VLOOKUP('Données projet'!$B$14,'Paramètres'!$A$1:$I$88,5,0)</f>
        <v>#N/A</v>
      </c>
      <c r="DQ45" s="150" t="str">
        <f t="shared" si="44"/>
        <v>#N/A</v>
      </c>
      <c r="DR45" s="161" t="str">
        <f t="shared" si="17"/>
        <v>#N/A</v>
      </c>
      <c r="DS45" s="153" t="str">
        <f t="shared" si="18"/>
        <v>#N/A</v>
      </c>
      <c r="DT45" s="153" t="str">
        <f>AVERAGE(OFFSET($DS$3,0,0,'Données projet'!$E$14+1,1))-AVERAGE(OFFSET($H$3,0,0,'Données projet'!$E$14+1,1))</f>
        <v>#N/A</v>
      </c>
      <c r="DU45" s="153" t="str">
        <f t="shared" si="45"/>
        <v>#N/A</v>
      </c>
      <c r="DV45" s="154">
        <f>IF(ISNA(VLOOKUP(A45,'Données projet'!$A$165:$I$185,3,0)),0,VLOOKUP(A45,'Données projet'!$A$165:$I$185,3,0))</f>
        <v>0</v>
      </c>
      <c r="DW45" s="154">
        <f>IF(ISNA(VLOOKUP(A45,'Données projet'!$A$165:$I$185,4,0)),0,VLOOKUP(A45,'Données projet'!$A$165:$I$185,4,0))</f>
        <v>0</v>
      </c>
      <c r="DX45" s="155">
        <f>IF(ISNA(VLOOKUP(A45,'Données projet'!$A$165:$I$185,5,0)),0%,VLOOKUP(A45,'Données projet'!$A$165:$I$185,5,0)*VLOOKUP('Données projet'!$B$14,'Paramètres'!$A$1:$I$88,7,0))</f>
        <v>0</v>
      </c>
      <c r="DY45" s="155">
        <f>IF(ISNA(VLOOKUP(A45,'Données projet'!$A$165:$I$185,6,0)),0%,VLOOKUP(A45,'Données projet'!$A$165:$I$185,6,0)*VLOOKUP('Données projet'!$B$14,'Paramètres'!$A$1:$I$88,7,0))</f>
        <v>0</v>
      </c>
      <c r="DZ45" s="155">
        <f>IF(ISNA(VLOOKUP(A45,'Données projet'!$A$165:$I$185,7,0)),0%,VLOOKUP(A45,'Données projet'!$A$165:$I$185,7,0))</f>
        <v>0</v>
      </c>
      <c r="EA45" s="162" t="str">
        <f>EXP(-LN(2)/35)*EA44+(1-EXP(-LN(2)/35))/(LN(2)/35)*DW45*DX45*VLOOKUP('Données projet'!$B$14,'Paramètres'!$A$1:$I$88,3,0)*0.475*44/12</f>
        <v>#N/A</v>
      </c>
      <c r="EB45" s="162" t="str">
        <f>EXP(-LN(2)/25)*EB44+(1-EXP(-LN(2)/25))/(LN(2)/25)*Calculateur!DW45*Calculateur!DY45*VLOOKUP('Données projet'!$B$14,'Paramètres'!$A$1:$I$88,3,0)*0.475*44/12</f>
        <v>#N/A</v>
      </c>
      <c r="EC45" s="162" t="str">
        <f>EXP(-LN(2)/2)*EC44+(1-EXP(-LN(2)/2))/(LN(2)/2)*DW45*DZ45*VLOOKUP('Données projet'!$B$14,'Paramètres'!$A$1:$I$88,3,0)*0.475*44/12</f>
        <v>#N/A</v>
      </c>
      <c r="ED45" s="163" t="str">
        <f t="shared" si="19"/>
        <v>#N/A</v>
      </c>
      <c r="EE45" s="159">
        <f>('Scénario référence'!$F$8+'Scénario référence'!$F$9+'Scénario référence'!$B$17+'Scénario référence'!$B$9+'Scénario référence'!$B$10)*70+IF((45+25*(1-EXP(-0.0175*A45)))&lt;70,'Scénario référence'!$B$16*(45+25*(1-EXP(-0.0175*A45))),70*'Scénario référence'!$B$16)+IF((32+38*(1-EXP(-0.0175*A45)))&lt;70,'Scénario référence'!$B$18*(32+38*(1-EXP(-0.0175*A45))),70*'Scénario référence'!$B$18)</f>
        <v>70</v>
      </c>
      <c r="EF45" s="151">
        <f>IF(A45&gt;30,10,('Scénario référence'!$B$16+'Scénario référence'!$B$17+'Scénario référence'!$B$18+'Scénario référence'!$B$9+'Scénario référence'!$B$10)*A45*10/30+('Scénario référence'!$F$8+'Scénario référence'!$F$9)*10)</f>
        <v>10</v>
      </c>
      <c r="EG45" s="151" t="str">
        <f>VLOOKUP(A45,'Données projet'!$A$191:$I$211,2,0)</f>
        <v>#N/A</v>
      </c>
      <c r="EH45" s="151" t="str">
        <f>VLOOKUP(A45,'Données projet'!$A$191:$I$211,9,0)</f>
        <v>#N/A</v>
      </c>
      <c r="EI45" s="151" t="str">
        <f t="array" ref="EI45">INDEX(EH:EH,MIN(IF(ISNUMBER(EH45:EH241),ROW(EH45:EH241),"")))</f>
        <v/>
      </c>
      <c r="EJ45" s="151">
        <f>IF('Données projet'!$A$192&gt;35,EJ44+EI45-ER44,IF(A45&lt;'Données projet'!$A$192,$EG$205^A45,IF(A45='Données projet'!$A$192,'Données projet'!$B$192,EJ44+EI45-ER44)))</f>
        <v>0</v>
      </c>
      <c r="EK45" s="158" t="str">
        <f>EJ45*VLOOKUP('Données projet'!$B$15,'Paramètres'!$A$1:$I$88,3,0)*VLOOKUP('Données projet'!$B$15,'Paramètres'!$A$1:$I$88,5,0)</f>
        <v>#N/A</v>
      </c>
      <c r="EL45" s="150" t="str">
        <f t="shared" si="46"/>
        <v>#N/A</v>
      </c>
      <c r="EM45" s="161" t="str">
        <f t="shared" si="20"/>
        <v>#N/A</v>
      </c>
      <c r="EN45" s="153" t="str">
        <f t="shared" si="21"/>
        <v>#N/A</v>
      </c>
      <c r="EO45" s="153" t="str">
        <f>AVERAGE(OFFSET($EN$3,0,0,'Données projet'!$E$15+1,1))-AVERAGE(OFFSET($H$3,0,0,'Données projet'!$E$15+1,1))</f>
        <v>#N/A</v>
      </c>
      <c r="EP45" s="153" t="str">
        <f t="shared" si="47"/>
        <v>#N/A</v>
      </c>
      <c r="EQ45" s="154">
        <f>IF(ISNA(VLOOKUP(A45,'Données projet'!$A$191:$I$211,3,0)),0,VLOOKUP(A45,'Données projet'!$A$191:$I$211,3,0))</f>
        <v>0</v>
      </c>
      <c r="ER45" s="154">
        <f>IF(ISNA(VLOOKUP(A45,'Données projet'!$A$191:$I$211,4,0)),0,VLOOKUP(A45,'Données projet'!$A$191:$I$211,4,0))</f>
        <v>0</v>
      </c>
      <c r="ES45" s="155">
        <f>IF(ISNA(VLOOKUP(A45,'Données projet'!$A$191:$I$211,5,0)),0%,VLOOKUP(A45,'Données projet'!$A$191:$I$211,5,0)*VLOOKUP('Données projet'!$B$15,'Paramètres'!$A$1:$I$88,7,0))</f>
        <v>0</v>
      </c>
      <c r="ET45" s="155">
        <f>IF(ISNA(VLOOKUP(A45,'Données projet'!$A$191:$I$211,6,0)),0%,VLOOKUP(A45,'Données projet'!$A$191:$I$211,6,0)*VLOOKUP('Données projet'!$B$15,'Paramètres'!$A$1:$I$88,7,0))</f>
        <v>0</v>
      </c>
      <c r="EU45" s="155">
        <f>IF(ISNA(VLOOKUP(A45,'Données projet'!$A$191:$I$211,7,0)),0%,VLOOKUP(A45,'Données projet'!$A$191:$I$211,7,0))</f>
        <v>0</v>
      </c>
      <c r="EV45" s="162" t="str">
        <f>EXP(-LN(2)/35)*EV44+(1-EXP(-LN(2)/35))/(LN(2)/35)*ER45*ES45*VLOOKUP('Données projet'!$B$15,'Paramètres'!$A$1:$I$88,3,0)*0.475*44/12</f>
        <v>#N/A</v>
      </c>
      <c r="EW45" s="162" t="str">
        <f>EXP(-LN(2)/25)*EW44+(1-EXP(-LN(2)/25))/(LN(2)/25)*Calculateur!ER45*Calculateur!ET45*VLOOKUP('Données projet'!$B$15,'Paramètres'!$A$1:$I$88,3,0)*0.475*44/12</f>
        <v>#N/A</v>
      </c>
      <c r="EX45" s="162" t="str">
        <f>EXP(-LN(2)/2)*EX44+(1-EXP(-LN(2)/2))/(LN(2)/2)*ER45*EU45*VLOOKUP('Données projet'!$B$15,'Paramètres'!$A$1:$I$88,3,0)*0.475*44/12</f>
        <v>#N/A</v>
      </c>
      <c r="EY45" s="163" t="str">
        <f t="shared" si="22"/>
        <v>#N/A</v>
      </c>
      <c r="EZ45" s="159">
        <f>('Scénario référence'!$F$8+'Scénario référence'!$F$9+'Scénario référence'!$B$17+'Scénario référence'!$B$9+'Scénario référence'!$B$10)*70+IF((45+25*(1-EXP(-0.0175*A45)))&lt;70,'Scénario référence'!$B$16*(45+25*(1-EXP(-0.0175*A45))),70*'Scénario référence'!$B$16)+IF((32+38*(1-EXP(-0.0175*A45)))&lt;70,'Scénario référence'!$B$18*(32+38*(1-EXP(-0.0175*A45))),70*'Scénario référence'!$B$18)</f>
        <v>70</v>
      </c>
      <c r="FA45" s="151">
        <f>IF(A45&gt;30,10,('Scénario référence'!$B$16+'Scénario référence'!$B$17+'Scénario référence'!$B$18+'Scénario référence'!$B$9+'Scénario référence'!$B$10)*A45*10/30+('Scénario référence'!$F$8+'Scénario référence'!$F$9)*10)</f>
        <v>10</v>
      </c>
      <c r="FB45" s="151" t="str">
        <f>VLOOKUP(A45,'Données projet'!$A$217:$I$237,2,0)</f>
        <v>#N/A</v>
      </c>
      <c r="FC45" s="151" t="str">
        <f>VLOOKUP(A45,'Données projet'!$A$217:$I$237,9,0)</f>
        <v>#N/A</v>
      </c>
      <c r="FD45" s="151" t="str">
        <f t="array" ref="FD45">INDEX(FC:FC,MIN(IF(ISNUMBER(FC45:FC241),ROW(FC45:FC241),"")))</f>
        <v/>
      </c>
      <c r="FE45" s="151">
        <f>IF('Données projet'!$A$218&gt;35,FE44+FD45-FM44,IF(A45&lt;'Données projet'!$A$218,$FB$205^A45,IF(A45='Données projet'!$A$218,'Données projet'!$B$218,FE44+FD45-FM44)))</f>
        <v>0</v>
      </c>
      <c r="FF45" s="158" t="str">
        <f>FE45*VLOOKUP('Données projet'!$B$16,'Paramètres'!$A$1:$I$88,3,0)*VLOOKUP('Données projet'!$B$16,'Paramètres'!$A$1:$I$88,5,0)</f>
        <v>#N/A</v>
      </c>
      <c r="FG45" s="150" t="str">
        <f t="shared" si="48"/>
        <v>#N/A</v>
      </c>
      <c r="FH45" s="161" t="str">
        <f t="shared" si="23"/>
        <v>#N/A</v>
      </c>
      <c r="FI45" s="153" t="str">
        <f t="shared" si="24"/>
        <v>#N/A</v>
      </c>
      <c r="FJ45" s="153" t="str">
        <f>AVERAGE(OFFSET($FI$3,0,0,'Données projet'!$E$16+1,1))-AVERAGE(OFFSET($H$3,0,0,'Données projet'!$E$16+1,1))</f>
        <v>#N/A</v>
      </c>
      <c r="FK45" s="153" t="str">
        <f t="shared" si="49"/>
        <v>#N/A</v>
      </c>
      <c r="FL45" s="154">
        <f>IF(ISNA(VLOOKUP(A45,'Données projet'!$A$217:$I$237,3,0)),0,VLOOKUP(A45,'Données projet'!$A$217:$I$237,3,0))</f>
        <v>0</v>
      </c>
      <c r="FM45" s="154">
        <f>IF(ISNA(VLOOKUP(A45,'Données projet'!$A$217:$I$237,4,0)),0,VLOOKUP(A45,'Données projet'!$A$217:$I$237,4,0))</f>
        <v>0</v>
      </c>
      <c r="FN45" s="155">
        <f>IF(ISNA(VLOOKUP(A45,'Données projet'!$A$217:$I$237,5,0)),0%,VLOOKUP(A45,'Données projet'!$A$217:$I$237,5,0)*VLOOKUP('Données projet'!$B$16,'Paramètres'!$A$1:$I$88,7,0))</f>
        <v>0</v>
      </c>
      <c r="FO45" s="155">
        <f>IF(ISNA(VLOOKUP(A45,'Données projet'!$A$217:$I$237,6,0)),0%,VLOOKUP(A45,'Données projet'!$A$217:$I$237,6,0)*VLOOKUP('Données projet'!$B$16,'Paramètres'!$A$1:$I$88,7,0))</f>
        <v>0</v>
      </c>
      <c r="FP45" s="155">
        <f>IF(ISNA(VLOOKUP(A45,'Données projet'!$A$217:$I$237,7,0)),0%,VLOOKUP(A45,'Données projet'!$A$217:$I$237,7,0))</f>
        <v>0</v>
      </c>
      <c r="FQ45" s="162" t="str">
        <f>EXP(-LN(2)/35)*FQ44+(1-EXP(-LN(2)/35))/(LN(2)/35)*FM45*FN45*VLOOKUP('Données projet'!$B$16,'Paramètres'!$A$1:$I$88,3,0)*0.475*44/12</f>
        <v>#N/A</v>
      </c>
      <c r="FR45" s="162" t="str">
        <f>EXP(-LN(2)/25)*FR44+(1-EXP(-LN(2)/25))/(LN(2)/25)*Calculateur!FM45*Calculateur!FO45*VLOOKUP('Données projet'!$B$16,'Paramètres'!$A$1:$I$88,3,0)*0.475*44/12</f>
        <v>#N/A</v>
      </c>
      <c r="FS45" s="162" t="str">
        <f>EXP(-LN(2)/2)*FS44+(1-EXP(-LN(2)/2))/(LN(2)/2)*FM45*FP45*VLOOKUP('Données projet'!$B$16,'Paramètres'!$A$1:$I$88,3,0)*0.475*44/12</f>
        <v>#N/A</v>
      </c>
      <c r="FT45" s="163" t="str">
        <f t="shared" si="25"/>
        <v>#N/A</v>
      </c>
      <c r="FU45" s="159">
        <f>('Scénario référence'!$F$8+'Scénario référence'!$F$9+'Scénario référence'!$B$17+'Scénario référence'!$B$9+'Scénario référence'!$B$10)*70+IF((45+25*(1-EXP(-0.0175*A45)))&lt;70,'Scénario référence'!$B$16*(45+25*(1-EXP(-0.0175*A45))),70*'Scénario référence'!$B$16)+IF((32+38*(1-EXP(-0.0175*A45)))&lt;70,'Scénario référence'!$B$18*(32+38*(1-EXP(-0.0175*A45))),70*'Scénario référence'!$B$18)</f>
        <v>70</v>
      </c>
      <c r="FV45" s="151">
        <f>IF(A45&gt;30,10,('Scénario référence'!$B$16+'Scénario référence'!$B$17+'Scénario référence'!$B$18+'Scénario référence'!$B$9+'Scénario référence'!$B$10)*A45*10/30+('Scénario référence'!$F$8+'Scénario référence'!$F$9)*10)</f>
        <v>10</v>
      </c>
      <c r="FW45" s="151" t="str">
        <f>VLOOKUP(A45,'Données projet'!$A$243:$I$263,2,0)</f>
        <v>#N/A</v>
      </c>
      <c r="FX45" s="151" t="str">
        <f>VLOOKUP(A45,'Données projet'!$A$243:$I$263,9,0)</f>
        <v>#N/A</v>
      </c>
      <c r="FY45" s="151" t="str">
        <f t="array" ref="FY45">INDEX(FX:FX,MIN(IF(ISNUMBER(FX45:FX241),ROW(FX45:FX241),"")))</f>
        <v/>
      </c>
      <c r="FZ45" s="151">
        <f>IF('Données projet'!$A$244&gt;35,FZ44+FY45-GH44,IF(A45&lt;'Données projet'!$A$244,$FW$205^A45,IF(A45='Données projet'!$A$244,'Données projet'!$B$244,FZ44+FY45-GH44)))</f>
        <v>0</v>
      </c>
      <c r="GA45" s="158" t="str">
        <f>FZ45*VLOOKUP('Données projet'!$B$17,'Paramètres'!$A$1:$I$88,3,0)*VLOOKUP('Données projet'!$B$17,'Paramètres'!$A$1:$I$88,5,0)</f>
        <v>#N/A</v>
      </c>
      <c r="GB45" s="150" t="str">
        <f t="shared" si="50"/>
        <v>#N/A</v>
      </c>
      <c r="GC45" s="161" t="str">
        <f t="shared" si="26"/>
        <v>#N/A</v>
      </c>
      <c r="GD45" s="153" t="str">
        <f t="shared" si="27"/>
        <v>#N/A</v>
      </c>
      <c r="GE45" s="153" t="str">
        <f>AVERAGE(OFFSET($GD$3,0,0,'Données projet'!$E$17+1,1))-AVERAGE(OFFSET($H$3,0,0,'Données projet'!$E$17+1,1))</f>
        <v>#N/A</v>
      </c>
      <c r="GF45" s="153" t="str">
        <f t="shared" si="51"/>
        <v>#N/A</v>
      </c>
      <c r="GG45" s="154">
        <f>IF(ISNA(VLOOKUP(A45,'Données projet'!$A$243:$I$263,3,0)),0,VLOOKUP(A45,'Données projet'!$A$243:$I$263,3,0))</f>
        <v>0</v>
      </c>
      <c r="GH45" s="154">
        <f>IF(ISNA(VLOOKUP(A45,'Données projet'!$A$243:$I$263,4,0)),0,VLOOKUP(A45,'Données projet'!$A$243:$I$263,4,0))</f>
        <v>0</v>
      </c>
      <c r="GI45" s="155">
        <f>IF(ISNA(VLOOKUP(A45,'Données projet'!$A$243:$I$263,5,0)),0%,VLOOKUP(A45,'Données projet'!$A$243:$I$263,5,0)*VLOOKUP('Données projet'!$B$17,'Paramètres'!$A$1:$I$88,7,0))</f>
        <v>0</v>
      </c>
      <c r="GJ45" s="155">
        <f>IF(ISNA(VLOOKUP(A45,'Données projet'!$A$243:$I$263,6,0)),0%,VLOOKUP(A45,'Données projet'!$A$243:$I$263,6,0)*VLOOKUP('Données projet'!$B$17,'Paramètres'!$A$1:$I$88,7,0))</f>
        <v>0</v>
      </c>
      <c r="GK45" s="155">
        <f>IF(ISNA(VLOOKUP(A45,'Données projet'!$A$243:$I$263,7,0)),0%,VLOOKUP(A45,'Données projet'!$A$243:$I$263,7,0))</f>
        <v>0</v>
      </c>
      <c r="GL45" s="162" t="str">
        <f>EXP(-LN(2)/35)*GL44+(1-EXP(-LN(2)/35))/(LN(2)/35)*GH45*GI45*VLOOKUP('Données projet'!$B$17,'Paramètres'!$A$1:$I$88,3,0)*0.475*44/12</f>
        <v>#N/A</v>
      </c>
      <c r="GM45" s="162" t="str">
        <f>EXP(-LN(2)/25)*GM44+(1-EXP(-LN(2)/25))/(LN(2)/25)*Calculateur!GH45*Calculateur!GJ45*VLOOKUP('Données projet'!$B$17,'Paramètres'!$A$1:$I$88,3,0)*0.475*44/12</f>
        <v>#N/A</v>
      </c>
      <c r="GN45" s="162" t="str">
        <f>EXP(-LN(2)/2)*GN44+(1-EXP(-LN(2)/2))/(LN(2)/2)*GH45*GK45*VLOOKUP('Données projet'!$B$17,'Paramètres'!$A$1:$I$88,3,0)*0.475*44/12</f>
        <v>#N/A</v>
      </c>
      <c r="GO45" s="162" t="str">
        <f t="shared" si="28"/>
        <v>#N/A</v>
      </c>
      <c r="GP45" s="159">
        <f>('Scénario référence'!$F$8+'Scénario référence'!$F$9+'Scénario référence'!$B$17+'Scénario référence'!$B$9+'Scénario référence'!$B$10)*70+IF((45+25*(1-EXP(-0.0175*A45)))&lt;70,'Scénario référence'!$B$16*(45+25*(1-EXP(-0.0175*A45))),70*'Scénario référence'!$B$16)+IF((32+38*(1-EXP(-0.0175*A45)))&lt;70,'Scénario référence'!$B$18*(32+38*(1-EXP(-0.0175*A45))),70*'Scénario référence'!$B$18)</f>
        <v>70</v>
      </c>
      <c r="GQ45" s="151">
        <f>IF(A45&gt;30,10,('Scénario référence'!$B$16+'Scénario référence'!$B$17+'Scénario référence'!$B$18+'Scénario référence'!$B$9+'Scénario référence'!$B$10)*A45*10/30+('Scénario référence'!$F$8+'Scénario référence'!$F$9)*10)</f>
        <v>10</v>
      </c>
      <c r="GR45" s="151" t="str">
        <f>VLOOKUP(A45,'Données projet'!$A$269:$I$289,2,0)</f>
        <v>#N/A</v>
      </c>
      <c r="GS45" s="151" t="str">
        <f>VLOOKUP(A45,'Données projet'!$A$269:$I$289,9,0)</f>
        <v>#N/A</v>
      </c>
      <c r="GT45" s="151" t="str">
        <f t="array" ref="GT45">INDEX(GS:GS,MIN(IF(ISNUMBER(GS45:GS241),ROW(GS45:GS241),"")))</f>
        <v/>
      </c>
      <c r="GU45" s="151">
        <f>IF('Données projet'!$A$270&gt;35,GU44+GT45-HC44,IF(A45&lt;'Données projet'!$A$270,$GR$205^A45,IF(A45='Données projet'!$A$270,'Données projet'!$B$270,GU44+GT45-HC44)))</f>
        <v>0</v>
      </c>
      <c r="GV45" s="158" t="str">
        <f>GU45*VLOOKUP('Données projet'!$B$18,'Paramètres'!$A$1:$I$88,3,0)*VLOOKUP('Données projet'!$B$18,'Paramètres'!$A$1:$I$88,5,0)</f>
        <v>#N/A</v>
      </c>
      <c r="GW45" s="150" t="str">
        <f t="shared" si="52"/>
        <v>#N/A</v>
      </c>
      <c r="GX45" s="161" t="str">
        <f t="shared" si="29"/>
        <v>#N/A</v>
      </c>
      <c r="GY45" s="153" t="str">
        <f t="shared" si="30"/>
        <v>#N/A</v>
      </c>
      <c r="GZ45" s="153" t="str">
        <f>AVERAGE(OFFSET($GY$3,0,0,'Données projet'!$E$18+1,1))-AVERAGE(OFFSET($H$3,0,0,'Données projet'!$E$18+1,1))</f>
        <v>#N/A</v>
      </c>
      <c r="HA45" s="153" t="str">
        <f t="shared" si="53"/>
        <v>#N/A</v>
      </c>
      <c r="HB45" s="154">
        <f>IF(ISNA(VLOOKUP(A45,'Données projet'!$A$269:$I$289,3,0)),0,VLOOKUP(A45,'Données projet'!$A$269:$I$289,3,0))</f>
        <v>0</v>
      </c>
      <c r="HC45" s="154">
        <f>IF(ISNA(VLOOKUP(A45,'Données projet'!$A$269:$I$289,4,0)),0,VLOOKUP(A45,'Données projet'!$A$269:$I$289,4,0))</f>
        <v>0</v>
      </c>
      <c r="HD45" s="155">
        <f>IF(ISNA(VLOOKUP(A45,'Données projet'!$A$269:$I$289,5,0)),0%,VLOOKUP(A45,'Données projet'!$A$269:$I$289,5,0)*VLOOKUP('Données projet'!$B$18,'Paramètres'!$A$1:$I$88,7,0))</f>
        <v>0</v>
      </c>
      <c r="HE45" s="155">
        <f>IF(ISNA(VLOOKUP(A45,'Données projet'!$A$269:$I$289,6,0)),0%,VLOOKUP(A45,'Données projet'!$A$269:$I$289,6,0)*VLOOKUP('Données projet'!$B$18,'Paramètres'!$A$1:$I$88,7,0))</f>
        <v>0</v>
      </c>
      <c r="HF45" s="155">
        <f>IF(ISNA(VLOOKUP(A45,'Données projet'!$A$269:$I$289,7,0)),0%,VLOOKUP(A45,'Données projet'!$A$269:$I$289,7,0))</f>
        <v>0</v>
      </c>
      <c r="HG45" s="162" t="str">
        <f>EXP(-LN(2)/35)*HG44+(1-EXP(-LN(2)/35))/(LN(2)/35)*HC45*HD45*VLOOKUP('Données projet'!$B$18,'Paramètres'!$A$1:$I$88,3,0)*0.475*44/12</f>
        <v>#N/A</v>
      </c>
      <c r="HH45" s="162" t="str">
        <f>EXP(-LN(2)/25)*HH44+(1-EXP(-LN(2)/25))/(LN(2)/25)*Calculateur!HC45*Calculateur!HE45*VLOOKUP('Données projet'!$B$18,'Paramètres'!$A$1:$I$88,3,0)*0.475*44/12</f>
        <v>#N/A</v>
      </c>
      <c r="HI45" s="162" t="str">
        <f>EXP(-LN(2)/2)*HI44+(1-EXP(-LN(2)/2))/(LN(2)/2)*HC45*HF45*VLOOKUP('Données projet'!$B$18,'Paramètres'!$A$1:$I$88,3,0)*0.475*44/12</f>
        <v>#N/A</v>
      </c>
      <c r="HJ45" s="163" t="str">
        <f t="shared" si="31"/>
        <v>#N/A</v>
      </c>
    </row>
    <row r="46" ht="15.75" customHeight="1">
      <c r="A46" s="145">
        <f t="shared" si="32"/>
        <v>43</v>
      </c>
      <c r="B46" s="146">
        <f>'Scénario référence'!$B$16*5+'Scénario référence'!$B$17*0+'Scénario référence'!$B$18*5</f>
        <v>0</v>
      </c>
      <c r="C46" s="160">
        <f>Calculateur!C45+'Scénario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46" s="147">
        <f t="shared" si="33"/>
        <v>0</v>
      </c>
      <c r="E46" s="147">
        <f>'Scénario référence'!$B$16*45+('Scénario référence'!$B$17+'Scénario référence'!$F$8+'Scénario référence'!$F$9+'Scénario référence'!$B$10+'Scénario référence'!$B$9)*70+'Scénario référence'!$B$18*32</f>
        <v>70</v>
      </c>
      <c r="F46" s="147">
        <f>IF(OR('Scénario référence'!$F$8&gt;0,'Scénario référence'!$F$9&gt;0),('Scénario référence'!$F$8+'Scénario référence'!$F$9)*10,0)</f>
        <v>0</v>
      </c>
      <c r="G46" s="147">
        <f>'Scénario référence'!$B$8*B46*44/12+'Scénario référence'!$B$9*(C46+D46)/0.475*44/12+'Scénario référence'!$B$10*(C46+D46)/0.475*44/12+'Scénario référence'!$F$8*(C46+D46)/0.475*44/12+'Scénario référence'!$F$9*(C46+D46)/0.475*44/12</f>
        <v>0</v>
      </c>
      <c r="H46" s="148">
        <f t="shared" si="1"/>
        <v>256.6666667</v>
      </c>
      <c r="I46" s="149">
        <f>('Scénario référence'!$F$8+'Scénario référence'!$F$9+'Scénario référence'!$B$17+'Scénario référence'!$B$9+'Scénario référence'!$B$10)*70+IF((45+25*(1-EXP(-0.0175*A46)))&lt;70,'Scénario référence'!$B$16*(45+25*(1-EXP(-0.0175*A46))),70*'Scénario référence'!$B$16)+IF((32+38*(1-EXP(-0.0175*A46)))&lt;70,'Scénario référence'!$B$18*(32+38*(1-EXP(-0.0175*A46))),70*'Scénario référence'!$B$18)</f>
        <v>70</v>
      </c>
      <c r="J46" s="150">
        <f>IF(A46&gt;30,10,('Scénario référence'!$B$16+'Scénario référence'!$B$17+'Scénario référence'!$B$18+'Scénario référence'!$B$9+'Scénario référence'!$B$10)*A46*10/30+('Scénario référence'!$F$8+'Scénario référence'!$F$9)*10)</f>
        <v>10</v>
      </c>
      <c r="K46" s="151" t="str">
        <f>VLOOKUP(A46,'Données projet'!$A$35:$I$55,2,0)</f>
        <v>#N/A</v>
      </c>
      <c r="L46" s="151" t="str">
        <f>VLOOKUP(A46,'Données projet'!$A$35:$I$55,9,0)</f>
        <v>#N/A</v>
      </c>
      <c r="M46" s="150">
        <f t="array" ref="M46">INDEX(L:L,MIN(IF(ISNUMBER(L46:L242),ROW(L46:L242),"")))</f>
        <v>11.4</v>
      </c>
      <c r="N46" s="150">
        <f>IF('Données projet'!$A$36&gt;35,N45+M46-V45,IF(A46&lt;'Données projet'!$A$36,$K$205^A46,IF(A46='Données projet'!$A$36,'Données projet'!$B$36,N45+M46-V45)))</f>
        <v>181.2</v>
      </c>
      <c r="O46" s="150">
        <f>N46*VLOOKUP('Données projet'!$B$9,'Paramètres'!$A$1:$I$88,3,0)*VLOOKUP('Données projet'!$B$9,'Paramètres'!$A$1:$I$88,5,0)</f>
        <v>163.94976</v>
      </c>
      <c r="P46" s="150">
        <f t="shared" si="34"/>
        <v>41.73212646</v>
      </c>
      <c r="Q46" s="161">
        <f t="shared" si="2"/>
        <v>358.2292856</v>
      </c>
      <c r="R46" s="153">
        <f t="shared" si="3"/>
        <v>651.5626189</v>
      </c>
      <c r="S46" s="153">
        <f>AVERAGE(OFFSET($R$3,0,0,'Données projet'!$E$9+1,1))-AVERAGE(OFFSET($H$3,0,0,'Données projet'!$E$9+1,1))</f>
        <v>439.1985427</v>
      </c>
      <c r="T46" s="153">
        <f t="shared" si="35"/>
        <v>278.2174123</v>
      </c>
      <c r="U46" s="154">
        <f>IF(ISNA(VLOOKUP(A46,'Données projet'!$A$35:$I$55,3,0)),0,VLOOKUP(A46,'Données projet'!$A$35:$I$55,3,0))</f>
        <v>0</v>
      </c>
      <c r="V46" s="154">
        <f>IF(ISNA(VLOOKUP(A46,'Données projet'!$A$35:$I$55,4,0)),0,VLOOKUP(A46,'Données projet'!$A$35:$I$55,4,0))</f>
        <v>0</v>
      </c>
      <c r="W46" s="155">
        <f>IF(ISNA(VLOOKUP(A46,'Données projet'!$A$35:$I$55,5,0)),0%,VLOOKUP(A46,'Données projet'!$A$35:$I$55,5,0)*VLOOKUP('Données projet'!$B$9,'Paramètres'!$A$1:$I$88,7,0))</f>
        <v>0</v>
      </c>
      <c r="X46" s="155">
        <f>IF(ISNA(VLOOKUP(A46,'Données projet'!$A$35:$I$55,6,0)),0%,VLOOKUP(A46,'Données projet'!$A$35:$I$55,6,0)*VLOOKUP('Données projet'!$B$9,'Paramètres'!$A$1:$I$88,7,0))</f>
        <v>0</v>
      </c>
      <c r="Y46" s="155">
        <f>IF(ISNA(VLOOKUP(A46,'Données projet'!$A$35:$I$55,7,0)),0%,VLOOKUP(A46,'Données projet'!$A$35:$I$55,7,0))</f>
        <v>0</v>
      </c>
      <c r="Z46" s="162">
        <f>EXP(-LN(2)/35)*Z45+(1-EXP(-LN(2)/35))/(LN(2)/35)*V46*W46*VLOOKUP('Données projet'!$B$9,'Paramètres'!$A$1:$I$88,3,0)*0.475*44/12</f>
        <v>0</v>
      </c>
      <c r="AA46" s="162">
        <f>EXP(-LN(2)/25)*AA45+(1-EXP(-LN(2)/25))/(LN(2)/25)*Calculateur!V46*Calculateur!X46*VLOOKUP('Données projet'!$B$9,'Paramètres'!$A$1:$I$88,3,0)*0.475*44/12</f>
        <v>3.129512433</v>
      </c>
      <c r="AB46" s="162">
        <f>EXP(-LN(2)/2)*AB45+(1-EXP(-LN(2)/2))/(LN(2)/2)*V46*Y46*VLOOKUP('Données projet'!$B$9,'Paramètres'!$A$1:$I$88,3,0)*0.475*44/12</f>
        <v>0</v>
      </c>
      <c r="AC46" s="163">
        <f t="shared" si="4"/>
        <v>3.129512433</v>
      </c>
      <c r="AD46" s="150">
        <f>('Scénario référence'!$F$8+'Scénario référence'!$F$9+'Scénario référence'!$B$17+'Scénario référence'!$B$9+'Scénario référence'!$B$10)*70+IF((45+25*(1-EXP(-0.0175*A46)))&lt;70,'Scénario référence'!$B$16*(45+25*(1-EXP(-0.0175*A46))),70*'Scénario référence'!$B$16)+IF((32+38*(1-EXP(-0.0175*A46)))&lt;70,'Scénario référence'!$B$18*(32+38*(1-EXP(-0.0175*A46))),70*'Scénario référence'!$B$18)</f>
        <v>70</v>
      </c>
      <c r="AE46" s="150">
        <f>IF(A46&gt;30,10,('Scénario référence'!$B$16+'Scénario référence'!$B$17+'Scénario référence'!$B$18+'Scénario référence'!$B$9+'Scénario référence'!$B$10)*A46*10/30+('Scénario référence'!$F$8+'Scénario référence'!$F$9)*10)</f>
        <v>10</v>
      </c>
      <c r="AF46" s="151" t="str">
        <f>VLOOKUP(A46,'Données projet'!$A$61:$I$81,2,0)</f>
        <v>#N/A</v>
      </c>
      <c r="AG46" s="151" t="str">
        <f>VLOOKUP(A46,'Données projet'!$A$61:$I$81,9,0)</f>
        <v>#N/A</v>
      </c>
      <c r="AH46" s="150">
        <f t="array" ref="AH46">INDEX(AG:AG,MIN(IF(ISNUMBER(AG46:AG242),ROW(AG46:AG242),"")))</f>
        <v>11.4</v>
      </c>
      <c r="AI46" s="150">
        <f>IF('Données projet'!$A$62&gt;35,AI45+AH46-AQ45,IF(A46&lt;'Données projet'!$A$62,$AF$205^A46,IF(A46='Données projet'!$A$62,'Données projet'!$B$62,AI45+AH46-AQ45)))</f>
        <v>257.2</v>
      </c>
      <c r="AJ46" s="150">
        <f>AI46*VLOOKUP('Données projet'!$B$10,'Paramètres'!$A$1:$I$88,3,0)*VLOOKUP('Données projet'!$B$10,'Paramètres'!$A$1:$I$88,5,0)</f>
        <v>204.62832</v>
      </c>
      <c r="AK46" s="150">
        <f t="shared" si="36"/>
        <v>50.75997407</v>
      </c>
      <c r="AL46" s="161">
        <f t="shared" si="5"/>
        <v>444.8012788</v>
      </c>
      <c r="AM46" s="153">
        <f t="shared" si="6"/>
        <v>738.1346122</v>
      </c>
      <c r="AN46" s="153">
        <f>AVERAGE(OFFSET($AM$3,0,0,'Données projet'!$E$10+1,1))-AVERAGE(OFFSET($H$3,0,0,'Données projet'!$E$10+1,1))</f>
        <v>405.6113614</v>
      </c>
      <c r="AO46" s="153">
        <f t="shared" si="37"/>
        <v>393.0787141</v>
      </c>
      <c r="AP46" s="154">
        <f>IF(ISNA(VLOOKUP(A46,'Données projet'!$A$61:$I$81,3,0)),0,VLOOKUP(A46,'Données projet'!$A$61:$I$81,3,0))</f>
        <v>0</v>
      </c>
      <c r="AQ46" s="154">
        <f>IF(ISNA(VLOOKUP(A46,'Données projet'!$A$61:$I$81,4,0)),0,VLOOKUP(A46,'Données projet'!$A$61:$I$81,4,0))</f>
        <v>0</v>
      </c>
      <c r="AR46" s="155">
        <f>IF(ISNA(VLOOKUP(A46,'Données projet'!$A$61:$I$81,5,0)),0%,VLOOKUP(A46,'Données projet'!$A$61:$I$81,5,0)*VLOOKUP('Données projet'!$B$10,'Paramètres'!$A$1:$I$88,7,0))</f>
        <v>0</v>
      </c>
      <c r="AS46" s="155">
        <f>IF(ISNA(VLOOKUP(A46,'Données projet'!$A$61:$I$81,6,0)),0%,VLOOKUP(A46,'Données projet'!$A$61:$I$81,6,0)*VLOOKUP('Données projet'!$B$10,'Paramètres'!$A$1:$I$88,7,0))</f>
        <v>0</v>
      </c>
      <c r="AT46" s="155">
        <f>IF(ISNA(VLOOKUP(A46,'Données projet'!$A$61:$I$81,7,0)),0%,VLOOKUP(A46,'Données projet'!$A$61:$I$81,7,0))</f>
        <v>0</v>
      </c>
      <c r="AU46" s="162">
        <f>EXP(-LN(2)/35)*AU45+(1-EXP(-LN(2)/35))/(LN(2)/35)*AQ46*AR46*VLOOKUP('Données projet'!$B$10,'Paramètres'!$A$1:$I$88,3,0)*0.475*44/12</f>
        <v>0</v>
      </c>
      <c r="AV46" s="162">
        <f>EXP(-LN(2)/25)*AV45+(1-EXP(-LN(2)/25))/(LN(2)/25)*Calculateur!AQ46*Calculateur!AS46*VLOOKUP('Données projet'!$B$10,'Paramètres'!$A$1:$I$88,3,0)*0.475*44/12</f>
        <v>12.71913408</v>
      </c>
      <c r="AW46" s="162">
        <f>EXP(-LN(2)/2)*AW45+(1-EXP(-LN(2)/2))/(LN(2)/2)*AQ46*AT46*VLOOKUP('Données projet'!$B$10,'Paramètres'!$A$1:$I$88,3,0)*0.475*44/12</f>
        <v>0.006404975477</v>
      </c>
      <c r="AX46" s="162">
        <f t="shared" si="7"/>
        <v>12.72553906</v>
      </c>
      <c r="AY46" s="157">
        <f>('Scénario référence'!$F$8+'Scénario référence'!$F$9+'Scénario référence'!$B$17+'Scénario référence'!$B$9+'Scénario référence'!$B$10)*70+IF((45+25*(1-EXP(-0.0175*A46)))&lt;70,'Scénario référence'!$B$16*(45+25*(1-EXP(-0.0175*A46))),70*'Scénario référence'!$B$16)+IF((32+38*(1-EXP(-0.0175*A46)))&lt;70,'Scénario référence'!$B$18*(32+38*(1-EXP(-0.0175*A46))),70*'Scénario référence'!$B$18)</f>
        <v>70</v>
      </c>
      <c r="AZ46" s="151">
        <f>IF(A46&gt;30,10,('Scénario référence'!$B$16+'Scénario référence'!$B$17+'Scénario référence'!$B$18+'Scénario référence'!$B$9+'Scénario référence'!$B$10)*A46*10/30+('Scénario référence'!$F$8+'Scénario référence'!$F$9)*10)</f>
        <v>10</v>
      </c>
      <c r="BA46" s="151" t="str">
        <f>VLOOKUP(A46,'Données projet'!$A$87:$I$107,2,0)</f>
        <v>#N/A</v>
      </c>
      <c r="BB46" s="151" t="str">
        <f>VLOOKUP(A46,'Données projet'!$A$87:$I$107,9,0)</f>
        <v>#N/A</v>
      </c>
      <c r="BC46" s="150" t="str">
        <f t="array" ref="BC46">INDEX(BB:BB,MIN(IF(ISNUMBER(BB46:BB242),ROW(BB46:BB242),"")))</f>
        <v/>
      </c>
      <c r="BD46" s="150">
        <f>IF('Données projet'!$A$88&gt;35,BD45+BC46-BL45,IF(A46&lt;'Données projet'!$A$88,$BA$205^A46,IF(A46='Données projet'!$A$88,'Données projet'!$B$88,BD45+BC46-BL45)))</f>
        <v>0</v>
      </c>
      <c r="BE46" s="150">
        <f>BD46*VLOOKUP('Données projet'!$B$11,'Paramètres'!$A$1:$I$88,3,0)*VLOOKUP('Données projet'!$B$11,'Paramètres'!$A$1:$I$88,5,0)</f>
        <v>0</v>
      </c>
      <c r="BF46" s="150" t="str">
        <f t="shared" si="38"/>
        <v>#NUM!</v>
      </c>
      <c r="BG46" s="161" t="str">
        <f t="shared" si="8"/>
        <v>#NUM!</v>
      </c>
      <c r="BH46" s="153" t="str">
        <f t="shared" si="9"/>
        <v>#NUM!</v>
      </c>
      <c r="BI46" s="153">
        <f>AVERAGE(OFFSET($BH$3,0,0,'Données projet'!$E$11+1,1))-AVERAGE(OFFSET($H$3,0,0,'Données projet'!$E$11+1,1))</f>
        <v>0</v>
      </c>
      <c r="BJ46" s="153">
        <f t="shared" si="39"/>
        <v>0</v>
      </c>
      <c r="BK46" s="154">
        <f>IF(ISNA(VLOOKUP(A46,'Données projet'!$A$87:$I$107,3,0)),0,VLOOKUP(A46,'Données projet'!$A$87:$I$107,3,0))</f>
        <v>0</v>
      </c>
      <c r="BL46" s="154">
        <f>IF(ISNA(VLOOKUP(A46,'Données projet'!$A$87:$I$107,4,0)),0,VLOOKUP(A46,'Données projet'!$A$87:$I$107,4,0))</f>
        <v>0</v>
      </c>
      <c r="BM46" s="155">
        <f>IF(ISNA(VLOOKUP(A46,'Données projet'!$A$87:$I$107,5,0)),0%,VLOOKUP(A46,'Données projet'!$A$87:$I$107,5,0)*VLOOKUP('Données projet'!$B$11,'Paramètres'!$A$1:$I$88,7,0))</f>
        <v>0</v>
      </c>
      <c r="BN46" s="155">
        <f>IF(ISNA(VLOOKUP(A46,'Données projet'!$A$87:$I$107,6,0)),0%,VLOOKUP(A46,'Données projet'!$A$87:$I$107,6,0)*VLOOKUP('Données projet'!$B$11,'Paramètres'!$A$1:$I$88,7,0))</f>
        <v>0</v>
      </c>
      <c r="BO46" s="155">
        <f>IF(ISNA(VLOOKUP(A46,'Données projet'!$A$87:$I$107,7,0)),0%,VLOOKUP(A46,'Données projet'!$A$87:$I$107,7,0))</f>
        <v>0</v>
      </c>
      <c r="BP46" s="162">
        <f>EXP(-LN(2)/35)*BP45+(1-EXP(-LN(2)/35))/(LN(2)/35)*BL46*BM46*VLOOKUP('Données projet'!$B$11,'Paramètres'!$A$1:$I$88,3,0)*0.475*44/12</f>
        <v>0</v>
      </c>
      <c r="BQ46" s="162">
        <f>EXP(-LN(2)/25)*BQ45+(1-EXP(-LN(2)/25))/(LN(2)/25)*Calculateur!BL46*Calculateur!BN46*VLOOKUP('Données projet'!$B$11,'Paramètres'!$A$1:$I$88,3,0)*0.475*44/12</f>
        <v>0</v>
      </c>
      <c r="BR46" s="162">
        <f>EXP(-LN(2)/2)*BR45+(1-EXP(-LN(2)/2))/(LN(2)/2)*BL46*BO46*VLOOKUP('Données projet'!$B$11,'Paramètres'!$A$1:$I$88,3,0)*0.475*44/12</f>
        <v>0</v>
      </c>
      <c r="BS46" s="163">
        <f t="shared" si="10"/>
        <v>0</v>
      </c>
      <c r="BT46" s="159">
        <f>('Scénario référence'!$F$8+'Scénario référence'!$F$9+'Scénario référence'!$B$17+'Scénario référence'!$B$9+'Scénario référence'!$B$10)*70+IF((45+25*(1-EXP(-0.0175*A46)))&lt;70,'Scénario référence'!$B$16*(45+25*(1-EXP(-0.0175*A46))),70*'Scénario référence'!$B$16)+IF((32+38*(1-EXP(-0.0175*A46)))&lt;70,'Scénario référence'!$B$18*(32+38*(1-EXP(-0.0175*A46))),70*'Scénario référence'!$B$18)</f>
        <v>70</v>
      </c>
      <c r="BU46" s="151">
        <f>IF(A46&gt;30,10,('Scénario référence'!$B$16+'Scénario référence'!$B$17+'Scénario référence'!$B$18+'Scénario référence'!$B$9+'Scénario référence'!$B$10)*A46*10/30+('Scénario référence'!$F$8+'Scénario référence'!$F$9)*10)</f>
        <v>10</v>
      </c>
      <c r="BV46" s="151" t="str">
        <f>VLOOKUP(A46,'Données projet'!$A$113:$I$133,2,0)</f>
        <v>#N/A</v>
      </c>
      <c r="BW46" s="151" t="str">
        <f>VLOOKUP(A46,'Données projet'!$A$113:$I$133,9,0)</f>
        <v>#N/A</v>
      </c>
      <c r="BX46" s="150" t="str">
        <f t="array" ref="BX46">INDEX(BW:BW,MIN(IF(ISNUMBER(BW46:BW242),ROW(BW46:BW242),"")))</f>
        <v/>
      </c>
      <c r="BY46" s="150">
        <f>IF('Données projet'!$A$114&gt;35,BY45+BX46-CG45,IF(A46&lt;'Données projet'!$A$114,$BV$205^A46,IF(A46='Données projet'!$A$114,'Données projet'!$B$114,BY45+BX46-CG45)))</f>
        <v>0</v>
      </c>
      <c r="BZ46" s="150" t="str">
        <f>BY46*VLOOKUP('Données projet'!$B$12,'Paramètres'!$A$1:$I$88,3,0)*VLOOKUP('Données projet'!$B$12,'Paramètres'!$A$1:$I$88,5,0)</f>
        <v>#N/A</v>
      </c>
      <c r="CA46" s="150" t="str">
        <f t="shared" si="40"/>
        <v>#N/A</v>
      </c>
      <c r="CB46" s="161" t="str">
        <f t="shared" si="11"/>
        <v>#N/A</v>
      </c>
      <c r="CC46" s="153" t="str">
        <f t="shared" si="12"/>
        <v>#N/A</v>
      </c>
      <c r="CD46" s="153" t="str">
        <f>AVERAGE(OFFSET($CC$3,0,0,'Données projet'!$E$12+1,1))-AVERAGE(OFFSET($H$3,0,0,'Données projet'!$E$12+1,1))</f>
        <v>#N/A</v>
      </c>
      <c r="CE46" s="153" t="str">
        <f t="shared" si="41"/>
        <v>#N/A</v>
      </c>
      <c r="CF46" s="154">
        <f>IF(ISNA(VLOOKUP(A46,'Données projet'!$A$113:$I$133,3,0)),0,VLOOKUP(A46,'Données projet'!$A$113:$I$133,3,0))</f>
        <v>0</v>
      </c>
      <c r="CG46" s="154">
        <f>IF(ISNA(VLOOKUP(A46,'Données projet'!$A$113:$I$133,4,0)),0,VLOOKUP(A46,'Données projet'!$A$113:$I$133,4,0))</f>
        <v>0</v>
      </c>
      <c r="CH46" s="155">
        <f>IF(ISNA(VLOOKUP(A46,'Données projet'!$A$113:$I$133,5,0)),0%,VLOOKUP(A46,'Données projet'!$A$113:$I$133,5,0)*VLOOKUP('Données projet'!$B$12,'Paramètres'!$A$1:$I$88,7,0))</f>
        <v>0</v>
      </c>
      <c r="CI46" s="155">
        <f>IF(ISNA(VLOOKUP(A46,'Données projet'!$A$113:$I$133,6,0)),0%,VLOOKUP(A46,'Données projet'!$A$113:$I$133,6,0)*VLOOKUP('Données projet'!$B$12,'Paramètres'!$A$1:$I$88,7,0))</f>
        <v>0</v>
      </c>
      <c r="CJ46" s="155">
        <f>IF(ISNA(VLOOKUP(A46,'Données projet'!$A$113:$I$133,7,0)),0%,VLOOKUP(A46,'Données projet'!$A$113:$I$133,7,0))</f>
        <v>0</v>
      </c>
      <c r="CK46" s="162" t="str">
        <f>EXP(-LN(2)/35)*CK45+(1-EXP(-LN(2)/35))/(LN(2)/35)*CG46*CH46*VLOOKUP('Données projet'!$B$12,'Paramètres'!$A$1:$I$88,3,0)*0.475*44/12</f>
        <v>#N/A</v>
      </c>
      <c r="CL46" s="162" t="str">
        <f>EXP(-LN(2)/25)*CL45+(1-EXP(-LN(2)/25))/(LN(2)/25)*Calculateur!CG46*Calculateur!CI46*VLOOKUP('Données projet'!$B$12,'Paramètres'!$A$1:$I$88,3,0)*0.475*44/12</f>
        <v>#N/A</v>
      </c>
      <c r="CM46" s="162" t="str">
        <f>EXP(-LN(2)/2)*CM45+(1-EXP(-LN(2)/2))/(LN(2)/2)*CG46*CJ46*VLOOKUP('Données projet'!$B$12,'Paramètres'!$A$1:$I$88,3,0)*0.475*44/12</f>
        <v>#N/A</v>
      </c>
      <c r="CN46" s="163" t="str">
        <f t="shared" si="13"/>
        <v>#N/A</v>
      </c>
      <c r="CO46" s="159">
        <f>('Scénario référence'!$F$8+'Scénario référence'!$F$9+'Scénario référence'!$B$17+'Scénario référence'!$B$9+'Scénario référence'!$B$10)*70+IF((45+25*(1-EXP(-0.0175*A46)))&lt;70,'Scénario référence'!$B$16*(45+25*(1-EXP(-0.0175*A46))),70*'Scénario référence'!$B$16)+IF((32+38*(1-EXP(-0.0175*A46)))&lt;70,'Scénario référence'!$B$18*(32+38*(1-EXP(-0.0175*A46))),70*'Scénario référence'!$B$18)</f>
        <v>70</v>
      </c>
      <c r="CP46" s="151">
        <f>IF(A46&gt;30,10,('Scénario référence'!$B$16+'Scénario référence'!$B$17+'Scénario référence'!$B$18+'Scénario référence'!$B$9+'Scénario référence'!$B$10)*A46*10/30+('Scénario référence'!$F$8+'Scénario référence'!$F$9)*10)</f>
        <v>10</v>
      </c>
      <c r="CQ46" s="151" t="str">
        <f>VLOOKUP(A46,'Données projet'!$A$139:$I$159,2,0)</f>
        <v>#N/A</v>
      </c>
      <c r="CR46" s="151" t="str">
        <f>VLOOKUP(A46,'Données projet'!$A$139:$I$159,9,0)</f>
        <v>#N/A</v>
      </c>
      <c r="CS46" s="151" t="str">
        <f t="array" ref="CS46">INDEX(CR:CR,MIN(IF(ISNUMBER(CR46:CR242),ROW(CR46:CR242),"")))</f>
        <v/>
      </c>
      <c r="CT46" s="151">
        <f>IF('Données projet'!$A$140&gt;35,CT45+CS46-DB45,IF(A46&lt;'Données projet'!$A$140,$CQ$205^A46,IF(A46='Données projet'!$A$140,'Données projet'!$B$140,CT45+CS46-DB45)))</f>
        <v>0</v>
      </c>
      <c r="CU46" s="158" t="str">
        <f>CT46*VLOOKUP('Données projet'!$B$13,'Paramètres'!$A$1:$I$88,3,0)*VLOOKUP('Données projet'!$B$13,'Paramètres'!$A$1:$I$88,5,0)</f>
        <v>#N/A</v>
      </c>
      <c r="CV46" s="150" t="str">
        <f t="shared" si="42"/>
        <v>#N/A</v>
      </c>
      <c r="CW46" s="161" t="str">
        <f t="shared" si="14"/>
        <v>#N/A</v>
      </c>
      <c r="CX46" s="153" t="str">
        <f t="shared" si="15"/>
        <v>#N/A</v>
      </c>
      <c r="CY46" s="153" t="str">
        <f>AVERAGE(OFFSET($CX$3,0,0,'Données projet'!$E$13+1,1))-AVERAGE(OFFSET($H$3,0,0,'Données projet'!$E$13+1,1))</f>
        <v>#N/A</v>
      </c>
      <c r="CZ46" s="153" t="str">
        <f t="shared" si="43"/>
        <v>#N/A</v>
      </c>
      <c r="DA46" s="154">
        <f>IF(ISNA(VLOOKUP(A46,'Données projet'!$A$139:$I$159,3,0)),0,VLOOKUP(A46,'Données projet'!$A$139:$I$159,3,0))</f>
        <v>0</v>
      </c>
      <c r="DB46" s="154">
        <f>IF(ISNA(VLOOKUP(A46,'Données projet'!$A$139:$I$159,4,0)),0,VLOOKUP(A46,'Données projet'!$A$139:$I$159,4,0))</f>
        <v>0</v>
      </c>
      <c r="DC46" s="155">
        <f>IF(ISNA(VLOOKUP(A46,'Données projet'!$A$139:$I$159,5,0)),0%,VLOOKUP(A46,'Données projet'!$A$139:$I$159,5,0)*VLOOKUP('Données projet'!$B$13,'Paramètres'!$A$1:$I$88,7,0))</f>
        <v>0</v>
      </c>
      <c r="DD46" s="155">
        <f>IF(ISNA(VLOOKUP(A46,'Données projet'!$A$139:$I$159,6,0)),0%,VLOOKUP(A46,'Données projet'!$A$139:$I$159,6,0)*VLOOKUP('Données projet'!$B$13,'Paramètres'!$A$1:$I$88,7,0))</f>
        <v>0</v>
      </c>
      <c r="DE46" s="155">
        <f>IF(ISNA(VLOOKUP(A46,'Données projet'!$A$139:$I$159,7,0)),0%,VLOOKUP(A46,'Données projet'!$A$139:$I$159,7,0))</f>
        <v>0</v>
      </c>
      <c r="DF46" s="162" t="str">
        <f>EXP(-LN(2)/35)*DF45+(1-EXP(-LN(2)/35))/(LN(2)/35)*DB46*DC46*VLOOKUP('Données projet'!$B$13,'Paramètres'!$A$1:$I$88,3,0)*0.475*44/12</f>
        <v>#N/A</v>
      </c>
      <c r="DG46" s="162" t="str">
        <f>EXP(-LN(2)/25)*DG45+(1-EXP(-LN(2)/25))/(LN(2)/25)*Calculateur!DB46*Calculateur!DD46*VLOOKUP('Données projet'!$B$13,'Paramètres'!$A$1:$I$88,3,0)*0.475*44/12</f>
        <v>#N/A</v>
      </c>
      <c r="DH46" s="162" t="str">
        <f>EXP(-LN(2)/2)*DH45+(1-EXP(-LN(2)/2))/(LN(2)/2)*DB46*DE46*VLOOKUP('Données projet'!$B$13,'Paramètres'!$A$1:$I$88,3,0)*0.475*44/12</f>
        <v>#N/A</v>
      </c>
      <c r="DI46" s="163" t="str">
        <f t="shared" si="16"/>
        <v>#N/A</v>
      </c>
      <c r="DJ46" s="159">
        <f>('Scénario référence'!$F$8+'Scénario référence'!$F$9+'Scénario référence'!$B$17+'Scénario référence'!$B$9+'Scénario référence'!$B$10)*70+IF((45+25*(1-EXP(-0.0175*A46)))&lt;70,'Scénario référence'!$B$16*(45+25*(1-EXP(-0.0175*A46))),70*'Scénario référence'!$B$16)+IF((32+38*(1-EXP(-0.0175*A46)))&lt;70,'Scénario référence'!$B$18*(32+38*(1-EXP(-0.0175*A46))),70*'Scénario référence'!$B$18)</f>
        <v>70</v>
      </c>
      <c r="DK46" s="151">
        <f>IF(A46&gt;30,10,('Scénario référence'!$B$16+'Scénario référence'!$B$17+'Scénario référence'!$B$18+'Scénario référence'!$B$9+'Scénario référence'!$B$10)*A46*10/30+('Scénario référence'!$F$8+'Scénario référence'!$F$9)*10)</f>
        <v>10</v>
      </c>
      <c r="DL46" s="151" t="str">
        <f>VLOOKUP(A46,'Données projet'!$A$165:$I$185,2,0)</f>
        <v>#N/A</v>
      </c>
      <c r="DM46" s="151" t="str">
        <f>VLOOKUP(A46,'Données projet'!$A$165:$I$185,9,0)</f>
        <v>#N/A</v>
      </c>
      <c r="DN46" s="151" t="str">
        <f t="array" ref="DN46">INDEX(DM:DM,MIN(IF(ISNUMBER(DM46:DM242),ROW(DM46:DM242),"")))</f>
        <v/>
      </c>
      <c r="DO46" s="151">
        <f>IF('Données projet'!$A$166&gt;35,DO45+DN46-DW45,IF(A46&lt;'Données projet'!$A$166,$DL$205^A46,IF(A46='Données projet'!$A$166,'Données projet'!$B$166,DO45+DN46-DW45)))</f>
        <v>0</v>
      </c>
      <c r="DP46" s="158" t="str">
        <f>DO46*VLOOKUP('Données projet'!$B$14,'Paramètres'!$A$1:$I$88,3,0)*VLOOKUP('Données projet'!$B$14,'Paramètres'!$A$1:$I$88,5,0)</f>
        <v>#N/A</v>
      </c>
      <c r="DQ46" s="150" t="str">
        <f t="shared" si="44"/>
        <v>#N/A</v>
      </c>
      <c r="DR46" s="161" t="str">
        <f t="shared" si="17"/>
        <v>#N/A</v>
      </c>
      <c r="DS46" s="153" t="str">
        <f t="shared" si="18"/>
        <v>#N/A</v>
      </c>
      <c r="DT46" s="153" t="str">
        <f>AVERAGE(OFFSET($DS$3,0,0,'Données projet'!$E$14+1,1))-AVERAGE(OFFSET($H$3,0,0,'Données projet'!$E$14+1,1))</f>
        <v>#N/A</v>
      </c>
      <c r="DU46" s="153" t="str">
        <f t="shared" si="45"/>
        <v>#N/A</v>
      </c>
      <c r="DV46" s="154">
        <f>IF(ISNA(VLOOKUP(A46,'Données projet'!$A$165:$I$185,3,0)),0,VLOOKUP(A46,'Données projet'!$A$165:$I$185,3,0))</f>
        <v>0</v>
      </c>
      <c r="DW46" s="154">
        <f>IF(ISNA(VLOOKUP(A46,'Données projet'!$A$165:$I$185,4,0)),0,VLOOKUP(A46,'Données projet'!$A$165:$I$185,4,0))</f>
        <v>0</v>
      </c>
      <c r="DX46" s="155">
        <f>IF(ISNA(VLOOKUP(A46,'Données projet'!$A$165:$I$185,5,0)),0%,VLOOKUP(A46,'Données projet'!$A$165:$I$185,5,0)*VLOOKUP('Données projet'!$B$14,'Paramètres'!$A$1:$I$88,7,0))</f>
        <v>0</v>
      </c>
      <c r="DY46" s="155">
        <f>IF(ISNA(VLOOKUP(A46,'Données projet'!$A$165:$I$185,6,0)),0%,VLOOKUP(A46,'Données projet'!$A$165:$I$185,6,0)*VLOOKUP('Données projet'!$B$14,'Paramètres'!$A$1:$I$88,7,0))</f>
        <v>0</v>
      </c>
      <c r="DZ46" s="155">
        <f>IF(ISNA(VLOOKUP(A46,'Données projet'!$A$165:$I$185,7,0)),0%,VLOOKUP(A46,'Données projet'!$A$165:$I$185,7,0))</f>
        <v>0</v>
      </c>
      <c r="EA46" s="162" t="str">
        <f>EXP(-LN(2)/35)*EA45+(1-EXP(-LN(2)/35))/(LN(2)/35)*DW46*DX46*VLOOKUP('Données projet'!$B$14,'Paramètres'!$A$1:$I$88,3,0)*0.475*44/12</f>
        <v>#N/A</v>
      </c>
      <c r="EB46" s="162" t="str">
        <f>EXP(-LN(2)/25)*EB45+(1-EXP(-LN(2)/25))/(LN(2)/25)*Calculateur!DW46*Calculateur!DY46*VLOOKUP('Données projet'!$B$14,'Paramètres'!$A$1:$I$88,3,0)*0.475*44/12</f>
        <v>#N/A</v>
      </c>
      <c r="EC46" s="162" t="str">
        <f>EXP(-LN(2)/2)*EC45+(1-EXP(-LN(2)/2))/(LN(2)/2)*DW46*DZ46*VLOOKUP('Données projet'!$B$14,'Paramètres'!$A$1:$I$88,3,0)*0.475*44/12</f>
        <v>#N/A</v>
      </c>
      <c r="ED46" s="163" t="str">
        <f t="shared" si="19"/>
        <v>#N/A</v>
      </c>
      <c r="EE46" s="159">
        <f>('Scénario référence'!$F$8+'Scénario référence'!$F$9+'Scénario référence'!$B$17+'Scénario référence'!$B$9+'Scénario référence'!$B$10)*70+IF((45+25*(1-EXP(-0.0175*A46)))&lt;70,'Scénario référence'!$B$16*(45+25*(1-EXP(-0.0175*A46))),70*'Scénario référence'!$B$16)+IF((32+38*(1-EXP(-0.0175*A46)))&lt;70,'Scénario référence'!$B$18*(32+38*(1-EXP(-0.0175*A46))),70*'Scénario référence'!$B$18)</f>
        <v>70</v>
      </c>
      <c r="EF46" s="151">
        <f>IF(A46&gt;30,10,('Scénario référence'!$B$16+'Scénario référence'!$B$17+'Scénario référence'!$B$18+'Scénario référence'!$B$9+'Scénario référence'!$B$10)*A46*10/30+('Scénario référence'!$F$8+'Scénario référence'!$F$9)*10)</f>
        <v>10</v>
      </c>
      <c r="EG46" s="151" t="str">
        <f>VLOOKUP(A46,'Données projet'!$A$191:$I$211,2,0)</f>
        <v>#N/A</v>
      </c>
      <c r="EH46" s="151" t="str">
        <f>VLOOKUP(A46,'Données projet'!$A$191:$I$211,9,0)</f>
        <v>#N/A</v>
      </c>
      <c r="EI46" s="151" t="str">
        <f t="array" ref="EI46">INDEX(EH:EH,MIN(IF(ISNUMBER(EH46:EH242),ROW(EH46:EH242),"")))</f>
        <v/>
      </c>
      <c r="EJ46" s="151">
        <f>IF('Données projet'!$A$192&gt;35,EJ45+EI46-ER45,IF(A46&lt;'Données projet'!$A$192,$EG$205^A46,IF(A46='Données projet'!$A$192,'Données projet'!$B$192,EJ45+EI46-ER45)))</f>
        <v>0</v>
      </c>
      <c r="EK46" s="158" t="str">
        <f>EJ46*VLOOKUP('Données projet'!$B$15,'Paramètres'!$A$1:$I$88,3,0)*VLOOKUP('Données projet'!$B$15,'Paramètres'!$A$1:$I$88,5,0)</f>
        <v>#N/A</v>
      </c>
      <c r="EL46" s="150" t="str">
        <f t="shared" si="46"/>
        <v>#N/A</v>
      </c>
      <c r="EM46" s="161" t="str">
        <f t="shared" si="20"/>
        <v>#N/A</v>
      </c>
      <c r="EN46" s="153" t="str">
        <f t="shared" si="21"/>
        <v>#N/A</v>
      </c>
      <c r="EO46" s="153" t="str">
        <f>AVERAGE(OFFSET($EN$3,0,0,'Données projet'!$E$15+1,1))-AVERAGE(OFFSET($H$3,0,0,'Données projet'!$E$15+1,1))</f>
        <v>#N/A</v>
      </c>
      <c r="EP46" s="153" t="str">
        <f t="shared" si="47"/>
        <v>#N/A</v>
      </c>
      <c r="EQ46" s="154">
        <f>IF(ISNA(VLOOKUP(A46,'Données projet'!$A$191:$I$211,3,0)),0,VLOOKUP(A46,'Données projet'!$A$191:$I$211,3,0))</f>
        <v>0</v>
      </c>
      <c r="ER46" s="154">
        <f>IF(ISNA(VLOOKUP(A46,'Données projet'!$A$191:$I$211,4,0)),0,VLOOKUP(A46,'Données projet'!$A$191:$I$211,4,0))</f>
        <v>0</v>
      </c>
      <c r="ES46" s="155">
        <f>IF(ISNA(VLOOKUP(A46,'Données projet'!$A$191:$I$211,5,0)),0%,VLOOKUP(A46,'Données projet'!$A$191:$I$211,5,0)*VLOOKUP('Données projet'!$B$15,'Paramètres'!$A$1:$I$88,7,0))</f>
        <v>0</v>
      </c>
      <c r="ET46" s="155">
        <f>IF(ISNA(VLOOKUP(A46,'Données projet'!$A$191:$I$211,6,0)),0%,VLOOKUP(A46,'Données projet'!$A$191:$I$211,6,0)*VLOOKUP('Données projet'!$B$15,'Paramètres'!$A$1:$I$88,7,0))</f>
        <v>0</v>
      </c>
      <c r="EU46" s="155">
        <f>IF(ISNA(VLOOKUP(A46,'Données projet'!$A$191:$I$211,7,0)),0%,VLOOKUP(A46,'Données projet'!$A$191:$I$211,7,0))</f>
        <v>0</v>
      </c>
      <c r="EV46" s="162" t="str">
        <f>EXP(-LN(2)/35)*EV45+(1-EXP(-LN(2)/35))/(LN(2)/35)*ER46*ES46*VLOOKUP('Données projet'!$B$15,'Paramètres'!$A$1:$I$88,3,0)*0.475*44/12</f>
        <v>#N/A</v>
      </c>
      <c r="EW46" s="162" t="str">
        <f>EXP(-LN(2)/25)*EW45+(1-EXP(-LN(2)/25))/(LN(2)/25)*Calculateur!ER46*Calculateur!ET46*VLOOKUP('Données projet'!$B$15,'Paramètres'!$A$1:$I$88,3,0)*0.475*44/12</f>
        <v>#N/A</v>
      </c>
      <c r="EX46" s="162" t="str">
        <f>EXP(-LN(2)/2)*EX45+(1-EXP(-LN(2)/2))/(LN(2)/2)*ER46*EU46*VLOOKUP('Données projet'!$B$15,'Paramètres'!$A$1:$I$88,3,0)*0.475*44/12</f>
        <v>#N/A</v>
      </c>
      <c r="EY46" s="163" t="str">
        <f t="shared" si="22"/>
        <v>#N/A</v>
      </c>
      <c r="EZ46" s="159">
        <f>('Scénario référence'!$F$8+'Scénario référence'!$F$9+'Scénario référence'!$B$17+'Scénario référence'!$B$9+'Scénario référence'!$B$10)*70+IF((45+25*(1-EXP(-0.0175*A46)))&lt;70,'Scénario référence'!$B$16*(45+25*(1-EXP(-0.0175*A46))),70*'Scénario référence'!$B$16)+IF((32+38*(1-EXP(-0.0175*A46)))&lt;70,'Scénario référence'!$B$18*(32+38*(1-EXP(-0.0175*A46))),70*'Scénario référence'!$B$18)</f>
        <v>70</v>
      </c>
      <c r="FA46" s="151">
        <f>IF(A46&gt;30,10,('Scénario référence'!$B$16+'Scénario référence'!$B$17+'Scénario référence'!$B$18+'Scénario référence'!$B$9+'Scénario référence'!$B$10)*A46*10/30+('Scénario référence'!$F$8+'Scénario référence'!$F$9)*10)</f>
        <v>10</v>
      </c>
      <c r="FB46" s="151" t="str">
        <f>VLOOKUP(A46,'Données projet'!$A$217:$I$237,2,0)</f>
        <v>#N/A</v>
      </c>
      <c r="FC46" s="151" t="str">
        <f>VLOOKUP(A46,'Données projet'!$A$217:$I$237,9,0)</f>
        <v>#N/A</v>
      </c>
      <c r="FD46" s="151" t="str">
        <f t="array" ref="FD46">INDEX(FC:FC,MIN(IF(ISNUMBER(FC46:FC242),ROW(FC46:FC242),"")))</f>
        <v/>
      </c>
      <c r="FE46" s="151">
        <f>IF('Données projet'!$A$218&gt;35,FE45+FD46-FM45,IF(A46&lt;'Données projet'!$A$218,$FB$205^A46,IF(A46='Données projet'!$A$218,'Données projet'!$B$218,FE45+FD46-FM45)))</f>
        <v>0</v>
      </c>
      <c r="FF46" s="158" t="str">
        <f>FE46*VLOOKUP('Données projet'!$B$16,'Paramètres'!$A$1:$I$88,3,0)*VLOOKUP('Données projet'!$B$16,'Paramètres'!$A$1:$I$88,5,0)</f>
        <v>#N/A</v>
      </c>
      <c r="FG46" s="150" t="str">
        <f t="shared" si="48"/>
        <v>#N/A</v>
      </c>
      <c r="FH46" s="161" t="str">
        <f t="shared" si="23"/>
        <v>#N/A</v>
      </c>
      <c r="FI46" s="153" t="str">
        <f t="shared" si="24"/>
        <v>#N/A</v>
      </c>
      <c r="FJ46" s="153" t="str">
        <f>AVERAGE(OFFSET($FI$3,0,0,'Données projet'!$E$16+1,1))-AVERAGE(OFFSET($H$3,0,0,'Données projet'!$E$16+1,1))</f>
        <v>#N/A</v>
      </c>
      <c r="FK46" s="153" t="str">
        <f t="shared" si="49"/>
        <v>#N/A</v>
      </c>
      <c r="FL46" s="154">
        <f>IF(ISNA(VLOOKUP(A46,'Données projet'!$A$217:$I$237,3,0)),0,VLOOKUP(A46,'Données projet'!$A$217:$I$237,3,0))</f>
        <v>0</v>
      </c>
      <c r="FM46" s="154">
        <f>IF(ISNA(VLOOKUP(A46,'Données projet'!$A$217:$I$237,4,0)),0,VLOOKUP(A46,'Données projet'!$A$217:$I$237,4,0))</f>
        <v>0</v>
      </c>
      <c r="FN46" s="155">
        <f>IF(ISNA(VLOOKUP(A46,'Données projet'!$A$217:$I$237,5,0)),0%,VLOOKUP(A46,'Données projet'!$A$217:$I$237,5,0)*VLOOKUP('Données projet'!$B$16,'Paramètres'!$A$1:$I$88,7,0))</f>
        <v>0</v>
      </c>
      <c r="FO46" s="155">
        <f>IF(ISNA(VLOOKUP(A46,'Données projet'!$A$217:$I$237,6,0)),0%,VLOOKUP(A46,'Données projet'!$A$217:$I$237,6,0)*VLOOKUP('Données projet'!$B$16,'Paramètres'!$A$1:$I$88,7,0))</f>
        <v>0</v>
      </c>
      <c r="FP46" s="155">
        <f>IF(ISNA(VLOOKUP(A46,'Données projet'!$A$217:$I$237,7,0)),0%,VLOOKUP(A46,'Données projet'!$A$217:$I$237,7,0))</f>
        <v>0</v>
      </c>
      <c r="FQ46" s="162" t="str">
        <f>EXP(-LN(2)/35)*FQ45+(1-EXP(-LN(2)/35))/(LN(2)/35)*FM46*FN46*VLOOKUP('Données projet'!$B$16,'Paramètres'!$A$1:$I$88,3,0)*0.475*44/12</f>
        <v>#N/A</v>
      </c>
      <c r="FR46" s="162" t="str">
        <f>EXP(-LN(2)/25)*FR45+(1-EXP(-LN(2)/25))/(LN(2)/25)*Calculateur!FM46*Calculateur!FO46*VLOOKUP('Données projet'!$B$16,'Paramètres'!$A$1:$I$88,3,0)*0.475*44/12</f>
        <v>#N/A</v>
      </c>
      <c r="FS46" s="162" t="str">
        <f>EXP(-LN(2)/2)*FS45+(1-EXP(-LN(2)/2))/(LN(2)/2)*FM46*FP46*VLOOKUP('Données projet'!$B$16,'Paramètres'!$A$1:$I$88,3,0)*0.475*44/12</f>
        <v>#N/A</v>
      </c>
      <c r="FT46" s="163" t="str">
        <f t="shared" si="25"/>
        <v>#N/A</v>
      </c>
      <c r="FU46" s="159">
        <f>('Scénario référence'!$F$8+'Scénario référence'!$F$9+'Scénario référence'!$B$17+'Scénario référence'!$B$9+'Scénario référence'!$B$10)*70+IF((45+25*(1-EXP(-0.0175*A46)))&lt;70,'Scénario référence'!$B$16*(45+25*(1-EXP(-0.0175*A46))),70*'Scénario référence'!$B$16)+IF((32+38*(1-EXP(-0.0175*A46)))&lt;70,'Scénario référence'!$B$18*(32+38*(1-EXP(-0.0175*A46))),70*'Scénario référence'!$B$18)</f>
        <v>70</v>
      </c>
      <c r="FV46" s="151">
        <f>IF(A46&gt;30,10,('Scénario référence'!$B$16+'Scénario référence'!$B$17+'Scénario référence'!$B$18+'Scénario référence'!$B$9+'Scénario référence'!$B$10)*A46*10/30+('Scénario référence'!$F$8+'Scénario référence'!$F$9)*10)</f>
        <v>10</v>
      </c>
      <c r="FW46" s="151" t="str">
        <f>VLOOKUP(A46,'Données projet'!$A$243:$I$263,2,0)</f>
        <v>#N/A</v>
      </c>
      <c r="FX46" s="151" t="str">
        <f>VLOOKUP(A46,'Données projet'!$A$243:$I$263,9,0)</f>
        <v>#N/A</v>
      </c>
      <c r="FY46" s="151" t="str">
        <f t="array" ref="FY46">INDEX(FX:FX,MIN(IF(ISNUMBER(FX46:FX242),ROW(FX46:FX242),"")))</f>
        <v/>
      </c>
      <c r="FZ46" s="151">
        <f>IF('Données projet'!$A$244&gt;35,FZ45+FY46-GH45,IF(A46&lt;'Données projet'!$A$244,$FW$205^A46,IF(A46='Données projet'!$A$244,'Données projet'!$B$244,FZ45+FY46-GH45)))</f>
        <v>0</v>
      </c>
      <c r="GA46" s="158" t="str">
        <f>FZ46*VLOOKUP('Données projet'!$B$17,'Paramètres'!$A$1:$I$88,3,0)*VLOOKUP('Données projet'!$B$17,'Paramètres'!$A$1:$I$88,5,0)</f>
        <v>#N/A</v>
      </c>
      <c r="GB46" s="150" t="str">
        <f t="shared" si="50"/>
        <v>#N/A</v>
      </c>
      <c r="GC46" s="161" t="str">
        <f t="shared" si="26"/>
        <v>#N/A</v>
      </c>
      <c r="GD46" s="153" t="str">
        <f t="shared" si="27"/>
        <v>#N/A</v>
      </c>
      <c r="GE46" s="153" t="str">
        <f>AVERAGE(OFFSET($GD$3,0,0,'Données projet'!$E$17+1,1))-AVERAGE(OFFSET($H$3,0,0,'Données projet'!$E$17+1,1))</f>
        <v>#N/A</v>
      </c>
      <c r="GF46" s="153" t="str">
        <f t="shared" si="51"/>
        <v>#N/A</v>
      </c>
      <c r="GG46" s="154">
        <f>IF(ISNA(VLOOKUP(A46,'Données projet'!$A$243:$I$263,3,0)),0,VLOOKUP(A46,'Données projet'!$A$243:$I$263,3,0))</f>
        <v>0</v>
      </c>
      <c r="GH46" s="154">
        <f>IF(ISNA(VLOOKUP(A46,'Données projet'!$A$243:$I$263,4,0)),0,VLOOKUP(A46,'Données projet'!$A$243:$I$263,4,0))</f>
        <v>0</v>
      </c>
      <c r="GI46" s="155">
        <f>IF(ISNA(VLOOKUP(A46,'Données projet'!$A$243:$I$263,5,0)),0%,VLOOKUP(A46,'Données projet'!$A$243:$I$263,5,0)*VLOOKUP('Données projet'!$B$17,'Paramètres'!$A$1:$I$88,7,0))</f>
        <v>0</v>
      </c>
      <c r="GJ46" s="155">
        <f>IF(ISNA(VLOOKUP(A46,'Données projet'!$A$243:$I$263,6,0)),0%,VLOOKUP(A46,'Données projet'!$A$243:$I$263,6,0)*VLOOKUP('Données projet'!$B$17,'Paramètres'!$A$1:$I$88,7,0))</f>
        <v>0</v>
      </c>
      <c r="GK46" s="155">
        <f>IF(ISNA(VLOOKUP(A46,'Données projet'!$A$243:$I$263,7,0)),0%,VLOOKUP(A46,'Données projet'!$A$243:$I$263,7,0))</f>
        <v>0</v>
      </c>
      <c r="GL46" s="162" t="str">
        <f>EXP(-LN(2)/35)*GL45+(1-EXP(-LN(2)/35))/(LN(2)/35)*GH46*GI46*VLOOKUP('Données projet'!$B$17,'Paramètres'!$A$1:$I$88,3,0)*0.475*44/12</f>
        <v>#N/A</v>
      </c>
      <c r="GM46" s="162" t="str">
        <f>EXP(-LN(2)/25)*GM45+(1-EXP(-LN(2)/25))/(LN(2)/25)*Calculateur!GH46*Calculateur!GJ46*VLOOKUP('Données projet'!$B$17,'Paramètres'!$A$1:$I$88,3,0)*0.475*44/12</f>
        <v>#N/A</v>
      </c>
      <c r="GN46" s="162" t="str">
        <f>EXP(-LN(2)/2)*GN45+(1-EXP(-LN(2)/2))/(LN(2)/2)*GH46*GK46*VLOOKUP('Données projet'!$B$17,'Paramètres'!$A$1:$I$88,3,0)*0.475*44/12</f>
        <v>#N/A</v>
      </c>
      <c r="GO46" s="162" t="str">
        <f t="shared" si="28"/>
        <v>#N/A</v>
      </c>
      <c r="GP46" s="159">
        <f>('Scénario référence'!$F$8+'Scénario référence'!$F$9+'Scénario référence'!$B$17+'Scénario référence'!$B$9+'Scénario référence'!$B$10)*70+IF((45+25*(1-EXP(-0.0175*A46)))&lt;70,'Scénario référence'!$B$16*(45+25*(1-EXP(-0.0175*A46))),70*'Scénario référence'!$B$16)+IF((32+38*(1-EXP(-0.0175*A46)))&lt;70,'Scénario référence'!$B$18*(32+38*(1-EXP(-0.0175*A46))),70*'Scénario référence'!$B$18)</f>
        <v>70</v>
      </c>
      <c r="GQ46" s="151">
        <f>IF(A46&gt;30,10,('Scénario référence'!$B$16+'Scénario référence'!$B$17+'Scénario référence'!$B$18+'Scénario référence'!$B$9+'Scénario référence'!$B$10)*A46*10/30+('Scénario référence'!$F$8+'Scénario référence'!$F$9)*10)</f>
        <v>10</v>
      </c>
      <c r="GR46" s="151" t="str">
        <f>VLOOKUP(A46,'Données projet'!$A$269:$I$289,2,0)</f>
        <v>#N/A</v>
      </c>
      <c r="GS46" s="151" t="str">
        <f>VLOOKUP(A46,'Données projet'!$A$269:$I$289,9,0)</f>
        <v>#N/A</v>
      </c>
      <c r="GT46" s="151" t="str">
        <f t="array" ref="GT46">INDEX(GS:GS,MIN(IF(ISNUMBER(GS46:GS242),ROW(GS46:GS242),"")))</f>
        <v/>
      </c>
      <c r="GU46" s="151">
        <f>IF('Données projet'!$A$270&gt;35,GU45+GT46-HC45,IF(A46&lt;'Données projet'!$A$270,$GR$205^A46,IF(A46='Données projet'!$A$270,'Données projet'!$B$270,GU45+GT46-HC45)))</f>
        <v>0</v>
      </c>
      <c r="GV46" s="158" t="str">
        <f>GU46*VLOOKUP('Données projet'!$B$18,'Paramètres'!$A$1:$I$88,3,0)*VLOOKUP('Données projet'!$B$18,'Paramètres'!$A$1:$I$88,5,0)</f>
        <v>#N/A</v>
      </c>
      <c r="GW46" s="150" t="str">
        <f t="shared" si="52"/>
        <v>#N/A</v>
      </c>
      <c r="GX46" s="161" t="str">
        <f t="shared" si="29"/>
        <v>#N/A</v>
      </c>
      <c r="GY46" s="153" t="str">
        <f t="shared" si="30"/>
        <v>#N/A</v>
      </c>
      <c r="GZ46" s="153" t="str">
        <f>AVERAGE(OFFSET($GY$3,0,0,'Données projet'!$E$18+1,1))-AVERAGE(OFFSET($H$3,0,0,'Données projet'!$E$18+1,1))</f>
        <v>#N/A</v>
      </c>
      <c r="HA46" s="153" t="str">
        <f t="shared" si="53"/>
        <v>#N/A</v>
      </c>
      <c r="HB46" s="154">
        <f>IF(ISNA(VLOOKUP(A46,'Données projet'!$A$269:$I$289,3,0)),0,VLOOKUP(A46,'Données projet'!$A$269:$I$289,3,0))</f>
        <v>0</v>
      </c>
      <c r="HC46" s="154">
        <f>IF(ISNA(VLOOKUP(A46,'Données projet'!$A$269:$I$289,4,0)),0,VLOOKUP(A46,'Données projet'!$A$269:$I$289,4,0))</f>
        <v>0</v>
      </c>
      <c r="HD46" s="155">
        <f>IF(ISNA(VLOOKUP(A46,'Données projet'!$A$269:$I$289,5,0)),0%,VLOOKUP(A46,'Données projet'!$A$269:$I$289,5,0)*VLOOKUP('Données projet'!$B$18,'Paramètres'!$A$1:$I$88,7,0))</f>
        <v>0</v>
      </c>
      <c r="HE46" s="155">
        <f>IF(ISNA(VLOOKUP(A46,'Données projet'!$A$269:$I$289,6,0)),0%,VLOOKUP(A46,'Données projet'!$A$269:$I$289,6,0)*VLOOKUP('Données projet'!$B$18,'Paramètres'!$A$1:$I$88,7,0))</f>
        <v>0</v>
      </c>
      <c r="HF46" s="155">
        <f>IF(ISNA(VLOOKUP(A46,'Données projet'!$A$269:$I$289,7,0)),0%,VLOOKUP(A46,'Données projet'!$A$269:$I$289,7,0))</f>
        <v>0</v>
      </c>
      <c r="HG46" s="162" t="str">
        <f>EXP(-LN(2)/35)*HG45+(1-EXP(-LN(2)/35))/(LN(2)/35)*HC46*HD46*VLOOKUP('Données projet'!$B$18,'Paramètres'!$A$1:$I$88,3,0)*0.475*44/12</f>
        <v>#N/A</v>
      </c>
      <c r="HH46" s="162" t="str">
        <f>EXP(-LN(2)/25)*HH45+(1-EXP(-LN(2)/25))/(LN(2)/25)*Calculateur!HC46*Calculateur!HE46*VLOOKUP('Données projet'!$B$18,'Paramètres'!$A$1:$I$88,3,0)*0.475*44/12</f>
        <v>#N/A</v>
      </c>
      <c r="HI46" s="162" t="str">
        <f>EXP(-LN(2)/2)*HI45+(1-EXP(-LN(2)/2))/(LN(2)/2)*HC46*HF46*VLOOKUP('Données projet'!$B$18,'Paramètres'!$A$1:$I$88,3,0)*0.475*44/12</f>
        <v>#N/A</v>
      </c>
      <c r="HJ46" s="163" t="str">
        <f t="shared" si="31"/>
        <v>#N/A</v>
      </c>
    </row>
    <row r="47" ht="15.75" customHeight="1">
      <c r="A47" s="145">
        <f t="shared" si="32"/>
        <v>44</v>
      </c>
      <c r="B47" s="146">
        <f>'Scénario référence'!$B$16*5+'Scénario référence'!$B$17*0+'Scénario référence'!$B$18*5</f>
        <v>0</v>
      </c>
      <c r="C47" s="160">
        <f>Calculateur!C46+'Scénario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47" s="147">
        <f t="shared" si="33"/>
        <v>0</v>
      </c>
      <c r="E47" s="147">
        <f>'Scénario référence'!$B$16*45+('Scénario référence'!$B$17+'Scénario référence'!$F$8+'Scénario référence'!$F$9+'Scénario référence'!$B$10+'Scénario référence'!$B$9)*70+'Scénario référence'!$B$18*32</f>
        <v>70</v>
      </c>
      <c r="F47" s="147">
        <f>IF(OR('Scénario référence'!$F$8&gt;0,'Scénario référence'!$F$9&gt;0),('Scénario référence'!$F$8+'Scénario référence'!$F$9)*10,0)</f>
        <v>0</v>
      </c>
      <c r="G47" s="147">
        <f>'Scénario référence'!$B$8*B47*44/12+'Scénario référence'!$B$9*(C47+D47)/0.475*44/12+'Scénario référence'!$B$10*(C47+D47)/0.475*44/12+'Scénario référence'!$F$8*(C47+D47)/0.475*44/12+'Scénario référence'!$F$9*(C47+D47)/0.475*44/12</f>
        <v>0</v>
      </c>
      <c r="H47" s="148">
        <f t="shared" si="1"/>
        <v>256.6666667</v>
      </c>
      <c r="I47" s="149">
        <f>('Scénario référence'!$F$8+'Scénario référence'!$F$9+'Scénario référence'!$B$17+'Scénario référence'!$B$9+'Scénario référence'!$B$10)*70+IF((45+25*(1-EXP(-0.0175*A47)))&lt;70,'Scénario référence'!$B$16*(45+25*(1-EXP(-0.0175*A47))),70*'Scénario référence'!$B$16)+IF((32+38*(1-EXP(-0.0175*A47)))&lt;70,'Scénario référence'!$B$18*(32+38*(1-EXP(-0.0175*A47))),70*'Scénario référence'!$B$18)</f>
        <v>70</v>
      </c>
      <c r="J47" s="150">
        <f>IF(A47&gt;30,10,('Scénario référence'!$B$16+'Scénario référence'!$B$17+'Scénario référence'!$B$18+'Scénario référence'!$B$9+'Scénario référence'!$B$10)*A47*10/30+('Scénario référence'!$F$8+'Scénario référence'!$F$9)*10)</f>
        <v>10</v>
      </c>
      <c r="K47" s="151" t="str">
        <f>VLOOKUP(A47,'Données projet'!$A$35:$I$55,2,0)</f>
        <v>#N/A</v>
      </c>
      <c r="L47" s="151" t="str">
        <f>VLOOKUP(A47,'Données projet'!$A$35:$I$55,9,0)</f>
        <v>#N/A</v>
      </c>
      <c r="M47" s="150">
        <f t="array" ref="M47">INDEX(L:L,MIN(IF(ISNUMBER(L47:L243),ROW(L47:L243),"")))</f>
        <v>11.4</v>
      </c>
      <c r="N47" s="150">
        <f>IF('Données projet'!$A$36&gt;35,N46+M47-V46,IF(A47&lt;'Données projet'!$A$36,$K$205^A47,IF(A47='Données projet'!$A$36,'Données projet'!$B$36,N46+M47-V46)))</f>
        <v>192.6</v>
      </c>
      <c r="O47" s="150">
        <f>N47*VLOOKUP('Données projet'!$B$9,'Paramètres'!$A$1:$I$88,3,0)*VLOOKUP('Données projet'!$B$9,'Paramètres'!$A$1:$I$88,5,0)</f>
        <v>174.26448</v>
      </c>
      <c r="P47" s="150">
        <f t="shared" si="34"/>
        <v>44.04374368</v>
      </c>
      <c r="Q47" s="161">
        <f t="shared" si="2"/>
        <v>380.2201562</v>
      </c>
      <c r="R47" s="153">
        <f t="shared" si="3"/>
        <v>673.5534896</v>
      </c>
      <c r="S47" s="153">
        <f>AVERAGE(OFFSET($R$3,0,0,'Données projet'!$E$9+1,1))-AVERAGE(OFFSET($H$3,0,0,'Données projet'!$E$9+1,1))</f>
        <v>439.1985427</v>
      </c>
      <c r="T47" s="153">
        <f t="shared" si="35"/>
        <v>278.2174123</v>
      </c>
      <c r="U47" s="154">
        <f>IF(ISNA(VLOOKUP(A47,'Données projet'!$A$35:$I$55,3,0)),0,VLOOKUP(A47,'Données projet'!$A$35:$I$55,3,0))</f>
        <v>0</v>
      </c>
      <c r="V47" s="154">
        <f>IF(ISNA(VLOOKUP(A47,'Données projet'!$A$35:$I$55,4,0)),0,VLOOKUP(A47,'Données projet'!$A$35:$I$55,4,0))</f>
        <v>0</v>
      </c>
      <c r="W47" s="155">
        <f>IF(ISNA(VLOOKUP(A47,'Données projet'!$A$35:$I$55,5,0)),0%,VLOOKUP(A47,'Données projet'!$A$35:$I$55,5,0)*VLOOKUP('Données projet'!$B$9,'Paramètres'!$A$1:$I$88,7,0))</f>
        <v>0</v>
      </c>
      <c r="X47" s="155">
        <f>IF(ISNA(VLOOKUP(A47,'Données projet'!$A$35:$I$55,6,0)),0%,VLOOKUP(A47,'Données projet'!$A$35:$I$55,6,0)*VLOOKUP('Données projet'!$B$9,'Paramètres'!$A$1:$I$88,7,0))</f>
        <v>0</v>
      </c>
      <c r="Y47" s="155">
        <f>IF(ISNA(VLOOKUP(A47,'Données projet'!$A$35:$I$55,7,0)),0%,VLOOKUP(A47,'Données projet'!$A$35:$I$55,7,0))</f>
        <v>0</v>
      </c>
      <c r="Z47" s="162">
        <f>EXP(-LN(2)/35)*Z46+(1-EXP(-LN(2)/35))/(LN(2)/35)*V47*W47*VLOOKUP('Données projet'!$B$9,'Paramètres'!$A$1:$I$88,3,0)*0.475*44/12</f>
        <v>0</v>
      </c>
      <c r="AA47" s="162">
        <f>EXP(-LN(2)/25)*AA46+(1-EXP(-LN(2)/25))/(LN(2)/25)*Calculateur!V47*Calculateur!X47*VLOOKUP('Données projet'!$B$9,'Paramètres'!$A$1:$I$88,3,0)*0.475*44/12</f>
        <v>3.043935751</v>
      </c>
      <c r="AB47" s="162">
        <f>EXP(-LN(2)/2)*AB46+(1-EXP(-LN(2)/2))/(LN(2)/2)*V47*Y47*VLOOKUP('Données projet'!$B$9,'Paramètres'!$A$1:$I$88,3,0)*0.475*44/12</f>
        <v>0</v>
      </c>
      <c r="AC47" s="163">
        <f t="shared" si="4"/>
        <v>3.043935751</v>
      </c>
      <c r="AD47" s="150">
        <f>('Scénario référence'!$F$8+'Scénario référence'!$F$9+'Scénario référence'!$B$17+'Scénario référence'!$B$9+'Scénario référence'!$B$10)*70+IF((45+25*(1-EXP(-0.0175*A47)))&lt;70,'Scénario référence'!$B$16*(45+25*(1-EXP(-0.0175*A47))),70*'Scénario référence'!$B$16)+IF((32+38*(1-EXP(-0.0175*A47)))&lt;70,'Scénario référence'!$B$18*(32+38*(1-EXP(-0.0175*A47))),70*'Scénario référence'!$B$18)</f>
        <v>70</v>
      </c>
      <c r="AE47" s="150">
        <f>IF(A47&gt;30,10,('Scénario référence'!$B$16+'Scénario référence'!$B$17+'Scénario référence'!$B$18+'Scénario référence'!$B$9+'Scénario référence'!$B$10)*A47*10/30+('Scénario référence'!$F$8+'Scénario référence'!$F$9)*10)</f>
        <v>10</v>
      </c>
      <c r="AF47" s="151" t="str">
        <f>VLOOKUP(A47,'Données projet'!$A$61:$I$81,2,0)</f>
        <v>#N/A</v>
      </c>
      <c r="AG47" s="151" t="str">
        <f>VLOOKUP(A47,'Données projet'!$A$61:$I$81,9,0)</f>
        <v>#N/A</v>
      </c>
      <c r="AH47" s="150">
        <f t="array" ref="AH47">INDEX(AG:AG,MIN(IF(ISNUMBER(AG47:AG243),ROW(AG47:AG243),"")))</f>
        <v>11.4</v>
      </c>
      <c r="AI47" s="150">
        <f>IF('Données projet'!$A$62&gt;35,AI46+AH47-AQ46,IF(A47&lt;'Données projet'!$A$62,$AF$205^A47,IF(A47='Données projet'!$A$62,'Données projet'!$B$62,AI46+AH47-AQ46)))</f>
        <v>268.6</v>
      </c>
      <c r="AJ47" s="150">
        <f>AI47*VLOOKUP('Données projet'!$B$10,'Paramètres'!$A$1:$I$88,3,0)*VLOOKUP('Données projet'!$B$10,'Paramètres'!$A$1:$I$88,5,0)</f>
        <v>213.69816</v>
      </c>
      <c r="AK47" s="150">
        <f t="shared" si="36"/>
        <v>52.7429038</v>
      </c>
      <c r="AL47" s="161">
        <f t="shared" si="5"/>
        <v>464.0515195</v>
      </c>
      <c r="AM47" s="153">
        <f t="shared" si="6"/>
        <v>757.3848528</v>
      </c>
      <c r="AN47" s="153">
        <f>AVERAGE(OFFSET($AM$3,0,0,'Données projet'!$E$10+1,1))-AVERAGE(OFFSET($H$3,0,0,'Données projet'!$E$10+1,1))</f>
        <v>405.6113614</v>
      </c>
      <c r="AO47" s="153">
        <f t="shared" si="37"/>
        <v>393.0787141</v>
      </c>
      <c r="AP47" s="154">
        <f>IF(ISNA(VLOOKUP(A47,'Données projet'!$A$61:$I$81,3,0)),0,VLOOKUP(A47,'Données projet'!$A$61:$I$81,3,0))</f>
        <v>0</v>
      </c>
      <c r="AQ47" s="154">
        <f>IF(ISNA(VLOOKUP(A47,'Données projet'!$A$61:$I$81,4,0)),0,VLOOKUP(A47,'Données projet'!$A$61:$I$81,4,0))</f>
        <v>0</v>
      </c>
      <c r="AR47" s="155">
        <f>IF(ISNA(VLOOKUP(A47,'Données projet'!$A$61:$I$81,5,0)),0%,VLOOKUP(A47,'Données projet'!$A$61:$I$81,5,0)*VLOOKUP('Données projet'!$B$10,'Paramètres'!$A$1:$I$88,7,0))</f>
        <v>0</v>
      </c>
      <c r="AS47" s="155">
        <f>IF(ISNA(VLOOKUP(A47,'Données projet'!$A$61:$I$81,6,0)),0%,VLOOKUP(A47,'Données projet'!$A$61:$I$81,6,0)*VLOOKUP('Données projet'!$B$10,'Paramètres'!$A$1:$I$88,7,0))</f>
        <v>0</v>
      </c>
      <c r="AT47" s="155">
        <f>IF(ISNA(VLOOKUP(A47,'Données projet'!$A$61:$I$81,7,0)),0%,VLOOKUP(A47,'Données projet'!$A$61:$I$81,7,0))</f>
        <v>0</v>
      </c>
      <c r="AU47" s="162">
        <f>EXP(-LN(2)/35)*AU46+(1-EXP(-LN(2)/35))/(LN(2)/35)*AQ47*AR47*VLOOKUP('Données projet'!$B$10,'Paramètres'!$A$1:$I$88,3,0)*0.475*44/12</f>
        <v>0</v>
      </c>
      <c r="AV47" s="162">
        <f>EXP(-LN(2)/25)*AV46+(1-EXP(-LN(2)/25))/(LN(2)/25)*Calculateur!AQ47*Calculateur!AS47*VLOOKUP('Données projet'!$B$10,'Paramètres'!$A$1:$I$88,3,0)*0.475*44/12</f>
        <v>12.37132869</v>
      </c>
      <c r="AW47" s="162">
        <f>EXP(-LN(2)/2)*AW46+(1-EXP(-LN(2)/2))/(LN(2)/2)*AQ47*AT47*VLOOKUP('Données projet'!$B$10,'Paramètres'!$A$1:$I$88,3,0)*0.475*44/12</f>
        <v>0.004529001593</v>
      </c>
      <c r="AX47" s="162">
        <f t="shared" si="7"/>
        <v>12.37585769</v>
      </c>
      <c r="AY47" s="157">
        <f>('Scénario référence'!$F$8+'Scénario référence'!$F$9+'Scénario référence'!$B$17+'Scénario référence'!$B$9+'Scénario référence'!$B$10)*70+IF((45+25*(1-EXP(-0.0175*A47)))&lt;70,'Scénario référence'!$B$16*(45+25*(1-EXP(-0.0175*A47))),70*'Scénario référence'!$B$16)+IF((32+38*(1-EXP(-0.0175*A47)))&lt;70,'Scénario référence'!$B$18*(32+38*(1-EXP(-0.0175*A47))),70*'Scénario référence'!$B$18)</f>
        <v>70</v>
      </c>
      <c r="AZ47" s="151">
        <f>IF(A47&gt;30,10,('Scénario référence'!$B$16+'Scénario référence'!$B$17+'Scénario référence'!$B$18+'Scénario référence'!$B$9+'Scénario référence'!$B$10)*A47*10/30+('Scénario référence'!$F$8+'Scénario référence'!$F$9)*10)</f>
        <v>10</v>
      </c>
      <c r="BA47" s="151" t="str">
        <f>VLOOKUP(A47,'Données projet'!$A$87:$I$107,2,0)</f>
        <v>#N/A</v>
      </c>
      <c r="BB47" s="151" t="str">
        <f>VLOOKUP(A47,'Données projet'!$A$87:$I$107,9,0)</f>
        <v>#N/A</v>
      </c>
      <c r="BC47" s="150" t="str">
        <f t="array" ref="BC47">INDEX(BB:BB,MIN(IF(ISNUMBER(BB47:BB243),ROW(BB47:BB243),"")))</f>
        <v/>
      </c>
      <c r="BD47" s="150">
        <f>IF('Données projet'!$A$88&gt;35,BD46+BC47-BL46,IF(A47&lt;'Données projet'!$A$88,$BA$205^A47,IF(A47='Données projet'!$A$88,'Données projet'!$B$88,BD46+BC47-BL46)))</f>
        <v>0</v>
      </c>
      <c r="BE47" s="150">
        <f>BD47*VLOOKUP('Données projet'!$B$11,'Paramètres'!$A$1:$I$88,3,0)*VLOOKUP('Données projet'!$B$11,'Paramètres'!$A$1:$I$88,5,0)</f>
        <v>0</v>
      </c>
      <c r="BF47" s="150" t="str">
        <f t="shared" si="38"/>
        <v>#NUM!</v>
      </c>
      <c r="BG47" s="161" t="str">
        <f t="shared" si="8"/>
        <v>#NUM!</v>
      </c>
      <c r="BH47" s="153" t="str">
        <f t="shared" si="9"/>
        <v>#NUM!</v>
      </c>
      <c r="BI47" s="153">
        <f>AVERAGE(OFFSET($BH$3,0,0,'Données projet'!$E$11+1,1))-AVERAGE(OFFSET($H$3,0,0,'Données projet'!$E$11+1,1))</f>
        <v>0</v>
      </c>
      <c r="BJ47" s="153">
        <f t="shared" si="39"/>
        <v>0</v>
      </c>
      <c r="BK47" s="154">
        <f>IF(ISNA(VLOOKUP(A47,'Données projet'!$A$87:$I$107,3,0)),0,VLOOKUP(A47,'Données projet'!$A$87:$I$107,3,0))</f>
        <v>0</v>
      </c>
      <c r="BL47" s="154">
        <f>IF(ISNA(VLOOKUP(A47,'Données projet'!$A$87:$I$107,4,0)),0,VLOOKUP(A47,'Données projet'!$A$87:$I$107,4,0))</f>
        <v>0</v>
      </c>
      <c r="BM47" s="155">
        <f>IF(ISNA(VLOOKUP(A47,'Données projet'!$A$87:$I$107,5,0)),0%,VLOOKUP(A47,'Données projet'!$A$87:$I$107,5,0)*VLOOKUP('Données projet'!$B$11,'Paramètres'!$A$1:$I$88,7,0))</f>
        <v>0</v>
      </c>
      <c r="BN47" s="155">
        <f>IF(ISNA(VLOOKUP(A47,'Données projet'!$A$87:$I$107,6,0)),0%,VLOOKUP(A47,'Données projet'!$A$87:$I$107,6,0)*VLOOKUP('Données projet'!$B$11,'Paramètres'!$A$1:$I$88,7,0))</f>
        <v>0</v>
      </c>
      <c r="BO47" s="155">
        <f>IF(ISNA(VLOOKUP(A47,'Données projet'!$A$87:$I$107,7,0)),0%,VLOOKUP(A47,'Données projet'!$A$87:$I$107,7,0))</f>
        <v>0</v>
      </c>
      <c r="BP47" s="162">
        <f>EXP(-LN(2)/35)*BP46+(1-EXP(-LN(2)/35))/(LN(2)/35)*BL47*BM47*VLOOKUP('Données projet'!$B$11,'Paramètres'!$A$1:$I$88,3,0)*0.475*44/12</f>
        <v>0</v>
      </c>
      <c r="BQ47" s="162">
        <f>EXP(-LN(2)/25)*BQ46+(1-EXP(-LN(2)/25))/(LN(2)/25)*Calculateur!BL47*Calculateur!BN47*VLOOKUP('Données projet'!$B$11,'Paramètres'!$A$1:$I$88,3,0)*0.475*44/12</f>
        <v>0</v>
      </c>
      <c r="BR47" s="162">
        <f>EXP(-LN(2)/2)*BR46+(1-EXP(-LN(2)/2))/(LN(2)/2)*BL47*BO47*VLOOKUP('Données projet'!$B$11,'Paramètres'!$A$1:$I$88,3,0)*0.475*44/12</f>
        <v>0</v>
      </c>
      <c r="BS47" s="163">
        <f t="shared" si="10"/>
        <v>0</v>
      </c>
      <c r="BT47" s="159">
        <f>('Scénario référence'!$F$8+'Scénario référence'!$F$9+'Scénario référence'!$B$17+'Scénario référence'!$B$9+'Scénario référence'!$B$10)*70+IF((45+25*(1-EXP(-0.0175*A47)))&lt;70,'Scénario référence'!$B$16*(45+25*(1-EXP(-0.0175*A47))),70*'Scénario référence'!$B$16)+IF((32+38*(1-EXP(-0.0175*A47)))&lt;70,'Scénario référence'!$B$18*(32+38*(1-EXP(-0.0175*A47))),70*'Scénario référence'!$B$18)</f>
        <v>70</v>
      </c>
      <c r="BU47" s="151">
        <f>IF(A47&gt;30,10,('Scénario référence'!$B$16+'Scénario référence'!$B$17+'Scénario référence'!$B$18+'Scénario référence'!$B$9+'Scénario référence'!$B$10)*A47*10/30+('Scénario référence'!$F$8+'Scénario référence'!$F$9)*10)</f>
        <v>10</v>
      </c>
      <c r="BV47" s="151" t="str">
        <f>VLOOKUP(A47,'Données projet'!$A$113:$I$133,2,0)</f>
        <v>#N/A</v>
      </c>
      <c r="BW47" s="151" t="str">
        <f>VLOOKUP(A47,'Données projet'!$A$113:$I$133,9,0)</f>
        <v>#N/A</v>
      </c>
      <c r="BX47" s="150" t="str">
        <f t="array" ref="BX47">INDEX(BW:BW,MIN(IF(ISNUMBER(BW47:BW243),ROW(BW47:BW243),"")))</f>
        <v/>
      </c>
      <c r="BY47" s="150">
        <f>IF('Données projet'!$A$114&gt;35,BY46+BX47-CG46,IF(A47&lt;'Données projet'!$A$114,$BV$205^A47,IF(A47='Données projet'!$A$114,'Données projet'!$B$114,BY46+BX47-CG46)))</f>
        <v>0</v>
      </c>
      <c r="BZ47" s="150" t="str">
        <f>BY47*VLOOKUP('Données projet'!$B$12,'Paramètres'!$A$1:$I$88,3,0)*VLOOKUP('Données projet'!$B$12,'Paramètres'!$A$1:$I$88,5,0)</f>
        <v>#N/A</v>
      </c>
      <c r="CA47" s="150" t="str">
        <f t="shared" si="40"/>
        <v>#N/A</v>
      </c>
      <c r="CB47" s="161" t="str">
        <f t="shared" si="11"/>
        <v>#N/A</v>
      </c>
      <c r="CC47" s="153" t="str">
        <f t="shared" si="12"/>
        <v>#N/A</v>
      </c>
      <c r="CD47" s="153" t="str">
        <f>AVERAGE(OFFSET($CC$3,0,0,'Données projet'!$E$12+1,1))-AVERAGE(OFFSET($H$3,0,0,'Données projet'!$E$12+1,1))</f>
        <v>#N/A</v>
      </c>
      <c r="CE47" s="153" t="str">
        <f t="shared" si="41"/>
        <v>#N/A</v>
      </c>
      <c r="CF47" s="154">
        <f>IF(ISNA(VLOOKUP(A47,'Données projet'!$A$113:$I$133,3,0)),0,VLOOKUP(A47,'Données projet'!$A$113:$I$133,3,0))</f>
        <v>0</v>
      </c>
      <c r="CG47" s="154">
        <f>IF(ISNA(VLOOKUP(A47,'Données projet'!$A$113:$I$133,4,0)),0,VLOOKUP(A47,'Données projet'!$A$113:$I$133,4,0))</f>
        <v>0</v>
      </c>
      <c r="CH47" s="155">
        <f>IF(ISNA(VLOOKUP(A47,'Données projet'!$A$113:$I$133,5,0)),0%,VLOOKUP(A47,'Données projet'!$A$113:$I$133,5,0)*VLOOKUP('Données projet'!$B$12,'Paramètres'!$A$1:$I$88,7,0))</f>
        <v>0</v>
      </c>
      <c r="CI47" s="155">
        <f>IF(ISNA(VLOOKUP(A47,'Données projet'!$A$113:$I$133,6,0)),0%,VLOOKUP(A47,'Données projet'!$A$113:$I$133,6,0)*VLOOKUP('Données projet'!$B$12,'Paramètres'!$A$1:$I$88,7,0))</f>
        <v>0</v>
      </c>
      <c r="CJ47" s="155">
        <f>IF(ISNA(VLOOKUP(A47,'Données projet'!$A$113:$I$133,7,0)),0%,VLOOKUP(A47,'Données projet'!$A$113:$I$133,7,0))</f>
        <v>0</v>
      </c>
      <c r="CK47" s="162" t="str">
        <f>EXP(-LN(2)/35)*CK46+(1-EXP(-LN(2)/35))/(LN(2)/35)*CG47*CH47*VLOOKUP('Données projet'!$B$12,'Paramètres'!$A$1:$I$88,3,0)*0.475*44/12</f>
        <v>#N/A</v>
      </c>
      <c r="CL47" s="162" t="str">
        <f>EXP(-LN(2)/25)*CL46+(1-EXP(-LN(2)/25))/(LN(2)/25)*Calculateur!CG47*Calculateur!CI47*VLOOKUP('Données projet'!$B$12,'Paramètres'!$A$1:$I$88,3,0)*0.475*44/12</f>
        <v>#N/A</v>
      </c>
      <c r="CM47" s="162" t="str">
        <f>EXP(-LN(2)/2)*CM46+(1-EXP(-LN(2)/2))/(LN(2)/2)*CG47*CJ47*VLOOKUP('Données projet'!$B$12,'Paramètres'!$A$1:$I$88,3,0)*0.475*44/12</f>
        <v>#N/A</v>
      </c>
      <c r="CN47" s="163" t="str">
        <f t="shared" si="13"/>
        <v>#N/A</v>
      </c>
      <c r="CO47" s="159">
        <f>('Scénario référence'!$F$8+'Scénario référence'!$F$9+'Scénario référence'!$B$17+'Scénario référence'!$B$9+'Scénario référence'!$B$10)*70+IF((45+25*(1-EXP(-0.0175*A47)))&lt;70,'Scénario référence'!$B$16*(45+25*(1-EXP(-0.0175*A47))),70*'Scénario référence'!$B$16)+IF((32+38*(1-EXP(-0.0175*A47)))&lt;70,'Scénario référence'!$B$18*(32+38*(1-EXP(-0.0175*A47))),70*'Scénario référence'!$B$18)</f>
        <v>70</v>
      </c>
      <c r="CP47" s="151">
        <f>IF(A47&gt;30,10,('Scénario référence'!$B$16+'Scénario référence'!$B$17+'Scénario référence'!$B$18+'Scénario référence'!$B$9+'Scénario référence'!$B$10)*A47*10/30+('Scénario référence'!$F$8+'Scénario référence'!$F$9)*10)</f>
        <v>10</v>
      </c>
      <c r="CQ47" s="151" t="str">
        <f>VLOOKUP(A47,'Données projet'!$A$139:$I$159,2,0)</f>
        <v>#N/A</v>
      </c>
      <c r="CR47" s="151" t="str">
        <f>VLOOKUP(A47,'Données projet'!$A$139:$I$159,9,0)</f>
        <v>#N/A</v>
      </c>
      <c r="CS47" s="151" t="str">
        <f t="array" ref="CS47">INDEX(CR:CR,MIN(IF(ISNUMBER(CR47:CR243),ROW(CR47:CR243),"")))</f>
        <v/>
      </c>
      <c r="CT47" s="151">
        <f>IF('Données projet'!$A$140&gt;35,CT46+CS47-DB46,IF(A47&lt;'Données projet'!$A$140,$CQ$205^A47,IF(A47='Données projet'!$A$140,'Données projet'!$B$140,CT46+CS47-DB46)))</f>
        <v>0</v>
      </c>
      <c r="CU47" s="158" t="str">
        <f>CT47*VLOOKUP('Données projet'!$B$13,'Paramètres'!$A$1:$I$88,3,0)*VLOOKUP('Données projet'!$B$13,'Paramètres'!$A$1:$I$88,5,0)</f>
        <v>#N/A</v>
      </c>
      <c r="CV47" s="150" t="str">
        <f t="shared" si="42"/>
        <v>#N/A</v>
      </c>
      <c r="CW47" s="161" t="str">
        <f t="shared" si="14"/>
        <v>#N/A</v>
      </c>
      <c r="CX47" s="153" t="str">
        <f t="shared" si="15"/>
        <v>#N/A</v>
      </c>
      <c r="CY47" s="153" t="str">
        <f>AVERAGE(OFFSET($CX$3,0,0,'Données projet'!$E$13+1,1))-AVERAGE(OFFSET($H$3,0,0,'Données projet'!$E$13+1,1))</f>
        <v>#N/A</v>
      </c>
      <c r="CZ47" s="153" t="str">
        <f t="shared" si="43"/>
        <v>#N/A</v>
      </c>
      <c r="DA47" s="154">
        <f>IF(ISNA(VLOOKUP(A47,'Données projet'!$A$139:$I$159,3,0)),0,VLOOKUP(A47,'Données projet'!$A$139:$I$159,3,0))</f>
        <v>0</v>
      </c>
      <c r="DB47" s="154">
        <f>IF(ISNA(VLOOKUP(A47,'Données projet'!$A$139:$I$159,4,0)),0,VLOOKUP(A47,'Données projet'!$A$139:$I$159,4,0))</f>
        <v>0</v>
      </c>
      <c r="DC47" s="155">
        <f>IF(ISNA(VLOOKUP(A47,'Données projet'!$A$139:$I$159,5,0)),0%,VLOOKUP(A47,'Données projet'!$A$139:$I$159,5,0)*VLOOKUP('Données projet'!$B$13,'Paramètres'!$A$1:$I$88,7,0))</f>
        <v>0</v>
      </c>
      <c r="DD47" s="155">
        <f>IF(ISNA(VLOOKUP(A47,'Données projet'!$A$139:$I$159,6,0)),0%,VLOOKUP(A47,'Données projet'!$A$139:$I$159,6,0)*VLOOKUP('Données projet'!$B$13,'Paramètres'!$A$1:$I$88,7,0))</f>
        <v>0</v>
      </c>
      <c r="DE47" s="155">
        <f>IF(ISNA(VLOOKUP(A47,'Données projet'!$A$139:$I$159,7,0)),0%,VLOOKUP(A47,'Données projet'!$A$139:$I$159,7,0))</f>
        <v>0</v>
      </c>
      <c r="DF47" s="162" t="str">
        <f>EXP(-LN(2)/35)*DF46+(1-EXP(-LN(2)/35))/(LN(2)/35)*DB47*DC47*VLOOKUP('Données projet'!$B$13,'Paramètres'!$A$1:$I$88,3,0)*0.475*44/12</f>
        <v>#N/A</v>
      </c>
      <c r="DG47" s="162" t="str">
        <f>EXP(-LN(2)/25)*DG46+(1-EXP(-LN(2)/25))/(LN(2)/25)*Calculateur!DB47*Calculateur!DD47*VLOOKUP('Données projet'!$B$13,'Paramètres'!$A$1:$I$88,3,0)*0.475*44/12</f>
        <v>#N/A</v>
      </c>
      <c r="DH47" s="162" t="str">
        <f>EXP(-LN(2)/2)*DH46+(1-EXP(-LN(2)/2))/(LN(2)/2)*DB47*DE47*VLOOKUP('Données projet'!$B$13,'Paramètres'!$A$1:$I$88,3,0)*0.475*44/12</f>
        <v>#N/A</v>
      </c>
      <c r="DI47" s="163" t="str">
        <f t="shared" si="16"/>
        <v>#N/A</v>
      </c>
      <c r="DJ47" s="159">
        <f>('Scénario référence'!$F$8+'Scénario référence'!$F$9+'Scénario référence'!$B$17+'Scénario référence'!$B$9+'Scénario référence'!$B$10)*70+IF((45+25*(1-EXP(-0.0175*A47)))&lt;70,'Scénario référence'!$B$16*(45+25*(1-EXP(-0.0175*A47))),70*'Scénario référence'!$B$16)+IF((32+38*(1-EXP(-0.0175*A47)))&lt;70,'Scénario référence'!$B$18*(32+38*(1-EXP(-0.0175*A47))),70*'Scénario référence'!$B$18)</f>
        <v>70</v>
      </c>
      <c r="DK47" s="151">
        <f>IF(A47&gt;30,10,('Scénario référence'!$B$16+'Scénario référence'!$B$17+'Scénario référence'!$B$18+'Scénario référence'!$B$9+'Scénario référence'!$B$10)*A47*10/30+('Scénario référence'!$F$8+'Scénario référence'!$F$9)*10)</f>
        <v>10</v>
      </c>
      <c r="DL47" s="151" t="str">
        <f>VLOOKUP(A47,'Données projet'!$A$165:$I$185,2,0)</f>
        <v>#N/A</v>
      </c>
      <c r="DM47" s="151" t="str">
        <f>VLOOKUP(A47,'Données projet'!$A$165:$I$185,9,0)</f>
        <v>#N/A</v>
      </c>
      <c r="DN47" s="151" t="str">
        <f t="array" ref="DN47">INDEX(DM:DM,MIN(IF(ISNUMBER(DM47:DM243),ROW(DM47:DM243),"")))</f>
        <v/>
      </c>
      <c r="DO47" s="151">
        <f>IF('Données projet'!$A$166&gt;35,DO46+DN47-DW46,IF(A47&lt;'Données projet'!$A$166,$DL$205^A47,IF(A47='Données projet'!$A$166,'Données projet'!$B$166,DO46+DN47-DW46)))</f>
        <v>0</v>
      </c>
      <c r="DP47" s="158" t="str">
        <f>DO47*VLOOKUP('Données projet'!$B$14,'Paramètres'!$A$1:$I$88,3,0)*VLOOKUP('Données projet'!$B$14,'Paramètres'!$A$1:$I$88,5,0)</f>
        <v>#N/A</v>
      </c>
      <c r="DQ47" s="150" t="str">
        <f t="shared" si="44"/>
        <v>#N/A</v>
      </c>
      <c r="DR47" s="161" t="str">
        <f t="shared" si="17"/>
        <v>#N/A</v>
      </c>
      <c r="DS47" s="153" t="str">
        <f t="shared" si="18"/>
        <v>#N/A</v>
      </c>
      <c r="DT47" s="153" t="str">
        <f>AVERAGE(OFFSET($DS$3,0,0,'Données projet'!$E$14+1,1))-AVERAGE(OFFSET($H$3,0,0,'Données projet'!$E$14+1,1))</f>
        <v>#N/A</v>
      </c>
      <c r="DU47" s="153" t="str">
        <f t="shared" si="45"/>
        <v>#N/A</v>
      </c>
      <c r="DV47" s="154">
        <f>IF(ISNA(VLOOKUP(A47,'Données projet'!$A$165:$I$185,3,0)),0,VLOOKUP(A47,'Données projet'!$A$165:$I$185,3,0))</f>
        <v>0</v>
      </c>
      <c r="DW47" s="154">
        <f>IF(ISNA(VLOOKUP(A47,'Données projet'!$A$165:$I$185,4,0)),0,VLOOKUP(A47,'Données projet'!$A$165:$I$185,4,0))</f>
        <v>0</v>
      </c>
      <c r="DX47" s="155">
        <f>IF(ISNA(VLOOKUP(A47,'Données projet'!$A$165:$I$185,5,0)),0%,VLOOKUP(A47,'Données projet'!$A$165:$I$185,5,0)*VLOOKUP('Données projet'!$B$14,'Paramètres'!$A$1:$I$88,7,0))</f>
        <v>0</v>
      </c>
      <c r="DY47" s="155">
        <f>IF(ISNA(VLOOKUP(A47,'Données projet'!$A$165:$I$185,6,0)),0%,VLOOKUP(A47,'Données projet'!$A$165:$I$185,6,0)*VLOOKUP('Données projet'!$B$14,'Paramètres'!$A$1:$I$88,7,0))</f>
        <v>0</v>
      </c>
      <c r="DZ47" s="155">
        <f>IF(ISNA(VLOOKUP(A47,'Données projet'!$A$165:$I$185,7,0)),0%,VLOOKUP(A47,'Données projet'!$A$165:$I$185,7,0))</f>
        <v>0</v>
      </c>
      <c r="EA47" s="162" t="str">
        <f>EXP(-LN(2)/35)*EA46+(1-EXP(-LN(2)/35))/(LN(2)/35)*DW47*DX47*VLOOKUP('Données projet'!$B$14,'Paramètres'!$A$1:$I$88,3,0)*0.475*44/12</f>
        <v>#N/A</v>
      </c>
      <c r="EB47" s="162" t="str">
        <f>EXP(-LN(2)/25)*EB46+(1-EXP(-LN(2)/25))/(LN(2)/25)*Calculateur!DW47*Calculateur!DY47*VLOOKUP('Données projet'!$B$14,'Paramètres'!$A$1:$I$88,3,0)*0.475*44/12</f>
        <v>#N/A</v>
      </c>
      <c r="EC47" s="162" t="str">
        <f>EXP(-LN(2)/2)*EC46+(1-EXP(-LN(2)/2))/(LN(2)/2)*DW47*DZ47*VLOOKUP('Données projet'!$B$14,'Paramètres'!$A$1:$I$88,3,0)*0.475*44/12</f>
        <v>#N/A</v>
      </c>
      <c r="ED47" s="163" t="str">
        <f t="shared" si="19"/>
        <v>#N/A</v>
      </c>
      <c r="EE47" s="159">
        <f>('Scénario référence'!$F$8+'Scénario référence'!$F$9+'Scénario référence'!$B$17+'Scénario référence'!$B$9+'Scénario référence'!$B$10)*70+IF((45+25*(1-EXP(-0.0175*A47)))&lt;70,'Scénario référence'!$B$16*(45+25*(1-EXP(-0.0175*A47))),70*'Scénario référence'!$B$16)+IF((32+38*(1-EXP(-0.0175*A47)))&lt;70,'Scénario référence'!$B$18*(32+38*(1-EXP(-0.0175*A47))),70*'Scénario référence'!$B$18)</f>
        <v>70</v>
      </c>
      <c r="EF47" s="151">
        <f>IF(A47&gt;30,10,('Scénario référence'!$B$16+'Scénario référence'!$B$17+'Scénario référence'!$B$18+'Scénario référence'!$B$9+'Scénario référence'!$B$10)*A47*10/30+('Scénario référence'!$F$8+'Scénario référence'!$F$9)*10)</f>
        <v>10</v>
      </c>
      <c r="EG47" s="151" t="str">
        <f>VLOOKUP(A47,'Données projet'!$A$191:$I$211,2,0)</f>
        <v>#N/A</v>
      </c>
      <c r="EH47" s="151" t="str">
        <f>VLOOKUP(A47,'Données projet'!$A$191:$I$211,9,0)</f>
        <v>#N/A</v>
      </c>
      <c r="EI47" s="151" t="str">
        <f t="array" ref="EI47">INDEX(EH:EH,MIN(IF(ISNUMBER(EH47:EH243),ROW(EH47:EH243),"")))</f>
        <v/>
      </c>
      <c r="EJ47" s="151">
        <f>IF('Données projet'!$A$192&gt;35,EJ46+EI47-ER46,IF(A47&lt;'Données projet'!$A$192,$EG$205^A47,IF(A47='Données projet'!$A$192,'Données projet'!$B$192,EJ46+EI47-ER46)))</f>
        <v>0</v>
      </c>
      <c r="EK47" s="158" t="str">
        <f>EJ47*VLOOKUP('Données projet'!$B$15,'Paramètres'!$A$1:$I$88,3,0)*VLOOKUP('Données projet'!$B$15,'Paramètres'!$A$1:$I$88,5,0)</f>
        <v>#N/A</v>
      </c>
      <c r="EL47" s="150" t="str">
        <f t="shared" si="46"/>
        <v>#N/A</v>
      </c>
      <c r="EM47" s="161" t="str">
        <f t="shared" si="20"/>
        <v>#N/A</v>
      </c>
      <c r="EN47" s="153" t="str">
        <f t="shared" si="21"/>
        <v>#N/A</v>
      </c>
      <c r="EO47" s="153" t="str">
        <f>AVERAGE(OFFSET($EN$3,0,0,'Données projet'!$E$15+1,1))-AVERAGE(OFFSET($H$3,0,0,'Données projet'!$E$15+1,1))</f>
        <v>#N/A</v>
      </c>
      <c r="EP47" s="153" t="str">
        <f t="shared" si="47"/>
        <v>#N/A</v>
      </c>
      <c r="EQ47" s="154">
        <f>IF(ISNA(VLOOKUP(A47,'Données projet'!$A$191:$I$211,3,0)),0,VLOOKUP(A47,'Données projet'!$A$191:$I$211,3,0))</f>
        <v>0</v>
      </c>
      <c r="ER47" s="154">
        <f>IF(ISNA(VLOOKUP(A47,'Données projet'!$A$191:$I$211,4,0)),0,VLOOKUP(A47,'Données projet'!$A$191:$I$211,4,0))</f>
        <v>0</v>
      </c>
      <c r="ES47" s="155">
        <f>IF(ISNA(VLOOKUP(A47,'Données projet'!$A$191:$I$211,5,0)),0%,VLOOKUP(A47,'Données projet'!$A$191:$I$211,5,0)*VLOOKUP('Données projet'!$B$15,'Paramètres'!$A$1:$I$88,7,0))</f>
        <v>0</v>
      </c>
      <c r="ET47" s="155">
        <f>IF(ISNA(VLOOKUP(A47,'Données projet'!$A$191:$I$211,6,0)),0%,VLOOKUP(A47,'Données projet'!$A$191:$I$211,6,0)*VLOOKUP('Données projet'!$B$15,'Paramètres'!$A$1:$I$88,7,0))</f>
        <v>0</v>
      </c>
      <c r="EU47" s="155">
        <f>IF(ISNA(VLOOKUP(A47,'Données projet'!$A$191:$I$211,7,0)),0%,VLOOKUP(A47,'Données projet'!$A$191:$I$211,7,0))</f>
        <v>0</v>
      </c>
      <c r="EV47" s="162" t="str">
        <f>EXP(-LN(2)/35)*EV46+(1-EXP(-LN(2)/35))/(LN(2)/35)*ER47*ES47*VLOOKUP('Données projet'!$B$15,'Paramètres'!$A$1:$I$88,3,0)*0.475*44/12</f>
        <v>#N/A</v>
      </c>
      <c r="EW47" s="162" t="str">
        <f>EXP(-LN(2)/25)*EW46+(1-EXP(-LN(2)/25))/(LN(2)/25)*Calculateur!ER47*Calculateur!ET47*VLOOKUP('Données projet'!$B$15,'Paramètres'!$A$1:$I$88,3,0)*0.475*44/12</f>
        <v>#N/A</v>
      </c>
      <c r="EX47" s="162" t="str">
        <f>EXP(-LN(2)/2)*EX46+(1-EXP(-LN(2)/2))/(LN(2)/2)*ER47*EU47*VLOOKUP('Données projet'!$B$15,'Paramètres'!$A$1:$I$88,3,0)*0.475*44/12</f>
        <v>#N/A</v>
      </c>
      <c r="EY47" s="163" t="str">
        <f t="shared" si="22"/>
        <v>#N/A</v>
      </c>
      <c r="EZ47" s="159">
        <f>('Scénario référence'!$F$8+'Scénario référence'!$F$9+'Scénario référence'!$B$17+'Scénario référence'!$B$9+'Scénario référence'!$B$10)*70+IF((45+25*(1-EXP(-0.0175*A47)))&lt;70,'Scénario référence'!$B$16*(45+25*(1-EXP(-0.0175*A47))),70*'Scénario référence'!$B$16)+IF((32+38*(1-EXP(-0.0175*A47)))&lt;70,'Scénario référence'!$B$18*(32+38*(1-EXP(-0.0175*A47))),70*'Scénario référence'!$B$18)</f>
        <v>70</v>
      </c>
      <c r="FA47" s="151">
        <f>IF(A47&gt;30,10,('Scénario référence'!$B$16+'Scénario référence'!$B$17+'Scénario référence'!$B$18+'Scénario référence'!$B$9+'Scénario référence'!$B$10)*A47*10/30+('Scénario référence'!$F$8+'Scénario référence'!$F$9)*10)</f>
        <v>10</v>
      </c>
      <c r="FB47" s="151" t="str">
        <f>VLOOKUP(A47,'Données projet'!$A$217:$I$237,2,0)</f>
        <v>#N/A</v>
      </c>
      <c r="FC47" s="151" t="str">
        <f>VLOOKUP(A47,'Données projet'!$A$217:$I$237,9,0)</f>
        <v>#N/A</v>
      </c>
      <c r="FD47" s="151" t="str">
        <f t="array" ref="FD47">INDEX(FC:FC,MIN(IF(ISNUMBER(FC47:FC243),ROW(FC47:FC243),"")))</f>
        <v/>
      </c>
      <c r="FE47" s="151">
        <f>IF('Données projet'!$A$218&gt;35,FE46+FD47-FM46,IF(A47&lt;'Données projet'!$A$218,$FB$205^A47,IF(A47='Données projet'!$A$218,'Données projet'!$B$218,FE46+FD47-FM46)))</f>
        <v>0</v>
      </c>
      <c r="FF47" s="158" t="str">
        <f>FE47*VLOOKUP('Données projet'!$B$16,'Paramètres'!$A$1:$I$88,3,0)*VLOOKUP('Données projet'!$B$16,'Paramètres'!$A$1:$I$88,5,0)</f>
        <v>#N/A</v>
      </c>
      <c r="FG47" s="150" t="str">
        <f t="shared" si="48"/>
        <v>#N/A</v>
      </c>
      <c r="FH47" s="161" t="str">
        <f t="shared" si="23"/>
        <v>#N/A</v>
      </c>
      <c r="FI47" s="153" t="str">
        <f t="shared" si="24"/>
        <v>#N/A</v>
      </c>
      <c r="FJ47" s="153" t="str">
        <f>AVERAGE(OFFSET($FI$3,0,0,'Données projet'!$E$16+1,1))-AVERAGE(OFFSET($H$3,0,0,'Données projet'!$E$16+1,1))</f>
        <v>#N/A</v>
      </c>
      <c r="FK47" s="153" t="str">
        <f t="shared" si="49"/>
        <v>#N/A</v>
      </c>
      <c r="FL47" s="154">
        <f>IF(ISNA(VLOOKUP(A47,'Données projet'!$A$217:$I$237,3,0)),0,VLOOKUP(A47,'Données projet'!$A$217:$I$237,3,0))</f>
        <v>0</v>
      </c>
      <c r="FM47" s="154">
        <f>IF(ISNA(VLOOKUP(A47,'Données projet'!$A$217:$I$237,4,0)),0,VLOOKUP(A47,'Données projet'!$A$217:$I$237,4,0))</f>
        <v>0</v>
      </c>
      <c r="FN47" s="155">
        <f>IF(ISNA(VLOOKUP(A47,'Données projet'!$A$217:$I$237,5,0)),0%,VLOOKUP(A47,'Données projet'!$A$217:$I$237,5,0)*VLOOKUP('Données projet'!$B$16,'Paramètres'!$A$1:$I$88,7,0))</f>
        <v>0</v>
      </c>
      <c r="FO47" s="155">
        <f>IF(ISNA(VLOOKUP(A47,'Données projet'!$A$217:$I$237,6,0)),0%,VLOOKUP(A47,'Données projet'!$A$217:$I$237,6,0)*VLOOKUP('Données projet'!$B$16,'Paramètres'!$A$1:$I$88,7,0))</f>
        <v>0</v>
      </c>
      <c r="FP47" s="155">
        <f>IF(ISNA(VLOOKUP(A47,'Données projet'!$A$217:$I$237,7,0)),0%,VLOOKUP(A47,'Données projet'!$A$217:$I$237,7,0))</f>
        <v>0</v>
      </c>
      <c r="FQ47" s="162" t="str">
        <f>EXP(-LN(2)/35)*FQ46+(1-EXP(-LN(2)/35))/(LN(2)/35)*FM47*FN47*VLOOKUP('Données projet'!$B$16,'Paramètres'!$A$1:$I$88,3,0)*0.475*44/12</f>
        <v>#N/A</v>
      </c>
      <c r="FR47" s="162" t="str">
        <f>EXP(-LN(2)/25)*FR46+(1-EXP(-LN(2)/25))/(LN(2)/25)*Calculateur!FM47*Calculateur!FO47*VLOOKUP('Données projet'!$B$16,'Paramètres'!$A$1:$I$88,3,0)*0.475*44/12</f>
        <v>#N/A</v>
      </c>
      <c r="FS47" s="162" t="str">
        <f>EXP(-LN(2)/2)*FS46+(1-EXP(-LN(2)/2))/(LN(2)/2)*FM47*FP47*VLOOKUP('Données projet'!$B$16,'Paramètres'!$A$1:$I$88,3,0)*0.475*44/12</f>
        <v>#N/A</v>
      </c>
      <c r="FT47" s="163" t="str">
        <f t="shared" si="25"/>
        <v>#N/A</v>
      </c>
      <c r="FU47" s="159">
        <f>('Scénario référence'!$F$8+'Scénario référence'!$F$9+'Scénario référence'!$B$17+'Scénario référence'!$B$9+'Scénario référence'!$B$10)*70+IF((45+25*(1-EXP(-0.0175*A47)))&lt;70,'Scénario référence'!$B$16*(45+25*(1-EXP(-0.0175*A47))),70*'Scénario référence'!$B$16)+IF((32+38*(1-EXP(-0.0175*A47)))&lt;70,'Scénario référence'!$B$18*(32+38*(1-EXP(-0.0175*A47))),70*'Scénario référence'!$B$18)</f>
        <v>70</v>
      </c>
      <c r="FV47" s="151">
        <f>IF(A47&gt;30,10,('Scénario référence'!$B$16+'Scénario référence'!$B$17+'Scénario référence'!$B$18+'Scénario référence'!$B$9+'Scénario référence'!$B$10)*A47*10/30+('Scénario référence'!$F$8+'Scénario référence'!$F$9)*10)</f>
        <v>10</v>
      </c>
      <c r="FW47" s="151" t="str">
        <f>VLOOKUP(A47,'Données projet'!$A$243:$I$263,2,0)</f>
        <v>#N/A</v>
      </c>
      <c r="FX47" s="151" t="str">
        <f>VLOOKUP(A47,'Données projet'!$A$243:$I$263,9,0)</f>
        <v>#N/A</v>
      </c>
      <c r="FY47" s="151" t="str">
        <f t="array" ref="FY47">INDEX(FX:FX,MIN(IF(ISNUMBER(FX47:FX243),ROW(FX47:FX243),"")))</f>
        <v/>
      </c>
      <c r="FZ47" s="151">
        <f>IF('Données projet'!$A$244&gt;35,FZ46+FY47-GH46,IF(A47&lt;'Données projet'!$A$244,$FW$205^A47,IF(A47='Données projet'!$A$244,'Données projet'!$B$244,FZ46+FY47-GH46)))</f>
        <v>0</v>
      </c>
      <c r="GA47" s="158" t="str">
        <f>FZ47*VLOOKUP('Données projet'!$B$17,'Paramètres'!$A$1:$I$88,3,0)*VLOOKUP('Données projet'!$B$17,'Paramètres'!$A$1:$I$88,5,0)</f>
        <v>#N/A</v>
      </c>
      <c r="GB47" s="150" t="str">
        <f t="shared" si="50"/>
        <v>#N/A</v>
      </c>
      <c r="GC47" s="161" t="str">
        <f t="shared" si="26"/>
        <v>#N/A</v>
      </c>
      <c r="GD47" s="153" t="str">
        <f t="shared" si="27"/>
        <v>#N/A</v>
      </c>
      <c r="GE47" s="153" t="str">
        <f>AVERAGE(OFFSET($GD$3,0,0,'Données projet'!$E$17+1,1))-AVERAGE(OFFSET($H$3,0,0,'Données projet'!$E$17+1,1))</f>
        <v>#N/A</v>
      </c>
      <c r="GF47" s="153" t="str">
        <f t="shared" si="51"/>
        <v>#N/A</v>
      </c>
      <c r="GG47" s="154">
        <f>IF(ISNA(VLOOKUP(A47,'Données projet'!$A$243:$I$263,3,0)),0,VLOOKUP(A47,'Données projet'!$A$243:$I$263,3,0))</f>
        <v>0</v>
      </c>
      <c r="GH47" s="154">
        <f>IF(ISNA(VLOOKUP(A47,'Données projet'!$A$243:$I$263,4,0)),0,VLOOKUP(A47,'Données projet'!$A$243:$I$263,4,0))</f>
        <v>0</v>
      </c>
      <c r="GI47" s="155">
        <f>IF(ISNA(VLOOKUP(A47,'Données projet'!$A$243:$I$263,5,0)),0%,VLOOKUP(A47,'Données projet'!$A$243:$I$263,5,0)*VLOOKUP('Données projet'!$B$17,'Paramètres'!$A$1:$I$88,7,0))</f>
        <v>0</v>
      </c>
      <c r="GJ47" s="155">
        <f>IF(ISNA(VLOOKUP(A47,'Données projet'!$A$243:$I$263,6,0)),0%,VLOOKUP(A47,'Données projet'!$A$243:$I$263,6,0)*VLOOKUP('Données projet'!$B$17,'Paramètres'!$A$1:$I$88,7,0))</f>
        <v>0</v>
      </c>
      <c r="GK47" s="155">
        <f>IF(ISNA(VLOOKUP(A47,'Données projet'!$A$243:$I$263,7,0)),0%,VLOOKUP(A47,'Données projet'!$A$243:$I$263,7,0))</f>
        <v>0</v>
      </c>
      <c r="GL47" s="162" t="str">
        <f>EXP(-LN(2)/35)*GL46+(1-EXP(-LN(2)/35))/(LN(2)/35)*GH47*GI47*VLOOKUP('Données projet'!$B$17,'Paramètres'!$A$1:$I$88,3,0)*0.475*44/12</f>
        <v>#N/A</v>
      </c>
      <c r="GM47" s="162" t="str">
        <f>EXP(-LN(2)/25)*GM46+(1-EXP(-LN(2)/25))/(LN(2)/25)*Calculateur!GH47*Calculateur!GJ47*VLOOKUP('Données projet'!$B$17,'Paramètres'!$A$1:$I$88,3,0)*0.475*44/12</f>
        <v>#N/A</v>
      </c>
      <c r="GN47" s="162" t="str">
        <f>EXP(-LN(2)/2)*GN46+(1-EXP(-LN(2)/2))/(LN(2)/2)*GH47*GK47*VLOOKUP('Données projet'!$B$17,'Paramètres'!$A$1:$I$88,3,0)*0.475*44/12</f>
        <v>#N/A</v>
      </c>
      <c r="GO47" s="162" t="str">
        <f t="shared" si="28"/>
        <v>#N/A</v>
      </c>
      <c r="GP47" s="159">
        <f>('Scénario référence'!$F$8+'Scénario référence'!$F$9+'Scénario référence'!$B$17+'Scénario référence'!$B$9+'Scénario référence'!$B$10)*70+IF((45+25*(1-EXP(-0.0175*A47)))&lt;70,'Scénario référence'!$B$16*(45+25*(1-EXP(-0.0175*A47))),70*'Scénario référence'!$B$16)+IF((32+38*(1-EXP(-0.0175*A47)))&lt;70,'Scénario référence'!$B$18*(32+38*(1-EXP(-0.0175*A47))),70*'Scénario référence'!$B$18)</f>
        <v>70</v>
      </c>
      <c r="GQ47" s="151">
        <f>IF(A47&gt;30,10,('Scénario référence'!$B$16+'Scénario référence'!$B$17+'Scénario référence'!$B$18+'Scénario référence'!$B$9+'Scénario référence'!$B$10)*A47*10/30+('Scénario référence'!$F$8+'Scénario référence'!$F$9)*10)</f>
        <v>10</v>
      </c>
      <c r="GR47" s="151" t="str">
        <f>VLOOKUP(A47,'Données projet'!$A$269:$I$289,2,0)</f>
        <v>#N/A</v>
      </c>
      <c r="GS47" s="151" t="str">
        <f>VLOOKUP(A47,'Données projet'!$A$269:$I$289,9,0)</f>
        <v>#N/A</v>
      </c>
      <c r="GT47" s="151" t="str">
        <f t="array" ref="GT47">INDEX(GS:GS,MIN(IF(ISNUMBER(GS47:GS243),ROW(GS47:GS243),"")))</f>
        <v/>
      </c>
      <c r="GU47" s="151">
        <f>IF('Données projet'!$A$270&gt;35,GU46+GT47-HC46,IF(A47&lt;'Données projet'!$A$270,$GR$205^A47,IF(A47='Données projet'!$A$270,'Données projet'!$B$270,GU46+GT47-HC46)))</f>
        <v>0</v>
      </c>
      <c r="GV47" s="158" t="str">
        <f>GU47*VLOOKUP('Données projet'!$B$18,'Paramètres'!$A$1:$I$88,3,0)*VLOOKUP('Données projet'!$B$18,'Paramètres'!$A$1:$I$88,5,0)</f>
        <v>#N/A</v>
      </c>
      <c r="GW47" s="150" t="str">
        <f t="shared" si="52"/>
        <v>#N/A</v>
      </c>
      <c r="GX47" s="161" t="str">
        <f t="shared" si="29"/>
        <v>#N/A</v>
      </c>
      <c r="GY47" s="153" t="str">
        <f t="shared" si="30"/>
        <v>#N/A</v>
      </c>
      <c r="GZ47" s="153" t="str">
        <f>AVERAGE(OFFSET($GY$3,0,0,'Données projet'!$E$18+1,1))-AVERAGE(OFFSET($H$3,0,0,'Données projet'!$E$18+1,1))</f>
        <v>#N/A</v>
      </c>
      <c r="HA47" s="153" t="str">
        <f t="shared" si="53"/>
        <v>#N/A</v>
      </c>
      <c r="HB47" s="154">
        <f>IF(ISNA(VLOOKUP(A47,'Données projet'!$A$269:$I$289,3,0)),0,VLOOKUP(A47,'Données projet'!$A$269:$I$289,3,0))</f>
        <v>0</v>
      </c>
      <c r="HC47" s="154">
        <f>IF(ISNA(VLOOKUP(A47,'Données projet'!$A$269:$I$289,4,0)),0,VLOOKUP(A47,'Données projet'!$A$269:$I$289,4,0))</f>
        <v>0</v>
      </c>
      <c r="HD47" s="155">
        <f>IF(ISNA(VLOOKUP(A47,'Données projet'!$A$269:$I$289,5,0)),0%,VLOOKUP(A47,'Données projet'!$A$269:$I$289,5,0)*VLOOKUP('Données projet'!$B$18,'Paramètres'!$A$1:$I$88,7,0))</f>
        <v>0</v>
      </c>
      <c r="HE47" s="155">
        <f>IF(ISNA(VLOOKUP(A47,'Données projet'!$A$269:$I$289,6,0)),0%,VLOOKUP(A47,'Données projet'!$A$269:$I$289,6,0)*VLOOKUP('Données projet'!$B$18,'Paramètres'!$A$1:$I$88,7,0))</f>
        <v>0</v>
      </c>
      <c r="HF47" s="155">
        <f>IF(ISNA(VLOOKUP(A47,'Données projet'!$A$269:$I$289,7,0)),0%,VLOOKUP(A47,'Données projet'!$A$269:$I$289,7,0))</f>
        <v>0</v>
      </c>
      <c r="HG47" s="162" t="str">
        <f>EXP(-LN(2)/35)*HG46+(1-EXP(-LN(2)/35))/(LN(2)/35)*HC47*HD47*VLOOKUP('Données projet'!$B$18,'Paramètres'!$A$1:$I$88,3,0)*0.475*44/12</f>
        <v>#N/A</v>
      </c>
      <c r="HH47" s="162" t="str">
        <f>EXP(-LN(2)/25)*HH46+(1-EXP(-LN(2)/25))/(LN(2)/25)*Calculateur!HC47*Calculateur!HE47*VLOOKUP('Données projet'!$B$18,'Paramètres'!$A$1:$I$88,3,0)*0.475*44/12</f>
        <v>#N/A</v>
      </c>
      <c r="HI47" s="162" t="str">
        <f>EXP(-LN(2)/2)*HI46+(1-EXP(-LN(2)/2))/(LN(2)/2)*HC47*HF47*VLOOKUP('Données projet'!$B$18,'Paramètres'!$A$1:$I$88,3,0)*0.475*44/12</f>
        <v>#N/A</v>
      </c>
      <c r="HJ47" s="163" t="str">
        <f t="shared" si="31"/>
        <v>#N/A</v>
      </c>
    </row>
    <row r="48" ht="15.75" customHeight="1">
      <c r="A48" s="145">
        <f t="shared" si="32"/>
        <v>45</v>
      </c>
      <c r="B48" s="146">
        <f>'Scénario référence'!$B$16*5+'Scénario référence'!$B$17*0+'Scénario référence'!$B$18*5</f>
        <v>0</v>
      </c>
      <c r="C48" s="160">
        <f>Calculateur!C47+'Scénario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48" s="147">
        <f t="shared" si="33"/>
        <v>0</v>
      </c>
      <c r="E48" s="147">
        <f>'Scénario référence'!$B$16*45+('Scénario référence'!$B$17+'Scénario référence'!$F$8+'Scénario référence'!$F$9+'Scénario référence'!$B$10+'Scénario référence'!$B$9)*70+'Scénario référence'!$B$18*32</f>
        <v>70</v>
      </c>
      <c r="F48" s="147">
        <f>IF(OR('Scénario référence'!$F$8&gt;0,'Scénario référence'!$F$9&gt;0),('Scénario référence'!$F$8+'Scénario référence'!$F$9)*10,0)</f>
        <v>0</v>
      </c>
      <c r="G48" s="147">
        <f>'Scénario référence'!$B$8*B48*44/12+'Scénario référence'!$B$9*(C48+D48)/0.475*44/12+'Scénario référence'!$B$10*(C48+D48)/0.475*44/12+'Scénario référence'!$F$8*(C48+D48)/0.475*44/12+'Scénario référence'!$F$9*(C48+D48)/0.475*44/12</f>
        <v>0</v>
      </c>
      <c r="H48" s="148">
        <f t="shared" si="1"/>
        <v>256.6666667</v>
      </c>
      <c r="I48" s="149">
        <f>('Scénario référence'!$F$8+'Scénario référence'!$F$9+'Scénario référence'!$B$17+'Scénario référence'!$B$9+'Scénario référence'!$B$10)*70+IF((45+25*(1-EXP(-0.0175*A48)))&lt;70,'Scénario référence'!$B$16*(45+25*(1-EXP(-0.0175*A48))),70*'Scénario référence'!$B$16)+IF((32+38*(1-EXP(-0.0175*A48)))&lt;70,'Scénario référence'!$B$18*(32+38*(1-EXP(-0.0175*A48))),70*'Scénario référence'!$B$18)</f>
        <v>70</v>
      </c>
      <c r="J48" s="150">
        <f>IF(A48&gt;30,10,('Scénario référence'!$B$16+'Scénario référence'!$B$17+'Scénario référence'!$B$18+'Scénario référence'!$B$9+'Scénario référence'!$B$10)*A48*10/30+('Scénario référence'!$F$8+'Scénario référence'!$F$9)*10)</f>
        <v>10</v>
      </c>
      <c r="K48" s="165">
        <f>VLOOKUP(A48,'Données projet'!$A$35:$I$55,2,0)</f>
        <v>204</v>
      </c>
      <c r="L48" s="150">
        <f>VLOOKUP(A48,'Données projet'!$A$35:$I$55,9,0)</f>
        <v>11.4</v>
      </c>
      <c r="M48" s="150">
        <f t="array" ref="M48">INDEX(L:L,MIN(IF(ISNUMBER(L48:L244),ROW(L48:L244),"")))</f>
        <v>11.4</v>
      </c>
      <c r="N48" s="150">
        <f>IF('Données projet'!$A$36&gt;35,N47+M48-V47,IF(A48&lt;'Données projet'!$A$36,$K$205^A48,IF(A48='Données projet'!$A$36,'Données projet'!$B$36,N47+M48-V47)))</f>
        <v>204</v>
      </c>
      <c r="O48" s="150">
        <f>N48*VLOOKUP('Données projet'!$B$9,'Paramètres'!$A$1:$I$88,3,0)*VLOOKUP('Données projet'!$B$9,'Paramètres'!$A$1:$I$88,5,0)</f>
        <v>184.5792</v>
      </c>
      <c r="P48" s="150">
        <f t="shared" si="34"/>
        <v>46.33947947</v>
      </c>
      <c r="Q48" s="161">
        <f t="shared" si="2"/>
        <v>402.1833667</v>
      </c>
      <c r="R48" s="153">
        <f t="shared" si="3"/>
        <v>695.5167001</v>
      </c>
      <c r="S48" s="153">
        <f>AVERAGE(OFFSET($R$3,0,0,'Données projet'!$E$9+1,1))-AVERAGE(OFFSET($H$3,0,0,'Données projet'!$E$9+1,1))</f>
        <v>439.1985427</v>
      </c>
      <c r="T48" s="153">
        <f t="shared" si="35"/>
        <v>278.2174123</v>
      </c>
      <c r="U48" s="154">
        <f>IF(ISNA(VLOOKUP(A48,'Données projet'!$A$35:$I$55,3,0)),0,VLOOKUP(A48,'Données projet'!$A$35:$I$55,3,0))</f>
        <v>6</v>
      </c>
      <c r="V48" s="164">
        <f>IF(ISNA(VLOOKUP(A48,'Données projet'!$A$35:$I$55,4,0)),0,VLOOKUP(A48,'Données projet'!$A$35:$I$55,4,0))</f>
        <v>28</v>
      </c>
      <c r="W48" s="155">
        <f>IF(ISNA(VLOOKUP(A48,'Données projet'!$A$35:$I$55,5,0)),0%,VLOOKUP(A48,'Données projet'!$A$35:$I$55,5,0)*VLOOKUP('Données projet'!$B$9,'Paramètres'!$A$1:$I$88,7,0))</f>
        <v>0</v>
      </c>
      <c r="X48" s="155">
        <f>IF(ISNA(VLOOKUP(A48,'Données projet'!$A$35:$I$55,6,0)),0%,VLOOKUP(A48,'Données projet'!$A$35:$I$55,6,0)*VLOOKUP('Données projet'!$B$9,'Paramètres'!$A$1:$I$88,7,0))</f>
        <v>0</v>
      </c>
      <c r="Y48" s="155" t="str">
        <f>IF(ISNA(VLOOKUP(A48,'Données projet'!$A$35:$I$55,7,0)),0%,VLOOKUP(A48,'Données projet'!$A$35:$I$55,7,0))</f>
        <v/>
      </c>
      <c r="Z48" s="162">
        <f>EXP(-LN(2)/35)*Z47+(1-EXP(-LN(2)/35))/(LN(2)/35)*V48*W48*VLOOKUP('Données projet'!$B$9,'Paramètres'!$A$1:$I$88,3,0)*0.475*44/12</f>
        <v>0</v>
      </c>
      <c r="AA48" s="162">
        <f>EXP(-LN(2)/25)*AA47+(1-EXP(-LN(2)/25))/(LN(2)/25)*Calculateur!V48*Calculateur!X48*VLOOKUP('Données projet'!$B$9,'Paramètres'!$A$1:$I$88,3,0)*0.475*44/12</f>
        <v>2.960699167</v>
      </c>
      <c r="AB48" s="162">
        <f>EXP(-LN(2)/2)*AB47+(1-EXP(-LN(2)/2))/(LN(2)/2)*V48*Y48*VLOOKUP('Données projet'!$B$9,'Paramètres'!$A$1:$I$88,3,0)*0.475*44/12</f>
        <v>0</v>
      </c>
      <c r="AC48" s="163">
        <f t="shared" si="4"/>
        <v>2.960699167</v>
      </c>
      <c r="AD48" s="150">
        <f>('Scénario référence'!$F$8+'Scénario référence'!$F$9+'Scénario référence'!$B$17+'Scénario référence'!$B$9+'Scénario référence'!$B$10)*70+IF((45+25*(1-EXP(-0.0175*A48)))&lt;70,'Scénario référence'!$B$16*(45+25*(1-EXP(-0.0175*A48))),70*'Scénario référence'!$B$16)+IF((32+38*(1-EXP(-0.0175*A48)))&lt;70,'Scénario référence'!$B$18*(32+38*(1-EXP(-0.0175*A48))),70*'Scénario référence'!$B$18)</f>
        <v>70</v>
      </c>
      <c r="AE48" s="150">
        <f>IF(A48&gt;30,10,('Scénario référence'!$B$16+'Scénario référence'!$B$17+'Scénario référence'!$B$18+'Scénario référence'!$B$9+'Scénario référence'!$B$10)*A48*10/30+('Scénario référence'!$F$8+'Scénario référence'!$F$9)*10)</f>
        <v>10</v>
      </c>
      <c r="AF48" s="151">
        <f>VLOOKUP(A48,'Données projet'!$A$61:$I$81,2,0)</f>
        <v>280</v>
      </c>
      <c r="AG48" s="150">
        <f>VLOOKUP(A48,'Données projet'!$A$61:$I$81,9,0)</f>
        <v>11.4</v>
      </c>
      <c r="AH48" s="150">
        <f t="array" ref="AH48">INDEX(AG:AG,MIN(IF(ISNUMBER(AG48:AG244),ROW(AG48:AG244),"")))</f>
        <v>11.4</v>
      </c>
      <c r="AI48" s="150">
        <f>IF('Données projet'!$A$62&gt;35,AI47+AH48-AQ47,IF(A48&lt;'Données projet'!$A$62,$AF$205^A48,IF(A48='Données projet'!$A$62,'Données projet'!$B$62,AI47+AH48-AQ47)))</f>
        <v>280</v>
      </c>
      <c r="AJ48" s="150">
        <f>AI48*VLOOKUP('Données projet'!$B$10,'Paramètres'!$A$1:$I$88,3,0)*VLOOKUP('Données projet'!$B$10,'Paramètres'!$A$1:$I$88,5,0)</f>
        <v>222.768</v>
      </c>
      <c r="AK48" s="150">
        <f t="shared" si="36"/>
        <v>54.71605836</v>
      </c>
      <c r="AL48" s="161">
        <f t="shared" si="5"/>
        <v>483.284735</v>
      </c>
      <c r="AM48" s="153">
        <f t="shared" si="6"/>
        <v>776.6180683</v>
      </c>
      <c r="AN48" s="153">
        <f>AVERAGE(OFFSET($AM$3,0,0,'Données projet'!$E$10+1,1))-AVERAGE(OFFSET($H$3,0,0,'Données projet'!$E$10+1,1))</f>
        <v>405.6113614</v>
      </c>
      <c r="AO48" s="153">
        <f t="shared" si="37"/>
        <v>393.0787141</v>
      </c>
      <c r="AP48" s="154">
        <f>IF(ISNA(VLOOKUP(A48,'Données projet'!$A$61:$I$81,3,0)),0,VLOOKUP(A48,'Données projet'!$A$61:$I$81,3,0))</f>
        <v>8</v>
      </c>
      <c r="AQ48" s="164">
        <f>IF(ISNA(VLOOKUP(A48,'Données projet'!$A$61:$I$81,4,0)),0,VLOOKUP(A48,'Données projet'!$A$61:$I$81,4,0))</f>
        <v>26</v>
      </c>
      <c r="AR48" s="155">
        <f>IF(ISNA(VLOOKUP(A48,'Données projet'!$A$61:$I$81,5,0)),0%,VLOOKUP(A48,'Données projet'!$A$61:$I$81,5,0)*VLOOKUP('Données projet'!$B$10,'Paramètres'!$A$1:$I$88,7,0))</f>
        <v>0</v>
      </c>
      <c r="AS48" s="155">
        <f>IF(ISNA(VLOOKUP(A48,'Données projet'!$A$61:$I$81,6,0)),0%,VLOOKUP(A48,'Données projet'!$A$61:$I$81,6,0)*VLOOKUP('Données projet'!$B$10,'Paramètres'!$A$1:$I$88,7,0))</f>
        <v>0</v>
      </c>
      <c r="AT48" s="155" t="str">
        <f>IF(ISNA(VLOOKUP(A48,'Données projet'!$A$61:$I$81,7,0)),0%,VLOOKUP(A48,'Données projet'!$A$61:$I$81,7,0))</f>
        <v/>
      </c>
      <c r="AU48" s="162">
        <f>EXP(-LN(2)/35)*AU47+(1-EXP(-LN(2)/35))/(LN(2)/35)*AQ48*AR48*VLOOKUP('Données projet'!$B$10,'Paramètres'!$A$1:$I$88,3,0)*0.475*44/12</f>
        <v>0</v>
      </c>
      <c r="AV48" s="162">
        <f>EXP(-LN(2)/25)*AV47+(1-EXP(-LN(2)/25))/(LN(2)/25)*Calculateur!AQ48*Calculateur!AS48*VLOOKUP('Données projet'!$B$10,'Paramètres'!$A$1:$I$88,3,0)*0.475*44/12</f>
        <v>12.03303406</v>
      </c>
      <c r="AW48" s="162">
        <f>EXP(-LN(2)/2)*AW47+(1-EXP(-LN(2)/2))/(LN(2)/2)*AQ48*AT48*VLOOKUP('Données projet'!$B$10,'Paramètres'!$A$1:$I$88,3,0)*0.475*44/12</f>
        <v>0.003202487739</v>
      </c>
      <c r="AX48" s="162">
        <f t="shared" si="7"/>
        <v>12.03623654</v>
      </c>
      <c r="AY48" s="157">
        <f>('Scénario référence'!$F$8+'Scénario référence'!$F$9+'Scénario référence'!$B$17+'Scénario référence'!$B$9+'Scénario référence'!$B$10)*70+IF((45+25*(1-EXP(-0.0175*A48)))&lt;70,'Scénario référence'!$B$16*(45+25*(1-EXP(-0.0175*A48))),70*'Scénario référence'!$B$16)+IF((32+38*(1-EXP(-0.0175*A48)))&lt;70,'Scénario référence'!$B$18*(32+38*(1-EXP(-0.0175*A48))),70*'Scénario référence'!$B$18)</f>
        <v>70</v>
      </c>
      <c r="AZ48" s="151">
        <f>IF(A48&gt;30,10,('Scénario référence'!$B$16+'Scénario référence'!$B$17+'Scénario référence'!$B$18+'Scénario référence'!$B$9+'Scénario référence'!$B$10)*A48*10/30+('Scénario référence'!$F$8+'Scénario référence'!$F$9)*10)</f>
        <v>10</v>
      </c>
      <c r="BA48" s="151" t="str">
        <f>VLOOKUP(A48,'Données projet'!$A$87:$I$107,2,0)</f>
        <v>#N/A</v>
      </c>
      <c r="BB48" s="151" t="str">
        <f>VLOOKUP(A48,'Données projet'!$A$87:$I$107,9,0)</f>
        <v>#N/A</v>
      </c>
      <c r="BC48" s="150" t="str">
        <f t="array" ref="BC48">INDEX(BB:BB,MIN(IF(ISNUMBER(BB48:BB244),ROW(BB48:BB244),"")))</f>
        <v/>
      </c>
      <c r="BD48" s="150">
        <f>IF('Données projet'!$A$88&gt;35,BD47+BC48-BL47,IF(A48&lt;'Données projet'!$A$88,$BA$205^A48,IF(A48='Données projet'!$A$88,'Données projet'!$B$88,BD47+BC48-BL47)))</f>
        <v>0</v>
      </c>
      <c r="BE48" s="150">
        <f>BD48*VLOOKUP('Données projet'!$B$11,'Paramètres'!$A$1:$I$88,3,0)*VLOOKUP('Données projet'!$B$11,'Paramètres'!$A$1:$I$88,5,0)</f>
        <v>0</v>
      </c>
      <c r="BF48" s="150" t="str">
        <f t="shared" si="38"/>
        <v>#NUM!</v>
      </c>
      <c r="BG48" s="161" t="str">
        <f t="shared" si="8"/>
        <v>#NUM!</v>
      </c>
      <c r="BH48" s="153" t="str">
        <f t="shared" si="9"/>
        <v>#NUM!</v>
      </c>
      <c r="BI48" s="153">
        <f>AVERAGE(OFFSET($BH$3,0,0,'Données projet'!$E$11+1,1))-AVERAGE(OFFSET($H$3,0,0,'Données projet'!$E$11+1,1))</f>
        <v>0</v>
      </c>
      <c r="BJ48" s="153">
        <f t="shared" si="39"/>
        <v>0</v>
      </c>
      <c r="BK48" s="154">
        <f>IF(ISNA(VLOOKUP(A48,'Données projet'!$A$87:$I$107,3,0)),0,VLOOKUP(A48,'Données projet'!$A$87:$I$107,3,0))</f>
        <v>0</v>
      </c>
      <c r="BL48" s="154">
        <f>IF(ISNA(VLOOKUP(A48,'Données projet'!$A$87:$I$107,4,0)),0,VLOOKUP(A48,'Données projet'!$A$87:$I$107,4,0))</f>
        <v>0</v>
      </c>
      <c r="BM48" s="155">
        <f>IF(ISNA(VLOOKUP(A48,'Données projet'!$A$87:$I$107,5,0)),0%,VLOOKUP(A48,'Données projet'!$A$87:$I$107,5,0)*VLOOKUP('Données projet'!$B$11,'Paramètres'!$A$1:$I$88,7,0))</f>
        <v>0</v>
      </c>
      <c r="BN48" s="155">
        <f>IF(ISNA(VLOOKUP(A48,'Données projet'!$A$87:$I$107,6,0)),0%,VLOOKUP(A48,'Données projet'!$A$87:$I$107,6,0)*VLOOKUP('Données projet'!$B$11,'Paramètres'!$A$1:$I$88,7,0))</f>
        <v>0</v>
      </c>
      <c r="BO48" s="155">
        <f>IF(ISNA(VLOOKUP(A48,'Données projet'!$A$87:$I$107,7,0)),0%,VLOOKUP(A48,'Données projet'!$A$87:$I$107,7,0))</f>
        <v>0</v>
      </c>
      <c r="BP48" s="162">
        <f>EXP(-LN(2)/35)*BP47+(1-EXP(-LN(2)/35))/(LN(2)/35)*BL48*BM48*VLOOKUP('Données projet'!$B$11,'Paramètres'!$A$1:$I$88,3,0)*0.475*44/12</f>
        <v>0</v>
      </c>
      <c r="BQ48" s="162">
        <f>EXP(-LN(2)/25)*BQ47+(1-EXP(-LN(2)/25))/(LN(2)/25)*Calculateur!BL48*Calculateur!BN48*VLOOKUP('Données projet'!$B$11,'Paramètres'!$A$1:$I$88,3,0)*0.475*44/12</f>
        <v>0</v>
      </c>
      <c r="BR48" s="162">
        <f>EXP(-LN(2)/2)*BR47+(1-EXP(-LN(2)/2))/(LN(2)/2)*BL48*BO48*VLOOKUP('Données projet'!$B$11,'Paramètres'!$A$1:$I$88,3,0)*0.475*44/12</f>
        <v>0</v>
      </c>
      <c r="BS48" s="163">
        <f t="shared" si="10"/>
        <v>0</v>
      </c>
      <c r="BT48" s="159">
        <f>('Scénario référence'!$F$8+'Scénario référence'!$F$9+'Scénario référence'!$B$17+'Scénario référence'!$B$9+'Scénario référence'!$B$10)*70+IF((45+25*(1-EXP(-0.0175*A48)))&lt;70,'Scénario référence'!$B$16*(45+25*(1-EXP(-0.0175*A48))),70*'Scénario référence'!$B$16)+IF((32+38*(1-EXP(-0.0175*A48)))&lt;70,'Scénario référence'!$B$18*(32+38*(1-EXP(-0.0175*A48))),70*'Scénario référence'!$B$18)</f>
        <v>70</v>
      </c>
      <c r="BU48" s="151">
        <f>IF(A48&gt;30,10,('Scénario référence'!$B$16+'Scénario référence'!$B$17+'Scénario référence'!$B$18+'Scénario référence'!$B$9+'Scénario référence'!$B$10)*A48*10/30+('Scénario référence'!$F$8+'Scénario référence'!$F$9)*10)</f>
        <v>10</v>
      </c>
      <c r="BV48" s="151" t="str">
        <f>VLOOKUP(A48,'Données projet'!$A$113:$I$133,2,0)</f>
        <v>#N/A</v>
      </c>
      <c r="BW48" s="151" t="str">
        <f>VLOOKUP(A48,'Données projet'!$A$113:$I$133,9,0)</f>
        <v>#N/A</v>
      </c>
      <c r="BX48" s="150" t="str">
        <f t="array" ref="BX48">INDEX(BW:BW,MIN(IF(ISNUMBER(BW48:BW244),ROW(BW48:BW244),"")))</f>
        <v/>
      </c>
      <c r="BY48" s="150">
        <f>IF('Données projet'!$A$114&gt;35,BY47+BX48-CG47,IF(A48&lt;'Données projet'!$A$114,$BV$205^A48,IF(A48='Données projet'!$A$114,'Données projet'!$B$114,BY47+BX48-CG47)))</f>
        <v>0</v>
      </c>
      <c r="BZ48" s="150" t="str">
        <f>BY48*VLOOKUP('Données projet'!$B$12,'Paramètres'!$A$1:$I$88,3,0)*VLOOKUP('Données projet'!$B$12,'Paramètres'!$A$1:$I$88,5,0)</f>
        <v>#N/A</v>
      </c>
      <c r="CA48" s="150" t="str">
        <f t="shared" si="40"/>
        <v>#N/A</v>
      </c>
      <c r="CB48" s="161" t="str">
        <f t="shared" si="11"/>
        <v>#N/A</v>
      </c>
      <c r="CC48" s="153" t="str">
        <f t="shared" si="12"/>
        <v>#N/A</v>
      </c>
      <c r="CD48" s="153" t="str">
        <f>AVERAGE(OFFSET($CC$3,0,0,'Données projet'!$E$12+1,1))-AVERAGE(OFFSET($H$3,0,0,'Données projet'!$E$12+1,1))</f>
        <v>#N/A</v>
      </c>
      <c r="CE48" s="153" t="str">
        <f t="shared" si="41"/>
        <v>#N/A</v>
      </c>
      <c r="CF48" s="154">
        <f>IF(ISNA(VLOOKUP(A48,'Données projet'!$A$113:$I$133,3,0)),0,VLOOKUP(A48,'Données projet'!$A$113:$I$133,3,0))</f>
        <v>0</v>
      </c>
      <c r="CG48" s="154">
        <f>IF(ISNA(VLOOKUP(A48,'Données projet'!$A$113:$I$133,4,0)),0,VLOOKUP(A48,'Données projet'!$A$113:$I$133,4,0))</f>
        <v>0</v>
      </c>
      <c r="CH48" s="155">
        <f>IF(ISNA(VLOOKUP(A48,'Données projet'!$A$113:$I$133,5,0)),0%,VLOOKUP(A48,'Données projet'!$A$113:$I$133,5,0)*VLOOKUP('Données projet'!$B$12,'Paramètres'!$A$1:$I$88,7,0))</f>
        <v>0</v>
      </c>
      <c r="CI48" s="155">
        <f>IF(ISNA(VLOOKUP(A48,'Données projet'!$A$113:$I$133,6,0)),0%,VLOOKUP(A48,'Données projet'!$A$113:$I$133,6,0)*VLOOKUP('Données projet'!$B$12,'Paramètres'!$A$1:$I$88,7,0))</f>
        <v>0</v>
      </c>
      <c r="CJ48" s="155">
        <f>IF(ISNA(VLOOKUP(A48,'Données projet'!$A$113:$I$133,7,0)),0%,VLOOKUP(A48,'Données projet'!$A$113:$I$133,7,0))</f>
        <v>0</v>
      </c>
      <c r="CK48" s="162" t="str">
        <f>EXP(-LN(2)/35)*CK47+(1-EXP(-LN(2)/35))/(LN(2)/35)*CG48*CH48*VLOOKUP('Données projet'!$B$12,'Paramètres'!$A$1:$I$88,3,0)*0.475*44/12</f>
        <v>#N/A</v>
      </c>
      <c r="CL48" s="162" t="str">
        <f>EXP(-LN(2)/25)*CL47+(1-EXP(-LN(2)/25))/(LN(2)/25)*Calculateur!CG48*Calculateur!CI48*VLOOKUP('Données projet'!$B$12,'Paramètres'!$A$1:$I$88,3,0)*0.475*44/12</f>
        <v>#N/A</v>
      </c>
      <c r="CM48" s="162" t="str">
        <f>EXP(-LN(2)/2)*CM47+(1-EXP(-LN(2)/2))/(LN(2)/2)*CG48*CJ48*VLOOKUP('Données projet'!$B$12,'Paramètres'!$A$1:$I$88,3,0)*0.475*44/12</f>
        <v>#N/A</v>
      </c>
      <c r="CN48" s="163" t="str">
        <f t="shared" si="13"/>
        <v>#N/A</v>
      </c>
      <c r="CO48" s="159">
        <f>('Scénario référence'!$F$8+'Scénario référence'!$F$9+'Scénario référence'!$B$17+'Scénario référence'!$B$9+'Scénario référence'!$B$10)*70+IF((45+25*(1-EXP(-0.0175*A48)))&lt;70,'Scénario référence'!$B$16*(45+25*(1-EXP(-0.0175*A48))),70*'Scénario référence'!$B$16)+IF((32+38*(1-EXP(-0.0175*A48)))&lt;70,'Scénario référence'!$B$18*(32+38*(1-EXP(-0.0175*A48))),70*'Scénario référence'!$B$18)</f>
        <v>70</v>
      </c>
      <c r="CP48" s="151">
        <f>IF(A48&gt;30,10,('Scénario référence'!$B$16+'Scénario référence'!$B$17+'Scénario référence'!$B$18+'Scénario référence'!$B$9+'Scénario référence'!$B$10)*A48*10/30+('Scénario référence'!$F$8+'Scénario référence'!$F$9)*10)</f>
        <v>10</v>
      </c>
      <c r="CQ48" s="151" t="str">
        <f>VLOOKUP(A48,'Données projet'!$A$139:$I$159,2,0)</f>
        <v>#N/A</v>
      </c>
      <c r="CR48" s="151" t="str">
        <f>VLOOKUP(A48,'Données projet'!$A$139:$I$159,9,0)</f>
        <v>#N/A</v>
      </c>
      <c r="CS48" s="151" t="str">
        <f t="array" ref="CS48">INDEX(CR:CR,MIN(IF(ISNUMBER(CR48:CR244),ROW(CR48:CR244),"")))</f>
        <v/>
      </c>
      <c r="CT48" s="151">
        <f>IF('Données projet'!$A$140&gt;35,CT47+CS48-DB47,IF(A48&lt;'Données projet'!$A$140,$CQ$205^A48,IF(A48='Données projet'!$A$140,'Données projet'!$B$140,CT47+CS48-DB47)))</f>
        <v>0</v>
      </c>
      <c r="CU48" s="158" t="str">
        <f>CT48*VLOOKUP('Données projet'!$B$13,'Paramètres'!$A$1:$I$88,3,0)*VLOOKUP('Données projet'!$B$13,'Paramètres'!$A$1:$I$88,5,0)</f>
        <v>#N/A</v>
      </c>
      <c r="CV48" s="150" t="str">
        <f t="shared" si="42"/>
        <v>#N/A</v>
      </c>
      <c r="CW48" s="161" t="str">
        <f t="shared" si="14"/>
        <v>#N/A</v>
      </c>
      <c r="CX48" s="153" t="str">
        <f t="shared" si="15"/>
        <v>#N/A</v>
      </c>
      <c r="CY48" s="153" t="str">
        <f>AVERAGE(OFFSET($CX$3,0,0,'Données projet'!$E$13+1,1))-AVERAGE(OFFSET($H$3,0,0,'Données projet'!$E$13+1,1))</f>
        <v>#N/A</v>
      </c>
      <c r="CZ48" s="153" t="str">
        <f t="shared" si="43"/>
        <v>#N/A</v>
      </c>
      <c r="DA48" s="154">
        <f>IF(ISNA(VLOOKUP(A48,'Données projet'!$A$139:$I$159,3,0)),0,VLOOKUP(A48,'Données projet'!$A$139:$I$159,3,0))</f>
        <v>0</v>
      </c>
      <c r="DB48" s="154">
        <f>IF(ISNA(VLOOKUP(A48,'Données projet'!$A$139:$I$159,4,0)),0,VLOOKUP(A48,'Données projet'!$A$139:$I$159,4,0))</f>
        <v>0</v>
      </c>
      <c r="DC48" s="155">
        <f>IF(ISNA(VLOOKUP(A48,'Données projet'!$A$139:$I$159,5,0)),0%,VLOOKUP(A48,'Données projet'!$A$139:$I$159,5,0)*VLOOKUP('Données projet'!$B$13,'Paramètres'!$A$1:$I$88,7,0))</f>
        <v>0</v>
      </c>
      <c r="DD48" s="155">
        <f>IF(ISNA(VLOOKUP(A48,'Données projet'!$A$139:$I$159,6,0)),0%,VLOOKUP(A48,'Données projet'!$A$139:$I$159,6,0)*VLOOKUP('Données projet'!$B$13,'Paramètres'!$A$1:$I$88,7,0))</f>
        <v>0</v>
      </c>
      <c r="DE48" s="155">
        <f>IF(ISNA(VLOOKUP(A48,'Données projet'!$A$139:$I$159,7,0)),0%,VLOOKUP(A48,'Données projet'!$A$139:$I$159,7,0))</f>
        <v>0</v>
      </c>
      <c r="DF48" s="162" t="str">
        <f>EXP(-LN(2)/35)*DF47+(1-EXP(-LN(2)/35))/(LN(2)/35)*DB48*DC48*VLOOKUP('Données projet'!$B$13,'Paramètres'!$A$1:$I$88,3,0)*0.475*44/12</f>
        <v>#N/A</v>
      </c>
      <c r="DG48" s="162" t="str">
        <f>EXP(-LN(2)/25)*DG47+(1-EXP(-LN(2)/25))/(LN(2)/25)*Calculateur!DB48*Calculateur!DD48*VLOOKUP('Données projet'!$B$13,'Paramètres'!$A$1:$I$88,3,0)*0.475*44/12</f>
        <v>#N/A</v>
      </c>
      <c r="DH48" s="162" t="str">
        <f>EXP(-LN(2)/2)*DH47+(1-EXP(-LN(2)/2))/(LN(2)/2)*DB48*DE48*VLOOKUP('Données projet'!$B$13,'Paramètres'!$A$1:$I$88,3,0)*0.475*44/12</f>
        <v>#N/A</v>
      </c>
      <c r="DI48" s="163" t="str">
        <f t="shared" si="16"/>
        <v>#N/A</v>
      </c>
      <c r="DJ48" s="159">
        <f>('Scénario référence'!$F$8+'Scénario référence'!$F$9+'Scénario référence'!$B$17+'Scénario référence'!$B$9+'Scénario référence'!$B$10)*70+IF((45+25*(1-EXP(-0.0175*A48)))&lt;70,'Scénario référence'!$B$16*(45+25*(1-EXP(-0.0175*A48))),70*'Scénario référence'!$B$16)+IF((32+38*(1-EXP(-0.0175*A48)))&lt;70,'Scénario référence'!$B$18*(32+38*(1-EXP(-0.0175*A48))),70*'Scénario référence'!$B$18)</f>
        <v>70</v>
      </c>
      <c r="DK48" s="151">
        <f>IF(A48&gt;30,10,('Scénario référence'!$B$16+'Scénario référence'!$B$17+'Scénario référence'!$B$18+'Scénario référence'!$B$9+'Scénario référence'!$B$10)*A48*10/30+('Scénario référence'!$F$8+'Scénario référence'!$F$9)*10)</f>
        <v>10</v>
      </c>
      <c r="DL48" s="151" t="str">
        <f>VLOOKUP(A48,'Données projet'!$A$165:$I$185,2,0)</f>
        <v>#N/A</v>
      </c>
      <c r="DM48" s="151" t="str">
        <f>VLOOKUP(A48,'Données projet'!$A$165:$I$185,9,0)</f>
        <v>#N/A</v>
      </c>
      <c r="DN48" s="151" t="str">
        <f t="array" ref="DN48">INDEX(DM:DM,MIN(IF(ISNUMBER(DM48:DM244),ROW(DM48:DM244),"")))</f>
        <v/>
      </c>
      <c r="DO48" s="151">
        <f>IF('Données projet'!$A$166&gt;35,DO47+DN48-DW47,IF(A48&lt;'Données projet'!$A$166,$DL$205^A48,IF(A48='Données projet'!$A$166,'Données projet'!$B$166,DO47+DN48-DW47)))</f>
        <v>0</v>
      </c>
      <c r="DP48" s="158" t="str">
        <f>DO48*VLOOKUP('Données projet'!$B$14,'Paramètres'!$A$1:$I$88,3,0)*VLOOKUP('Données projet'!$B$14,'Paramètres'!$A$1:$I$88,5,0)</f>
        <v>#N/A</v>
      </c>
      <c r="DQ48" s="150" t="str">
        <f t="shared" si="44"/>
        <v>#N/A</v>
      </c>
      <c r="DR48" s="161" t="str">
        <f t="shared" si="17"/>
        <v>#N/A</v>
      </c>
      <c r="DS48" s="153" t="str">
        <f t="shared" si="18"/>
        <v>#N/A</v>
      </c>
      <c r="DT48" s="153" t="str">
        <f>AVERAGE(OFFSET($DS$3,0,0,'Données projet'!$E$14+1,1))-AVERAGE(OFFSET($H$3,0,0,'Données projet'!$E$14+1,1))</f>
        <v>#N/A</v>
      </c>
      <c r="DU48" s="153" t="str">
        <f t="shared" si="45"/>
        <v>#N/A</v>
      </c>
      <c r="DV48" s="154">
        <f>IF(ISNA(VLOOKUP(A48,'Données projet'!$A$165:$I$185,3,0)),0,VLOOKUP(A48,'Données projet'!$A$165:$I$185,3,0))</f>
        <v>0</v>
      </c>
      <c r="DW48" s="154">
        <f>IF(ISNA(VLOOKUP(A48,'Données projet'!$A$165:$I$185,4,0)),0,VLOOKUP(A48,'Données projet'!$A$165:$I$185,4,0))</f>
        <v>0</v>
      </c>
      <c r="DX48" s="155">
        <f>IF(ISNA(VLOOKUP(A48,'Données projet'!$A$165:$I$185,5,0)),0%,VLOOKUP(A48,'Données projet'!$A$165:$I$185,5,0)*VLOOKUP('Données projet'!$B$14,'Paramètres'!$A$1:$I$88,7,0))</f>
        <v>0</v>
      </c>
      <c r="DY48" s="155">
        <f>IF(ISNA(VLOOKUP(A48,'Données projet'!$A$165:$I$185,6,0)),0%,VLOOKUP(A48,'Données projet'!$A$165:$I$185,6,0)*VLOOKUP('Données projet'!$B$14,'Paramètres'!$A$1:$I$88,7,0))</f>
        <v>0</v>
      </c>
      <c r="DZ48" s="155">
        <f>IF(ISNA(VLOOKUP(A48,'Données projet'!$A$165:$I$185,7,0)),0%,VLOOKUP(A48,'Données projet'!$A$165:$I$185,7,0))</f>
        <v>0</v>
      </c>
      <c r="EA48" s="162" t="str">
        <f>EXP(-LN(2)/35)*EA47+(1-EXP(-LN(2)/35))/(LN(2)/35)*DW48*DX48*VLOOKUP('Données projet'!$B$14,'Paramètres'!$A$1:$I$88,3,0)*0.475*44/12</f>
        <v>#N/A</v>
      </c>
      <c r="EB48" s="162" t="str">
        <f>EXP(-LN(2)/25)*EB47+(1-EXP(-LN(2)/25))/(LN(2)/25)*Calculateur!DW48*Calculateur!DY48*VLOOKUP('Données projet'!$B$14,'Paramètres'!$A$1:$I$88,3,0)*0.475*44/12</f>
        <v>#N/A</v>
      </c>
      <c r="EC48" s="162" t="str">
        <f>EXP(-LN(2)/2)*EC47+(1-EXP(-LN(2)/2))/(LN(2)/2)*DW48*DZ48*VLOOKUP('Données projet'!$B$14,'Paramètres'!$A$1:$I$88,3,0)*0.475*44/12</f>
        <v>#N/A</v>
      </c>
      <c r="ED48" s="163" t="str">
        <f t="shared" si="19"/>
        <v>#N/A</v>
      </c>
      <c r="EE48" s="159">
        <f>('Scénario référence'!$F$8+'Scénario référence'!$F$9+'Scénario référence'!$B$17+'Scénario référence'!$B$9+'Scénario référence'!$B$10)*70+IF((45+25*(1-EXP(-0.0175*A48)))&lt;70,'Scénario référence'!$B$16*(45+25*(1-EXP(-0.0175*A48))),70*'Scénario référence'!$B$16)+IF((32+38*(1-EXP(-0.0175*A48)))&lt;70,'Scénario référence'!$B$18*(32+38*(1-EXP(-0.0175*A48))),70*'Scénario référence'!$B$18)</f>
        <v>70</v>
      </c>
      <c r="EF48" s="151">
        <f>IF(A48&gt;30,10,('Scénario référence'!$B$16+'Scénario référence'!$B$17+'Scénario référence'!$B$18+'Scénario référence'!$B$9+'Scénario référence'!$B$10)*A48*10/30+('Scénario référence'!$F$8+'Scénario référence'!$F$9)*10)</f>
        <v>10</v>
      </c>
      <c r="EG48" s="151" t="str">
        <f>VLOOKUP(A48,'Données projet'!$A$191:$I$211,2,0)</f>
        <v>#N/A</v>
      </c>
      <c r="EH48" s="151" t="str">
        <f>VLOOKUP(A48,'Données projet'!$A$191:$I$211,9,0)</f>
        <v>#N/A</v>
      </c>
      <c r="EI48" s="151" t="str">
        <f t="array" ref="EI48">INDEX(EH:EH,MIN(IF(ISNUMBER(EH48:EH244),ROW(EH48:EH244),"")))</f>
        <v/>
      </c>
      <c r="EJ48" s="151">
        <f>IF('Données projet'!$A$192&gt;35,EJ47+EI48-ER47,IF(A48&lt;'Données projet'!$A$192,$EG$205^A48,IF(A48='Données projet'!$A$192,'Données projet'!$B$192,EJ47+EI48-ER47)))</f>
        <v>0</v>
      </c>
      <c r="EK48" s="158" t="str">
        <f>EJ48*VLOOKUP('Données projet'!$B$15,'Paramètres'!$A$1:$I$88,3,0)*VLOOKUP('Données projet'!$B$15,'Paramètres'!$A$1:$I$88,5,0)</f>
        <v>#N/A</v>
      </c>
      <c r="EL48" s="150" t="str">
        <f t="shared" si="46"/>
        <v>#N/A</v>
      </c>
      <c r="EM48" s="161" t="str">
        <f t="shared" si="20"/>
        <v>#N/A</v>
      </c>
      <c r="EN48" s="153" t="str">
        <f t="shared" si="21"/>
        <v>#N/A</v>
      </c>
      <c r="EO48" s="153" t="str">
        <f>AVERAGE(OFFSET($EN$3,0,0,'Données projet'!$E$15+1,1))-AVERAGE(OFFSET($H$3,0,0,'Données projet'!$E$15+1,1))</f>
        <v>#N/A</v>
      </c>
      <c r="EP48" s="153" t="str">
        <f t="shared" si="47"/>
        <v>#N/A</v>
      </c>
      <c r="EQ48" s="154">
        <f>IF(ISNA(VLOOKUP(A48,'Données projet'!$A$191:$I$211,3,0)),0,VLOOKUP(A48,'Données projet'!$A$191:$I$211,3,0))</f>
        <v>0</v>
      </c>
      <c r="ER48" s="154">
        <f>IF(ISNA(VLOOKUP(A48,'Données projet'!$A$191:$I$211,4,0)),0,VLOOKUP(A48,'Données projet'!$A$191:$I$211,4,0))</f>
        <v>0</v>
      </c>
      <c r="ES48" s="155">
        <f>IF(ISNA(VLOOKUP(A48,'Données projet'!$A$191:$I$211,5,0)),0%,VLOOKUP(A48,'Données projet'!$A$191:$I$211,5,0)*VLOOKUP('Données projet'!$B$15,'Paramètres'!$A$1:$I$88,7,0))</f>
        <v>0</v>
      </c>
      <c r="ET48" s="155">
        <f>IF(ISNA(VLOOKUP(A48,'Données projet'!$A$191:$I$211,6,0)),0%,VLOOKUP(A48,'Données projet'!$A$191:$I$211,6,0)*VLOOKUP('Données projet'!$B$15,'Paramètres'!$A$1:$I$88,7,0))</f>
        <v>0</v>
      </c>
      <c r="EU48" s="155">
        <f>IF(ISNA(VLOOKUP(A48,'Données projet'!$A$191:$I$211,7,0)),0%,VLOOKUP(A48,'Données projet'!$A$191:$I$211,7,0))</f>
        <v>0</v>
      </c>
      <c r="EV48" s="162" t="str">
        <f>EXP(-LN(2)/35)*EV47+(1-EXP(-LN(2)/35))/(LN(2)/35)*ER48*ES48*VLOOKUP('Données projet'!$B$15,'Paramètres'!$A$1:$I$88,3,0)*0.475*44/12</f>
        <v>#N/A</v>
      </c>
      <c r="EW48" s="162" t="str">
        <f>EXP(-LN(2)/25)*EW47+(1-EXP(-LN(2)/25))/(LN(2)/25)*Calculateur!ER48*Calculateur!ET48*VLOOKUP('Données projet'!$B$15,'Paramètres'!$A$1:$I$88,3,0)*0.475*44/12</f>
        <v>#N/A</v>
      </c>
      <c r="EX48" s="162" t="str">
        <f>EXP(-LN(2)/2)*EX47+(1-EXP(-LN(2)/2))/(LN(2)/2)*ER48*EU48*VLOOKUP('Données projet'!$B$15,'Paramètres'!$A$1:$I$88,3,0)*0.475*44/12</f>
        <v>#N/A</v>
      </c>
      <c r="EY48" s="163" t="str">
        <f t="shared" si="22"/>
        <v>#N/A</v>
      </c>
      <c r="EZ48" s="159">
        <f>('Scénario référence'!$F$8+'Scénario référence'!$F$9+'Scénario référence'!$B$17+'Scénario référence'!$B$9+'Scénario référence'!$B$10)*70+IF((45+25*(1-EXP(-0.0175*A48)))&lt;70,'Scénario référence'!$B$16*(45+25*(1-EXP(-0.0175*A48))),70*'Scénario référence'!$B$16)+IF((32+38*(1-EXP(-0.0175*A48)))&lt;70,'Scénario référence'!$B$18*(32+38*(1-EXP(-0.0175*A48))),70*'Scénario référence'!$B$18)</f>
        <v>70</v>
      </c>
      <c r="FA48" s="151">
        <f>IF(A48&gt;30,10,('Scénario référence'!$B$16+'Scénario référence'!$B$17+'Scénario référence'!$B$18+'Scénario référence'!$B$9+'Scénario référence'!$B$10)*A48*10/30+('Scénario référence'!$F$8+'Scénario référence'!$F$9)*10)</f>
        <v>10</v>
      </c>
      <c r="FB48" s="151" t="str">
        <f>VLOOKUP(A48,'Données projet'!$A$217:$I$237,2,0)</f>
        <v>#N/A</v>
      </c>
      <c r="FC48" s="151" t="str">
        <f>VLOOKUP(A48,'Données projet'!$A$217:$I$237,9,0)</f>
        <v>#N/A</v>
      </c>
      <c r="FD48" s="151" t="str">
        <f t="array" ref="FD48">INDEX(FC:FC,MIN(IF(ISNUMBER(FC48:FC244),ROW(FC48:FC244),"")))</f>
        <v/>
      </c>
      <c r="FE48" s="151">
        <f>IF('Données projet'!$A$218&gt;35,FE47+FD48-FM47,IF(A48&lt;'Données projet'!$A$218,$FB$205^A48,IF(A48='Données projet'!$A$218,'Données projet'!$B$218,FE47+FD48-FM47)))</f>
        <v>0</v>
      </c>
      <c r="FF48" s="158" t="str">
        <f>FE48*VLOOKUP('Données projet'!$B$16,'Paramètres'!$A$1:$I$88,3,0)*VLOOKUP('Données projet'!$B$16,'Paramètres'!$A$1:$I$88,5,0)</f>
        <v>#N/A</v>
      </c>
      <c r="FG48" s="150" t="str">
        <f t="shared" si="48"/>
        <v>#N/A</v>
      </c>
      <c r="FH48" s="161" t="str">
        <f t="shared" si="23"/>
        <v>#N/A</v>
      </c>
      <c r="FI48" s="153" t="str">
        <f t="shared" si="24"/>
        <v>#N/A</v>
      </c>
      <c r="FJ48" s="153" t="str">
        <f>AVERAGE(OFFSET($FI$3,0,0,'Données projet'!$E$16+1,1))-AVERAGE(OFFSET($H$3,0,0,'Données projet'!$E$16+1,1))</f>
        <v>#N/A</v>
      </c>
      <c r="FK48" s="153" t="str">
        <f t="shared" si="49"/>
        <v>#N/A</v>
      </c>
      <c r="FL48" s="154">
        <f>IF(ISNA(VLOOKUP(A48,'Données projet'!$A$217:$I$237,3,0)),0,VLOOKUP(A48,'Données projet'!$A$217:$I$237,3,0))</f>
        <v>0</v>
      </c>
      <c r="FM48" s="154">
        <f>IF(ISNA(VLOOKUP(A48,'Données projet'!$A$217:$I$237,4,0)),0,VLOOKUP(A48,'Données projet'!$A$217:$I$237,4,0))</f>
        <v>0</v>
      </c>
      <c r="FN48" s="155">
        <f>IF(ISNA(VLOOKUP(A48,'Données projet'!$A$217:$I$237,5,0)),0%,VLOOKUP(A48,'Données projet'!$A$217:$I$237,5,0)*VLOOKUP('Données projet'!$B$16,'Paramètres'!$A$1:$I$88,7,0))</f>
        <v>0</v>
      </c>
      <c r="FO48" s="155">
        <f>IF(ISNA(VLOOKUP(A48,'Données projet'!$A$217:$I$237,6,0)),0%,VLOOKUP(A48,'Données projet'!$A$217:$I$237,6,0)*VLOOKUP('Données projet'!$B$16,'Paramètres'!$A$1:$I$88,7,0))</f>
        <v>0</v>
      </c>
      <c r="FP48" s="155">
        <f>IF(ISNA(VLOOKUP(A48,'Données projet'!$A$217:$I$237,7,0)),0%,VLOOKUP(A48,'Données projet'!$A$217:$I$237,7,0))</f>
        <v>0</v>
      </c>
      <c r="FQ48" s="162" t="str">
        <f>EXP(-LN(2)/35)*FQ47+(1-EXP(-LN(2)/35))/(LN(2)/35)*FM48*FN48*VLOOKUP('Données projet'!$B$16,'Paramètres'!$A$1:$I$88,3,0)*0.475*44/12</f>
        <v>#N/A</v>
      </c>
      <c r="FR48" s="162" t="str">
        <f>EXP(-LN(2)/25)*FR47+(1-EXP(-LN(2)/25))/(LN(2)/25)*Calculateur!FM48*Calculateur!FO48*VLOOKUP('Données projet'!$B$16,'Paramètres'!$A$1:$I$88,3,0)*0.475*44/12</f>
        <v>#N/A</v>
      </c>
      <c r="FS48" s="162" t="str">
        <f>EXP(-LN(2)/2)*FS47+(1-EXP(-LN(2)/2))/(LN(2)/2)*FM48*FP48*VLOOKUP('Données projet'!$B$16,'Paramètres'!$A$1:$I$88,3,0)*0.475*44/12</f>
        <v>#N/A</v>
      </c>
      <c r="FT48" s="163" t="str">
        <f t="shared" si="25"/>
        <v>#N/A</v>
      </c>
      <c r="FU48" s="159">
        <f>('Scénario référence'!$F$8+'Scénario référence'!$F$9+'Scénario référence'!$B$17+'Scénario référence'!$B$9+'Scénario référence'!$B$10)*70+IF((45+25*(1-EXP(-0.0175*A48)))&lt;70,'Scénario référence'!$B$16*(45+25*(1-EXP(-0.0175*A48))),70*'Scénario référence'!$B$16)+IF((32+38*(1-EXP(-0.0175*A48)))&lt;70,'Scénario référence'!$B$18*(32+38*(1-EXP(-0.0175*A48))),70*'Scénario référence'!$B$18)</f>
        <v>70</v>
      </c>
      <c r="FV48" s="151">
        <f>IF(A48&gt;30,10,('Scénario référence'!$B$16+'Scénario référence'!$B$17+'Scénario référence'!$B$18+'Scénario référence'!$B$9+'Scénario référence'!$B$10)*A48*10/30+('Scénario référence'!$F$8+'Scénario référence'!$F$9)*10)</f>
        <v>10</v>
      </c>
      <c r="FW48" s="151" t="str">
        <f>VLOOKUP(A48,'Données projet'!$A$243:$I$263,2,0)</f>
        <v>#N/A</v>
      </c>
      <c r="FX48" s="151" t="str">
        <f>VLOOKUP(A48,'Données projet'!$A$243:$I$263,9,0)</f>
        <v>#N/A</v>
      </c>
      <c r="FY48" s="151" t="str">
        <f t="array" ref="FY48">INDEX(FX:FX,MIN(IF(ISNUMBER(FX48:FX244),ROW(FX48:FX244),"")))</f>
        <v/>
      </c>
      <c r="FZ48" s="151">
        <f>IF('Données projet'!$A$244&gt;35,FZ47+FY48-GH47,IF(A48&lt;'Données projet'!$A$244,$FW$205^A48,IF(A48='Données projet'!$A$244,'Données projet'!$B$244,FZ47+FY48-GH47)))</f>
        <v>0</v>
      </c>
      <c r="GA48" s="158" t="str">
        <f>FZ48*VLOOKUP('Données projet'!$B$17,'Paramètres'!$A$1:$I$88,3,0)*VLOOKUP('Données projet'!$B$17,'Paramètres'!$A$1:$I$88,5,0)</f>
        <v>#N/A</v>
      </c>
      <c r="GB48" s="150" t="str">
        <f t="shared" si="50"/>
        <v>#N/A</v>
      </c>
      <c r="GC48" s="161" t="str">
        <f t="shared" si="26"/>
        <v>#N/A</v>
      </c>
      <c r="GD48" s="153" t="str">
        <f t="shared" si="27"/>
        <v>#N/A</v>
      </c>
      <c r="GE48" s="153" t="str">
        <f>AVERAGE(OFFSET($GD$3,0,0,'Données projet'!$E$17+1,1))-AVERAGE(OFFSET($H$3,0,0,'Données projet'!$E$17+1,1))</f>
        <v>#N/A</v>
      </c>
      <c r="GF48" s="153" t="str">
        <f t="shared" si="51"/>
        <v>#N/A</v>
      </c>
      <c r="GG48" s="154">
        <f>IF(ISNA(VLOOKUP(A48,'Données projet'!$A$243:$I$263,3,0)),0,VLOOKUP(A48,'Données projet'!$A$243:$I$263,3,0))</f>
        <v>0</v>
      </c>
      <c r="GH48" s="154">
        <f>IF(ISNA(VLOOKUP(A48,'Données projet'!$A$243:$I$263,4,0)),0,VLOOKUP(A48,'Données projet'!$A$243:$I$263,4,0))</f>
        <v>0</v>
      </c>
      <c r="GI48" s="155">
        <f>IF(ISNA(VLOOKUP(A48,'Données projet'!$A$243:$I$263,5,0)),0%,VLOOKUP(A48,'Données projet'!$A$243:$I$263,5,0)*VLOOKUP('Données projet'!$B$17,'Paramètres'!$A$1:$I$88,7,0))</f>
        <v>0</v>
      </c>
      <c r="GJ48" s="155">
        <f>IF(ISNA(VLOOKUP(A48,'Données projet'!$A$243:$I$263,6,0)),0%,VLOOKUP(A48,'Données projet'!$A$243:$I$263,6,0)*VLOOKUP('Données projet'!$B$17,'Paramètres'!$A$1:$I$88,7,0))</f>
        <v>0</v>
      </c>
      <c r="GK48" s="155">
        <f>IF(ISNA(VLOOKUP(A48,'Données projet'!$A$243:$I$263,7,0)),0%,VLOOKUP(A48,'Données projet'!$A$243:$I$263,7,0))</f>
        <v>0</v>
      </c>
      <c r="GL48" s="162" t="str">
        <f>EXP(-LN(2)/35)*GL47+(1-EXP(-LN(2)/35))/(LN(2)/35)*GH48*GI48*VLOOKUP('Données projet'!$B$17,'Paramètres'!$A$1:$I$88,3,0)*0.475*44/12</f>
        <v>#N/A</v>
      </c>
      <c r="GM48" s="162" t="str">
        <f>EXP(-LN(2)/25)*GM47+(1-EXP(-LN(2)/25))/(LN(2)/25)*Calculateur!GH48*Calculateur!GJ48*VLOOKUP('Données projet'!$B$17,'Paramètres'!$A$1:$I$88,3,0)*0.475*44/12</f>
        <v>#N/A</v>
      </c>
      <c r="GN48" s="162" t="str">
        <f>EXP(-LN(2)/2)*GN47+(1-EXP(-LN(2)/2))/(LN(2)/2)*GH48*GK48*VLOOKUP('Données projet'!$B$17,'Paramètres'!$A$1:$I$88,3,0)*0.475*44/12</f>
        <v>#N/A</v>
      </c>
      <c r="GO48" s="162" t="str">
        <f t="shared" si="28"/>
        <v>#N/A</v>
      </c>
      <c r="GP48" s="159">
        <f>('Scénario référence'!$F$8+'Scénario référence'!$F$9+'Scénario référence'!$B$17+'Scénario référence'!$B$9+'Scénario référence'!$B$10)*70+IF((45+25*(1-EXP(-0.0175*A48)))&lt;70,'Scénario référence'!$B$16*(45+25*(1-EXP(-0.0175*A48))),70*'Scénario référence'!$B$16)+IF((32+38*(1-EXP(-0.0175*A48)))&lt;70,'Scénario référence'!$B$18*(32+38*(1-EXP(-0.0175*A48))),70*'Scénario référence'!$B$18)</f>
        <v>70</v>
      </c>
      <c r="GQ48" s="151">
        <f>IF(A48&gt;30,10,('Scénario référence'!$B$16+'Scénario référence'!$B$17+'Scénario référence'!$B$18+'Scénario référence'!$B$9+'Scénario référence'!$B$10)*A48*10/30+('Scénario référence'!$F$8+'Scénario référence'!$F$9)*10)</f>
        <v>10</v>
      </c>
      <c r="GR48" s="151" t="str">
        <f>VLOOKUP(A48,'Données projet'!$A$269:$I$289,2,0)</f>
        <v>#N/A</v>
      </c>
      <c r="GS48" s="151" t="str">
        <f>VLOOKUP(A48,'Données projet'!$A$269:$I$289,9,0)</f>
        <v>#N/A</v>
      </c>
      <c r="GT48" s="151" t="str">
        <f t="array" ref="GT48">INDEX(GS:GS,MIN(IF(ISNUMBER(GS48:GS244),ROW(GS48:GS244),"")))</f>
        <v/>
      </c>
      <c r="GU48" s="151">
        <f>IF('Données projet'!$A$270&gt;35,GU47+GT48-HC47,IF(A48&lt;'Données projet'!$A$270,$GR$205^A48,IF(A48='Données projet'!$A$270,'Données projet'!$B$270,GU47+GT48-HC47)))</f>
        <v>0</v>
      </c>
      <c r="GV48" s="158" t="str">
        <f>GU48*VLOOKUP('Données projet'!$B$18,'Paramètres'!$A$1:$I$88,3,0)*VLOOKUP('Données projet'!$B$18,'Paramètres'!$A$1:$I$88,5,0)</f>
        <v>#N/A</v>
      </c>
      <c r="GW48" s="150" t="str">
        <f t="shared" si="52"/>
        <v>#N/A</v>
      </c>
      <c r="GX48" s="161" t="str">
        <f t="shared" si="29"/>
        <v>#N/A</v>
      </c>
      <c r="GY48" s="153" t="str">
        <f t="shared" si="30"/>
        <v>#N/A</v>
      </c>
      <c r="GZ48" s="153" t="str">
        <f>AVERAGE(OFFSET($GY$3,0,0,'Données projet'!$E$18+1,1))-AVERAGE(OFFSET($H$3,0,0,'Données projet'!$E$18+1,1))</f>
        <v>#N/A</v>
      </c>
      <c r="HA48" s="153" t="str">
        <f t="shared" si="53"/>
        <v>#N/A</v>
      </c>
      <c r="HB48" s="154">
        <f>IF(ISNA(VLOOKUP(A48,'Données projet'!$A$269:$I$289,3,0)),0,VLOOKUP(A48,'Données projet'!$A$269:$I$289,3,0))</f>
        <v>0</v>
      </c>
      <c r="HC48" s="154">
        <f>IF(ISNA(VLOOKUP(A48,'Données projet'!$A$269:$I$289,4,0)),0,VLOOKUP(A48,'Données projet'!$A$269:$I$289,4,0))</f>
        <v>0</v>
      </c>
      <c r="HD48" s="155">
        <f>IF(ISNA(VLOOKUP(A48,'Données projet'!$A$269:$I$289,5,0)),0%,VLOOKUP(A48,'Données projet'!$A$269:$I$289,5,0)*VLOOKUP('Données projet'!$B$18,'Paramètres'!$A$1:$I$88,7,0))</f>
        <v>0</v>
      </c>
      <c r="HE48" s="155">
        <f>IF(ISNA(VLOOKUP(A48,'Données projet'!$A$269:$I$289,6,0)),0%,VLOOKUP(A48,'Données projet'!$A$269:$I$289,6,0)*VLOOKUP('Données projet'!$B$18,'Paramètres'!$A$1:$I$88,7,0))</f>
        <v>0</v>
      </c>
      <c r="HF48" s="155">
        <f>IF(ISNA(VLOOKUP(A48,'Données projet'!$A$269:$I$289,7,0)),0%,VLOOKUP(A48,'Données projet'!$A$269:$I$289,7,0))</f>
        <v>0</v>
      </c>
      <c r="HG48" s="162" t="str">
        <f>EXP(-LN(2)/35)*HG47+(1-EXP(-LN(2)/35))/(LN(2)/35)*HC48*HD48*VLOOKUP('Données projet'!$B$18,'Paramètres'!$A$1:$I$88,3,0)*0.475*44/12</f>
        <v>#N/A</v>
      </c>
      <c r="HH48" s="162" t="str">
        <f>EXP(-LN(2)/25)*HH47+(1-EXP(-LN(2)/25))/(LN(2)/25)*Calculateur!HC48*Calculateur!HE48*VLOOKUP('Données projet'!$B$18,'Paramètres'!$A$1:$I$88,3,0)*0.475*44/12</f>
        <v>#N/A</v>
      </c>
      <c r="HI48" s="162" t="str">
        <f>EXP(-LN(2)/2)*HI47+(1-EXP(-LN(2)/2))/(LN(2)/2)*HC48*HF48*VLOOKUP('Données projet'!$B$18,'Paramètres'!$A$1:$I$88,3,0)*0.475*44/12</f>
        <v>#N/A</v>
      </c>
      <c r="HJ48" s="163" t="str">
        <f t="shared" si="31"/>
        <v>#N/A</v>
      </c>
    </row>
    <row r="49" ht="15.75" customHeight="1">
      <c r="A49" s="145">
        <f t="shared" si="32"/>
        <v>46</v>
      </c>
      <c r="B49" s="146">
        <f>'Scénario référence'!$B$16*5+'Scénario référence'!$B$17*0+'Scénario référence'!$B$18*5</f>
        <v>0</v>
      </c>
      <c r="C49" s="160">
        <f>Calculateur!C48+'Scénario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49" s="147">
        <f t="shared" si="33"/>
        <v>0</v>
      </c>
      <c r="E49" s="147">
        <f>'Scénario référence'!$B$16*45+('Scénario référence'!$B$17+'Scénario référence'!$F$8+'Scénario référence'!$F$9+'Scénario référence'!$B$10+'Scénario référence'!$B$9)*70+'Scénario référence'!$B$18*32</f>
        <v>70</v>
      </c>
      <c r="F49" s="147">
        <f>IF(OR('Scénario référence'!$F$8&gt;0,'Scénario référence'!$F$9&gt;0),('Scénario référence'!$F$8+'Scénario référence'!$F$9)*10,0)</f>
        <v>0</v>
      </c>
      <c r="G49" s="147">
        <f>'Scénario référence'!$B$8*B49*44/12+'Scénario référence'!$B$9*(C49+D49)/0.475*44/12+'Scénario référence'!$B$10*(C49+D49)/0.475*44/12+'Scénario référence'!$F$8*(C49+D49)/0.475*44/12+'Scénario référence'!$F$9*(C49+D49)/0.475*44/12</f>
        <v>0</v>
      </c>
      <c r="H49" s="148">
        <f t="shared" si="1"/>
        <v>256.6666667</v>
      </c>
      <c r="I49" s="149">
        <f>('Scénario référence'!$F$8+'Scénario référence'!$F$9+'Scénario référence'!$B$17+'Scénario référence'!$B$9+'Scénario référence'!$B$10)*70+IF((45+25*(1-EXP(-0.0175*A49)))&lt;70,'Scénario référence'!$B$16*(45+25*(1-EXP(-0.0175*A49))),70*'Scénario référence'!$B$16)+IF((32+38*(1-EXP(-0.0175*A49)))&lt;70,'Scénario référence'!$B$18*(32+38*(1-EXP(-0.0175*A49))),70*'Scénario référence'!$B$18)</f>
        <v>70</v>
      </c>
      <c r="J49" s="150">
        <f>IF(A49&gt;30,10,('Scénario référence'!$B$16+'Scénario référence'!$B$17+'Scénario référence'!$B$18+'Scénario référence'!$B$9+'Scénario référence'!$B$10)*A49*10/30+('Scénario référence'!$F$8+'Scénario référence'!$F$9)*10)</f>
        <v>10</v>
      </c>
      <c r="K49" s="151" t="str">
        <f>VLOOKUP(A49,'Données projet'!$A$35:$I$55,2,0)</f>
        <v>#N/A</v>
      </c>
      <c r="L49" s="151" t="str">
        <f>VLOOKUP(A49,'Données projet'!$A$35:$I$55,9,0)</f>
        <v>#N/A</v>
      </c>
      <c r="M49" s="150">
        <f t="array" ref="M49">INDEX(L:L,MIN(IF(ISNUMBER(L49:L245),ROW(L49:L245),"")))</f>
        <v>11</v>
      </c>
      <c r="N49" s="150">
        <f>IF('Données projet'!$A$36&gt;35,N48+M49-V48,IF(A49&lt;'Données projet'!$A$36,$K$205^A49,IF(A49='Données projet'!$A$36,'Données projet'!$B$36,N48+M49-V48)))</f>
        <v>187</v>
      </c>
      <c r="O49" s="150">
        <f>N49*VLOOKUP('Données projet'!$B$9,'Paramètres'!$A$1:$I$88,3,0)*VLOOKUP('Données projet'!$B$9,'Paramètres'!$A$1:$I$88,5,0)</f>
        <v>169.1976</v>
      </c>
      <c r="P49" s="150">
        <f t="shared" si="34"/>
        <v>42.91026322</v>
      </c>
      <c r="Q49" s="161">
        <f t="shared" si="2"/>
        <v>369.4211951</v>
      </c>
      <c r="R49" s="153">
        <f t="shared" si="3"/>
        <v>662.7545284</v>
      </c>
      <c r="S49" s="153">
        <f>AVERAGE(OFFSET($R$3,0,0,'Données projet'!$E$9+1,1))-AVERAGE(OFFSET($H$3,0,0,'Données projet'!$E$9+1,1))</f>
        <v>439.1985427</v>
      </c>
      <c r="T49" s="153">
        <f t="shared" si="35"/>
        <v>278.2174123</v>
      </c>
      <c r="U49" s="154">
        <f>IF(ISNA(VLOOKUP(A49,'Données projet'!$A$35:$I$55,3,0)),0,VLOOKUP(A49,'Données projet'!$A$35:$I$55,3,0))</f>
        <v>0</v>
      </c>
      <c r="V49" s="154">
        <f>IF(ISNA(VLOOKUP(A49,'Données projet'!$A$35:$I$55,4,0)),0,VLOOKUP(A49,'Données projet'!$A$35:$I$55,4,0))</f>
        <v>0</v>
      </c>
      <c r="W49" s="155">
        <f>IF(ISNA(VLOOKUP(A49,'Données projet'!$A$35:$I$55,5,0)),0%,VLOOKUP(A49,'Données projet'!$A$35:$I$55,5,0)*VLOOKUP('Données projet'!$B$9,'Paramètres'!$A$1:$I$88,7,0))</f>
        <v>0</v>
      </c>
      <c r="X49" s="155">
        <f>IF(ISNA(VLOOKUP(A49,'Données projet'!$A$35:$I$55,6,0)),0%,VLOOKUP(A49,'Données projet'!$A$35:$I$55,6,0)*VLOOKUP('Données projet'!$B$9,'Paramètres'!$A$1:$I$88,7,0))</f>
        <v>0</v>
      </c>
      <c r="Y49" s="155">
        <f>IF(ISNA(VLOOKUP(A49,'Données projet'!$A$35:$I$55,7,0)),0%,VLOOKUP(A49,'Données projet'!$A$35:$I$55,7,0))</f>
        <v>0</v>
      </c>
      <c r="Z49" s="162">
        <f>EXP(-LN(2)/35)*Z48+(1-EXP(-LN(2)/35))/(LN(2)/35)*V49*W49*VLOOKUP('Données projet'!$B$9,'Paramètres'!$A$1:$I$88,3,0)*0.475*44/12</f>
        <v>0</v>
      </c>
      <c r="AA49" s="162">
        <f>EXP(-LN(2)/25)*AA48+(1-EXP(-LN(2)/25))/(LN(2)/25)*Calculateur!V49*Calculateur!X49*VLOOKUP('Données projet'!$B$9,'Paramètres'!$A$1:$I$88,3,0)*0.475*44/12</f>
        <v>2.879738693</v>
      </c>
      <c r="AB49" s="162">
        <f>EXP(-LN(2)/2)*AB48+(1-EXP(-LN(2)/2))/(LN(2)/2)*V49*Y49*VLOOKUP('Données projet'!$B$9,'Paramètres'!$A$1:$I$88,3,0)*0.475*44/12</f>
        <v>0</v>
      </c>
      <c r="AC49" s="163">
        <f t="shared" si="4"/>
        <v>2.879738693</v>
      </c>
      <c r="AD49" s="150">
        <f>('Scénario référence'!$F$8+'Scénario référence'!$F$9+'Scénario référence'!$B$17+'Scénario référence'!$B$9+'Scénario référence'!$B$10)*70+IF((45+25*(1-EXP(-0.0175*A49)))&lt;70,'Scénario référence'!$B$16*(45+25*(1-EXP(-0.0175*A49))),70*'Scénario référence'!$B$16)+IF((32+38*(1-EXP(-0.0175*A49)))&lt;70,'Scénario référence'!$B$18*(32+38*(1-EXP(-0.0175*A49))),70*'Scénario référence'!$B$18)</f>
        <v>70</v>
      </c>
      <c r="AE49" s="150">
        <f>IF(A49&gt;30,10,('Scénario référence'!$B$16+'Scénario référence'!$B$17+'Scénario référence'!$B$18+'Scénario référence'!$B$9+'Scénario référence'!$B$10)*A49*10/30+('Scénario référence'!$F$8+'Scénario référence'!$F$9)*10)</f>
        <v>10</v>
      </c>
      <c r="AF49" s="151" t="str">
        <f>VLOOKUP(A49,'Données projet'!$A$61:$I$81,2,0)</f>
        <v>#N/A</v>
      </c>
      <c r="AG49" s="151" t="str">
        <f>VLOOKUP(A49,'Données projet'!$A$61:$I$81,9,0)</f>
        <v>#N/A</v>
      </c>
      <c r="AH49" s="150">
        <f t="array" ref="AH49">INDEX(AG:AG,MIN(IF(ISNUMBER(AG49:AG245),ROW(AG49:AG245),"")))</f>
        <v>9.8</v>
      </c>
      <c r="AI49" s="150">
        <f>IF('Données projet'!$A$62&gt;35,AI48+AH49-AQ48,IF(A49&lt;'Données projet'!$A$62,$AF$205^A49,IF(A49='Données projet'!$A$62,'Données projet'!$B$62,AI48+AH49-AQ48)))</f>
        <v>263.8</v>
      </c>
      <c r="AJ49" s="150">
        <f>AI49*VLOOKUP('Données projet'!$B$10,'Paramètres'!$A$1:$I$88,3,0)*VLOOKUP('Données projet'!$B$10,'Paramètres'!$A$1:$I$88,5,0)</f>
        <v>209.87928</v>
      </c>
      <c r="AK49" s="150">
        <f t="shared" si="36"/>
        <v>51.90920446</v>
      </c>
      <c r="AL49" s="161">
        <f t="shared" si="5"/>
        <v>455.9482771</v>
      </c>
      <c r="AM49" s="153">
        <f t="shared" si="6"/>
        <v>749.2816104</v>
      </c>
      <c r="AN49" s="153">
        <f>AVERAGE(OFFSET($AM$3,0,0,'Données projet'!$E$10+1,1))-AVERAGE(OFFSET($H$3,0,0,'Données projet'!$E$10+1,1))</f>
        <v>405.6113614</v>
      </c>
      <c r="AO49" s="153">
        <f t="shared" si="37"/>
        <v>393.0787141</v>
      </c>
      <c r="AP49" s="154">
        <f>IF(ISNA(VLOOKUP(A49,'Données projet'!$A$61:$I$81,3,0)),0,VLOOKUP(A49,'Données projet'!$A$61:$I$81,3,0))</f>
        <v>0</v>
      </c>
      <c r="AQ49" s="154">
        <f>IF(ISNA(VLOOKUP(A49,'Données projet'!$A$61:$I$81,4,0)),0,VLOOKUP(A49,'Données projet'!$A$61:$I$81,4,0))</f>
        <v>0</v>
      </c>
      <c r="AR49" s="155">
        <f>IF(ISNA(VLOOKUP(A49,'Données projet'!$A$61:$I$81,5,0)),0%,VLOOKUP(A49,'Données projet'!$A$61:$I$81,5,0)*VLOOKUP('Données projet'!$B$10,'Paramètres'!$A$1:$I$88,7,0))</f>
        <v>0</v>
      </c>
      <c r="AS49" s="155">
        <f>IF(ISNA(VLOOKUP(A49,'Données projet'!$A$61:$I$81,6,0)),0%,VLOOKUP(A49,'Données projet'!$A$61:$I$81,6,0)*VLOOKUP('Données projet'!$B$10,'Paramètres'!$A$1:$I$88,7,0))</f>
        <v>0</v>
      </c>
      <c r="AT49" s="155">
        <f>IF(ISNA(VLOOKUP(A49,'Données projet'!$A$61:$I$81,7,0)),0%,VLOOKUP(A49,'Données projet'!$A$61:$I$81,7,0))</f>
        <v>0</v>
      </c>
      <c r="AU49" s="162">
        <f>EXP(-LN(2)/35)*AU48+(1-EXP(-LN(2)/35))/(LN(2)/35)*AQ49*AR49*VLOOKUP('Données projet'!$B$10,'Paramètres'!$A$1:$I$88,3,0)*0.475*44/12</f>
        <v>0</v>
      </c>
      <c r="AV49" s="162">
        <f>EXP(-LN(2)/25)*AV48+(1-EXP(-LN(2)/25))/(LN(2)/25)*Calculateur!AQ49*Calculateur!AS49*VLOOKUP('Données projet'!$B$10,'Paramètres'!$A$1:$I$88,3,0)*0.475*44/12</f>
        <v>11.70399011</v>
      </c>
      <c r="AW49" s="162">
        <f>EXP(-LN(2)/2)*AW48+(1-EXP(-LN(2)/2))/(LN(2)/2)*AQ49*AT49*VLOOKUP('Données projet'!$B$10,'Paramètres'!$A$1:$I$88,3,0)*0.475*44/12</f>
        <v>0.002264500797</v>
      </c>
      <c r="AX49" s="162">
        <f t="shared" si="7"/>
        <v>11.70625461</v>
      </c>
      <c r="AY49" s="157">
        <f>('Scénario référence'!$F$8+'Scénario référence'!$F$9+'Scénario référence'!$B$17+'Scénario référence'!$B$9+'Scénario référence'!$B$10)*70+IF((45+25*(1-EXP(-0.0175*A49)))&lt;70,'Scénario référence'!$B$16*(45+25*(1-EXP(-0.0175*A49))),70*'Scénario référence'!$B$16)+IF((32+38*(1-EXP(-0.0175*A49)))&lt;70,'Scénario référence'!$B$18*(32+38*(1-EXP(-0.0175*A49))),70*'Scénario référence'!$B$18)</f>
        <v>70</v>
      </c>
      <c r="AZ49" s="151">
        <f>IF(A49&gt;30,10,('Scénario référence'!$B$16+'Scénario référence'!$B$17+'Scénario référence'!$B$18+'Scénario référence'!$B$9+'Scénario référence'!$B$10)*A49*10/30+('Scénario référence'!$F$8+'Scénario référence'!$F$9)*10)</f>
        <v>10</v>
      </c>
      <c r="BA49" s="151" t="str">
        <f>VLOOKUP(A49,'Données projet'!$A$87:$I$107,2,0)</f>
        <v>#N/A</v>
      </c>
      <c r="BB49" s="151" t="str">
        <f>VLOOKUP(A49,'Données projet'!$A$87:$I$107,9,0)</f>
        <v>#N/A</v>
      </c>
      <c r="BC49" s="150" t="str">
        <f t="array" ref="BC49">INDEX(BB:BB,MIN(IF(ISNUMBER(BB49:BB245),ROW(BB49:BB245),"")))</f>
        <v/>
      </c>
      <c r="BD49" s="150">
        <f>IF('Données projet'!$A$88&gt;35,BD48+BC49-BL48,IF(A49&lt;'Données projet'!$A$88,$BA$205^A49,IF(A49='Données projet'!$A$88,'Données projet'!$B$88,BD48+BC49-BL48)))</f>
        <v>0</v>
      </c>
      <c r="BE49" s="150">
        <f>BD49*VLOOKUP('Données projet'!$B$11,'Paramètres'!$A$1:$I$88,3,0)*VLOOKUP('Données projet'!$B$11,'Paramètres'!$A$1:$I$88,5,0)</f>
        <v>0</v>
      </c>
      <c r="BF49" s="150" t="str">
        <f t="shared" si="38"/>
        <v>#NUM!</v>
      </c>
      <c r="BG49" s="161" t="str">
        <f t="shared" si="8"/>
        <v>#NUM!</v>
      </c>
      <c r="BH49" s="153" t="str">
        <f t="shared" si="9"/>
        <v>#NUM!</v>
      </c>
      <c r="BI49" s="153">
        <f>AVERAGE(OFFSET($BH$3,0,0,'Données projet'!$E$11+1,1))-AVERAGE(OFFSET($H$3,0,0,'Données projet'!$E$11+1,1))</f>
        <v>0</v>
      </c>
      <c r="BJ49" s="153">
        <f t="shared" si="39"/>
        <v>0</v>
      </c>
      <c r="BK49" s="154">
        <f>IF(ISNA(VLOOKUP(A49,'Données projet'!$A$87:$I$107,3,0)),0,VLOOKUP(A49,'Données projet'!$A$87:$I$107,3,0))</f>
        <v>0</v>
      </c>
      <c r="BL49" s="154">
        <f>IF(ISNA(VLOOKUP(A49,'Données projet'!$A$87:$I$107,4,0)),0,VLOOKUP(A49,'Données projet'!$A$87:$I$107,4,0))</f>
        <v>0</v>
      </c>
      <c r="BM49" s="155">
        <f>IF(ISNA(VLOOKUP(A49,'Données projet'!$A$87:$I$107,5,0)),0%,VLOOKUP(A49,'Données projet'!$A$87:$I$107,5,0)*VLOOKUP('Données projet'!$B$11,'Paramètres'!$A$1:$I$88,7,0))</f>
        <v>0</v>
      </c>
      <c r="BN49" s="155">
        <f>IF(ISNA(VLOOKUP(A49,'Données projet'!$A$87:$I$107,6,0)),0%,VLOOKUP(A49,'Données projet'!$A$87:$I$107,6,0)*VLOOKUP('Données projet'!$B$11,'Paramètres'!$A$1:$I$88,7,0))</f>
        <v>0</v>
      </c>
      <c r="BO49" s="155">
        <f>IF(ISNA(VLOOKUP(A49,'Données projet'!$A$87:$I$107,7,0)),0%,VLOOKUP(A49,'Données projet'!$A$87:$I$107,7,0))</f>
        <v>0</v>
      </c>
      <c r="BP49" s="162">
        <f>EXP(-LN(2)/35)*BP48+(1-EXP(-LN(2)/35))/(LN(2)/35)*BL49*BM49*VLOOKUP('Données projet'!$B$11,'Paramètres'!$A$1:$I$88,3,0)*0.475*44/12</f>
        <v>0</v>
      </c>
      <c r="BQ49" s="162">
        <f>EXP(-LN(2)/25)*BQ48+(1-EXP(-LN(2)/25))/(LN(2)/25)*Calculateur!BL49*Calculateur!BN49*VLOOKUP('Données projet'!$B$11,'Paramètres'!$A$1:$I$88,3,0)*0.475*44/12</f>
        <v>0</v>
      </c>
      <c r="BR49" s="162">
        <f>EXP(-LN(2)/2)*BR48+(1-EXP(-LN(2)/2))/(LN(2)/2)*BL49*BO49*VLOOKUP('Données projet'!$B$11,'Paramètres'!$A$1:$I$88,3,0)*0.475*44/12</f>
        <v>0</v>
      </c>
      <c r="BS49" s="163">
        <f t="shared" si="10"/>
        <v>0</v>
      </c>
      <c r="BT49" s="159">
        <f>('Scénario référence'!$F$8+'Scénario référence'!$F$9+'Scénario référence'!$B$17+'Scénario référence'!$B$9+'Scénario référence'!$B$10)*70+IF((45+25*(1-EXP(-0.0175*A49)))&lt;70,'Scénario référence'!$B$16*(45+25*(1-EXP(-0.0175*A49))),70*'Scénario référence'!$B$16)+IF((32+38*(1-EXP(-0.0175*A49)))&lt;70,'Scénario référence'!$B$18*(32+38*(1-EXP(-0.0175*A49))),70*'Scénario référence'!$B$18)</f>
        <v>70</v>
      </c>
      <c r="BU49" s="151">
        <f>IF(A49&gt;30,10,('Scénario référence'!$B$16+'Scénario référence'!$B$17+'Scénario référence'!$B$18+'Scénario référence'!$B$9+'Scénario référence'!$B$10)*A49*10/30+('Scénario référence'!$F$8+'Scénario référence'!$F$9)*10)</f>
        <v>10</v>
      </c>
      <c r="BV49" s="151" t="str">
        <f>VLOOKUP(A49,'Données projet'!$A$113:$I$133,2,0)</f>
        <v>#N/A</v>
      </c>
      <c r="BW49" s="151" t="str">
        <f>VLOOKUP(A49,'Données projet'!$A$113:$I$133,9,0)</f>
        <v>#N/A</v>
      </c>
      <c r="BX49" s="150" t="str">
        <f t="array" ref="BX49">INDEX(BW:BW,MIN(IF(ISNUMBER(BW49:BW245),ROW(BW49:BW245),"")))</f>
        <v/>
      </c>
      <c r="BY49" s="150">
        <f>IF('Données projet'!$A$114&gt;35,BY48+BX49-CG48,IF(A49&lt;'Données projet'!$A$114,$BV$205^A49,IF(A49='Données projet'!$A$114,'Données projet'!$B$114,BY48+BX49-CG48)))</f>
        <v>0</v>
      </c>
      <c r="BZ49" s="150" t="str">
        <f>BY49*VLOOKUP('Données projet'!$B$12,'Paramètres'!$A$1:$I$88,3,0)*VLOOKUP('Données projet'!$B$12,'Paramètres'!$A$1:$I$88,5,0)</f>
        <v>#N/A</v>
      </c>
      <c r="CA49" s="150" t="str">
        <f t="shared" si="40"/>
        <v>#N/A</v>
      </c>
      <c r="CB49" s="161" t="str">
        <f t="shared" si="11"/>
        <v>#N/A</v>
      </c>
      <c r="CC49" s="153" t="str">
        <f t="shared" si="12"/>
        <v>#N/A</v>
      </c>
      <c r="CD49" s="153" t="str">
        <f>AVERAGE(OFFSET($CC$3,0,0,'Données projet'!$E$12+1,1))-AVERAGE(OFFSET($H$3,0,0,'Données projet'!$E$12+1,1))</f>
        <v>#N/A</v>
      </c>
      <c r="CE49" s="153" t="str">
        <f t="shared" si="41"/>
        <v>#N/A</v>
      </c>
      <c r="CF49" s="154">
        <f>IF(ISNA(VLOOKUP(A49,'Données projet'!$A$113:$I$133,3,0)),0,VLOOKUP(A49,'Données projet'!$A$113:$I$133,3,0))</f>
        <v>0</v>
      </c>
      <c r="CG49" s="154">
        <f>IF(ISNA(VLOOKUP(A49,'Données projet'!$A$113:$I$133,4,0)),0,VLOOKUP(A49,'Données projet'!$A$113:$I$133,4,0))</f>
        <v>0</v>
      </c>
      <c r="CH49" s="155">
        <f>IF(ISNA(VLOOKUP(A49,'Données projet'!$A$113:$I$133,5,0)),0%,VLOOKUP(A49,'Données projet'!$A$113:$I$133,5,0)*VLOOKUP('Données projet'!$B$12,'Paramètres'!$A$1:$I$88,7,0))</f>
        <v>0</v>
      </c>
      <c r="CI49" s="155">
        <f>IF(ISNA(VLOOKUP(A49,'Données projet'!$A$113:$I$133,6,0)),0%,VLOOKUP(A49,'Données projet'!$A$113:$I$133,6,0)*VLOOKUP('Données projet'!$B$12,'Paramètres'!$A$1:$I$88,7,0))</f>
        <v>0</v>
      </c>
      <c r="CJ49" s="155">
        <f>IF(ISNA(VLOOKUP(A49,'Données projet'!$A$113:$I$133,7,0)),0%,VLOOKUP(A49,'Données projet'!$A$113:$I$133,7,0))</f>
        <v>0</v>
      </c>
      <c r="CK49" s="162" t="str">
        <f>EXP(-LN(2)/35)*CK48+(1-EXP(-LN(2)/35))/(LN(2)/35)*CG49*CH49*VLOOKUP('Données projet'!$B$12,'Paramètres'!$A$1:$I$88,3,0)*0.475*44/12</f>
        <v>#N/A</v>
      </c>
      <c r="CL49" s="162" t="str">
        <f>EXP(-LN(2)/25)*CL48+(1-EXP(-LN(2)/25))/(LN(2)/25)*Calculateur!CG49*Calculateur!CI49*VLOOKUP('Données projet'!$B$12,'Paramètres'!$A$1:$I$88,3,0)*0.475*44/12</f>
        <v>#N/A</v>
      </c>
      <c r="CM49" s="162" t="str">
        <f>EXP(-LN(2)/2)*CM48+(1-EXP(-LN(2)/2))/(LN(2)/2)*CG49*CJ49*VLOOKUP('Données projet'!$B$12,'Paramètres'!$A$1:$I$88,3,0)*0.475*44/12</f>
        <v>#N/A</v>
      </c>
      <c r="CN49" s="163" t="str">
        <f t="shared" si="13"/>
        <v>#N/A</v>
      </c>
      <c r="CO49" s="159">
        <f>('Scénario référence'!$F$8+'Scénario référence'!$F$9+'Scénario référence'!$B$17+'Scénario référence'!$B$9+'Scénario référence'!$B$10)*70+IF((45+25*(1-EXP(-0.0175*A49)))&lt;70,'Scénario référence'!$B$16*(45+25*(1-EXP(-0.0175*A49))),70*'Scénario référence'!$B$16)+IF((32+38*(1-EXP(-0.0175*A49)))&lt;70,'Scénario référence'!$B$18*(32+38*(1-EXP(-0.0175*A49))),70*'Scénario référence'!$B$18)</f>
        <v>70</v>
      </c>
      <c r="CP49" s="151">
        <f>IF(A49&gt;30,10,('Scénario référence'!$B$16+'Scénario référence'!$B$17+'Scénario référence'!$B$18+'Scénario référence'!$B$9+'Scénario référence'!$B$10)*A49*10/30+('Scénario référence'!$F$8+'Scénario référence'!$F$9)*10)</f>
        <v>10</v>
      </c>
      <c r="CQ49" s="151" t="str">
        <f>VLOOKUP(A49,'Données projet'!$A$139:$I$159,2,0)</f>
        <v>#N/A</v>
      </c>
      <c r="CR49" s="151" t="str">
        <f>VLOOKUP(A49,'Données projet'!$A$139:$I$159,9,0)</f>
        <v>#N/A</v>
      </c>
      <c r="CS49" s="151" t="str">
        <f t="array" ref="CS49">INDEX(CR:CR,MIN(IF(ISNUMBER(CR49:CR245),ROW(CR49:CR245),"")))</f>
        <v/>
      </c>
      <c r="CT49" s="151">
        <f>IF('Données projet'!$A$140&gt;35,CT48+CS49-DB48,IF(A49&lt;'Données projet'!$A$140,$CQ$205^A49,IF(A49='Données projet'!$A$140,'Données projet'!$B$140,CT48+CS49-DB48)))</f>
        <v>0</v>
      </c>
      <c r="CU49" s="158" t="str">
        <f>CT49*VLOOKUP('Données projet'!$B$13,'Paramètres'!$A$1:$I$88,3,0)*VLOOKUP('Données projet'!$B$13,'Paramètres'!$A$1:$I$88,5,0)</f>
        <v>#N/A</v>
      </c>
      <c r="CV49" s="150" t="str">
        <f t="shared" si="42"/>
        <v>#N/A</v>
      </c>
      <c r="CW49" s="161" t="str">
        <f t="shared" si="14"/>
        <v>#N/A</v>
      </c>
      <c r="CX49" s="153" t="str">
        <f t="shared" si="15"/>
        <v>#N/A</v>
      </c>
      <c r="CY49" s="153" t="str">
        <f>AVERAGE(OFFSET($CX$3,0,0,'Données projet'!$E$13+1,1))-AVERAGE(OFFSET($H$3,0,0,'Données projet'!$E$13+1,1))</f>
        <v>#N/A</v>
      </c>
      <c r="CZ49" s="153" t="str">
        <f t="shared" si="43"/>
        <v>#N/A</v>
      </c>
      <c r="DA49" s="154">
        <f>IF(ISNA(VLOOKUP(A49,'Données projet'!$A$139:$I$159,3,0)),0,VLOOKUP(A49,'Données projet'!$A$139:$I$159,3,0))</f>
        <v>0</v>
      </c>
      <c r="DB49" s="154">
        <f>IF(ISNA(VLOOKUP(A49,'Données projet'!$A$139:$I$159,4,0)),0,VLOOKUP(A49,'Données projet'!$A$139:$I$159,4,0))</f>
        <v>0</v>
      </c>
      <c r="DC49" s="155">
        <f>IF(ISNA(VLOOKUP(A49,'Données projet'!$A$139:$I$159,5,0)),0%,VLOOKUP(A49,'Données projet'!$A$139:$I$159,5,0)*VLOOKUP('Données projet'!$B$13,'Paramètres'!$A$1:$I$88,7,0))</f>
        <v>0</v>
      </c>
      <c r="DD49" s="155">
        <f>IF(ISNA(VLOOKUP(A49,'Données projet'!$A$139:$I$159,6,0)),0%,VLOOKUP(A49,'Données projet'!$A$139:$I$159,6,0)*VLOOKUP('Données projet'!$B$13,'Paramètres'!$A$1:$I$88,7,0))</f>
        <v>0</v>
      </c>
      <c r="DE49" s="155">
        <f>IF(ISNA(VLOOKUP(A49,'Données projet'!$A$139:$I$159,7,0)),0%,VLOOKUP(A49,'Données projet'!$A$139:$I$159,7,0))</f>
        <v>0</v>
      </c>
      <c r="DF49" s="162" t="str">
        <f>EXP(-LN(2)/35)*DF48+(1-EXP(-LN(2)/35))/(LN(2)/35)*DB49*DC49*VLOOKUP('Données projet'!$B$13,'Paramètres'!$A$1:$I$88,3,0)*0.475*44/12</f>
        <v>#N/A</v>
      </c>
      <c r="DG49" s="162" t="str">
        <f>EXP(-LN(2)/25)*DG48+(1-EXP(-LN(2)/25))/(LN(2)/25)*Calculateur!DB49*Calculateur!DD49*VLOOKUP('Données projet'!$B$13,'Paramètres'!$A$1:$I$88,3,0)*0.475*44/12</f>
        <v>#N/A</v>
      </c>
      <c r="DH49" s="162" t="str">
        <f>EXP(-LN(2)/2)*DH48+(1-EXP(-LN(2)/2))/(LN(2)/2)*DB49*DE49*VLOOKUP('Données projet'!$B$13,'Paramètres'!$A$1:$I$88,3,0)*0.475*44/12</f>
        <v>#N/A</v>
      </c>
      <c r="DI49" s="163" t="str">
        <f t="shared" si="16"/>
        <v>#N/A</v>
      </c>
      <c r="DJ49" s="159">
        <f>('Scénario référence'!$F$8+'Scénario référence'!$F$9+'Scénario référence'!$B$17+'Scénario référence'!$B$9+'Scénario référence'!$B$10)*70+IF((45+25*(1-EXP(-0.0175*A49)))&lt;70,'Scénario référence'!$B$16*(45+25*(1-EXP(-0.0175*A49))),70*'Scénario référence'!$B$16)+IF((32+38*(1-EXP(-0.0175*A49)))&lt;70,'Scénario référence'!$B$18*(32+38*(1-EXP(-0.0175*A49))),70*'Scénario référence'!$B$18)</f>
        <v>70</v>
      </c>
      <c r="DK49" s="151">
        <f>IF(A49&gt;30,10,('Scénario référence'!$B$16+'Scénario référence'!$B$17+'Scénario référence'!$B$18+'Scénario référence'!$B$9+'Scénario référence'!$B$10)*A49*10/30+('Scénario référence'!$F$8+'Scénario référence'!$F$9)*10)</f>
        <v>10</v>
      </c>
      <c r="DL49" s="151" t="str">
        <f>VLOOKUP(A49,'Données projet'!$A$165:$I$185,2,0)</f>
        <v>#N/A</v>
      </c>
      <c r="DM49" s="151" t="str">
        <f>VLOOKUP(A49,'Données projet'!$A$165:$I$185,9,0)</f>
        <v>#N/A</v>
      </c>
      <c r="DN49" s="151" t="str">
        <f t="array" ref="DN49">INDEX(DM:DM,MIN(IF(ISNUMBER(DM49:DM245),ROW(DM49:DM245),"")))</f>
        <v/>
      </c>
      <c r="DO49" s="151">
        <f>IF('Données projet'!$A$166&gt;35,DO48+DN49-DW48,IF(A49&lt;'Données projet'!$A$166,$DL$205^A49,IF(A49='Données projet'!$A$166,'Données projet'!$B$166,DO48+DN49-DW48)))</f>
        <v>0</v>
      </c>
      <c r="DP49" s="158" t="str">
        <f>DO49*VLOOKUP('Données projet'!$B$14,'Paramètres'!$A$1:$I$88,3,0)*VLOOKUP('Données projet'!$B$14,'Paramètres'!$A$1:$I$88,5,0)</f>
        <v>#N/A</v>
      </c>
      <c r="DQ49" s="150" t="str">
        <f t="shared" si="44"/>
        <v>#N/A</v>
      </c>
      <c r="DR49" s="161" t="str">
        <f t="shared" si="17"/>
        <v>#N/A</v>
      </c>
      <c r="DS49" s="153" t="str">
        <f t="shared" si="18"/>
        <v>#N/A</v>
      </c>
      <c r="DT49" s="153" t="str">
        <f>AVERAGE(OFFSET($DS$3,0,0,'Données projet'!$E$14+1,1))-AVERAGE(OFFSET($H$3,0,0,'Données projet'!$E$14+1,1))</f>
        <v>#N/A</v>
      </c>
      <c r="DU49" s="153" t="str">
        <f t="shared" si="45"/>
        <v>#N/A</v>
      </c>
      <c r="DV49" s="154">
        <f>IF(ISNA(VLOOKUP(A49,'Données projet'!$A$165:$I$185,3,0)),0,VLOOKUP(A49,'Données projet'!$A$165:$I$185,3,0))</f>
        <v>0</v>
      </c>
      <c r="DW49" s="154">
        <f>IF(ISNA(VLOOKUP(A49,'Données projet'!$A$165:$I$185,4,0)),0,VLOOKUP(A49,'Données projet'!$A$165:$I$185,4,0))</f>
        <v>0</v>
      </c>
      <c r="DX49" s="155">
        <f>IF(ISNA(VLOOKUP(A49,'Données projet'!$A$165:$I$185,5,0)),0%,VLOOKUP(A49,'Données projet'!$A$165:$I$185,5,0)*VLOOKUP('Données projet'!$B$14,'Paramètres'!$A$1:$I$88,7,0))</f>
        <v>0</v>
      </c>
      <c r="DY49" s="155">
        <f>IF(ISNA(VLOOKUP(A49,'Données projet'!$A$165:$I$185,6,0)),0%,VLOOKUP(A49,'Données projet'!$A$165:$I$185,6,0)*VLOOKUP('Données projet'!$B$14,'Paramètres'!$A$1:$I$88,7,0))</f>
        <v>0</v>
      </c>
      <c r="DZ49" s="155">
        <f>IF(ISNA(VLOOKUP(A49,'Données projet'!$A$165:$I$185,7,0)),0%,VLOOKUP(A49,'Données projet'!$A$165:$I$185,7,0))</f>
        <v>0</v>
      </c>
      <c r="EA49" s="162" t="str">
        <f>EXP(-LN(2)/35)*EA48+(1-EXP(-LN(2)/35))/(LN(2)/35)*DW49*DX49*VLOOKUP('Données projet'!$B$14,'Paramètres'!$A$1:$I$88,3,0)*0.475*44/12</f>
        <v>#N/A</v>
      </c>
      <c r="EB49" s="162" t="str">
        <f>EXP(-LN(2)/25)*EB48+(1-EXP(-LN(2)/25))/(LN(2)/25)*Calculateur!DW49*Calculateur!DY49*VLOOKUP('Données projet'!$B$14,'Paramètres'!$A$1:$I$88,3,0)*0.475*44/12</f>
        <v>#N/A</v>
      </c>
      <c r="EC49" s="162" t="str">
        <f>EXP(-LN(2)/2)*EC48+(1-EXP(-LN(2)/2))/(LN(2)/2)*DW49*DZ49*VLOOKUP('Données projet'!$B$14,'Paramètres'!$A$1:$I$88,3,0)*0.475*44/12</f>
        <v>#N/A</v>
      </c>
      <c r="ED49" s="163" t="str">
        <f t="shared" si="19"/>
        <v>#N/A</v>
      </c>
      <c r="EE49" s="159">
        <f>('Scénario référence'!$F$8+'Scénario référence'!$F$9+'Scénario référence'!$B$17+'Scénario référence'!$B$9+'Scénario référence'!$B$10)*70+IF((45+25*(1-EXP(-0.0175*A49)))&lt;70,'Scénario référence'!$B$16*(45+25*(1-EXP(-0.0175*A49))),70*'Scénario référence'!$B$16)+IF((32+38*(1-EXP(-0.0175*A49)))&lt;70,'Scénario référence'!$B$18*(32+38*(1-EXP(-0.0175*A49))),70*'Scénario référence'!$B$18)</f>
        <v>70</v>
      </c>
      <c r="EF49" s="151">
        <f>IF(A49&gt;30,10,('Scénario référence'!$B$16+'Scénario référence'!$B$17+'Scénario référence'!$B$18+'Scénario référence'!$B$9+'Scénario référence'!$B$10)*A49*10/30+('Scénario référence'!$F$8+'Scénario référence'!$F$9)*10)</f>
        <v>10</v>
      </c>
      <c r="EG49" s="151" t="str">
        <f>VLOOKUP(A49,'Données projet'!$A$191:$I$211,2,0)</f>
        <v>#N/A</v>
      </c>
      <c r="EH49" s="151" t="str">
        <f>VLOOKUP(A49,'Données projet'!$A$191:$I$211,9,0)</f>
        <v>#N/A</v>
      </c>
      <c r="EI49" s="151" t="str">
        <f t="array" ref="EI49">INDEX(EH:EH,MIN(IF(ISNUMBER(EH49:EH245),ROW(EH49:EH245),"")))</f>
        <v/>
      </c>
      <c r="EJ49" s="151">
        <f>IF('Données projet'!$A$192&gt;35,EJ48+EI49-ER48,IF(A49&lt;'Données projet'!$A$192,$EG$205^A49,IF(A49='Données projet'!$A$192,'Données projet'!$B$192,EJ48+EI49-ER48)))</f>
        <v>0</v>
      </c>
      <c r="EK49" s="158" t="str">
        <f>EJ49*VLOOKUP('Données projet'!$B$15,'Paramètres'!$A$1:$I$88,3,0)*VLOOKUP('Données projet'!$B$15,'Paramètres'!$A$1:$I$88,5,0)</f>
        <v>#N/A</v>
      </c>
      <c r="EL49" s="150" t="str">
        <f t="shared" si="46"/>
        <v>#N/A</v>
      </c>
      <c r="EM49" s="161" t="str">
        <f t="shared" si="20"/>
        <v>#N/A</v>
      </c>
      <c r="EN49" s="153" t="str">
        <f t="shared" si="21"/>
        <v>#N/A</v>
      </c>
      <c r="EO49" s="153" t="str">
        <f>AVERAGE(OFFSET($EN$3,0,0,'Données projet'!$E$15+1,1))-AVERAGE(OFFSET($H$3,0,0,'Données projet'!$E$15+1,1))</f>
        <v>#N/A</v>
      </c>
      <c r="EP49" s="153" t="str">
        <f t="shared" si="47"/>
        <v>#N/A</v>
      </c>
      <c r="EQ49" s="154">
        <f>IF(ISNA(VLOOKUP(A49,'Données projet'!$A$191:$I$211,3,0)),0,VLOOKUP(A49,'Données projet'!$A$191:$I$211,3,0))</f>
        <v>0</v>
      </c>
      <c r="ER49" s="154">
        <f>IF(ISNA(VLOOKUP(A49,'Données projet'!$A$191:$I$211,4,0)),0,VLOOKUP(A49,'Données projet'!$A$191:$I$211,4,0))</f>
        <v>0</v>
      </c>
      <c r="ES49" s="155">
        <f>IF(ISNA(VLOOKUP(A49,'Données projet'!$A$191:$I$211,5,0)),0%,VLOOKUP(A49,'Données projet'!$A$191:$I$211,5,0)*VLOOKUP('Données projet'!$B$15,'Paramètres'!$A$1:$I$88,7,0))</f>
        <v>0</v>
      </c>
      <c r="ET49" s="155">
        <f>IF(ISNA(VLOOKUP(A49,'Données projet'!$A$191:$I$211,6,0)),0%,VLOOKUP(A49,'Données projet'!$A$191:$I$211,6,0)*VLOOKUP('Données projet'!$B$15,'Paramètres'!$A$1:$I$88,7,0))</f>
        <v>0</v>
      </c>
      <c r="EU49" s="155">
        <f>IF(ISNA(VLOOKUP(A49,'Données projet'!$A$191:$I$211,7,0)),0%,VLOOKUP(A49,'Données projet'!$A$191:$I$211,7,0))</f>
        <v>0</v>
      </c>
      <c r="EV49" s="162" t="str">
        <f>EXP(-LN(2)/35)*EV48+(1-EXP(-LN(2)/35))/(LN(2)/35)*ER49*ES49*VLOOKUP('Données projet'!$B$15,'Paramètres'!$A$1:$I$88,3,0)*0.475*44/12</f>
        <v>#N/A</v>
      </c>
      <c r="EW49" s="162" t="str">
        <f>EXP(-LN(2)/25)*EW48+(1-EXP(-LN(2)/25))/(LN(2)/25)*Calculateur!ER49*Calculateur!ET49*VLOOKUP('Données projet'!$B$15,'Paramètres'!$A$1:$I$88,3,0)*0.475*44/12</f>
        <v>#N/A</v>
      </c>
      <c r="EX49" s="162" t="str">
        <f>EXP(-LN(2)/2)*EX48+(1-EXP(-LN(2)/2))/(LN(2)/2)*ER49*EU49*VLOOKUP('Données projet'!$B$15,'Paramètres'!$A$1:$I$88,3,0)*0.475*44/12</f>
        <v>#N/A</v>
      </c>
      <c r="EY49" s="163" t="str">
        <f t="shared" si="22"/>
        <v>#N/A</v>
      </c>
      <c r="EZ49" s="159">
        <f>('Scénario référence'!$F$8+'Scénario référence'!$F$9+'Scénario référence'!$B$17+'Scénario référence'!$B$9+'Scénario référence'!$B$10)*70+IF((45+25*(1-EXP(-0.0175*A49)))&lt;70,'Scénario référence'!$B$16*(45+25*(1-EXP(-0.0175*A49))),70*'Scénario référence'!$B$16)+IF((32+38*(1-EXP(-0.0175*A49)))&lt;70,'Scénario référence'!$B$18*(32+38*(1-EXP(-0.0175*A49))),70*'Scénario référence'!$B$18)</f>
        <v>70</v>
      </c>
      <c r="FA49" s="151">
        <f>IF(A49&gt;30,10,('Scénario référence'!$B$16+'Scénario référence'!$B$17+'Scénario référence'!$B$18+'Scénario référence'!$B$9+'Scénario référence'!$B$10)*A49*10/30+('Scénario référence'!$F$8+'Scénario référence'!$F$9)*10)</f>
        <v>10</v>
      </c>
      <c r="FB49" s="151" t="str">
        <f>VLOOKUP(A49,'Données projet'!$A$217:$I$237,2,0)</f>
        <v>#N/A</v>
      </c>
      <c r="FC49" s="151" t="str">
        <f>VLOOKUP(A49,'Données projet'!$A$217:$I$237,9,0)</f>
        <v>#N/A</v>
      </c>
      <c r="FD49" s="151" t="str">
        <f t="array" ref="FD49">INDEX(FC:FC,MIN(IF(ISNUMBER(FC49:FC245),ROW(FC49:FC245),"")))</f>
        <v/>
      </c>
      <c r="FE49" s="151">
        <f>IF('Données projet'!$A$218&gt;35,FE48+FD49-FM48,IF(A49&lt;'Données projet'!$A$218,$FB$205^A49,IF(A49='Données projet'!$A$218,'Données projet'!$B$218,FE48+FD49-FM48)))</f>
        <v>0</v>
      </c>
      <c r="FF49" s="158" t="str">
        <f>FE49*VLOOKUP('Données projet'!$B$16,'Paramètres'!$A$1:$I$88,3,0)*VLOOKUP('Données projet'!$B$16,'Paramètres'!$A$1:$I$88,5,0)</f>
        <v>#N/A</v>
      </c>
      <c r="FG49" s="150" t="str">
        <f t="shared" si="48"/>
        <v>#N/A</v>
      </c>
      <c r="FH49" s="161" t="str">
        <f t="shared" si="23"/>
        <v>#N/A</v>
      </c>
      <c r="FI49" s="153" t="str">
        <f t="shared" si="24"/>
        <v>#N/A</v>
      </c>
      <c r="FJ49" s="153" t="str">
        <f>AVERAGE(OFFSET($FI$3,0,0,'Données projet'!$E$16+1,1))-AVERAGE(OFFSET($H$3,0,0,'Données projet'!$E$16+1,1))</f>
        <v>#N/A</v>
      </c>
      <c r="FK49" s="153" t="str">
        <f t="shared" si="49"/>
        <v>#N/A</v>
      </c>
      <c r="FL49" s="154">
        <f>IF(ISNA(VLOOKUP(A49,'Données projet'!$A$217:$I$237,3,0)),0,VLOOKUP(A49,'Données projet'!$A$217:$I$237,3,0))</f>
        <v>0</v>
      </c>
      <c r="FM49" s="154">
        <f>IF(ISNA(VLOOKUP(A49,'Données projet'!$A$217:$I$237,4,0)),0,VLOOKUP(A49,'Données projet'!$A$217:$I$237,4,0))</f>
        <v>0</v>
      </c>
      <c r="FN49" s="155">
        <f>IF(ISNA(VLOOKUP(A49,'Données projet'!$A$217:$I$237,5,0)),0%,VLOOKUP(A49,'Données projet'!$A$217:$I$237,5,0)*VLOOKUP('Données projet'!$B$16,'Paramètres'!$A$1:$I$88,7,0))</f>
        <v>0</v>
      </c>
      <c r="FO49" s="155">
        <f>IF(ISNA(VLOOKUP(A49,'Données projet'!$A$217:$I$237,6,0)),0%,VLOOKUP(A49,'Données projet'!$A$217:$I$237,6,0)*VLOOKUP('Données projet'!$B$16,'Paramètres'!$A$1:$I$88,7,0))</f>
        <v>0</v>
      </c>
      <c r="FP49" s="155">
        <f>IF(ISNA(VLOOKUP(A49,'Données projet'!$A$217:$I$237,7,0)),0%,VLOOKUP(A49,'Données projet'!$A$217:$I$237,7,0))</f>
        <v>0</v>
      </c>
      <c r="FQ49" s="162" t="str">
        <f>EXP(-LN(2)/35)*FQ48+(1-EXP(-LN(2)/35))/(LN(2)/35)*FM49*FN49*VLOOKUP('Données projet'!$B$16,'Paramètres'!$A$1:$I$88,3,0)*0.475*44/12</f>
        <v>#N/A</v>
      </c>
      <c r="FR49" s="162" t="str">
        <f>EXP(-LN(2)/25)*FR48+(1-EXP(-LN(2)/25))/(LN(2)/25)*Calculateur!FM49*Calculateur!FO49*VLOOKUP('Données projet'!$B$16,'Paramètres'!$A$1:$I$88,3,0)*0.475*44/12</f>
        <v>#N/A</v>
      </c>
      <c r="FS49" s="162" t="str">
        <f>EXP(-LN(2)/2)*FS48+(1-EXP(-LN(2)/2))/(LN(2)/2)*FM49*FP49*VLOOKUP('Données projet'!$B$16,'Paramètres'!$A$1:$I$88,3,0)*0.475*44/12</f>
        <v>#N/A</v>
      </c>
      <c r="FT49" s="163" t="str">
        <f t="shared" si="25"/>
        <v>#N/A</v>
      </c>
      <c r="FU49" s="159">
        <f>('Scénario référence'!$F$8+'Scénario référence'!$F$9+'Scénario référence'!$B$17+'Scénario référence'!$B$9+'Scénario référence'!$B$10)*70+IF((45+25*(1-EXP(-0.0175*A49)))&lt;70,'Scénario référence'!$B$16*(45+25*(1-EXP(-0.0175*A49))),70*'Scénario référence'!$B$16)+IF((32+38*(1-EXP(-0.0175*A49)))&lt;70,'Scénario référence'!$B$18*(32+38*(1-EXP(-0.0175*A49))),70*'Scénario référence'!$B$18)</f>
        <v>70</v>
      </c>
      <c r="FV49" s="151">
        <f>IF(A49&gt;30,10,('Scénario référence'!$B$16+'Scénario référence'!$B$17+'Scénario référence'!$B$18+'Scénario référence'!$B$9+'Scénario référence'!$B$10)*A49*10/30+('Scénario référence'!$F$8+'Scénario référence'!$F$9)*10)</f>
        <v>10</v>
      </c>
      <c r="FW49" s="151" t="str">
        <f>VLOOKUP(A49,'Données projet'!$A$243:$I$263,2,0)</f>
        <v>#N/A</v>
      </c>
      <c r="FX49" s="151" t="str">
        <f>VLOOKUP(A49,'Données projet'!$A$243:$I$263,9,0)</f>
        <v>#N/A</v>
      </c>
      <c r="FY49" s="151" t="str">
        <f t="array" ref="FY49">INDEX(FX:FX,MIN(IF(ISNUMBER(FX49:FX245),ROW(FX49:FX245),"")))</f>
        <v/>
      </c>
      <c r="FZ49" s="151">
        <f>IF('Données projet'!$A$244&gt;35,FZ48+FY49-GH48,IF(A49&lt;'Données projet'!$A$244,$FW$205^A49,IF(A49='Données projet'!$A$244,'Données projet'!$B$244,FZ48+FY49-GH48)))</f>
        <v>0</v>
      </c>
      <c r="GA49" s="158" t="str">
        <f>FZ49*VLOOKUP('Données projet'!$B$17,'Paramètres'!$A$1:$I$88,3,0)*VLOOKUP('Données projet'!$B$17,'Paramètres'!$A$1:$I$88,5,0)</f>
        <v>#N/A</v>
      </c>
      <c r="GB49" s="150" t="str">
        <f t="shared" si="50"/>
        <v>#N/A</v>
      </c>
      <c r="GC49" s="161" t="str">
        <f t="shared" si="26"/>
        <v>#N/A</v>
      </c>
      <c r="GD49" s="153" t="str">
        <f t="shared" si="27"/>
        <v>#N/A</v>
      </c>
      <c r="GE49" s="153" t="str">
        <f>AVERAGE(OFFSET($GD$3,0,0,'Données projet'!$E$17+1,1))-AVERAGE(OFFSET($H$3,0,0,'Données projet'!$E$17+1,1))</f>
        <v>#N/A</v>
      </c>
      <c r="GF49" s="153" t="str">
        <f t="shared" si="51"/>
        <v>#N/A</v>
      </c>
      <c r="GG49" s="154">
        <f>IF(ISNA(VLOOKUP(A49,'Données projet'!$A$243:$I$263,3,0)),0,VLOOKUP(A49,'Données projet'!$A$243:$I$263,3,0))</f>
        <v>0</v>
      </c>
      <c r="GH49" s="154">
        <f>IF(ISNA(VLOOKUP(A49,'Données projet'!$A$243:$I$263,4,0)),0,VLOOKUP(A49,'Données projet'!$A$243:$I$263,4,0))</f>
        <v>0</v>
      </c>
      <c r="GI49" s="155">
        <f>IF(ISNA(VLOOKUP(A49,'Données projet'!$A$243:$I$263,5,0)),0%,VLOOKUP(A49,'Données projet'!$A$243:$I$263,5,0)*VLOOKUP('Données projet'!$B$17,'Paramètres'!$A$1:$I$88,7,0))</f>
        <v>0</v>
      </c>
      <c r="GJ49" s="155">
        <f>IF(ISNA(VLOOKUP(A49,'Données projet'!$A$243:$I$263,6,0)),0%,VLOOKUP(A49,'Données projet'!$A$243:$I$263,6,0)*VLOOKUP('Données projet'!$B$17,'Paramètres'!$A$1:$I$88,7,0))</f>
        <v>0</v>
      </c>
      <c r="GK49" s="155">
        <f>IF(ISNA(VLOOKUP(A49,'Données projet'!$A$243:$I$263,7,0)),0%,VLOOKUP(A49,'Données projet'!$A$243:$I$263,7,0))</f>
        <v>0</v>
      </c>
      <c r="GL49" s="162" t="str">
        <f>EXP(-LN(2)/35)*GL48+(1-EXP(-LN(2)/35))/(LN(2)/35)*GH49*GI49*VLOOKUP('Données projet'!$B$17,'Paramètres'!$A$1:$I$88,3,0)*0.475*44/12</f>
        <v>#N/A</v>
      </c>
      <c r="GM49" s="162" t="str">
        <f>EXP(-LN(2)/25)*GM48+(1-EXP(-LN(2)/25))/(LN(2)/25)*Calculateur!GH49*Calculateur!GJ49*VLOOKUP('Données projet'!$B$17,'Paramètres'!$A$1:$I$88,3,0)*0.475*44/12</f>
        <v>#N/A</v>
      </c>
      <c r="GN49" s="162" t="str">
        <f>EXP(-LN(2)/2)*GN48+(1-EXP(-LN(2)/2))/(LN(2)/2)*GH49*GK49*VLOOKUP('Données projet'!$B$17,'Paramètres'!$A$1:$I$88,3,0)*0.475*44/12</f>
        <v>#N/A</v>
      </c>
      <c r="GO49" s="162" t="str">
        <f t="shared" si="28"/>
        <v>#N/A</v>
      </c>
      <c r="GP49" s="159">
        <f>('Scénario référence'!$F$8+'Scénario référence'!$F$9+'Scénario référence'!$B$17+'Scénario référence'!$B$9+'Scénario référence'!$B$10)*70+IF((45+25*(1-EXP(-0.0175*A49)))&lt;70,'Scénario référence'!$B$16*(45+25*(1-EXP(-0.0175*A49))),70*'Scénario référence'!$B$16)+IF((32+38*(1-EXP(-0.0175*A49)))&lt;70,'Scénario référence'!$B$18*(32+38*(1-EXP(-0.0175*A49))),70*'Scénario référence'!$B$18)</f>
        <v>70</v>
      </c>
      <c r="GQ49" s="151">
        <f>IF(A49&gt;30,10,('Scénario référence'!$B$16+'Scénario référence'!$B$17+'Scénario référence'!$B$18+'Scénario référence'!$B$9+'Scénario référence'!$B$10)*A49*10/30+('Scénario référence'!$F$8+'Scénario référence'!$F$9)*10)</f>
        <v>10</v>
      </c>
      <c r="GR49" s="151" t="str">
        <f>VLOOKUP(A49,'Données projet'!$A$269:$I$289,2,0)</f>
        <v>#N/A</v>
      </c>
      <c r="GS49" s="151" t="str">
        <f>VLOOKUP(A49,'Données projet'!$A$269:$I$289,9,0)</f>
        <v>#N/A</v>
      </c>
      <c r="GT49" s="151" t="str">
        <f t="array" ref="GT49">INDEX(GS:GS,MIN(IF(ISNUMBER(GS49:GS245),ROW(GS49:GS245),"")))</f>
        <v/>
      </c>
      <c r="GU49" s="151">
        <f>IF('Données projet'!$A$270&gt;35,GU48+GT49-HC48,IF(A49&lt;'Données projet'!$A$270,$GR$205^A49,IF(A49='Données projet'!$A$270,'Données projet'!$B$270,GU48+GT49-HC48)))</f>
        <v>0</v>
      </c>
      <c r="GV49" s="158" t="str">
        <f>GU49*VLOOKUP('Données projet'!$B$18,'Paramètres'!$A$1:$I$88,3,0)*VLOOKUP('Données projet'!$B$18,'Paramètres'!$A$1:$I$88,5,0)</f>
        <v>#N/A</v>
      </c>
      <c r="GW49" s="150" t="str">
        <f t="shared" si="52"/>
        <v>#N/A</v>
      </c>
      <c r="GX49" s="161" t="str">
        <f t="shared" si="29"/>
        <v>#N/A</v>
      </c>
      <c r="GY49" s="153" t="str">
        <f t="shared" si="30"/>
        <v>#N/A</v>
      </c>
      <c r="GZ49" s="153" t="str">
        <f>AVERAGE(OFFSET($GY$3,0,0,'Données projet'!$E$18+1,1))-AVERAGE(OFFSET($H$3,0,0,'Données projet'!$E$18+1,1))</f>
        <v>#N/A</v>
      </c>
      <c r="HA49" s="153" t="str">
        <f t="shared" si="53"/>
        <v>#N/A</v>
      </c>
      <c r="HB49" s="154">
        <f>IF(ISNA(VLOOKUP(A49,'Données projet'!$A$269:$I$289,3,0)),0,VLOOKUP(A49,'Données projet'!$A$269:$I$289,3,0))</f>
        <v>0</v>
      </c>
      <c r="HC49" s="154">
        <f>IF(ISNA(VLOOKUP(A49,'Données projet'!$A$269:$I$289,4,0)),0,VLOOKUP(A49,'Données projet'!$A$269:$I$289,4,0))</f>
        <v>0</v>
      </c>
      <c r="HD49" s="155">
        <f>IF(ISNA(VLOOKUP(A49,'Données projet'!$A$269:$I$289,5,0)),0%,VLOOKUP(A49,'Données projet'!$A$269:$I$289,5,0)*VLOOKUP('Données projet'!$B$18,'Paramètres'!$A$1:$I$88,7,0))</f>
        <v>0</v>
      </c>
      <c r="HE49" s="155">
        <f>IF(ISNA(VLOOKUP(A49,'Données projet'!$A$269:$I$289,6,0)),0%,VLOOKUP(A49,'Données projet'!$A$269:$I$289,6,0)*VLOOKUP('Données projet'!$B$18,'Paramètres'!$A$1:$I$88,7,0))</f>
        <v>0</v>
      </c>
      <c r="HF49" s="155">
        <f>IF(ISNA(VLOOKUP(A49,'Données projet'!$A$269:$I$289,7,0)),0%,VLOOKUP(A49,'Données projet'!$A$269:$I$289,7,0))</f>
        <v>0</v>
      </c>
      <c r="HG49" s="162" t="str">
        <f>EXP(-LN(2)/35)*HG48+(1-EXP(-LN(2)/35))/(LN(2)/35)*HC49*HD49*VLOOKUP('Données projet'!$B$18,'Paramètres'!$A$1:$I$88,3,0)*0.475*44/12</f>
        <v>#N/A</v>
      </c>
      <c r="HH49" s="162" t="str">
        <f>EXP(-LN(2)/25)*HH48+(1-EXP(-LN(2)/25))/(LN(2)/25)*Calculateur!HC49*Calculateur!HE49*VLOOKUP('Données projet'!$B$18,'Paramètres'!$A$1:$I$88,3,0)*0.475*44/12</f>
        <v>#N/A</v>
      </c>
      <c r="HI49" s="162" t="str">
        <f>EXP(-LN(2)/2)*HI48+(1-EXP(-LN(2)/2))/(LN(2)/2)*HC49*HF49*VLOOKUP('Données projet'!$B$18,'Paramètres'!$A$1:$I$88,3,0)*0.475*44/12</f>
        <v>#N/A</v>
      </c>
      <c r="HJ49" s="163" t="str">
        <f t="shared" si="31"/>
        <v>#N/A</v>
      </c>
    </row>
    <row r="50" ht="15.75" customHeight="1">
      <c r="A50" s="145">
        <f t="shared" si="32"/>
        <v>47</v>
      </c>
      <c r="B50" s="146">
        <f>'Scénario référence'!$B$16*5+'Scénario référence'!$B$17*0+'Scénario référence'!$B$18*5</f>
        <v>0</v>
      </c>
      <c r="C50" s="160">
        <f>Calculateur!C49+'Scénario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50" s="147">
        <f t="shared" si="33"/>
        <v>0</v>
      </c>
      <c r="E50" s="147">
        <f>'Scénario référence'!$B$16*45+('Scénario référence'!$B$17+'Scénario référence'!$F$8+'Scénario référence'!$F$9+'Scénario référence'!$B$10+'Scénario référence'!$B$9)*70+'Scénario référence'!$B$18*32</f>
        <v>70</v>
      </c>
      <c r="F50" s="147">
        <f>IF(OR('Scénario référence'!$F$8&gt;0,'Scénario référence'!$F$9&gt;0),('Scénario référence'!$F$8+'Scénario référence'!$F$9)*10,0)</f>
        <v>0</v>
      </c>
      <c r="G50" s="147">
        <f>'Scénario référence'!$B$8*B50*44/12+'Scénario référence'!$B$9*(C50+D50)/0.475*44/12+'Scénario référence'!$B$10*(C50+D50)/0.475*44/12+'Scénario référence'!$F$8*(C50+D50)/0.475*44/12+'Scénario référence'!$F$9*(C50+D50)/0.475*44/12</f>
        <v>0</v>
      </c>
      <c r="H50" s="148">
        <f t="shared" si="1"/>
        <v>256.6666667</v>
      </c>
      <c r="I50" s="149">
        <f>('Scénario référence'!$F$8+'Scénario référence'!$F$9+'Scénario référence'!$B$17+'Scénario référence'!$B$9+'Scénario référence'!$B$10)*70+IF((45+25*(1-EXP(-0.0175*A50)))&lt;70,'Scénario référence'!$B$16*(45+25*(1-EXP(-0.0175*A50))),70*'Scénario référence'!$B$16)+IF((32+38*(1-EXP(-0.0175*A50)))&lt;70,'Scénario référence'!$B$18*(32+38*(1-EXP(-0.0175*A50))),70*'Scénario référence'!$B$18)</f>
        <v>70</v>
      </c>
      <c r="J50" s="150">
        <f>IF(A50&gt;30,10,('Scénario référence'!$B$16+'Scénario référence'!$B$17+'Scénario référence'!$B$18+'Scénario référence'!$B$9+'Scénario référence'!$B$10)*A50*10/30+('Scénario référence'!$F$8+'Scénario référence'!$F$9)*10)</f>
        <v>10</v>
      </c>
      <c r="K50" s="151" t="str">
        <f>VLOOKUP(A50,'Données projet'!$A$35:$I$55,2,0)</f>
        <v>#N/A</v>
      </c>
      <c r="L50" s="151" t="str">
        <f>VLOOKUP(A50,'Données projet'!$A$35:$I$55,9,0)</f>
        <v>#N/A</v>
      </c>
      <c r="M50" s="150">
        <f t="array" ref="M50">INDEX(L:L,MIN(IF(ISNUMBER(L50:L246),ROW(L50:L246),"")))</f>
        <v>11</v>
      </c>
      <c r="N50" s="150">
        <f>IF('Données projet'!$A$36&gt;35,N49+M50-V49,IF(A50&lt;'Données projet'!$A$36,$K$205^A50,IF(A50='Données projet'!$A$36,'Données projet'!$B$36,N49+M50-V49)))</f>
        <v>198</v>
      </c>
      <c r="O50" s="150">
        <f>N50*VLOOKUP('Données projet'!$B$9,'Paramètres'!$A$1:$I$88,3,0)*VLOOKUP('Données projet'!$B$9,'Paramètres'!$A$1:$I$88,5,0)</f>
        <v>179.1504</v>
      </c>
      <c r="P50" s="150">
        <f t="shared" si="34"/>
        <v>45.1331138</v>
      </c>
      <c r="Q50" s="161">
        <f t="shared" si="2"/>
        <v>390.6271199</v>
      </c>
      <c r="R50" s="153">
        <f t="shared" si="3"/>
        <v>683.9604532</v>
      </c>
      <c r="S50" s="153">
        <f>AVERAGE(OFFSET($R$3,0,0,'Données projet'!$E$9+1,1))-AVERAGE(OFFSET($H$3,0,0,'Données projet'!$E$9+1,1))</f>
        <v>439.1985427</v>
      </c>
      <c r="T50" s="153">
        <f t="shared" si="35"/>
        <v>278.2174123</v>
      </c>
      <c r="U50" s="154">
        <f>IF(ISNA(VLOOKUP(A50,'Données projet'!$A$35:$I$55,3,0)),0,VLOOKUP(A50,'Données projet'!$A$35:$I$55,3,0))</f>
        <v>0</v>
      </c>
      <c r="V50" s="154">
        <f>IF(ISNA(VLOOKUP(A50,'Données projet'!$A$35:$I$55,4,0)),0,VLOOKUP(A50,'Données projet'!$A$35:$I$55,4,0))</f>
        <v>0</v>
      </c>
      <c r="W50" s="155">
        <f>IF(ISNA(VLOOKUP(A50,'Données projet'!$A$35:$I$55,5,0)),0%,VLOOKUP(A50,'Données projet'!$A$35:$I$55,5,0)*VLOOKUP('Données projet'!$B$9,'Paramètres'!$A$1:$I$88,7,0))</f>
        <v>0</v>
      </c>
      <c r="X50" s="155">
        <f>IF(ISNA(VLOOKUP(A50,'Données projet'!$A$35:$I$55,6,0)),0%,VLOOKUP(A50,'Données projet'!$A$35:$I$55,6,0)*VLOOKUP('Données projet'!$B$9,'Paramètres'!$A$1:$I$88,7,0))</f>
        <v>0</v>
      </c>
      <c r="Y50" s="155">
        <f>IF(ISNA(VLOOKUP(A50,'Données projet'!$A$35:$I$55,7,0)),0%,VLOOKUP(A50,'Données projet'!$A$35:$I$55,7,0))</f>
        <v>0</v>
      </c>
      <c r="Z50" s="162">
        <f>EXP(-LN(2)/35)*Z49+(1-EXP(-LN(2)/35))/(LN(2)/35)*V50*W50*VLOOKUP('Données projet'!$B$9,'Paramètres'!$A$1:$I$88,3,0)*0.475*44/12</f>
        <v>0</v>
      </c>
      <c r="AA50" s="162">
        <f>EXP(-LN(2)/25)*AA49+(1-EXP(-LN(2)/25))/(LN(2)/25)*Calculateur!V50*Calculateur!X50*VLOOKUP('Données projet'!$B$9,'Paramètres'!$A$1:$I$88,3,0)*0.475*44/12</f>
        <v>2.800992087</v>
      </c>
      <c r="AB50" s="162">
        <f>EXP(-LN(2)/2)*AB49+(1-EXP(-LN(2)/2))/(LN(2)/2)*V50*Y50*VLOOKUP('Données projet'!$B$9,'Paramètres'!$A$1:$I$88,3,0)*0.475*44/12</f>
        <v>0</v>
      </c>
      <c r="AC50" s="163">
        <f t="shared" si="4"/>
        <v>2.800992087</v>
      </c>
      <c r="AD50" s="150">
        <f>('Scénario référence'!$F$8+'Scénario référence'!$F$9+'Scénario référence'!$B$17+'Scénario référence'!$B$9+'Scénario référence'!$B$10)*70+IF((45+25*(1-EXP(-0.0175*A50)))&lt;70,'Scénario référence'!$B$16*(45+25*(1-EXP(-0.0175*A50))),70*'Scénario référence'!$B$16)+IF((32+38*(1-EXP(-0.0175*A50)))&lt;70,'Scénario référence'!$B$18*(32+38*(1-EXP(-0.0175*A50))),70*'Scénario référence'!$B$18)</f>
        <v>70</v>
      </c>
      <c r="AE50" s="150">
        <f>IF(A50&gt;30,10,('Scénario référence'!$B$16+'Scénario référence'!$B$17+'Scénario référence'!$B$18+'Scénario référence'!$B$9+'Scénario référence'!$B$10)*A50*10/30+('Scénario référence'!$F$8+'Scénario référence'!$F$9)*10)</f>
        <v>10</v>
      </c>
      <c r="AF50" s="151" t="str">
        <f>VLOOKUP(A50,'Données projet'!$A$61:$I$81,2,0)</f>
        <v>#N/A</v>
      </c>
      <c r="AG50" s="151" t="str">
        <f>VLOOKUP(A50,'Données projet'!$A$61:$I$81,9,0)</f>
        <v>#N/A</v>
      </c>
      <c r="AH50" s="150">
        <f t="array" ref="AH50">INDEX(AG:AG,MIN(IF(ISNUMBER(AG50:AG246),ROW(AG50:AG246),"")))</f>
        <v>9.8</v>
      </c>
      <c r="AI50" s="150">
        <f>IF('Données projet'!$A$62&gt;35,AI49+AH50-AQ49,IF(A50&lt;'Données projet'!$A$62,$AF$205^A50,IF(A50='Données projet'!$A$62,'Données projet'!$B$62,AI49+AH50-AQ49)))</f>
        <v>273.6</v>
      </c>
      <c r="AJ50" s="150">
        <f>AI50*VLOOKUP('Données projet'!$B$10,'Paramètres'!$A$1:$I$88,3,0)*VLOOKUP('Données projet'!$B$10,'Paramètres'!$A$1:$I$88,5,0)</f>
        <v>217.67616</v>
      </c>
      <c r="AK50" s="150">
        <f t="shared" si="36"/>
        <v>53.60949885</v>
      </c>
      <c r="AL50" s="161">
        <f t="shared" si="5"/>
        <v>472.4891892</v>
      </c>
      <c r="AM50" s="153">
        <f t="shared" si="6"/>
        <v>765.8225225</v>
      </c>
      <c r="AN50" s="153">
        <f>AVERAGE(OFFSET($AM$3,0,0,'Données projet'!$E$10+1,1))-AVERAGE(OFFSET($H$3,0,0,'Données projet'!$E$10+1,1))</f>
        <v>405.6113614</v>
      </c>
      <c r="AO50" s="153">
        <f t="shared" si="37"/>
        <v>393.0787141</v>
      </c>
      <c r="AP50" s="154">
        <f>IF(ISNA(VLOOKUP(A50,'Données projet'!$A$61:$I$81,3,0)),0,VLOOKUP(A50,'Données projet'!$A$61:$I$81,3,0))</f>
        <v>0</v>
      </c>
      <c r="AQ50" s="154">
        <f>IF(ISNA(VLOOKUP(A50,'Données projet'!$A$61:$I$81,4,0)),0,VLOOKUP(A50,'Données projet'!$A$61:$I$81,4,0))</f>
        <v>0</v>
      </c>
      <c r="AR50" s="155">
        <f>IF(ISNA(VLOOKUP(A50,'Données projet'!$A$61:$I$81,5,0)),0%,VLOOKUP(A50,'Données projet'!$A$61:$I$81,5,0)*VLOOKUP('Données projet'!$B$10,'Paramètres'!$A$1:$I$88,7,0))</f>
        <v>0</v>
      </c>
      <c r="AS50" s="155">
        <f>IF(ISNA(VLOOKUP(A50,'Données projet'!$A$61:$I$81,6,0)),0%,VLOOKUP(A50,'Données projet'!$A$61:$I$81,6,0)*VLOOKUP('Données projet'!$B$10,'Paramètres'!$A$1:$I$88,7,0))</f>
        <v>0</v>
      </c>
      <c r="AT50" s="155">
        <f>IF(ISNA(VLOOKUP(A50,'Données projet'!$A$61:$I$81,7,0)),0%,VLOOKUP(A50,'Données projet'!$A$61:$I$81,7,0))</f>
        <v>0</v>
      </c>
      <c r="AU50" s="162">
        <f>EXP(-LN(2)/35)*AU49+(1-EXP(-LN(2)/35))/(LN(2)/35)*AQ50*AR50*VLOOKUP('Données projet'!$B$10,'Paramètres'!$A$1:$I$88,3,0)*0.475*44/12</f>
        <v>0</v>
      </c>
      <c r="AV50" s="162">
        <f>EXP(-LN(2)/25)*AV49+(1-EXP(-LN(2)/25))/(LN(2)/25)*Calculateur!AQ50*Calculateur!AS50*VLOOKUP('Données projet'!$B$10,'Paramètres'!$A$1:$I$88,3,0)*0.475*44/12</f>
        <v>11.38394388</v>
      </c>
      <c r="AW50" s="162">
        <f>EXP(-LN(2)/2)*AW49+(1-EXP(-LN(2)/2))/(LN(2)/2)*AQ50*AT50*VLOOKUP('Données projet'!$B$10,'Paramètres'!$A$1:$I$88,3,0)*0.475*44/12</f>
        <v>0.001601243869</v>
      </c>
      <c r="AX50" s="162">
        <f t="shared" si="7"/>
        <v>11.38554513</v>
      </c>
      <c r="AY50" s="157">
        <f>('Scénario référence'!$F$8+'Scénario référence'!$F$9+'Scénario référence'!$B$17+'Scénario référence'!$B$9+'Scénario référence'!$B$10)*70+IF((45+25*(1-EXP(-0.0175*A50)))&lt;70,'Scénario référence'!$B$16*(45+25*(1-EXP(-0.0175*A50))),70*'Scénario référence'!$B$16)+IF((32+38*(1-EXP(-0.0175*A50)))&lt;70,'Scénario référence'!$B$18*(32+38*(1-EXP(-0.0175*A50))),70*'Scénario référence'!$B$18)</f>
        <v>70</v>
      </c>
      <c r="AZ50" s="151">
        <f>IF(A50&gt;30,10,('Scénario référence'!$B$16+'Scénario référence'!$B$17+'Scénario référence'!$B$18+'Scénario référence'!$B$9+'Scénario référence'!$B$10)*A50*10/30+('Scénario référence'!$F$8+'Scénario référence'!$F$9)*10)</f>
        <v>10</v>
      </c>
      <c r="BA50" s="151" t="str">
        <f>VLOOKUP(A50,'Données projet'!$A$87:$I$107,2,0)</f>
        <v>#N/A</v>
      </c>
      <c r="BB50" s="151" t="str">
        <f>VLOOKUP(A50,'Données projet'!$A$87:$I$107,9,0)</f>
        <v>#N/A</v>
      </c>
      <c r="BC50" s="150" t="str">
        <f t="array" ref="BC50">INDEX(BB:BB,MIN(IF(ISNUMBER(BB50:BB246),ROW(BB50:BB246),"")))</f>
        <v/>
      </c>
      <c r="BD50" s="150">
        <f>IF('Données projet'!$A$88&gt;35,BD49+BC50-BL49,IF(A50&lt;'Données projet'!$A$88,$BA$205^A50,IF(A50='Données projet'!$A$88,'Données projet'!$B$88,BD49+BC50-BL49)))</f>
        <v>0</v>
      </c>
      <c r="BE50" s="150">
        <f>BD50*VLOOKUP('Données projet'!$B$11,'Paramètres'!$A$1:$I$88,3,0)*VLOOKUP('Données projet'!$B$11,'Paramètres'!$A$1:$I$88,5,0)</f>
        <v>0</v>
      </c>
      <c r="BF50" s="150" t="str">
        <f t="shared" si="38"/>
        <v>#NUM!</v>
      </c>
      <c r="BG50" s="161" t="str">
        <f t="shared" si="8"/>
        <v>#NUM!</v>
      </c>
      <c r="BH50" s="153" t="str">
        <f t="shared" si="9"/>
        <v>#NUM!</v>
      </c>
      <c r="BI50" s="153">
        <f>AVERAGE(OFFSET($BH$3,0,0,'Données projet'!$E$11+1,1))-AVERAGE(OFFSET($H$3,0,0,'Données projet'!$E$11+1,1))</f>
        <v>0</v>
      </c>
      <c r="BJ50" s="153">
        <f t="shared" si="39"/>
        <v>0</v>
      </c>
      <c r="BK50" s="154">
        <f>IF(ISNA(VLOOKUP(A50,'Données projet'!$A$87:$I$107,3,0)),0,VLOOKUP(A50,'Données projet'!$A$87:$I$107,3,0))</f>
        <v>0</v>
      </c>
      <c r="BL50" s="154">
        <f>IF(ISNA(VLOOKUP(A50,'Données projet'!$A$87:$I$107,4,0)),0,VLOOKUP(A50,'Données projet'!$A$87:$I$107,4,0))</f>
        <v>0</v>
      </c>
      <c r="BM50" s="155">
        <f>IF(ISNA(VLOOKUP(A50,'Données projet'!$A$87:$I$107,5,0)),0%,VLOOKUP(A50,'Données projet'!$A$87:$I$107,5,0)*VLOOKUP('Données projet'!$B$11,'Paramètres'!$A$1:$I$88,7,0))</f>
        <v>0</v>
      </c>
      <c r="BN50" s="155">
        <f>IF(ISNA(VLOOKUP(A50,'Données projet'!$A$87:$I$107,6,0)),0%,VLOOKUP(A50,'Données projet'!$A$87:$I$107,6,0)*VLOOKUP('Données projet'!$B$11,'Paramètres'!$A$1:$I$88,7,0))</f>
        <v>0</v>
      </c>
      <c r="BO50" s="155">
        <f>IF(ISNA(VLOOKUP(A50,'Données projet'!$A$87:$I$107,7,0)),0%,VLOOKUP(A50,'Données projet'!$A$87:$I$107,7,0))</f>
        <v>0</v>
      </c>
      <c r="BP50" s="162">
        <f>EXP(-LN(2)/35)*BP49+(1-EXP(-LN(2)/35))/(LN(2)/35)*BL50*BM50*VLOOKUP('Données projet'!$B$11,'Paramètres'!$A$1:$I$88,3,0)*0.475*44/12</f>
        <v>0</v>
      </c>
      <c r="BQ50" s="162">
        <f>EXP(-LN(2)/25)*BQ49+(1-EXP(-LN(2)/25))/(LN(2)/25)*Calculateur!BL50*Calculateur!BN50*VLOOKUP('Données projet'!$B$11,'Paramètres'!$A$1:$I$88,3,0)*0.475*44/12</f>
        <v>0</v>
      </c>
      <c r="BR50" s="162">
        <f>EXP(-LN(2)/2)*BR49+(1-EXP(-LN(2)/2))/(LN(2)/2)*BL50*BO50*VLOOKUP('Données projet'!$B$11,'Paramètres'!$A$1:$I$88,3,0)*0.475*44/12</f>
        <v>0</v>
      </c>
      <c r="BS50" s="163">
        <f t="shared" si="10"/>
        <v>0</v>
      </c>
      <c r="BT50" s="159">
        <f>('Scénario référence'!$F$8+'Scénario référence'!$F$9+'Scénario référence'!$B$17+'Scénario référence'!$B$9+'Scénario référence'!$B$10)*70+IF((45+25*(1-EXP(-0.0175*A50)))&lt;70,'Scénario référence'!$B$16*(45+25*(1-EXP(-0.0175*A50))),70*'Scénario référence'!$B$16)+IF((32+38*(1-EXP(-0.0175*A50)))&lt;70,'Scénario référence'!$B$18*(32+38*(1-EXP(-0.0175*A50))),70*'Scénario référence'!$B$18)</f>
        <v>70</v>
      </c>
      <c r="BU50" s="151">
        <f>IF(A50&gt;30,10,('Scénario référence'!$B$16+'Scénario référence'!$B$17+'Scénario référence'!$B$18+'Scénario référence'!$B$9+'Scénario référence'!$B$10)*A50*10/30+('Scénario référence'!$F$8+'Scénario référence'!$F$9)*10)</f>
        <v>10</v>
      </c>
      <c r="BV50" s="151" t="str">
        <f>VLOOKUP(A50,'Données projet'!$A$113:$I$133,2,0)</f>
        <v>#N/A</v>
      </c>
      <c r="BW50" s="151" t="str">
        <f>VLOOKUP(A50,'Données projet'!$A$113:$I$133,9,0)</f>
        <v>#N/A</v>
      </c>
      <c r="BX50" s="150" t="str">
        <f t="array" ref="BX50">INDEX(BW:BW,MIN(IF(ISNUMBER(BW50:BW246),ROW(BW50:BW246),"")))</f>
        <v/>
      </c>
      <c r="BY50" s="150">
        <f>IF('Données projet'!$A$114&gt;35,BY49+BX50-CG49,IF(A50&lt;'Données projet'!$A$114,$BV$205^A50,IF(A50='Données projet'!$A$114,'Données projet'!$B$114,BY49+BX50-CG49)))</f>
        <v>0</v>
      </c>
      <c r="BZ50" s="150" t="str">
        <f>BY50*VLOOKUP('Données projet'!$B$12,'Paramètres'!$A$1:$I$88,3,0)*VLOOKUP('Données projet'!$B$12,'Paramètres'!$A$1:$I$88,5,0)</f>
        <v>#N/A</v>
      </c>
      <c r="CA50" s="150" t="str">
        <f t="shared" si="40"/>
        <v>#N/A</v>
      </c>
      <c r="CB50" s="161" t="str">
        <f t="shared" si="11"/>
        <v>#N/A</v>
      </c>
      <c r="CC50" s="153" t="str">
        <f t="shared" si="12"/>
        <v>#N/A</v>
      </c>
      <c r="CD50" s="153" t="str">
        <f>AVERAGE(OFFSET($CC$3,0,0,'Données projet'!$E$12+1,1))-AVERAGE(OFFSET($H$3,0,0,'Données projet'!$E$12+1,1))</f>
        <v>#N/A</v>
      </c>
      <c r="CE50" s="153" t="str">
        <f t="shared" si="41"/>
        <v>#N/A</v>
      </c>
      <c r="CF50" s="154">
        <f>IF(ISNA(VLOOKUP(A50,'Données projet'!$A$113:$I$133,3,0)),0,VLOOKUP(A50,'Données projet'!$A$113:$I$133,3,0))</f>
        <v>0</v>
      </c>
      <c r="CG50" s="154">
        <f>IF(ISNA(VLOOKUP(A50,'Données projet'!$A$113:$I$133,4,0)),0,VLOOKUP(A50,'Données projet'!$A$113:$I$133,4,0))</f>
        <v>0</v>
      </c>
      <c r="CH50" s="155">
        <f>IF(ISNA(VLOOKUP(A50,'Données projet'!$A$113:$I$133,5,0)),0%,VLOOKUP(A50,'Données projet'!$A$113:$I$133,5,0)*VLOOKUP('Données projet'!$B$12,'Paramètres'!$A$1:$I$88,7,0))</f>
        <v>0</v>
      </c>
      <c r="CI50" s="155">
        <f>IF(ISNA(VLOOKUP(A50,'Données projet'!$A$113:$I$133,6,0)),0%,VLOOKUP(A50,'Données projet'!$A$113:$I$133,6,0)*VLOOKUP('Données projet'!$B$12,'Paramètres'!$A$1:$I$88,7,0))</f>
        <v>0</v>
      </c>
      <c r="CJ50" s="155">
        <f>IF(ISNA(VLOOKUP(A50,'Données projet'!$A$113:$I$133,7,0)),0%,VLOOKUP(A50,'Données projet'!$A$113:$I$133,7,0))</f>
        <v>0</v>
      </c>
      <c r="CK50" s="162" t="str">
        <f>EXP(-LN(2)/35)*CK49+(1-EXP(-LN(2)/35))/(LN(2)/35)*CG50*CH50*VLOOKUP('Données projet'!$B$12,'Paramètres'!$A$1:$I$88,3,0)*0.475*44/12</f>
        <v>#N/A</v>
      </c>
      <c r="CL50" s="162" t="str">
        <f>EXP(-LN(2)/25)*CL49+(1-EXP(-LN(2)/25))/(LN(2)/25)*Calculateur!CG50*Calculateur!CI50*VLOOKUP('Données projet'!$B$12,'Paramètres'!$A$1:$I$88,3,0)*0.475*44/12</f>
        <v>#N/A</v>
      </c>
      <c r="CM50" s="162" t="str">
        <f>EXP(-LN(2)/2)*CM49+(1-EXP(-LN(2)/2))/(LN(2)/2)*CG50*CJ50*VLOOKUP('Données projet'!$B$12,'Paramètres'!$A$1:$I$88,3,0)*0.475*44/12</f>
        <v>#N/A</v>
      </c>
      <c r="CN50" s="163" t="str">
        <f t="shared" si="13"/>
        <v>#N/A</v>
      </c>
      <c r="CO50" s="159">
        <f>('Scénario référence'!$F$8+'Scénario référence'!$F$9+'Scénario référence'!$B$17+'Scénario référence'!$B$9+'Scénario référence'!$B$10)*70+IF((45+25*(1-EXP(-0.0175*A50)))&lt;70,'Scénario référence'!$B$16*(45+25*(1-EXP(-0.0175*A50))),70*'Scénario référence'!$B$16)+IF((32+38*(1-EXP(-0.0175*A50)))&lt;70,'Scénario référence'!$B$18*(32+38*(1-EXP(-0.0175*A50))),70*'Scénario référence'!$B$18)</f>
        <v>70</v>
      </c>
      <c r="CP50" s="151">
        <f>IF(A50&gt;30,10,('Scénario référence'!$B$16+'Scénario référence'!$B$17+'Scénario référence'!$B$18+'Scénario référence'!$B$9+'Scénario référence'!$B$10)*A50*10/30+('Scénario référence'!$F$8+'Scénario référence'!$F$9)*10)</f>
        <v>10</v>
      </c>
      <c r="CQ50" s="151" t="str">
        <f>VLOOKUP(A50,'Données projet'!$A$139:$I$159,2,0)</f>
        <v>#N/A</v>
      </c>
      <c r="CR50" s="151" t="str">
        <f>VLOOKUP(A50,'Données projet'!$A$139:$I$159,9,0)</f>
        <v>#N/A</v>
      </c>
      <c r="CS50" s="151" t="str">
        <f t="array" ref="CS50">INDEX(CR:CR,MIN(IF(ISNUMBER(CR50:CR246),ROW(CR50:CR246),"")))</f>
        <v/>
      </c>
      <c r="CT50" s="151">
        <f>IF('Données projet'!$A$140&gt;35,CT49+CS50-DB49,IF(A50&lt;'Données projet'!$A$140,$CQ$205^A50,IF(A50='Données projet'!$A$140,'Données projet'!$B$140,CT49+CS50-DB49)))</f>
        <v>0</v>
      </c>
      <c r="CU50" s="158" t="str">
        <f>CT50*VLOOKUP('Données projet'!$B$13,'Paramètres'!$A$1:$I$88,3,0)*VLOOKUP('Données projet'!$B$13,'Paramètres'!$A$1:$I$88,5,0)</f>
        <v>#N/A</v>
      </c>
      <c r="CV50" s="150" t="str">
        <f t="shared" si="42"/>
        <v>#N/A</v>
      </c>
      <c r="CW50" s="161" t="str">
        <f t="shared" si="14"/>
        <v>#N/A</v>
      </c>
      <c r="CX50" s="153" t="str">
        <f t="shared" si="15"/>
        <v>#N/A</v>
      </c>
      <c r="CY50" s="153" t="str">
        <f>AVERAGE(OFFSET($CX$3,0,0,'Données projet'!$E$13+1,1))-AVERAGE(OFFSET($H$3,0,0,'Données projet'!$E$13+1,1))</f>
        <v>#N/A</v>
      </c>
      <c r="CZ50" s="153" t="str">
        <f t="shared" si="43"/>
        <v>#N/A</v>
      </c>
      <c r="DA50" s="154">
        <f>IF(ISNA(VLOOKUP(A50,'Données projet'!$A$139:$I$159,3,0)),0,VLOOKUP(A50,'Données projet'!$A$139:$I$159,3,0))</f>
        <v>0</v>
      </c>
      <c r="DB50" s="154">
        <f>IF(ISNA(VLOOKUP(A50,'Données projet'!$A$139:$I$159,4,0)),0,VLOOKUP(A50,'Données projet'!$A$139:$I$159,4,0))</f>
        <v>0</v>
      </c>
      <c r="DC50" s="155">
        <f>IF(ISNA(VLOOKUP(A50,'Données projet'!$A$139:$I$159,5,0)),0%,VLOOKUP(A50,'Données projet'!$A$139:$I$159,5,0)*VLOOKUP('Données projet'!$B$13,'Paramètres'!$A$1:$I$88,7,0))</f>
        <v>0</v>
      </c>
      <c r="DD50" s="155">
        <f>IF(ISNA(VLOOKUP(A50,'Données projet'!$A$139:$I$159,6,0)),0%,VLOOKUP(A50,'Données projet'!$A$139:$I$159,6,0)*VLOOKUP('Données projet'!$B$13,'Paramètres'!$A$1:$I$88,7,0))</f>
        <v>0</v>
      </c>
      <c r="DE50" s="155">
        <f>IF(ISNA(VLOOKUP(A50,'Données projet'!$A$139:$I$159,7,0)),0%,VLOOKUP(A50,'Données projet'!$A$139:$I$159,7,0))</f>
        <v>0</v>
      </c>
      <c r="DF50" s="162" t="str">
        <f>EXP(-LN(2)/35)*DF49+(1-EXP(-LN(2)/35))/(LN(2)/35)*DB50*DC50*VLOOKUP('Données projet'!$B$13,'Paramètres'!$A$1:$I$88,3,0)*0.475*44/12</f>
        <v>#N/A</v>
      </c>
      <c r="DG50" s="162" t="str">
        <f>EXP(-LN(2)/25)*DG49+(1-EXP(-LN(2)/25))/(LN(2)/25)*Calculateur!DB50*Calculateur!DD50*VLOOKUP('Données projet'!$B$13,'Paramètres'!$A$1:$I$88,3,0)*0.475*44/12</f>
        <v>#N/A</v>
      </c>
      <c r="DH50" s="162" t="str">
        <f>EXP(-LN(2)/2)*DH49+(1-EXP(-LN(2)/2))/(LN(2)/2)*DB50*DE50*VLOOKUP('Données projet'!$B$13,'Paramètres'!$A$1:$I$88,3,0)*0.475*44/12</f>
        <v>#N/A</v>
      </c>
      <c r="DI50" s="163" t="str">
        <f t="shared" si="16"/>
        <v>#N/A</v>
      </c>
      <c r="DJ50" s="159">
        <f>('Scénario référence'!$F$8+'Scénario référence'!$F$9+'Scénario référence'!$B$17+'Scénario référence'!$B$9+'Scénario référence'!$B$10)*70+IF((45+25*(1-EXP(-0.0175*A50)))&lt;70,'Scénario référence'!$B$16*(45+25*(1-EXP(-0.0175*A50))),70*'Scénario référence'!$B$16)+IF((32+38*(1-EXP(-0.0175*A50)))&lt;70,'Scénario référence'!$B$18*(32+38*(1-EXP(-0.0175*A50))),70*'Scénario référence'!$B$18)</f>
        <v>70</v>
      </c>
      <c r="DK50" s="151">
        <f>IF(A50&gt;30,10,('Scénario référence'!$B$16+'Scénario référence'!$B$17+'Scénario référence'!$B$18+'Scénario référence'!$B$9+'Scénario référence'!$B$10)*A50*10/30+('Scénario référence'!$F$8+'Scénario référence'!$F$9)*10)</f>
        <v>10</v>
      </c>
      <c r="DL50" s="151" t="str">
        <f>VLOOKUP(A50,'Données projet'!$A$165:$I$185,2,0)</f>
        <v>#N/A</v>
      </c>
      <c r="DM50" s="151" t="str">
        <f>VLOOKUP(A50,'Données projet'!$A$165:$I$185,9,0)</f>
        <v>#N/A</v>
      </c>
      <c r="DN50" s="151" t="str">
        <f t="array" ref="DN50">INDEX(DM:DM,MIN(IF(ISNUMBER(DM50:DM246),ROW(DM50:DM246),"")))</f>
        <v/>
      </c>
      <c r="DO50" s="151">
        <f>IF('Données projet'!$A$166&gt;35,DO49+DN50-DW49,IF(A50&lt;'Données projet'!$A$166,$DL$205^A50,IF(A50='Données projet'!$A$166,'Données projet'!$B$166,DO49+DN50-DW49)))</f>
        <v>0</v>
      </c>
      <c r="DP50" s="158" t="str">
        <f>DO50*VLOOKUP('Données projet'!$B$14,'Paramètres'!$A$1:$I$88,3,0)*VLOOKUP('Données projet'!$B$14,'Paramètres'!$A$1:$I$88,5,0)</f>
        <v>#N/A</v>
      </c>
      <c r="DQ50" s="150" t="str">
        <f t="shared" si="44"/>
        <v>#N/A</v>
      </c>
      <c r="DR50" s="161" t="str">
        <f t="shared" si="17"/>
        <v>#N/A</v>
      </c>
      <c r="DS50" s="153" t="str">
        <f t="shared" si="18"/>
        <v>#N/A</v>
      </c>
      <c r="DT50" s="153" t="str">
        <f>AVERAGE(OFFSET($DS$3,0,0,'Données projet'!$E$14+1,1))-AVERAGE(OFFSET($H$3,0,0,'Données projet'!$E$14+1,1))</f>
        <v>#N/A</v>
      </c>
      <c r="DU50" s="153" t="str">
        <f t="shared" si="45"/>
        <v>#N/A</v>
      </c>
      <c r="DV50" s="154">
        <f>IF(ISNA(VLOOKUP(A50,'Données projet'!$A$165:$I$185,3,0)),0,VLOOKUP(A50,'Données projet'!$A$165:$I$185,3,0))</f>
        <v>0</v>
      </c>
      <c r="DW50" s="154">
        <f>IF(ISNA(VLOOKUP(A50,'Données projet'!$A$165:$I$185,4,0)),0,VLOOKUP(A50,'Données projet'!$A$165:$I$185,4,0))</f>
        <v>0</v>
      </c>
      <c r="DX50" s="155">
        <f>IF(ISNA(VLOOKUP(A50,'Données projet'!$A$165:$I$185,5,0)),0%,VLOOKUP(A50,'Données projet'!$A$165:$I$185,5,0)*VLOOKUP('Données projet'!$B$14,'Paramètres'!$A$1:$I$88,7,0))</f>
        <v>0</v>
      </c>
      <c r="DY50" s="155">
        <f>IF(ISNA(VLOOKUP(A50,'Données projet'!$A$165:$I$185,6,0)),0%,VLOOKUP(A50,'Données projet'!$A$165:$I$185,6,0)*VLOOKUP('Données projet'!$B$14,'Paramètres'!$A$1:$I$88,7,0))</f>
        <v>0</v>
      </c>
      <c r="DZ50" s="155">
        <f>IF(ISNA(VLOOKUP(A50,'Données projet'!$A$165:$I$185,7,0)),0%,VLOOKUP(A50,'Données projet'!$A$165:$I$185,7,0))</f>
        <v>0</v>
      </c>
      <c r="EA50" s="162" t="str">
        <f>EXP(-LN(2)/35)*EA49+(1-EXP(-LN(2)/35))/(LN(2)/35)*DW50*DX50*VLOOKUP('Données projet'!$B$14,'Paramètres'!$A$1:$I$88,3,0)*0.475*44/12</f>
        <v>#N/A</v>
      </c>
      <c r="EB50" s="162" t="str">
        <f>EXP(-LN(2)/25)*EB49+(1-EXP(-LN(2)/25))/(LN(2)/25)*Calculateur!DW50*Calculateur!DY50*VLOOKUP('Données projet'!$B$14,'Paramètres'!$A$1:$I$88,3,0)*0.475*44/12</f>
        <v>#N/A</v>
      </c>
      <c r="EC50" s="162" t="str">
        <f>EXP(-LN(2)/2)*EC49+(1-EXP(-LN(2)/2))/(LN(2)/2)*DW50*DZ50*VLOOKUP('Données projet'!$B$14,'Paramètres'!$A$1:$I$88,3,0)*0.475*44/12</f>
        <v>#N/A</v>
      </c>
      <c r="ED50" s="163" t="str">
        <f t="shared" si="19"/>
        <v>#N/A</v>
      </c>
      <c r="EE50" s="159">
        <f>('Scénario référence'!$F$8+'Scénario référence'!$F$9+'Scénario référence'!$B$17+'Scénario référence'!$B$9+'Scénario référence'!$B$10)*70+IF((45+25*(1-EXP(-0.0175*A50)))&lt;70,'Scénario référence'!$B$16*(45+25*(1-EXP(-0.0175*A50))),70*'Scénario référence'!$B$16)+IF((32+38*(1-EXP(-0.0175*A50)))&lt;70,'Scénario référence'!$B$18*(32+38*(1-EXP(-0.0175*A50))),70*'Scénario référence'!$B$18)</f>
        <v>70</v>
      </c>
      <c r="EF50" s="151">
        <f>IF(A50&gt;30,10,('Scénario référence'!$B$16+'Scénario référence'!$B$17+'Scénario référence'!$B$18+'Scénario référence'!$B$9+'Scénario référence'!$B$10)*A50*10/30+('Scénario référence'!$F$8+'Scénario référence'!$F$9)*10)</f>
        <v>10</v>
      </c>
      <c r="EG50" s="151" t="str">
        <f>VLOOKUP(A50,'Données projet'!$A$191:$I$211,2,0)</f>
        <v>#N/A</v>
      </c>
      <c r="EH50" s="151" t="str">
        <f>VLOOKUP(A50,'Données projet'!$A$191:$I$211,9,0)</f>
        <v>#N/A</v>
      </c>
      <c r="EI50" s="151" t="str">
        <f t="array" ref="EI50">INDEX(EH:EH,MIN(IF(ISNUMBER(EH50:EH246),ROW(EH50:EH246),"")))</f>
        <v/>
      </c>
      <c r="EJ50" s="151">
        <f>IF('Données projet'!$A$192&gt;35,EJ49+EI50-ER49,IF(A50&lt;'Données projet'!$A$192,$EG$205^A50,IF(A50='Données projet'!$A$192,'Données projet'!$B$192,EJ49+EI50-ER49)))</f>
        <v>0</v>
      </c>
      <c r="EK50" s="158" t="str">
        <f>EJ50*VLOOKUP('Données projet'!$B$15,'Paramètres'!$A$1:$I$88,3,0)*VLOOKUP('Données projet'!$B$15,'Paramètres'!$A$1:$I$88,5,0)</f>
        <v>#N/A</v>
      </c>
      <c r="EL50" s="150" t="str">
        <f t="shared" si="46"/>
        <v>#N/A</v>
      </c>
      <c r="EM50" s="161" t="str">
        <f t="shared" si="20"/>
        <v>#N/A</v>
      </c>
      <c r="EN50" s="153" t="str">
        <f t="shared" si="21"/>
        <v>#N/A</v>
      </c>
      <c r="EO50" s="153" t="str">
        <f>AVERAGE(OFFSET($EN$3,0,0,'Données projet'!$E$15+1,1))-AVERAGE(OFFSET($H$3,0,0,'Données projet'!$E$15+1,1))</f>
        <v>#N/A</v>
      </c>
      <c r="EP50" s="153" t="str">
        <f t="shared" si="47"/>
        <v>#N/A</v>
      </c>
      <c r="EQ50" s="154">
        <f>IF(ISNA(VLOOKUP(A50,'Données projet'!$A$191:$I$211,3,0)),0,VLOOKUP(A50,'Données projet'!$A$191:$I$211,3,0))</f>
        <v>0</v>
      </c>
      <c r="ER50" s="154">
        <f>IF(ISNA(VLOOKUP(A50,'Données projet'!$A$191:$I$211,4,0)),0,VLOOKUP(A50,'Données projet'!$A$191:$I$211,4,0))</f>
        <v>0</v>
      </c>
      <c r="ES50" s="155">
        <f>IF(ISNA(VLOOKUP(A50,'Données projet'!$A$191:$I$211,5,0)),0%,VLOOKUP(A50,'Données projet'!$A$191:$I$211,5,0)*VLOOKUP('Données projet'!$B$15,'Paramètres'!$A$1:$I$88,7,0))</f>
        <v>0</v>
      </c>
      <c r="ET50" s="155">
        <f>IF(ISNA(VLOOKUP(A50,'Données projet'!$A$191:$I$211,6,0)),0%,VLOOKUP(A50,'Données projet'!$A$191:$I$211,6,0)*VLOOKUP('Données projet'!$B$15,'Paramètres'!$A$1:$I$88,7,0))</f>
        <v>0</v>
      </c>
      <c r="EU50" s="155">
        <f>IF(ISNA(VLOOKUP(A50,'Données projet'!$A$191:$I$211,7,0)),0%,VLOOKUP(A50,'Données projet'!$A$191:$I$211,7,0))</f>
        <v>0</v>
      </c>
      <c r="EV50" s="162" t="str">
        <f>EXP(-LN(2)/35)*EV49+(1-EXP(-LN(2)/35))/(LN(2)/35)*ER50*ES50*VLOOKUP('Données projet'!$B$15,'Paramètres'!$A$1:$I$88,3,0)*0.475*44/12</f>
        <v>#N/A</v>
      </c>
      <c r="EW50" s="162" t="str">
        <f>EXP(-LN(2)/25)*EW49+(1-EXP(-LN(2)/25))/(LN(2)/25)*Calculateur!ER50*Calculateur!ET50*VLOOKUP('Données projet'!$B$15,'Paramètres'!$A$1:$I$88,3,0)*0.475*44/12</f>
        <v>#N/A</v>
      </c>
      <c r="EX50" s="162" t="str">
        <f>EXP(-LN(2)/2)*EX49+(1-EXP(-LN(2)/2))/(LN(2)/2)*ER50*EU50*VLOOKUP('Données projet'!$B$15,'Paramètres'!$A$1:$I$88,3,0)*0.475*44/12</f>
        <v>#N/A</v>
      </c>
      <c r="EY50" s="163" t="str">
        <f t="shared" si="22"/>
        <v>#N/A</v>
      </c>
      <c r="EZ50" s="159">
        <f>('Scénario référence'!$F$8+'Scénario référence'!$F$9+'Scénario référence'!$B$17+'Scénario référence'!$B$9+'Scénario référence'!$B$10)*70+IF((45+25*(1-EXP(-0.0175*A50)))&lt;70,'Scénario référence'!$B$16*(45+25*(1-EXP(-0.0175*A50))),70*'Scénario référence'!$B$16)+IF((32+38*(1-EXP(-0.0175*A50)))&lt;70,'Scénario référence'!$B$18*(32+38*(1-EXP(-0.0175*A50))),70*'Scénario référence'!$B$18)</f>
        <v>70</v>
      </c>
      <c r="FA50" s="151">
        <f>IF(A50&gt;30,10,('Scénario référence'!$B$16+'Scénario référence'!$B$17+'Scénario référence'!$B$18+'Scénario référence'!$B$9+'Scénario référence'!$B$10)*A50*10/30+('Scénario référence'!$F$8+'Scénario référence'!$F$9)*10)</f>
        <v>10</v>
      </c>
      <c r="FB50" s="151" t="str">
        <f>VLOOKUP(A50,'Données projet'!$A$217:$I$237,2,0)</f>
        <v>#N/A</v>
      </c>
      <c r="FC50" s="151" t="str">
        <f>VLOOKUP(A50,'Données projet'!$A$217:$I$237,9,0)</f>
        <v>#N/A</v>
      </c>
      <c r="FD50" s="151" t="str">
        <f t="array" ref="FD50">INDEX(FC:FC,MIN(IF(ISNUMBER(FC50:FC246),ROW(FC50:FC246),"")))</f>
        <v/>
      </c>
      <c r="FE50" s="151">
        <f>IF('Données projet'!$A$218&gt;35,FE49+FD50-FM49,IF(A50&lt;'Données projet'!$A$218,$FB$205^A50,IF(A50='Données projet'!$A$218,'Données projet'!$B$218,FE49+FD50-FM49)))</f>
        <v>0</v>
      </c>
      <c r="FF50" s="158" t="str">
        <f>FE50*VLOOKUP('Données projet'!$B$16,'Paramètres'!$A$1:$I$88,3,0)*VLOOKUP('Données projet'!$B$16,'Paramètres'!$A$1:$I$88,5,0)</f>
        <v>#N/A</v>
      </c>
      <c r="FG50" s="150" t="str">
        <f t="shared" si="48"/>
        <v>#N/A</v>
      </c>
      <c r="FH50" s="161" t="str">
        <f t="shared" si="23"/>
        <v>#N/A</v>
      </c>
      <c r="FI50" s="153" t="str">
        <f t="shared" si="24"/>
        <v>#N/A</v>
      </c>
      <c r="FJ50" s="153" t="str">
        <f>AVERAGE(OFFSET($FI$3,0,0,'Données projet'!$E$16+1,1))-AVERAGE(OFFSET($H$3,0,0,'Données projet'!$E$16+1,1))</f>
        <v>#N/A</v>
      </c>
      <c r="FK50" s="153" t="str">
        <f t="shared" si="49"/>
        <v>#N/A</v>
      </c>
      <c r="FL50" s="154">
        <f>IF(ISNA(VLOOKUP(A50,'Données projet'!$A$217:$I$237,3,0)),0,VLOOKUP(A50,'Données projet'!$A$217:$I$237,3,0))</f>
        <v>0</v>
      </c>
      <c r="FM50" s="154">
        <f>IF(ISNA(VLOOKUP(A50,'Données projet'!$A$217:$I$237,4,0)),0,VLOOKUP(A50,'Données projet'!$A$217:$I$237,4,0))</f>
        <v>0</v>
      </c>
      <c r="FN50" s="155">
        <f>IF(ISNA(VLOOKUP(A50,'Données projet'!$A$217:$I$237,5,0)),0%,VLOOKUP(A50,'Données projet'!$A$217:$I$237,5,0)*VLOOKUP('Données projet'!$B$16,'Paramètres'!$A$1:$I$88,7,0))</f>
        <v>0</v>
      </c>
      <c r="FO50" s="155">
        <f>IF(ISNA(VLOOKUP(A50,'Données projet'!$A$217:$I$237,6,0)),0%,VLOOKUP(A50,'Données projet'!$A$217:$I$237,6,0)*VLOOKUP('Données projet'!$B$16,'Paramètres'!$A$1:$I$88,7,0))</f>
        <v>0</v>
      </c>
      <c r="FP50" s="155">
        <f>IF(ISNA(VLOOKUP(A50,'Données projet'!$A$217:$I$237,7,0)),0%,VLOOKUP(A50,'Données projet'!$A$217:$I$237,7,0))</f>
        <v>0</v>
      </c>
      <c r="FQ50" s="162" t="str">
        <f>EXP(-LN(2)/35)*FQ49+(1-EXP(-LN(2)/35))/(LN(2)/35)*FM50*FN50*VLOOKUP('Données projet'!$B$16,'Paramètres'!$A$1:$I$88,3,0)*0.475*44/12</f>
        <v>#N/A</v>
      </c>
      <c r="FR50" s="162" t="str">
        <f>EXP(-LN(2)/25)*FR49+(1-EXP(-LN(2)/25))/(LN(2)/25)*Calculateur!FM50*Calculateur!FO50*VLOOKUP('Données projet'!$B$16,'Paramètres'!$A$1:$I$88,3,0)*0.475*44/12</f>
        <v>#N/A</v>
      </c>
      <c r="FS50" s="162" t="str">
        <f>EXP(-LN(2)/2)*FS49+(1-EXP(-LN(2)/2))/(LN(2)/2)*FM50*FP50*VLOOKUP('Données projet'!$B$16,'Paramètres'!$A$1:$I$88,3,0)*0.475*44/12</f>
        <v>#N/A</v>
      </c>
      <c r="FT50" s="163" t="str">
        <f t="shared" si="25"/>
        <v>#N/A</v>
      </c>
      <c r="FU50" s="159">
        <f>('Scénario référence'!$F$8+'Scénario référence'!$F$9+'Scénario référence'!$B$17+'Scénario référence'!$B$9+'Scénario référence'!$B$10)*70+IF((45+25*(1-EXP(-0.0175*A50)))&lt;70,'Scénario référence'!$B$16*(45+25*(1-EXP(-0.0175*A50))),70*'Scénario référence'!$B$16)+IF((32+38*(1-EXP(-0.0175*A50)))&lt;70,'Scénario référence'!$B$18*(32+38*(1-EXP(-0.0175*A50))),70*'Scénario référence'!$B$18)</f>
        <v>70</v>
      </c>
      <c r="FV50" s="151">
        <f>IF(A50&gt;30,10,('Scénario référence'!$B$16+'Scénario référence'!$B$17+'Scénario référence'!$B$18+'Scénario référence'!$B$9+'Scénario référence'!$B$10)*A50*10/30+('Scénario référence'!$F$8+'Scénario référence'!$F$9)*10)</f>
        <v>10</v>
      </c>
      <c r="FW50" s="151" t="str">
        <f>VLOOKUP(A50,'Données projet'!$A$243:$I$263,2,0)</f>
        <v>#N/A</v>
      </c>
      <c r="FX50" s="151" t="str">
        <f>VLOOKUP(A50,'Données projet'!$A$243:$I$263,9,0)</f>
        <v>#N/A</v>
      </c>
      <c r="FY50" s="151" t="str">
        <f t="array" ref="FY50">INDEX(FX:FX,MIN(IF(ISNUMBER(FX50:FX246),ROW(FX50:FX246),"")))</f>
        <v/>
      </c>
      <c r="FZ50" s="151">
        <f>IF('Données projet'!$A$244&gt;35,FZ49+FY50-GH49,IF(A50&lt;'Données projet'!$A$244,$FW$205^A50,IF(A50='Données projet'!$A$244,'Données projet'!$B$244,FZ49+FY50-GH49)))</f>
        <v>0</v>
      </c>
      <c r="GA50" s="158" t="str">
        <f>FZ50*VLOOKUP('Données projet'!$B$17,'Paramètres'!$A$1:$I$88,3,0)*VLOOKUP('Données projet'!$B$17,'Paramètres'!$A$1:$I$88,5,0)</f>
        <v>#N/A</v>
      </c>
      <c r="GB50" s="150" t="str">
        <f t="shared" si="50"/>
        <v>#N/A</v>
      </c>
      <c r="GC50" s="161" t="str">
        <f t="shared" si="26"/>
        <v>#N/A</v>
      </c>
      <c r="GD50" s="153" t="str">
        <f t="shared" si="27"/>
        <v>#N/A</v>
      </c>
      <c r="GE50" s="153" t="str">
        <f>AVERAGE(OFFSET($GD$3,0,0,'Données projet'!$E$17+1,1))-AVERAGE(OFFSET($H$3,0,0,'Données projet'!$E$17+1,1))</f>
        <v>#N/A</v>
      </c>
      <c r="GF50" s="153" t="str">
        <f t="shared" si="51"/>
        <v>#N/A</v>
      </c>
      <c r="GG50" s="154">
        <f>IF(ISNA(VLOOKUP(A50,'Données projet'!$A$243:$I$263,3,0)),0,VLOOKUP(A50,'Données projet'!$A$243:$I$263,3,0))</f>
        <v>0</v>
      </c>
      <c r="GH50" s="154">
        <f>IF(ISNA(VLOOKUP(A50,'Données projet'!$A$243:$I$263,4,0)),0,VLOOKUP(A50,'Données projet'!$A$243:$I$263,4,0))</f>
        <v>0</v>
      </c>
      <c r="GI50" s="155">
        <f>IF(ISNA(VLOOKUP(A50,'Données projet'!$A$243:$I$263,5,0)),0%,VLOOKUP(A50,'Données projet'!$A$243:$I$263,5,0)*VLOOKUP('Données projet'!$B$17,'Paramètres'!$A$1:$I$88,7,0))</f>
        <v>0</v>
      </c>
      <c r="GJ50" s="155">
        <f>IF(ISNA(VLOOKUP(A50,'Données projet'!$A$243:$I$263,6,0)),0%,VLOOKUP(A50,'Données projet'!$A$243:$I$263,6,0)*VLOOKUP('Données projet'!$B$17,'Paramètres'!$A$1:$I$88,7,0))</f>
        <v>0</v>
      </c>
      <c r="GK50" s="155">
        <f>IF(ISNA(VLOOKUP(A50,'Données projet'!$A$243:$I$263,7,0)),0%,VLOOKUP(A50,'Données projet'!$A$243:$I$263,7,0))</f>
        <v>0</v>
      </c>
      <c r="GL50" s="162" t="str">
        <f>EXP(-LN(2)/35)*GL49+(1-EXP(-LN(2)/35))/(LN(2)/35)*GH50*GI50*VLOOKUP('Données projet'!$B$17,'Paramètres'!$A$1:$I$88,3,0)*0.475*44/12</f>
        <v>#N/A</v>
      </c>
      <c r="GM50" s="162" t="str">
        <f>EXP(-LN(2)/25)*GM49+(1-EXP(-LN(2)/25))/(LN(2)/25)*Calculateur!GH50*Calculateur!GJ50*VLOOKUP('Données projet'!$B$17,'Paramètres'!$A$1:$I$88,3,0)*0.475*44/12</f>
        <v>#N/A</v>
      </c>
      <c r="GN50" s="162" t="str">
        <f>EXP(-LN(2)/2)*GN49+(1-EXP(-LN(2)/2))/(LN(2)/2)*GH50*GK50*VLOOKUP('Données projet'!$B$17,'Paramètres'!$A$1:$I$88,3,0)*0.475*44/12</f>
        <v>#N/A</v>
      </c>
      <c r="GO50" s="162" t="str">
        <f t="shared" si="28"/>
        <v>#N/A</v>
      </c>
      <c r="GP50" s="159">
        <f>('Scénario référence'!$F$8+'Scénario référence'!$F$9+'Scénario référence'!$B$17+'Scénario référence'!$B$9+'Scénario référence'!$B$10)*70+IF((45+25*(1-EXP(-0.0175*A50)))&lt;70,'Scénario référence'!$B$16*(45+25*(1-EXP(-0.0175*A50))),70*'Scénario référence'!$B$16)+IF((32+38*(1-EXP(-0.0175*A50)))&lt;70,'Scénario référence'!$B$18*(32+38*(1-EXP(-0.0175*A50))),70*'Scénario référence'!$B$18)</f>
        <v>70</v>
      </c>
      <c r="GQ50" s="151">
        <f>IF(A50&gt;30,10,('Scénario référence'!$B$16+'Scénario référence'!$B$17+'Scénario référence'!$B$18+'Scénario référence'!$B$9+'Scénario référence'!$B$10)*A50*10/30+('Scénario référence'!$F$8+'Scénario référence'!$F$9)*10)</f>
        <v>10</v>
      </c>
      <c r="GR50" s="151" t="str">
        <f>VLOOKUP(A50,'Données projet'!$A$269:$I$289,2,0)</f>
        <v>#N/A</v>
      </c>
      <c r="GS50" s="151" t="str">
        <f>VLOOKUP(A50,'Données projet'!$A$269:$I$289,9,0)</f>
        <v>#N/A</v>
      </c>
      <c r="GT50" s="151" t="str">
        <f t="array" ref="GT50">INDEX(GS:GS,MIN(IF(ISNUMBER(GS50:GS246),ROW(GS50:GS246),"")))</f>
        <v/>
      </c>
      <c r="GU50" s="151">
        <f>IF('Données projet'!$A$270&gt;35,GU49+GT50-HC49,IF(A50&lt;'Données projet'!$A$270,$GR$205^A50,IF(A50='Données projet'!$A$270,'Données projet'!$B$270,GU49+GT50-HC49)))</f>
        <v>0</v>
      </c>
      <c r="GV50" s="158" t="str">
        <f>GU50*VLOOKUP('Données projet'!$B$18,'Paramètres'!$A$1:$I$88,3,0)*VLOOKUP('Données projet'!$B$18,'Paramètres'!$A$1:$I$88,5,0)</f>
        <v>#N/A</v>
      </c>
      <c r="GW50" s="150" t="str">
        <f t="shared" si="52"/>
        <v>#N/A</v>
      </c>
      <c r="GX50" s="161" t="str">
        <f t="shared" si="29"/>
        <v>#N/A</v>
      </c>
      <c r="GY50" s="153" t="str">
        <f t="shared" si="30"/>
        <v>#N/A</v>
      </c>
      <c r="GZ50" s="153" t="str">
        <f>AVERAGE(OFFSET($GY$3,0,0,'Données projet'!$E$18+1,1))-AVERAGE(OFFSET($H$3,0,0,'Données projet'!$E$18+1,1))</f>
        <v>#N/A</v>
      </c>
      <c r="HA50" s="153" t="str">
        <f t="shared" si="53"/>
        <v>#N/A</v>
      </c>
      <c r="HB50" s="154">
        <f>IF(ISNA(VLOOKUP(A50,'Données projet'!$A$269:$I$289,3,0)),0,VLOOKUP(A50,'Données projet'!$A$269:$I$289,3,0))</f>
        <v>0</v>
      </c>
      <c r="HC50" s="154">
        <f>IF(ISNA(VLOOKUP(A50,'Données projet'!$A$269:$I$289,4,0)),0,VLOOKUP(A50,'Données projet'!$A$269:$I$289,4,0))</f>
        <v>0</v>
      </c>
      <c r="HD50" s="155">
        <f>IF(ISNA(VLOOKUP(A50,'Données projet'!$A$269:$I$289,5,0)),0%,VLOOKUP(A50,'Données projet'!$A$269:$I$289,5,0)*VLOOKUP('Données projet'!$B$18,'Paramètres'!$A$1:$I$88,7,0))</f>
        <v>0</v>
      </c>
      <c r="HE50" s="155">
        <f>IF(ISNA(VLOOKUP(A50,'Données projet'!$A$269:$I$289,6,0)),0%,VLOOKUP(A50,'Données projet'!$A$269:$I$289,6,0)*VLOOKUP('Données projet'!$B$18,'Paramètres'!$A$1:$I$88,7,0))</f>
        <v>0</v>
      </c>
      <c r="HF50" s="155">
        <f>IF(ISNA(VLOOKUP(A50,'Données projet'!$A$269:$I$289,7,0)),0%,VLOOKUP(A50,'Données projet'!$A$269:$I$289,7,0))</f>
        <v>0</v>
      </c>
      <c r="HG50" s="162" t="str">
        <f>EXP(-LN(2)/35)*HG49+(1-EXP(-LN(2)/35))/(LN(2)/35)*HC50*HD50*VLOOKUP('Données projet'!$B$18,'Paramètres'!$A$1:$I$88,3,0)*0.475*44/12</f>
        <v>#N/A</v>
      </c>
      <c r="HH50" s="162" t="str">
        <f>EXP(-LN(2)/25)*HH49+(1-EXP(-LN(2)/25))/(LN(2)/25)*Calculateur!HC50*Calculateur!HE50*VLOOKUP('Données projet'!$B$18,'Paramètres'!$A$1:$I$88,3,0)*0.475*44/12</f>
        <v>#N/A</v>
      </c>
      <c r="HI50" s="162" t="str">
        <f>EXP(-LN(2)/2)*HI49+(1-EXP(-LN(2)/2))/(LN(2)/2)*HC50*HF50*VLOOKUP('Données projet'!$B$18,'Paramètres'!$A$1:$I$88,3,0)*0.475*44/12</f>
        <v>#N/A</v>
      </c>
      <c r="HJ50" s="163" t="str">
        <f t="shared" si="31"/>
        <v>#N/A</v>
      </c>
    </row>
    <row r="51" ht="15.75" customHeight="1">
      <c r="A51" s="145">
        <f t="shared" si="32"/>
        <v>48</v>
      </c>
      <c r="B51" s="146">
        <f>'Scénario référence'!$B$16*5+'Scénario référence'!$B$17*0+'Scénario référence'!$B$18*5</f>
        <v>0</v>
      </c>
      <c r="C51" s="160">
        <f>Calculateur!C50+'Scénario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51" s="147">
        <f t="shared" si="33"/>
        <v>0</v>
      </c>
      <c r="E51" s="147">
        <f>'Scénario référence'!$B$16*45+('Scénario référence'!$B$17+'Scénario référence'!$F$8+'Scénario référence'!$F$9+'Scénario référence'!$B$10+'Scénario référence'!$B$9)*70+'Scénario référence'!$B$18*32</f>
        <v>70</v>
      </c>
      <c r="F51" s="147">
        <f>IF(OR('Scénario référence'!$F$8&gt;0,'Scénario référence'!$F$9&gt;0),('Scénario référence'!$F$8+'Scénario référence'!$F$9)*10,0)</f>
        <v>0</v>
      </c>
      <c r="G51" s="147">
        <f>'Scénario référence'!$B$8*B51*44/12+'Scénario référence'!$B$9*(C51+D51)/0.475*44/12+'Scénario référence'!$B$10*(C51+D51)/0.475*44/12+'Scénario référence'!$F$8*(C51+D51)/0.475*44/12+'Scénario référence'!$F$9*(C51+D51)/0.475*44/12</f>
        <v>0</v>
      </c>
      <c r="H51" s="148">
        <f t="shared" si="1"/>
        <v>256.6666667</v>
      </c>
      <c r="I51" s="149">
        <f>('Scénario référence'!$F$8+'Scénario référence'!$F$9+'Scénario référence'!$B$17+'Scénario référence'!$B$9+'Scénario référence'!$B$10)*70+IF((45+25*(1-EXP(-0.0175*A51)))&lt;70,'Scénario référence'!$B$16*(45+25*(1-EXP(-0.0175*A51))),70*'Scénario référence'!$B$16)+IF((32+38*(1-EXP(-0.0175*A51)))&lt;70,'Scénario référence'!$B$18*(32+38*(1-EXP(-0.0175*A51))),70*'Scénario référence'!$B$18)</f>
        <v>70</v>
      </c>
      <c r="J51" s="150">
        <f>IF(A51&gt;30,10,('Scénario référence'!$B$16+'Scénario référence'!$B$17+'Scénario référence'!$B$18+'Scénario référence'!$B$9+'Scénario référence'!$B$10)*A51*10/30+('Scénario référence'!$F$8+'Scénario référence'!$F$9)*10)</f>
        <v>10</v>
      </c>
      <c r="K51" s="151" t="str">
        <f>VLOOKUP(A51,'Données projet'!$A$35:$I$55,2,0)</f>
        <v>#N/A</v>
      </c>
      <c r="L51" s="151" t="str">
        <f>VLOOKUP(A51,'Données projet'!$A$35:$I$55,9,0)</f>
        <v>#N/A</v>
      </c>
      <c r="M51" s="150">
        <f t="array" ref="M51">INDEX(L:L,MIN(IF(ISNUMBER(L51:L247),ROW(L51:L247),"")))</f>
        <v>11</v>
      </c>
      <c r="N51" s="150">
        <f>IF('Données projet'!$A$36&gt;35,N50+M51-V50,IF(A51&lt;'Données projet'!$A$36,$K$205^A51,IF(A51='Données projet'!$A$36,'Données projet'!$B$36,N50+M51-V50)))</f>
        <v>209</v>
      </c>
      <c r="O51" s="150">
        <f>N51*VLOOKUP('Données projet'!$B$9,'Paramètres'!$A$1:$I$88,3,0)*VLOOKUP('Données projet'!$B$9,'Paramètres'!$A$1:$I$88,5,0)</f>
        <v>189.1032</v>
      </c>
      <c r="P51" s="150">
        <f t="shared" si="34"/>
        <v>47.34162854</v>
      </c>
      <c r="Q51" s="161">
        <f t="shared" si="2"/>
        <v>411.8080764</v>
      </c>
      <c r="R51" s="153">
        <f t="shared" si="3"/>
        <v>705.1414097</v>
      </c>
      <c r="S51" s="153">
        <f>AVERAGE(OFFSET($R$3,0,0,'Données projet'!$E$9+1,1))-AVERAGE(OFFSET($H$3,0,0,'Données projet'!$E$9+1,1))</f>
        <v>439.1985427</v>
      </c>
      <c r="T51" s="153">
        <f t="shared" si="35"/>
        <v>278.2174123</v>
      </c>
      <c r="U51" s="154">
        <f>IF(ISNA(VLOOKUP(A51,'Données projet'!$A$35:$I$55,3,0)),0,VLOOKUP(A51,'Données projet'!$A$35:$I$55,3,0))</f>
        <v>0</v>
      </c>
      <c r="V51" s="154">
        <f>IF(ISNA(VLOOKUP(A51,'Données projet'!$A$35:$I$55,4,0)),0,VLOOKUP(A51,'Données projet'!$A$35:$I$55,4,0))</f>
        <v>0</v>
      </c>
      <c r="W51" s="155">
        <f>IF(ISNA(VLOOKUP(A51,'Données projet'!$A$35:$I$55,5,0)),0%,VLOOKUP(A51,'Données projet'!$A$35:$I$55,5,0)*VLOOKUP('Données projet'!$B$9,'Paramètres'!$A$1:$I$88,7,0))</f>
        <v>0</v>
      </c>
      <c r="X51" s="155">
        <f>IF(ISNA(VLOOKUP(A51,'Données projet'!$A$35:$I$55,6,0)),0%,VLOOKUP(A51,'Données projet'!$A$35:$I$55,6,0)*VLOOKUP('Données projet'!$B$9,'Paramètres'!$A$1:$I$88,7,0))</f>
        <v>0</v>
      </c>
      <c r="Y51" s="155">
        <f>IF(ISNA(VLOOKUP(A51,'Données projet'!$A$35:$I$55,7,0)),0%,VLOOKUP(A51,'Données projet'!$A$35:$I$55,7,0))</f>
        <v>0</v>
      </c>
      <c r="Z51" s="162">
        <f>EXP(-LN(2)/35)*Z50+(1-EXP(-LN(2)/35))/(LN(2)/35)*V51*W51*VLOOKUP('Données projet'!$B$9,'Paramètres'!$A$1:$I$88,3,0)*0.475*44/12</f>
        <v>0</v>
      </c>
      <c r="AA51" s="162">
        <f>EXP(-LN(2)/25)*AA50+(1-EXP(-LN(2)/25))/(LN(2)/25)*Calculateur!V51*Calculateur!X51*VLOOKUP('Données projet'!$B$9,'Paramètres'!$A$1:$I$88,3,0)*0.475*44/12</f>
        <v>2.724398811</v>
      </c>
      <c r="AB51" s="162">
        <f>EXP(-LN(2)/2)*AB50+(1-EXP(-LN(2)/2))/(LN(2)/2)*V51*Y51*VLOOKUP('Données projet'!$B$9,'Paramètres'!$A$1:$I$88,3,0)*0.475*44/12</f>
        <v>0</v>
      </c>
      <c r="AC51" s="163">
        <f t="shared" si="4"/>
        <v>2.724398811</v>
      </c>
      <c r="AD51" s="150">
        <f>('Scénario référence'!$F$8+'Scénario référence'!$F$9+'Scénario référence'!$B$17+'Scénario référence'!$B$9+'Scénario référence'!$B$10)*70+IF((45+25*(1-EXP(-0.0175*A51)))&lt;70,'Scénario référence'!$B$16*(45+25*(1-EXP(-0.0175*A51))),70*'Scénario référence'!$B$16)+IF((32+38*(1-EXP(-0.0175*A51)))&lt;70,'Scénario référence'!$B$18*(32+38*(1-EXP(-0.0175*A51))),70*'Scénario référence'!$B$18)</f>
        <v>70</v>
      </c>
      <c r="AE51" s="150">
        <f>IF(A51&gt;30,10,('Scénario référence'!$B$16+'Scénario référence'!$B$17+'Scénario référence'!$B$18+'Scénario référence'!$B$9+'Scénario référence'!$B$10)*A51*10/30+('Scénario référence'!$F$8+'Scénario référence'!$F$9)*10)</f>
        <v>10</v>
      </c>
      <c r="AF51" s="151" t="str">
        <f>VLOOKUP(A51,'Données projet'!$A$61:$I$81,2,0)</f>
        <v>#N/A</v>
      </c>
      <c r="AG51" s="151" t="str">
        <f>VLOOKUP(A51,'Données projet'!$A$61:$I$81,9,0)</f>
        <v>#N/A</v>
      </c>
      <c r="AH51" s="150">
        <f t="array" ref="AH51">INDEX(AG:AG,MIN(IF(ISNUMBER(AG51:AG247),ROW(AG51:AG247),"")))</f>
        <v>9.8</v>
      </c>
      <c r="AI51" s="150">
        <f>IF('Données projet'!$A$62&gt;35,AI50+AH51-AQ50,IF(A51&lt;'Données projet'!$A$62,$AF$205^A51,IF(A51='Données projet'!$A$62,'Données projet'!$B$62,AI50+AH51-AQ50)))</f>
        <v>283.4</v>
      </c>
      <c r="AJ51" s="150">
        <f>AI51*VLOOKUP('Données projet'!$B$10,'Paramètres'!$A$1:$I$88,3,0)*VLOOKUP('Données projet'!$B$10,'Paramètres'!$A$1:$I$88,5,0)</f>
        <v>225.47304</v>
      </c>
      <c r="AK51" s="150">
        <f t="shared" si="36"/>
        <v>55.30271737</v>
      </c>
      <c r="AL51" s="161">
        <f t="shared" si="5"/>
        <v>489.0177774</v>
      </c>
      <c r="AM51" s="153">
        <f t="shared" si="6"/>
        <v>782.3511107</v>
      </c>
      <c r="AN51" s="153">
        <f>AVERAGE(OFFSET($AM$3,0,0,'Données projet'!$E$10+1,1))-AVERAGE(OFFSET($H$3,0,0,'Données projet'!$E$10+1,1))</f>
        <v>405.6113614</v>
      </c>
      <c r="AO51" s="153">
        <f t="shared" si="37"/>
        <v>393.0787141</v>
      </c>
      <c r="AP51" s="154">
        <f>IF(ISNA(VLOOKUP(A51,'Données projet'!$A$61:$I$81,3,0)),0,VLOOKUP(A51,'Données projet'!$A$61:$I$81,3,0))</f>
        <v>0</v>
      </c>
      <c r="AQ51" s="154">
        <f>IF(ISNA(VLOOKUP(A51,'Données projet'!$A$61:$I$81,4,0)),0,VLOOKUP(A51,'Données projet'!$A$61:$I$81,4,0))</f>
        <v>0</v>
      </c>
      <c r="AR51" s="155">
        <f>IF(ISNA(VLOOKUP(A51,'Données projet'!$A$61:$I$81,5,0)),0%,VLOOKUP(A51,'Données projet'!$A$61:$I$81,5,0)*VLOOKUP('Données projet'!$B$10,'Paramètres'!$A$1:$I$88,7,0))</f>
        <v>0</v>
      </c>
      <c r="AS51" s="155">
        <f>IF(ISNA(VLOOKUP(A51,'Données projet'!$A$61:$I$81,6,0)),0%,VLOOKUP(A51,'Données projet'!$A$61:$I$81,6,0)*VLOOKUP('Données projet'!$B$10,'Paramètres'!$A$1:$I$88,7,0))</f>
        <v>0</v>
      </c>
      <c r="AT51" s="155">
        <f>IF(ISNA(VLOOKUP(A51,'Données projet'!$A$61:$I$81,7,0)),0%,VLOOKUP(A51,'Données projet'!$A$61:$I$81,7,0))</f>
        <v>0</v>
      </c>
      <c r="AU51" s="162">
        <f>EXP(-LN(2)/35)*AU50+(1-EXP(-LN(2)/35))/(LN(2)/35)*AQ51*AR51*VLOOKUP('Données projet'!$B$10,'Paramètres'!$A$1:$I$88,3,0)*0.475*44/12</f>
        <v>0</v>
      </c>
      <c r="AV51" s="162">
        <f>EXP(-LN(2)/25)*AV50+(1-EXP(-LN(2)/25))/(LN(2)/25)*Calculateur!AQ51*Calculateur!AS51*VLOOKUP('Données projet'!$B$10,'Paramètres'!$A$1:$I$88,3,0)*0.475*44/12</f>
        <v>11.07264934</v>
      </c>
      <c r="AW51" s="162">
        <f>EXP(-LN(2)/2)*AW50+(1-EXP(-LN(2)/2))/(LN(2)/2)*AQ51*AT51*VLOOKUP('Données projet'!$B$10,'Paramètres'!$A$1:$I$88,3,0)*0.475*44/12</f>
        <v>0.001132250398</v>
      </c>
      <c r="AX51" s="162">
        <f t="shared" si="7"/>
        <v>11.07378159</v>
      </c>
      <c r="AY51" s="157">
        <f>('Scénario référence'!$F$8+'Scénario référence'!$F$9+'Scénario référence'!$B$17+'Scénario référence'!$B$9+'Scénario référence'!$B$10)*70+IF((45+25*(1-EXP(-0.0175*A51)))&lt;70,'Scénario référence'!$B$16*(45+25*(1-EXP(-0.0175*A51))),70*'Scénario référence'!$B$16)+IF((32+38*(1-EXP(-0.0175*A51)))&lt;70,'Scénario référence'!$B$18*(32+38*(1-EXP(-0.0175*A51))),70*'Scénario référence'!$B$18)</f>
        <v>70</v>
      </c>
      <c r="AZ51" s="151">
        <f>IF(A51&gt;30,10,('Scénario référence'!$B$16+'Scénario référence'!$B$17+'Scénario référence'!$B$18+'Scénario référence'!$B$9+'Scénario référence'!$B$10)*A51*10/30+('Scénario référence'!$F$8+'Scénario référence'!$F$9)*10)</f>
        <v>10</v>
      </c>
      <c r="BA51" s="151" t="str">
        <f>VLOOKUP(A51,'Données projet'!$A$87:$I$107,2,0)</f>
        <v>#N/A</v>
      </c>
      <c r="BB51" s="151" t="str">
        <f>VLOOKUP(A51,'Données projet'!$A$87:$I$107,9,0)</f>
        <v>#N/A</v>
      </c>
      <c r="BC51" s="150" t="str">
        <f t="array" ref="BC51">INDEX(BB:BB,MIN(IF(ISNUMBER(BB51:BB247),ROW(BB51:BB247),"")))</f>
        <v/>
      </c>
      <c r="BD51" s="150">
        <f>IF('Données projet'!$A$88&gt;35,BD50+BC51-BL50,IF(A51&lt;'Données projet'!$A$88,$BA$205^A51,IF(A51='Données projet'!$A$88,'Données projet'!$B$88,BD50+BC51-BL50)))</f>
        <v>0</v>
      </c>
      <c r="BE51" s="150">
        <f>BD51*VLOOKUP('Données projet'!$B$11,'Paramètres'!$A$1:$I$88,3,0)*VLOOKUP('Données projet'!$B$11,'Paramètres'!$A$1:$I$88,5,0)</f>
        <v>0</v>
      </c>
      <c r="BF51" s="150" t="str">
        <f t="shared" si="38"/>
        <v>#NUM!</v>
      </c>
      <c r="BG51" s="161" t="str">
        <f t="shared" si="8"/>
        <v>#NUM!</v>
      </c>
      <c r="BH51" s="153" t="str">
        <f t="shared" si="9"/>
        <v>#NUM!</v>
      </c>
      <c r="BI51" s="153">
        <f>AVERAGE(OFFSET($BH$3,0,0,'Données projet'!$E$11+1,1))-AVERAGE(OFFSET($H$3,0,0,'Données projet'!$E$11+1,1))</f>
        <v>0</v>
      </c>
      <c r="BJ51" s="153">
        <f t="shared" si="39"/>
        <v>0</v>
      </c>
      <c r="BK51" s="154">
        <f>IF(ISNA(VLOOKUP(A51,'Données projet'!$A$87:$I$107,3,0)),0,VLOOKUP(A51,'Données projet'!$A$87:$I$107,3,0))</f>
        <v>0</v>
      </c>
      <c r="BL51" s="154">
        <f>IF(ISNA(VLOOKUP(A51,'Données projet'!$A$87:$I$107,4,0)),0,VLOOKUP(A51,'Données projet'!$A$87:$I$107,4,0))</f>
        <v>0</v>
      </c>
      <c r="BM51" s="155">
        <f>IF(ISNA(VLOOKUP(A51,'Données projet'!$A$87:$I$107,5,0)),0%,VLOOKUP(A51,'Données projet'!$A$87:$I$107,5,0)*VLOOKUP('Données projet'!$B$11,'Paramètres'!$A$1:$I$88,7,0))</f>
        <v>0</v>
      </c>
      <c r="BN51" s="155">
        <f>IF(ISNA(VLOOKUP(A51,'Données projet'!$A$87:$I$107,6,0)),0%,VLOOKUP(A51,'Données projet'!$A$87:$I$107,6,0)*VLOOKUP('Données projet'!$B$11,'Paramètres'!$A$1:$I$88,7,0))</f>
        <v>0</v>
      </c>
      <c r="BO51" s="155">
        <f>IF(ISNA(VLOOKUP(A51,'Données projet'!$A$87:$I$107,7,0)),0%,VLOOKUP(A51,'Données projet'!$A$87:$I$107,7,0))</f>
        <v>0</v>
      </c>
      <c r="BP51" s="162">
        <f>EXP(-LN(2)/35)*BP50+(1-EXP(-LN(2)/35))/(LN(2)/35)*BL51*BM51*VLOOKUP('Données projet'!$B$11,'Paramètres'!$A$1:$I$88,3,0)*0.475*44/12</f>
        <v>0</v>
      </c>
      <c r="BQ51" s="162">
        <f>EXP(-LN(2)/25)*BQ50+(1-EXP(-LN(2)/25))/(LN(2)/25)*Calculateur!BL51*Calculateur!BN51*VLOOKUP('Données projet'!$B$11,'Paramètres'!$A$1:$I$88,3,0)*0.475*44/12</f>
        <v>0</v>
      </c>
      <c r="BR51" s="162">
        <f>EXP(-LN(2)/2)*BR50+(1-EXP(-LN(2)/2))/(LN(2)/2)*BL51*BO51*VLOOKUP('Données projet'!$B$11,'Paramètres'!$A$1:$I$88,3,0)*0.475*44/12</f>
        <v>0</v>
      </c>
      <c r="BS51" s="163">
        <f t="shared" si="10"/>
        <v>0</v>
      </c>
      <c r="BT51" s="159">
        <f>('Scénario référence'!$F$8+'Scénario référence'!$F$9+'Scénario référence'!$B$17+'Scénario référence'!$B$9+'Scénario référence'!$B$10)*70+IF((45+25*(1-EXP(-0.0175*A51)))&lt;70,'Scénario référence'!$B$16*(45+25*(1-EXP(-0.0175*A51))),70*'Scénario référence'!$B$16)+IF((32+38*(1-EXP(-0.0175*A51)))&lt;70,'Scénario référence'!$B$18*(32+38*(1-EXP(-0.0175*A51))),70*'Scénario référence'!$B$18)</f>
        <v>70</v>
      </c>
      <c r="BU51" s="151">
        <f>IF(A51&gt;30,10,('Scénario référence'!$B$16+'Scénario référence'!$B$17+'Scénario référence'!$B$18+'Scénario référence'!$B$9+'Scénario référence'!$B$10)*A51*10/30+('Scénario référence'!$F$8+'Scénario référence'!$F$9)*10)</f>
        <v>10</v>
      </c>
      <c r="BV51" s="151" t="str">
        <f>VLOOKUP(A51,'Données projet'!$A$113:$I$133,2,0)</f>
        <v>#N/A</v>
      </c>
      <c r="BW51" s="151" t="str">
        <f>VLOOKUP(A51,'Données projet'!$A$113:$I$133,9,0)</f>
        <v>#N/A</v>
      </c>
      <c r="BX51" s="150" t="str">
        <f t="array" ref="BX51">INDEX(BW:BW,MIN(IF(ISNUMBER(BW51:BW247),ROW(BW51:BW247),"")))</f>
        <v/>
      </c>
      <c r="BY51" s="150">
        <f>IF('Données projet'!$A$114&gt;35,BY50+BX51-CG50,IF(A51&lt;'Données projet'!$A$114,$BV$205^A51,IF(A51='Données projet'!$A$114,'Données projet'!$B$114,BY50+BX51-CG50)))</f>
        <v>0</v>
      </c>
      <c r="BZ51" s="150" t="str">
        <f>BY51*VLOOKUP('Données projet'!$B$12,'Paramètres'!$A$1:$I$88,3,0)*VLOOKUP('Données projet'!$B$12,'Paramètres'!$A$1:$I$88,5,0)</f>
        <v>#N/A</v>
      </c>
      <c r="CA51" s="150" t="str">
        <f t="shared" si="40"/>
        <v>#N/A</v>
      </c>
      <c r="CB51" s="161" t="str">
        <f t="shared" si="11"/>
        <v>#N/A</v>
      </c>
      <c r="CC51" s="153" t="str">
        <f t="shared" si="12"/>
        <v>#N/A</v>
      </c>
      <c r="CD51" s="153" t="str">
        <f>AVERAGE(OFFSET($CC$3,0,0,'Données projet'!$E$12+1,1))-AVERAGE(OFFSET($H$3,0,0,'Données projet'!$E$12+1,1))</f>
        <v>#N/A</v>
      </c>
      <c r="CE51" s="153" t="str">
        <f t="shared" si="41"/>
        <v>#N/A</v>
      </c>
      <c r="CF51" s="154">
        <f>IF(ISNA(VLOOKUP(A51,'Données projet'!$A$113:$I$133,3,0)),0,VLOOKUP(A51,'Données projet'!$A$113:$I$133,3,0))</f>
        <v>0</v>
      </c>
      <c r="CG51" s="154">
        <f>IF(ISNA(VLOOKUP(A51,'Données projet'!$A$113:$I$133,4,0)),0,VLOOKUP(A51,'Données projet'!$A$113:$I$133,4,0))</f>
        <v>0</v>
      </c>
      <c r="CH51" s="155">
        <f>IF(ISNA(VLOOKUP(A51,'Données projet'!$A$113:$I$133,5,0)),0%,VLOOKUP(A51,'Données projet'!$A$113:$I$133,5,0)*VLOOKUP('Données projet'!$B$12,'Paramètres'!$A$1:$I$88,7,0))</f>
        <v>0</v>
      </c>
      <c r="CI51" s="155">
        <f>IF(ISNA(VLOOKUP(A51,'Données projet'!$A$113:$I$133,6,0)),0%,VLOOKUP(A51,'Données projet'!$A$113:$I$133,6,0)*VLOOKUP('Données projet'!$B$12,'Paramètres'!$A$1:$I$88,7,0))</f>
        <v>0</v>
      </c>
      <c r="CJ51" s="155">
        <f>IF(ISNA(VLOOKUP(A51,'Données projet'!$A$113:$I$133,7,0)),0%,VLOOKUP(A51,'Données projet'!$A$113:$I$133,7,0))</f>
        <v>0</v>
      </c>
      <c r="CK51" s="162" t="str">
        <f>EXP(-LN(2)/35)*CK50+(1-EXP(-LN(2)/35))/(LN(2)/35)*CG51*CH51*VLOOKUP('Données projet'!$B$12,'Paramètres'!$A$1:$I$88,3,0)*0.475*44/12</f>
        <v>#N/A</v>
      </c>
      <c r="CL51" s="162" t="str">
        <f>EXP(-LN(2)/25)*CL50+(1-EXP(-LN(2)/25))/(LN(2)/25)*Calculateur!CG51*Calculateur!CI51*VLOOKUP('Données projet'!$B$12,'Paramètres'!$A$1:$I$88,3,0)*0.475*44/12</f>
        <v>#N/A</v>
      </c>
      <c r="CM51" s="162" t="str">
        <f>EXP(-LN(2)/2)*CM50+(1-EXP(-LN(2)/2))/(LN(2)/2)*CG51*CJ51*VLOOKUP('Données projet'!$B$12,'Paramètres'!$A$1:$I$88,3,0)*0.475*44/12</f>
        <v>#N/A</v>
      </c>
      <c r="CN51" s="163" t="str">
        <f t="shared" si="13"/>
        <v>#N/A</v>
      </c>
      <c r="CO51" s="159">
        <f>('Scénario référence'!$F$8+'Scénario référence'!$F$9+'Scénario référence'!$B$17+'Scénario référence'!$B$9+'Scénario référence'!$B$10)*70+IF((45+25*(1-EXP(-0.0175*A51)))&lt;70,'Scénario référence'!$B$16*(45+25*(1-EXP(-0.0175*A51))),70*'Scénario référence'!$B$16)+IF((32+38*(1-EXP(-0.0175*A51)))&lt;70,'Scénario référence'!$B$18*(32+38*(1-EXP(-0.0175*A51))),70*'Scénario référence'!$B$18)</f>
        <v>70</v>
      </c>
      <c r="CP51" s="151">
        <f>IF(A51&gt;30,10,('Scénario référence'!$B$16+'Scénario référence'!$B$17+'Scénario référence'!$B$18+'Scénario référence'!$B$9+'Scénario référence'!$B$10)*A51*10/30+('Scénario référence'!$F$8+'Scénario référence'!$F$9)*10)</f>
        <v>10</v>
      </c>
      <c r="CQ51" s="151" t="str">
        <f>VLOOKUP(A51,'Données projet'!$A$139:$I$159,2,0)</f>
        <v>#N/A</v>
      </c>
      <c r="CR51" s="151" t="str">
        <f>VLOOKUP(A51,'Données projet'!$A$139:$I$159,9,0)</f>
        <v>#N/A</v>
      </c>
      <c r="CS51" s="151" t="str">
        <f t="array" ref="CS51">INDEX(CR:CR,MIN(IF(ISNUMBER(CR51:CR247),ROW(CR51:CR247),"")))</f>
        <v/>
      </c>
      <c r="CT51" s="151">
        <f>IF('Données projet'!$A$140&gt;35,CT50+CS51-DB50,IF(A51&lt;'Données projet'!$A$140,$CQ$205^A51,IF(A51='Données projet'!$A$140,'Données projet'!$B$140,CT50+CS51-DB50)))</f>
        <v>0</v>
      </c>
      <c r="CU51" s="158" t="str">
        <f>CT51*VLOOKUP('Données projet'!$B$13,'Paramètres'!$A$1:$I$88,3,0)*VLOOKUP('Données projet'!$B$13,'Paramètres'!$A$1:$I$88,5,0)</f>
        <v>#N/A</v>
      </c>
      <c r="CV51" s="150" t="str">
        <f t="shared" si="42"/>
        <v>#N/A</v>
      </c>
      <c r="CW51" s="161" t="str">
        <f t="shared" si="14"/>
        <v>#N/A</v>
      </c>
      <c r="CX51" s="153" t="str">
        <f t="shared" si="15"/>
        <v>#N/A</v>
      </c>
      <c r="CY51" s="153" t="str">
        <f>AVERAGE(OFFSET($CX$3,0,0,'Données projet'!$E$13+1,1))-AVERAGE(OFFSET($H$3,0,0,'Données projet'!$E$13+1,1))</f>
        <v>#N/A</v>
      </c>
      <c r="CZ51" s="153" t="str">
        <f t="shared" si="43"/>
        <v>#N/A</v>
      </c>
      <c r="DA51" s="154">
        <f>IF(ISNA(VLOOKUP(A51,'Données projet'!$A$139:$I$159,3,0)),0,VLOOKUP(A51,'Données projet'!$A$139:$I$159,3,0))</f>
        <v>0</v>
      </c>
      <c r="DB51" s="154">
        <f>IF(ISNA(VLOOKUP(A51,'Données projet'!$A$139:$I$159,4,0)),0,VLOOKUP(A51,'Données projet'!$A$139:$I$159,4,0))</f>
        <v>0</v>
      </c>
      <c r="DC51" s="155">
        <f>IF(ISNA(VLOOKUP(A51,'Données projet'!$A$139:$I$159,5,0)),0%,VLOOKUP(A51,'Données projet'!$A$139:$I$159,5,0)*VLOOKUP('Données projet'!$B$13,'Paramètres'!$A$1:$I$88,7,0))</f>
        <v>0</v>
      </c>
      <c r="DD51" s="155">
        <f>IF(ISNA(VLOOKUP(A51,'Données projet'!$A$139:$I$159,6,0)),0%,VLOOKUP(A51,'Données projet'!$A$139:$I$159,6,0)*VLOOKUP('Données projet'!$B$13,'Paramètres'!$A$1:$I$88,7,0))</f>
        <v>0</v>
      </c>
      <c r="DE51" s="155">
        <f>IF(ISNA(VLOOKUP(A51,'Données projet'!$A$139:$I$159,7,0)),0%,VLOOKUP(A51,'Données projet'!$A$139:$I$159,7,0))</f>
        <v>0</v>
      </c>
      <c r="DF51" s="162" t="str">
        <f>EXP(-LN(2)/35)*DF50+(1-EXP(-LN(2)/35))/(LN(2)/35)*DB51*DC51*VLOOKUP('Données projet'!$B$13,'Paramètres'!$A$1:$I$88,3,0)*0.475*44/12</f>
        <v>#N/A</v>
      </c>
      <c r="DG51" s="162" t="str">
        <f>EXP(-LN(2)/25)*DG50+(1-EXP(-LN(2)/25))/(LN(2)/25)*Calculateur!DB51*Calculateur!DD51*VLOOKUP('Données projet'!$B$13,'Paramètres'!$A$1:$I$88,3,0)*0.475*44/12</f>
        <v>#N/A</v>
      </c>
      <c r="DH51" s="162" t="str">
        <f>EXP(-LN(2)/2)*DH50+(1-EXP(-LN(2)/2))/(LN(2)/2)*DB51*DE51*VLOOKUP('Données projet'!$B$13,'Paramètres'!$A$1:$I$88,3,0)*0.475*44/12</f>
        <v>#N/A</v>
      </c>
      <c r="DI51" s="163" t="str">
        <f t="shared" si="16"/>
        <v>#N/A</v>
      </c>
      <c r="DJ51" s="159">
        <f>('Scénario référence'!$F$8+'Scénario référence'!$F$9+'Scénario référence'!$B$17+'Scénario référence'!$B$9+'Scénario référence'!$B$10)*70+IF((45+25*(1-EXP(-0.0175*A51)))&lt;70,'Scénario référence'!$B$16*(45+25*(1-EXP(-0.0175*A51))),70*'Scénario référence'!$B$16)+IF((32+38*(1-EXP(-0.0175*A51)))&lt;70,'Scénario référence'!$B$18*(32+38*(1-EXP(-0.0175*A51))),70*'Scénario référence'!$B$18)</f>
        <v>70</v>
      </c>
      <c r="DK51" s="151">
        <f>IF(A51&gt;30,10,('Scénario référence'!$B$16+'Scénario référence'!$B$17+'Scénario référence'!$B$18+'Scénario référence'!$B$9+'Scénario référence'!$B$10)*A51*10/30+('Scénario référence'!$F$8+'Scénario référence'!$F$9)*10)</f>
        <v>10</v>
      </c>
      <c r="DL51" s="151" t="str">
        <f>VLOOKUP(A51,'Données projet'!$A$165:$I$185,2,0)</f>
        <v>#N/A</v>
      </c>
      <c r="DM51" s="151" t="str">
        <f>VLOOKUP(A51,'Données projet'!$A$165:$I$185,9,0)</f>
        <v>#N/A</v>
      </c>
      <c r="DN51" s="151" t="str">
        <f t="array" ref="DN51">INDEX(DM:DM,MIN(IF(ISNUMBER(DM51:DM247),ROW(DM51:DM247),"")))</f>
        <v/>
      </c>
      <c r="DO51" s="151">
        <f>IF('Données projet'!$A$166&gt;35,DO50+DN51-DW50,IF(A51&lt;'Données projet'!$A$166,$DL$205^A51,IF(A51='Données projet'!$A$166,'Données projet'!$B$166,DO50+DN51-DW50)))</f>
        <v>0</v>
      </c>
      <c r="DP51" s="158" t="str">
        <f>DO51*VLOOKUP('Données projet'!$B$14,'Paramètres'!$A$1:$I$88,3,0)*VLOOKUP('Données projet'!$B$14,'Paramètres'!$A$1:$I$88,5,0)</f>
        <v>#N/A</v>
      </c>
      <c r="DQ51" s="150" t="str">
        <f t="shared" si="44"/>
        <v>#N/A</v>
      </c>
      <c r="DR51" s="161" t="str">
        <f t="shared" si="17"/>
        <v>#N/A</v>
      </c>
      <c r="DS51" s="153" t="str">
        <f t="shared" si="18"/>
        <v>#N/A</v>
      </c>
      <c r="DT51" s="153" t="str">
        <f>AVERAGE(OFFSET($DS$3,0,0,'Données projet'!$E$14+1,1))-AVERAGE(OFFSET($H$3,0,0,'Données projet'!$E$14+1,1))</f>
        <v>#N/A</v>
      </c>
      <c r="DU51" s="153" t="str">
        <f t="shared" si="45"/>
        <v>#N/A</v>
      </c>
      <c r="DV51" s="154">
        <f>IF(ISNA(VLOOKUP(A51,'Données projet'!$A$165:$I$185,3,0)),0,VLOOKUP(A51,'Données projet'!$A$165:$I$185,3,0))</f>
        <v>0</v>
      </c>
      <c r="DW51" s="154">
        <f>IF(ISNA(VLOOKUP(A51,'Données projet'!$A$165:$I$185,4,0)),0,VLOOKUP(A51,'Données projet'!$A$165:$I$185,4,0))</f>
        <v>0</v>
      </c>
      <c r="DX51" s="155">
        <f>IF(ISNA(VLOOKUP(A51,'Données projet'!$A$165:$I$185,5,0)),0%,VLOOKUP(A51,'Données projet'!$A$165:$I$185,5,0)*VLOOKUP('Données projet'!$B$14,'Paramètres'!$A$1:$I$88,7,0))</f>
        <v>0</v>
      </c>
      <c r="DY51" s="155">
        <f>IF(ISNA(VLOOKUP(A51,'Données projet'!$A$165:$I$185,6,0)),0%,VLOOKUP(A51,'Données projet'!$A$165:$I$185,6,0)*VLOOKUP('Données projet'!$B$14,'Paramètres'!$A$1:$I$88,7,0))</f>
        <v>0</v>
      </c>
      <c r="DZ51" s="155">
        <f>IF(ISNA(VLOOKUP(A51,'Données projet'!$A$165:$I$185,7,0)),0%,VLOOKUP(A51,'Données projet'!$A$165:$I$185,7,0))</f>
        <v>0</v>
      </c>
      <c r="EA51" s="162" t="str">
        <f>EXP(-LN(2)/35)*EA50+(1-EXP(-LN(2)/35))/(LN(2)/35)*DW51*DX51*VLOOKUP('Données projet'!$B$14,'Paramètres'!$A$1:$I$88,3,0)*0.475*44/12</f>
        <v>#N/A</v>
      </c>
      <c r="EB51" s="162" t="str">
        <f>EXP(-LN(2)/25)*EB50+(1-EXP(-LN(2)/25))/(LN(2)/25)*Calculateur!DW51*Calculateur!DY51*VLOOKUP('Données projet'!$B$14,'Paramètres'!$A$1:$I$88,3,0)*0.475*44/12</f>
        <v>#N/A</v>
      </c>
      <c r="EC51" s="162" t="str">
        <f>EXP(-LN(2)/2)*EC50+(1-EXP(-LN(2)/2))/(LN(2)/2)*DW51*DZ51*VLOOKUP('Données projet'!$B$14,'Paramètres'!$A$1:$I$88,3,0)*0.475*44/12</f>
        <v>#N/A</v>
      </c>
      <c r="ED51" s="163" t="str">
        <f t="shared" si="19"/>
        <v>#N/A</v>
      </c>
      <c r="EE51" s="159">
        <f>('Scénario référence'!$F$8+'Scénario référence'!$F$9+'Scénario référence'!$B$17+'Scénario référence'!$B$9+'Scénario référence'!$B$10)*70+IF((45+25*(1-EXP(-0.0175*A51)))&lt;70,'Scénario référence'!$B$16*(45+25*(1-EXP(-0.0175*A51))),70*'Scénario référence'!$B$16)+IF((32+38*(1-EXP(-0.0175*A51)))&lt;70,'Scénario référence'!$B$18*(32+38*(1-EXP(-0.0175*A51))),70*'Scénario référence'!$B$18)</f>
        <v>70</v>
      </c>
      <c r="EF51" s="151">
        <f>IF(A51&gt;30,10,('Scénario référence'!$B$16+'Scénario référence'!$B$17+'Scénario référence'!$B$18+'Scénario référence'!$B$9+'Scénario référence'!$B$10)*A51*10/30+('Scénario référence'!$F$8+'Scénario référence'!$F$9)*10)</f>
        <v>10</v>
      </c>
      <c r="EG51" s="151" t="str">
        <f>VLOOKUP(A51,'Données projet'!$A$191:$I$211,2,0)</f>
        <v>#N/A</v>
      </c>
      <c r="EH51" s="151" t="str">
        <f>VLOOKUP(A51,'Données projet'!$A$191:$I$211,9,0)</f>
        <v>#N/A</v>
      </c>
      <c r="EI51" s="151" t="str">
        <f t="array" ref="EI51">INDEX(EH:EH,MIN(IF(ISNUMBER(EH51:EH247),ROW(EH51:EH247),"")))</f>
        <v/>
      </c>
      <c r="EJ51" s="151">
        <f>IF('Données projet'!$A$192&gt;35,EJ50+EI51-ER50,IF(A51&lt;'Données projet'!$A$192,$EG$205^A51,IF(A51='Données projet'!$A$192,'Données projet'!$B$192,EJ50+EI51-ER50)))</f>
        <v>0</v>
      </c>
      <c r="EK51" s="158" t="str">
        <f>EJ51*VLOOKUP('Données projet'!$B$15,'Paramètres'!$A$1:$I$88,3,0)*VLOOKUP('Données projet'!$B$15,'Paramètres'!$A$1:$I$88,5,0)</f>
        <v>#N/A</v>
      </c>
      <c r="EL51" s="150" t="str">
        <f t="shared" si="46"/>
        <v>#N/A</v>
      </c>
      <c r="EM51" s="161" t="str">
        <f t="shared" si="20"/>
        <v>#N/A</v>
      </c>
      <c r="EN51" s="153" t="str">
        <f t="shared" si="21"/>
        <v>#N/A</v>
      </c>
      <c r="EO51" s="153" t="str">
        <f>AVERAGE(OFFSET($EN$3,0,0,'Données projet'!$E$15+1,1))-AVERAGE(OFFSET($H$3,0,0,'Données projet'!$E$15+1,1))</f>
        <v>#N/A</v>
      </c>
      <c r="EP51" s="153" t="str">
        <f t="shared" si="47"/>
        <v>#N/A</v>
      </c>
      <c r="EQ51" s="154">
        <f>IF(ISNA(VLOOKUP(A51,'Données projet'!$A$191:$I$211,3,0)),0,VLOOKUP(A51,'Données projet'!$A$191:$I$211,3,0))</f>
        <v>0</v>
      </c>
      <c r="ER51" s="154">
        <f>IF(ISNA(VLOOKUP(A51,'Données projet'!$A$191:$I$211,4,0)),0,VLOOKUP(A51,'Données projet'!$A$191:$I$211,4,0))</f>
        <v>0</v>
      </c>
      <c r="ES51" s="155">
        <f>IF(ISNA(VLOOKUP(A51,'Données projet'!$A$191:$I$211,5,0)),0%,VLOOKUP(A51,'Données projet'!$A$191:$I$211,5,0)*VLOOKUP('Données projet'!$B$15,'Paramètres'!$A$1:$I$88,7,0))</f>
        <v>0</v>
      </c>
      <c r="ET51" s="155">
        <f>IF(ISNA(VLOOKUP(A51,'Données projet'!$A$191:$I$211,6,0)),0%,VLOOKUP(A51,'Données projet'!$A$191:$I$211,6,0)*VLOOKUP('Données projet'!$B$15,'Paramètres'!$A$1:$I$88,7,0))</f>
        <v>0</v>
      </c>
      <c r="EU51" s="155">
        <f>IF(ISNA(VLOOKUP(A51,'Données projet'!$A$191:$I$211,7,0)),0%,VLOOKUP(A51,'Données projet'!$A$191:$I$211,7,0))</f>
        <v>0</v>
      </c>
      <c r="EV51" s="162" t="str">
        <f>EXP(-LN(2)/35)*EV50+(1-EXP(-LN(2)/35))/(LN(2)/35)*ER51*ES51*VLOOKUP('Données projet'!$B$15,'Paramètres'!$A$1:$I$88,3,0)*0.475*44/12</f>
        <v>#N/A</v>
      </c>
      <c r="EW51" s="162" t="str">
        <f>EXP(-LN(2)/25)*EW50+(1-EXP(-LN(2)/25))/(LN(2)/25)*Calculateur!ER51*Calculateur!ET51*VLOOKUP('Données projet'!$B$15,'Paramètres'!$A$1:$I$88,3,0)*0.475*44/12</f>
        <v>#N/A</v>
      </c>
      <c r="EX51" s="162" t="str">
        <f>EXP(-LN(2)/2)*EX50+(1-EXP(-LN(2)/2))/(LN(2)/2)*ER51*EU51*VLOOKUP('Données projet'!$B$15,'Paramètres'!$A$1:$I$88,3,0)*0.475*44/12</f>
        <v>#N/A</v>
      </c>
      <c r="EY51" s="163" t="str">
        <f t="shared" si="22"/>
        <v>#N/A</v>
      </c>
      <c r="EZ51" s="159">
        <f>('Scénario référence'!$F$8+'Scénario référence'!$F$9+'Scénario référence'!$B$17+'Scénario référence'!$B$9+'Scénario référence'!$B$10)*70+IF((45+25*(1-EXP(-0.0175*A51)))&lt;70,'Scénario référence'!$B$16*(45+25*(1-EXP(-0.0175*A51))),70*'Scénario référence'!$B$16)+IF((32+38*(1-EXP(-0.0175*A51)))&lt;70,'Scénario référence'!$B$18*(32+38*(1-EXP(-0.0175*A51))),70*'Scénario référence'!$B$18)</f>
        <v>70</v>
      </c>
      <c r="FA51" s="151">
        <f>IF(A51&gt;30,10,('Scénario référence'!$B$16+'Scénario référence'!$B$17+'Scénario référence'!$B$18+'Scénario référence'!$B$9+'Scénario référence'!$B$10)*A51*10/30+('Scénario référence'!$F$8+'Scénario référence'!$F$9)*10)</f>
        <v>10</v>
      </c>
      <c r="FB51" s="151" t="str">
        <f>VLOOKUP(A51,'Données projet'!$A$217:$I$237,2,0)</f>
        <v>#N/A</v>
      </c>
      <c r="FC51" s="151" t="str">
        <f>VLOOKUP(A51,'Données projet'!$A$217:$I$237,9,0)</f>
        <v>#N/A</v>
      </c>
      <c r="FD51" s="151" t="str">
        <f t="array" ref="FD51">INDEX(FC:FC,MIN(IF(ISNUMBER(FC51:FC247),ROW(FC51:FC247),"")))</f>
        <v/>
      </c>
      <c r="FE51" s="151">
        <f>IF('Données projet'!$A$218&gt;35,FE50+FD51-FM50,IF(A51&lt;'Données projet'!$A$218,$FB$205^A51,IF(A51='Données projet'!$A$218,'Données projet'!$B$218,FE50+FD51-FM50)))</f>
        <v>0</v>
      </c>
      <c r="FF51" s="158" t="str">
        <f>FE51*VLOOKUP('Données projet'!$B$16,'Paramètres'!$A$1:$I$88,3,0)*VLOOKUP('Données projet'!$B$16,'Paramètres'!$A$1:$I$88,5,0)</f>
        <v>#N/A</v>
      </c>
      <c r="FG51" s="150" t="str">
        <f t="shared" si="48"/>
        <v>#N/A</v>
      </c>
      <c r="FH51" s="161" t="str">
        <f t="shared" si="23"/>
        <v>#N/A</v>
      </c>
      <c r="FI51" s="153" t="str">
        <f t="shared" si="24"/>
        <v>#N/A</v>
      </c>
      <c r="FJ51" s="153" t="str">
        <f>AVERAGE(OFFSET($FI$3,0,0,'Données projet'!$E$16+1,1))-AVERAGE(OFFSET($H$3,0,0,'Données projet'!$E$16+1,1))</f>
        <v>#N/A</v>
      </c>
      <c r="FK51" s="153" t="str">
        <f t="shared" si="49"/>
        <v>#N/A</v>
      </c>
      <c r="FL51" s="154">
        <f>IF(ISNA(VLOOKUP(A51,'Données projet'!$A$217:$I$237,3,0)),0,VLOOKUP(A51,'Données projet'!$A$217:$I$237,3,0))</f>
        <v>0</v>
      </c>
      <c r="FM51" s="154">
        <f>IF(ISNA(VLOOKUP(A51,'Données projet'!$A$217:$I$237,4,0)),0,VLOOKUP(A51,'Données projet'!$A$217:$I$237,4,0))</f>
        <v>0</v>
      </c>
      <c r="FN51" s="155">
        <f>IF(ISNA(VLOOKUP(A51,'Données projet'!$A$217:$I$237,5,0)),0%,VLOOKUP(A51,'Données projet'!$A$217:$I$237,5,0)*VLOOKUP('Données projet'!$B$16,'Paramètres'!$A$1:$I$88,7,0))</f>
        <v>0</v>
      </c>
      <c r="FO51" s="155">
        <f>IF(ISNA(VLOOKUP(A51,'Données projet'!$A$217:$I$237,6,0)),0%,VLOOKUP(A51,'Données projet'!$A$217:$I$237,6,0)*VLOOKUP('Données projet'!$B$16,'Paramètres'!$A$1:$I$88,7,0))</f>
        <v>0</v>
      </c>
      <c r="FP51" s="155">
        <f>IF(ISNA(VLOOKUP(A51,'Données projet'!$A$217:$I$237,7,0)),0%,VLOOKUP(A51,'Données projet'!$A$217:$I$237,7,0))</f>
        <v>0</v>
      </c>
      <c r="FQ51" s="162" t="str">
        <f>EXP(-LN(2)/35)*FQ50+(1-EXP(-LN(2)/35))/(LN(2)/35)*FM51*FN51*VLOOKUP('Données projet'!$B$16,'Paramètres'!$A$1:$I$88,3,0)*0.475*44/12</f>
        <v>#N/A</v>
      </c>
      <c r="FR51" s="162" t="str">
        <f>EXP(-LN(2)/25)*FR50+(1-EXP(-LN(2)/25))/(LN(2)/25)*Calculateur!FM51*Calculateur!FO51*VLOOKUP('Données projet'!$B$16,'Paramètres'!$A$1:$I$88,3,0)*0.475*44/12</f>
        <v>#N/A</v>
      </c>
      <c r="FS51" s="162" t="str">
        <f>EXP(-LN(2)/2)*FS50+(1-EXP(-LN(2)/2))/(LN(2)/2)*FM51*FP51*VLOOKUP('Données projet'!$B$16,'Paramètres'!$A$1:$I$88,3,0)*0.475*44/12</f>
        <v>#N/A</v>
      </c>
      <c r="FT51" s="163" t="str">
        <f t="shared" si="25"/>
        <v>#N/A</v>
      </c>
      <c r="FU51" s="159">
        <f>('Scénario référence'!$F$8+'Scénario référence'!$F$9+'Scénario référence'!$B$17+'Scénario référence'!$B$9+'Scénario référence'!$B$10)*70+IF((45+25*(1-EXP(-0.0175*A51)))&lt;70,'Scénario référence'!$B$16*(45+25*(1-EXP(-0.0175*A51))),70*'Scénario référence'!$B$16)+IF((32+38*(1-EXP(-0.0175*A51)))&lt;70,'Scénario référence'!$B$18*(32+38*(1-EXP(-0.0175*A51))),70*'Scénario référence'!$B$18)</f>
        <v>70</v>
      </c>
      <c r="FV51" s="151">
        <f>IF(A51&gt;30,10,('Scénario référence'!$B$16+'Scénario référence'!$B$17+'Scénario référence'!$B$18+'Scénario référence'!$B$9+'Scénario référence'!$B$10)*A51*10/30+('Scénario référence'!$F$8+'Scénario référence'!$F$9)*10)</f>
        <v>10</v>
      </c>
      <c r="FW51" s="151" t="str">
        <f>VLOOKUP(A51,'Données projet'!$A$243:$I$263,2,0)</f>
        <v>#N/A</v>
      </c>
      <c r="FX51" s="151" t="str">
        <f>VLOOKUP(A51,'Données projet'!$A$243:$I$263,9,0)</f>
        <v>#N/A</v>
      </c>
      <c r="FY51" s="151" t="str">
        <f t="array" ref="FY51">INDEX(FX:FX,MIN(IF(ISNUMBER(FX51:FX247),ROW(FX51:FX247),"")))</f>
        <v/>
      </c>
      <c r="FZ51" s="151">
        <f>IF('Données projet'!$A$244&gt;35,FZ50+FY51-GH50,IF(A51&lt;'Données projet'!$A$244,$FW$205^A51,IF(A51='Données projet'!$A$244,'Données projet'!$B$244,FZ50+FY51-GH50)))</f>
        <v>0</v>
      </c>
      <c r="GA51" s="158" t="str">
        <f>FZ51*VLOOKUP('Données projet'!$B$17,'Paramètres'!$A$1:$I$88,3,0)*VLOOKUP('Données projet'!$B$17,'Paramètres'!$A$1:$I$88,5,0)</f>
        <v>#N/A</v>
      </c>
      <c r="GB51" s="150" t="str">
        <f t="shared" si="50"/>
        <v>#N/A</v>
      </c>
      <c r="GC51" s="161" t="str">
        <f t="shared" si="26"/>
        <v>#N/A</v>
      </c>
      <c r="GD51" s="153" t="str">
        <f t="shared" si="27"/>
        <v>#N/A</v>
      </c>
      <c r="GE51" s="153" t="str">
        <f>AVERAGE(OFFSET($GD$3,0,0,'Données projet'!$E$17+1,1))-AVERAGE(OFFSET($H$3,0,0,'Données projet'!$E$17+1,1))</f>
        <v>#N/A</v>
      </c>
      <c r="GF51" s="153" t="str">
        <f t="shared" si="51"/>
        <v>#N/A</v>
      </c>
      <c r="GG51" s="154">
        <f>IF(ISNA(VLOOKUP(A51,'Données projet'!$A$243:$I$263,3,0)),0,VLOOKUP(A51,'Données projet'!$A$243:$I$263,3,0))</f>
        <v>0</v>
      </c>
      <c r="GH51" s="154">
        <f>IF(ISNA(VLOOKUP(A51,'Données projet'!$A$243:$I$263,4,0)),0,VLOOKUP(A51,'Données projet'!$A$243:$I$263,4,0))</f>
        <v>0</v>
      </c>
      <c r="GI51" s="155">
        <f>IF(ISNA(VLOOKUP(A51,'Données projet'!$A$243:$I$263,5,0)),0%,VLOOKUP(A51,'Données projet'!$A$243:$I$263,5,0)*VLOOKUP('Données projet'!$B$17,'Paramètres'!$A$1:$I$88,7,0))</f>
        <v>0</v>
      </c>
      <c r="GJ51" s="155">
        <f>IF(ISNA(VLOOKUP(A51,'Données projet'!$A$243:$I$263,6,0)),0%,VLOOKUP(A51,'Données projet'!$A$243:$I$263,6,0)*VLOOKUP('Données projet'!$B$17,'Paramètres'!$A$1:$I$88,7,0))</f>
        <v>0</v>
      </c>
      <c r="GK51" s="155">
        <f>IF(ISNA(VLOOKUP(A51,'Données projet'!$A$243:$I$263,7,0)),0%,VLOOKUP(A51,'Données projet'!$A$243:$I$263,7,0))</f>
        <v>0</v>
      </c>
      <c r="GL51" s="162" t="str">
        <f>EXP(-LN(2)/35)*GL50+(1-EXP(-LN(2)/35))/(LN(2)/35)*GH51*GI51*VLOOKUP('Données projet'!$B$17,'Paramètres'!$A$1:$I$88,3,0)*0.475*44/12</f>
        <v>#N/A</v>
      </c>
      <c r="GM51" s="162" t="str">
        <f>EXP(-LN(2)/25)*GM50+(1-EXP(-LN(2)/25))/(LN(2)/25)*Calculateur!GH51*Calculateur!GJ51*VLOOKUP('Données projet'!$B$17,'Paramètres'!$A$1:$I$88,3,0)*0.475*44/12</f>
        <v>#N/A</v>
      </c>
      <c r="GN51" s="162" t="str">
        <f>EXP(-LN(2)/2)*GN50+(1-EXP(-LN(2)/2))/(LN(2)/2)*GH51*GK51*VLOOKUP('Données projet'!$B$17,'Paramètres'!$A$1:$I$88,3,0)*0.475*44/12</f>
        <v>#N/A</v>
      </c>
      <c r="GO51" s="162" t="str">
        <f t="shared" si="28"/>
        <v>#N/A</v>
      </c>
      <c r="GP51" s="159">
        <f>('Scénario référence'!$F$8+'Scénario référence'!$F$9+'Scénario référence'!$B$17+'Scénario référence'!$B$9+'Scénario référence'!$B$10)*70+IF((45+25*(1-EXP(-0.0175*A51)))&lt;70,'Scénario référence'!$B$16*(45+25*(1-EXP(-0.0175*A51))),70*'Scénario référence'!$B$16)+IF((32+38*(1-EXP(-0.0175*A51)))&lt;70,'Scénario référence'!$B$18*(32+38*(1-EXP(-0.0175*A51))),70*'Scénario référence'!$B$18)</f>
        <v>70</v>
      </c>
      <c r="GQ51" s="151">
        <f>IF(A51&gt;30,10,('Scénario référence'!$B$16+'Scénario référence'!$B$17+'Scénario référence'!$B$18+'Scénario référence'!$B$9+'Scénario référence'!$B$10)*A51*10/30+('Scénario référence'!$F$8+'Scénario référence'!$F$9)*10)</f>
        <v>10</v>
      </c>
      <c r="GR51" s="151" t="str">
        <f>VLOOKUP(A51,'Données projet'!$A$269:$I$289,2,0)</f>
        <v>#N/A</v>
      </c>
      <c r="GS51" s="151" t="str">
        <f>VLOOKUP(A51,'Données projet'!$A$269:$I$289,9,0)</f>
        <v>#N/A</v>
      </c>
      <c r="GT51" s="151" t="str">
        <f t="array" ref="GT51">INDEX(GS:GS,MIN(IF(ISNUMBER(GS51:GS247),ROW(GS51:GS247),"")))</f>
        <v/>
      </c>
      <c r="GU51" s="151">
        <f>IF('Données projet'!$A$270&gt;35,GU50+GT51-HC50,IF(A51&lt;'Données projet'!$A$270,$GR$205^A51,IF(A51='Données projet'!$A$270,'Données projet'!$B$270,GU50+GT51-HC50)))</f>
        <v>0</v>
      </c>
      <c r="GV51" s="158" t="str">
        <f>GU51*VLOOKUP('Données projet'!$B$18,'Paramètres'!$A$1:$I$88,3,0)*VLOOKUP('Données projet'!$B$18,'Paramètres'!$A$1:$I$88,5,0)</f>
        <v>#N/A</v>
      </c>
      <c r="GW51" s="150" t="str">
        <f t="shared" si="52"/>
        <v>#N/A</v>
      </c>
      <c r="GX51" s="161" t="str">
        <f t="shared" si="29"/>
        <v>#N/A</v>
      </c>
      <c r="GY51" s="153" t="str">
        <f t="shared" si="30"/>
        <v>#N/A</v>
      </c>
      <c r="GZ51" s="153" t="str">
        <f>AVERAGE(OFFSET($GY$3,0,0,'Données projet'!$E$18+1,1))-AVERAGE(OFFSET($H$3,0,0,'Données projet'!$E$18+1,1))</f>
        <v>#N/A</v>
      </c>
      <c r="HA51" s="153" t="str">
        <f t="shared" si="53"/>
        <v>#N/A</v>
      </c>
      <c r="HB51" s="154">
        <f>IF(ISNA(VLOOKUP(A51,'Données projet'!$A$269:$I$289,3,0)),0,VLOOKUP(A51,'Données projet'!$A$269:$I$289,3,0))</f>
        <v>0</v>
      </c>
      <c r="HC51" s="154">
        <f>IF(ISNA(VLOOKUP(A51,'Données projet'!$A$269:$I$289,4,0)),0,VLOOKUP(A51,'Données projet'!$A$269:$I$289,4,0))</f>
        <v>0</v>
      </c>
      <c r="HD51" s="155">
        <f>IF(ISNA(VLOOKUP(A51,'Données projet'!$A$269:$I$289,5,0)),0%,VLOOKUP(A51,'Données projet'!$A$269:$I$289,5,0)*VLOOKUP('Données projet'!$B$18,'Paramètres'!$A$1:$I$88,7,0))</f>
        <v>0</v>
      </c>
      <c r="HE51" s="155">
        <f>IF(ISNA(VLOOKUP(A51,'Données projet'!$A$269:$I$289,6,0)),0%,VLOOKUP(A51,'Données projet'!$A$269:$I$289,6,0)*VLOOKUP('Données projet'!$B$18,'Paramètres'!$A$1:$I$88,7,0))</f>
        <v>0</v>
      </c>
      <c r="HF51" s="155">
        <f>IF(ISNA(VLOOKUP(A51,'Données projet'!$A$269:$I$289,7,0)),0%,VLOOKUP(A51,'Données projet'!$A$269:$I$289,7,0))</f>
        <v>0</v>
      </c>
      <c r="HG51" s="162" t="str">
        <f>EXP(-LN(2)/35)*HG50+(1-EXP(-LN(2)/35))/(LN(2)/35)*HC51*HD51*VLOOKUP('Données projet'!$B$18,'Paramètres'!$A$1:$I$88,3,0)*0.475*44/12</f>
        <v>#N/A</v>
      </c>
      <c r="HH51" s="162" t="str">
        <f>EXP(-LN(2)/25)*HH50+(1-EXP(-LN(2)/25))/(LN(2)/25)*Calculateur!HC51*Calculateur!HE51*VLOOKUP('Données projet'!$B$18,'Paramètres'!$A$1:$I$88,3,0)*0.475*44/12</f>
        <v>#N/A</v>
      </c>
      <c r="HI51" s="162" t="str">
        <f>EXP(-LN(2)/2)*HI50+(1-EXP(-LN(2)/2))/(LN(2)/2)*HC51*HF51*VLOOKUP('Données projet'!$B$18,'Paramètres'!$A$1:$I$88,3,0)*0.475*44/12</f>
        <v>#N/A</v>
      </c>
      <c r="HJ51" s="163" t="str">
        <f t="shared" si="31"/>
        <v>#N/A</v>
      </c>
    </row>
    <row r="52" ht="15.75" customHeight="1">
      <c r="A52" s="145">
        <f t="shared" si="32"/>
        <v>49</v>
      </c>
      <c r="B52" s="146">
        <f>'Scénario référence'!$B$16*5+'Scénario référence'!$B$17*0+'Scénario référence'!$B$18*5</f>
        <v>0</v>
      </c>
      <c r="C52" s="160">
        <f>Calculateur!C51+'Scénario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52" s="147">
        <f t="shared" si="33"/>
        <v>0</v>
      </c>
      <c r="E52" s="147">
        <f>'Scénario référence'!$B$16*45+('Scénario référence'!$B$17+'Scénario référence'!$F$8+'Scénario référence'!$F$9+'Scénario référence'!$B$10+'Scénario référence'!$B$9)*70+'Scénario référence'!$B$18*32</f>
        <v>70</v>
      </c>
      <c r="F52" s="147">
        <f>IF(OR('Scénario référence'!$F$8&gt;0,'Scénario référence'!$F$9&gt;0),('Scénario référence'!$F$8+'Scénario référence'!$F$9)*10,0)</f>
        <v>0</v>
      </c>
      <c r="G52" s="147">
        <f>'Scénario référence'!$B$8*B52*44/12+'Scénario référence'!$B$9*(C52+D52)/0.475*44/12+'Scénario référence'!$B$10*(C52+D52)/0.475*44/12+'Scénario référence'!$F$8*(C52+D52)/0.475*44/12+'Scénario référence'!$F$9*(C52+D52)/0.475*44/12</f>
        <v>0</v>
      </c>
      <c r="H52" s="148">
        <f t="shared" si="1"/>
        <v>256.6666667</v>
      </c>
      <c r="I52" s="149">
        <f>('Scénario référence'!$F$8+'Scénario référence'!$F$9+'Scénario référence'!$B$17+'Scénario référence'!$B$9+'Scénario référence'!$B$10)*70+IF((45+25*(1-EXP(-0.0175*A52)))&lt;70,'Scénario référence'!$B$16*(45+25*(1-EXP(-0.0175*A52))),70*'Scénario référence'!$B$16)+IF((32+38*(1-EXP(-0.0175*A52)))&lt;70,'Scénario référence'!$B$18*(32+38*(1-EXP(-0.0175*A52))),70*'Scénario référence'!$B$18)</f>
        <v>70</v>
      </c>
      <c r="J52" s="150">
        <f>IF(A52&gt;30,10,('Scénario référence'!$B$16+'Scénario référence'!$B$17+'Scénario référence'!$B$18+'Scénario référence'!$B$9+'Scénario référence'!$B$10)*A52*10/30+('Scénario référence'!$F$8+'Scénario référence'!$F$9)*10)</f>
        <v>10</v>
      </c>
      <c r="K52" s="151" t="str">
        <f>VLOOKUP(A52,'Données projet'!$A$35:$I$55,2,0)</f>
        <v>#N/A</v>
      </c>
      <c r="L52" s="151" t="str">
        <f>VLOOKUP(A52,'Données projet'!$A$35:$I$55,9,0)</f>
        <v>#N/A</v>
      </c>
      <c r="M52" s="150">
        <f t="array" ref="M52">INDEX(L:L,MIN(IF(ISNUMBER(L52:L248),ROW(L52:L248),"")))</f>
        <v>11</v>
      </c>
      <c r="N52" s="150">
        <f>IF('Données projet'!$A$36&gt;35,N51+M52-V51,IF(A52&lt;'Données projet'!$A$36,$K$205^A52,IF(A52='Données projet'!$A$36,'Données projet'!$B$36,N51+M52-V51)))</f>
        <v>220</v>
      </c>
      <c r="O52" s="150">
        <f>N52*VLOOKUP('Données projet'!$B$9,'Paramètres'!$A$1:$I$88,3,0)*VLOOKUP('Données projet'!$B$9,'Paramètres'!$A$1:$I$88,5,0)</f>
        <v>199.056</v>
      </c>
      <c r="P52" s="150">
        <f t="shared" si="34"/>
        <v>49.53664801</v>
      </c>
      <c r="Q52" s="161">
        <f t="shared" si="2"/>
        <v>432.9655286</v>
      </c>
      <c r="R52" s="153">
        <f t="shared" si="3"/>
        <v>726.2988619</v>
      </c>
      <c r="S52" s="153">
        <f>AVERAGE(OFFSET($R$3,0,0,'Données projet'!$E$9+1,1))-AVERAGE(OFFSET($H$3,0,0,'Données projet'!$E$9+1,1))</f>
        <v>439.1985427</v>
      </c>
      <c r="T52" s="153">
        <f t="shared" si="35"/>
        <v>278.2174123</v>
      </c>
      <c r="U52" s="154">
        <f>IF(ISNA(VLOOKUP(A52,'Données projet'!$A$35:$I$55,3,0)),0,VLOOKUP(A52,'Données projet'!$A$35:$I$55,3,0))</f>
        <v>0</v>
      </c>
      <c r="V52" s="154">
        <f>IF(ISNA(VLOOKUP(A52,'Données projet'!$A$35:$I$55,4,0)),0,VLOOKUP(A52,'Données projet'!$A$35:$I$55,4,0))</f>
        <v>0</v>
      </c>
      <c r="W52" s="155">
        <f>IF(ISNA(VLOOKUP(A52,'Données projet'!$A$35:$I$55,5,0)),0%,VLOOKUP(A52,'Données projet'!$A$35:$I$55,5,0)*VLOOKUP('Données projet'!$B$9,'Paramètres'!$A$1:$I$88,7,0))</f>
        <v>0</v>
      </c>
      <c r="X52" s="155">
        <f>IF(ISNA(VLOOKUP(A52,'Données projet'!$A$35:$I$55,6,0)),0%,VLOOKUP(A52,'Données projet'!$A$35:$I$55,6,0)*VLOOKUP('Données projet'!$B$9,'Paramètres'!$A$1:$I$88,7,0))</f>
        <v>0</v>
      </c>
      <c r="Y52" s="155">
        <f>IF(ISNA(VLOOKUP(A52,'Données projet'!$A$35:$I$55,7,0)),0%,VLOOKUP(A52,'Données projet'!$A$35:$I$55,7,0))</f>
        <v>0</v>
      </c>
      <c r="Z52" s="162">
        <f>EXP(-LN(2)/35)*Z51+(1-EXP(-LN(2)/35))/(LN(2)/35)*V52*W52*VLOOKUP('Données projet'!$B$9,'Paramètres'!$A$1:$I$88,3,0)*0.475*44/12</f>
        <v>0</v>
      </c>
      <c r="AA52" s="162">
        <f>EXP(-LN(2)/25)*AA51+(1-EXP(-LN(2)/25))/(LN(2)/25)*Calculateur!V52*Calculateur!X52*VLOOKUP('Données projet'!$B$9,'Paramètres'!$A$1:$I$88,3,0)*0.475*44/12</f>
        <v>2.649899982</v>
      </c>
      <c r="AB52" s="162">
        <f>EXP(-LN(2)/2)*AB51+(1-EXP(-LN(2)/2))/(LN(2)/2)*V52*Y52*VLOOKUP('Données projet'!$B$9,'Paramètres'!$A$1:$I$88,3,0)*0.475*44/12</f>
        <v>0</v>
      </c>
      <c r="AC52" s="163">
        <f t="shared" si="4"/>
        <v>2.649899982</v>
      </c>
      <c r="AD52" s="150">
        <f>('Scénario référence'!$F$8+'Scénario référence'!$F$9+'Scénario référence'!$B$17+'Scénario référence'!$B$9+'Scénario référence'!$B$10)*70+IF((45+25*(1-EXP(-0.0175*A52)))&lt;70,'Scénario référence'!$B$16*(45+25*(1-EXP(-0.0175*A52))),70*'Scénario référence'!$B$16)+IF((32+38*(1-EXP(-0.0175*A52)))&lt;70,'Scénario référence'!$B$18*(32+38*(1-EXP(-0.0175*A52))),70*'Scénario référence'!$B$18)</f>
        <v>70</v>
      </c>
      <c r="AE52" s="150">
        <f>IF(A52&gt;30,10,('Scénario référence'!$B$16+'Scénario référence'!$B$17+'Scénario référence'!$B$18+'Scénario référence'!$B$9+'Scénario référence'!$B$10)*A52*10/30+('Scénario référence'!$F$8+'Scénario référence'!$F$9)*10)</f>
        <v>10</v>
      </c>
      <c r="AF52" s="151" t="str">
        <f>VLOOKUP(A52,'Données projet'!$A$61:$I$81,2,0)</f>
        <v>#N/A</v>
      </c>
      <c r="AG52" s="151" t="str">
        <f>VLOOKUP(A52,'Données projet'!$A$61:$I$81,9,0)</f>
        <v>#N/A</v>
      </c>
      <c r="AH52" s="150">
        <f t="array" ref="AH52">INDEX(AG:AG,MIN(IF(ISNUMBER(AG52:AG248),ROW(AG52:AG248),"")))</f>
        <v>9.8</v>
      </c>
      <c r="AI52" s="150">
        <f>IF('Données projet'!$A$62&gt;35,AI51+AH52-AQ51,IF(A52&lt;'Données projet'!$A$62,$AF$205^A52,IF(A52='Données projet'!$A$62,'Données projet'!$B$62,AI51+AH52-AQ51)))</f>
        <v>293.2</v>
      </c>
      <c r="AJ52" s="150">
        <f>AI52*VLOOKUP('Données projet'!$B$10,'Paramètres'!$A$1:$I$88,3,0)*VLOOKUP('Données projet'!$B$10,'Paramètres'!$A$1:$I$88,5,0)</f>
        <v>233.26992</v>
      </c>
      <c r="AK52" s="150">
        <f t="shared" si="36"/>
        <v>56.98913274</v>
      </c>
      <c r="AL52" s="161">
        <f t="shared" si="5"/>
        <v>505.5345168</v>
      </c>
      <c r="AM52" s="153">
        <f t="shared" si="6"/>
        <v>798.8678502</v>
      </c>
      <c r="AN52" s="153">
        <f>AVERAGE(OFFSET($AM$3,0,0,'Données projet'!$E$10+1,1))-AVERAGE(OFFSET($H$3,0,0,'Données projet'!$E$10+1,1))</f>
        <v>405.6113614</v>
      </c>
      <c r="AO52" s="153">
        <f t="shared" si="37"/>
        <v>393.0787141</v>
      </c>
      <c r="AP52" s="154">
        <f>IF(ISNA(VLOOKUP(A52,'Données projet'!$A$61:$I$81,3,0)),0,VLOOKUP(A52,'Données projet'!$A$61:$I$81,3,0))</f>
        <v>0</v>
      </c>
      <c r="AQ52" s="154">
        <f>IF(ISNA(VLOOKUP(A52,'Données projet'!$A$61:$I$81,4,0)),0,VLOOKUP(A52,'Données projet'!$A$61:$I$81,4,0))</f>
        <v>0</v>
      </c>
      <c r="AR52" s="155">
        <f>IF(ISNA(VLOOKUP(A52,'Données projet'!$A$61:$I$81,5,0)),0%,VLOOKUP(A52,'Données projet'!$A$61:$I$81,5,0)*VLOOKUP('Données projet'!$B$10,'Paramètres'!$A$1:$I$88,7,0))</f>
        <v>0</v>
      </c>
      <c r="AS52" s="155">
        <f>IF(ISNA(VLOOKUP(A52,'Données projet'!$A$61:$I$81,6,0)),0%,VLOOKUP(A52,'Données projet'!$A$61:$I$81,6,0)*VLOOKUP('Données projet'!$B$10,'Paramètres'!$A$1:$I$88,7,0))</f>
        <v>0</v>
      </c>
      <c r="AT52" s="155">
        <f>IF(ISNA(VLOOKUP(A52,'Données projet'!$A$61:$I$81,7,0)),0%,VLOOKUP(A52,'Données projet'!$A$61:$I$81,7,0))</f>
        <v>0</v>
      </c>
      <c r="AU52" s="162">
        <f>EXP(-LN(2)/35)*AU51+(1-EXP(-LN(2)/35))/(LN(2)/35)*AQ52*AR52*VLOOKUP('Données projet'!$B$10,'Paramètres'!$A$1:$I$88,3,0)*0.475*44/12</f>
        <v>0</v>
      </c>
      <c r="AV52" s="162">
        <f>EXP(-LN(2)/25)*AV51+(1-EXP(-LN(2)/25))/(LN(2)/25)*Calculateur!AQ52*Calculateur!AS52*VLOOKUP('Données projet'!$B$10,'Paramètres'!$A$1:$I$88,3,0)*0.475*44/12</f>
        <v>10.76986716</v>
      </c>
      <c r="AW52" s="162">
        <f>EXP(-LN(2)/2)*AW51+(1-EXP(-LN(2)/2))/(LN(2)/2)*AQ52*AT52*VLOOKUP('Données projet'!$B$10,'Paramètres'!$A$1:$I$88,3,0)*0.475*44/12</f>
        <v>0.0008006219347</v>
      </c>
      <c r="AX52" s="162">
        <f t="shared" si="7"/>
        <v>10.77066778</v>
      </c>
      <c r="AY52" s="157">
        <f>('Scénario référence'!$F$8+'Scénario référence'!$F$9+'Scénario référence'!$B$17+'Scénario référence'!$B$9+'Scénario référence'!$B$10)*70+IF((45+25*(1-EXP(-0.0175*A52)))&lt;70,'Scénario référence'!$B$16*(45+25*(1-EXP(-0.0175*A52))),70*'Scénario référence'!$B$16)+IF((32+38*(1-EXP(-0.0175*A52)))&lt;70,'Scénario référence'!$B$18*(32+38*(1-EXP(-0.0175*A52))),70*'Scénario référence'!$B$18)</f>
        <v>70</v>
      </c>
      <c r="AZ52" s="151">
        <f>IF(A52&gt;30,10,('Scénario référence'!$B$16+'Scénario référence'!$B$17+'Scénario référence'!$B$18+'Scénario référence'!$B$9+'Scénario référence'!$B$10)*A52*10/30+('Scénario référence'!$F$8+'Scénario référence'!$F$9)*10)</f>
        <v>10</v>
      </c>
      <c r="BA52" s="151" t="str">
        <f>VLOOKUP(A52,'Données projet'!$A$87:$I$107,2,0)</f>
        <v>#N/A</v>
      </c>
      <c r="BB52" s="151" t="str">
        <f>VLOOKUP(A52,'Données projet'!$A$87:$I$107,9,0)</f>
        <v>#N/A</v>
      </c>
      <c r="BC52" s="150" t="str">
        <f t="array" ref="BC52">INDEX(BB:BB,MIN(IF(ISNUMBER(BB52:BB248),ROW(BB52:BB248),"")))</f>
        <v/>
      </c>
      <c r="BD52" s="150">
        <f>IF('Données projet'!$A$88&gt;35,BD51+BC52-BL51,IF(A52&lt;'Données projet'!$A$88,$BA$205^A52,IF(A52='Données projet'!$A$88,'Données projet'!$B$88,BD51+BC52-BL51)))</f>
        <v>0</v>
      </c>
      <c r="BE52" s="150">
        <f>BD52*VLOOKUP('Données projet'!$B$11,'Paramètres'!$A$1:$I$88,3,0)*VLOOKUP('Données projet'!$B$11,'Paramètres'!$A$1:$I$88,5,0)</f>
        <v>0</v>
      </c>
      <c r="BF52" s="150" t="str">
        <f t="shared" si="38"/>
        <v>#NUM!</v>
      </c>
      <c r="BG52" s="161" t="str">
        <f t="shared" si="8"/>
        <v>#NUM!</v>
      </c>
      <c r="BH52" s="153" t="str">
        <f t="shared" si="9"/>
        <v>#NUM!</v>
      </c>
      <c r="BI52" s="153">
        <f>AVERAGE(OFFSET($BH$3,0,0,'Données projet'!$E$11+1,1))-AVERAGE(OFFSET($H$3,0,0,'Données projet'!$E$11+1,1))</f>
        <v>0</v>
      </c>
      <c r="BJ52" s="153">
        <f t="shared" si="39"/>
        <v>0</v>
      </c>
      <c r="BK52" s="154">
        <f>IF(ISNA(VLOOKUP(A52,'Données projet'!$A$87:$I$107,3,0)),0,VLOOKUP(A52,'Données projet'!$A$87:$I$107,3,0))</f>
        <v>0</v>
      </c>
      <c r="BL52" s="154">
        <f>IF(ISNA(VLOOKUP(A52,'Données projet'!$A$87:$I$107,4,0)),0,VLOOKUP(A52,'Données projet'!$A$87:$I$107,4,0))</f>
        <v>0</v>
      </c>
      <c r="BM52" s="155">
        <f>IF(ISNA(VLOOKUP(A52,'Données projet'!$A$87:$I$107,5,0)),0%,VLOOKUP(A52,'Données projet'!$A$87:$I$107,5,0)*VLOOKUP('Données projet'!$B$11,'Paramètres'!$A$1:$I$88,7,0))</f>
        <v>0</v>
      </c>
      <c r="BN52" s="155">
        <f>IF(ISNA(VLOOKUP(A52,'Données projet'!$A$87:$I$107,6,0)),0%,VLOOKUP(A52,'Données projet'!$A$87:$I$107,6,0)*VLOOKUP('Données projet'!$B$11,'Paramètres'!$A$1:$I$88,7,0))</f>
        <v>0</v>
      </c>
      <c r="BO52" s="155">
        <f>IF(ISNA(VLOOKUP(A52,'Données projet'!$A$87:$I$107,7,0)),0%,VLOOKUP(A52,'Données projet'!$A$87:$I$107,7,0))</f>
        <v>0</v>
      </c>
      <c r="BP52" s="162">
        <f>EXP(-LN(2)/35)*BP51+(1-EXP(-LN(2)/35))/(LN(2)/35)*BL52*BM52*VLOOKUP('Données projet'!$B$11,'Paramètres'!$A$1:$I$88,3,0)*0.475*44/12</f>
        <v>0</v>
      </c>
      <c r="BQ52" s="162">
        <f>EXP(-LN(2)/25)*BQ51+(1-EXP(-LN(2)/25))/(LN(2)/25)*Calculateur!BL52*Calculateur!BN52*VLOOKUP('Données projet'!$B$11,'Paramètres'!$A$1:$I$88,3,0)*0.475*44/12</f>
        <v>0</v>
      </c>
      <c r="BR52" s="162">
        <f>EXP(-LN(2)/2)*BR51+(1-EXP(-LN(2)/2))/(LN(2)/2)*BL52*BO52*VLOOKUP('Données projet'!$B$11,'Paramètres'!$A$1:$I$88,3,0)*0.475*44/12</f>
        <v>0</v>
      </c>
      <c r="BS52" s="163">
        <f t="shared" si="10"/>
        <v>0</v>
      </c>
      <c r="BT52" s="159">
        <f>('Scénario référence'!$F$8+'Scénario référence'!$F$9+'Scénario référence'!$B$17+'Scénario référence'!$B$9+'Scénario référence'!$B$10)*70+IF((45+25*(1-EXP(-0.0175*A52)))&lt;70,'Scénario référence'!$B$16*(45+25*(1-EXP(-0.0175*A52))),70*'Scénario référence'!$B$16)+IF((32+38*(1-EXP(-0.0175*A52)))&lt;70,'Scénario référence'!$B$18*(32+38*(1-EXP(-0.0175*A52))),70*'Scénario référence'!$B$18)</f>
        <v>70</v>
      </c>
      <c r="BU52" s="151">
        <f>IF(A52&gt;30,10,('Scénario référence'!$B$16+'Scénario référence'!$B$17+'Scénario référence'!$B$18+'Scénario référence'!$B$9+'Scénario référence'!$B$10)*A52*10/30+('Scénario référence'!$F$8+'Scénario référence'!$F$9)*10)</f>
        <v>10</v>
      </c>
      <c r="BV52" s="151" t="str">
        <f>VLOOKUP(A52,'Données projet'!$A$113:$I$133,2,0)</f>
        <v>#N/A</v>
      </c>
      <c r="BW52" s="151" t="str">
        <f>VLOOKUP(A52,'Données projet'!$A$113:$I$133,9,0)</f>
        <v>#N/A</v>
      </c>
      <c r="BX52" s="150" t="str">
        <f t="array" ref="BX52">INDEX(BW:BW,MIN(IF(ISNUMBER(BW52:BW248),ROW(BW52:BW248),"")))</f>
        <v/>
      </c>
      <c r="BY52" s="150">
        <f>IF('Données projet'!$A$114&gt;35,BY51+BX52-CG51,IF(A52&lt;'Données projet'!$A$114,$BV$205^A52,IF(A52='Données projet'!$A$114,'Données projet'!$B$114,BY51+BX52-CG51)))</f>
        <v>0</v>
      </c>
      <c r="BZ52" s="150" t="str">
        <f>BY52*VLOOKUP('Données projet'!$B$12,'Paramètres'!$A$1:$I$88,3,0)*VLOOKUP('Données projet'!$B$12,'Paramètres'!$A$1:$I$88,5,0)</f>
        <v>#N/A</v>
      </c>
      <c r="CA52" s="150" t="str">
        <f t="shared" si="40"/>
        <v>#N/A</v>
      </c>
      <c r="CB52" s="161" t="str">
        <f t="shared" si="11"/>
        <v>#N/A</v>
      </c>
      <c r="CC52" s="153" t="str">
        <f t="shared" si="12"/>
        <v>#N/A</v>
      </c>
      <c r="CD52" s="153" t="str">
        <f>AVERAGE(OFFSET($CC$3,0,0,'Données projet'!$E$12+1,1))-AVERAGE(OFFSET($H$3,0,0,'Données projet'!$E$12+1,1))</f>
        <v>#N/A</v>
      </c>
      <c r="CE52" s="153" t="str">
        <f t="shared" si="41"/>
        <v>#N/A</v>
      </c>
      <c r="CF52" s="154">
        <f>IF(ISNA(VLOOKUP(A52,'Données projet'!$A$113:$I$133,3,0)),0,VLOOKUP(A52,'Données projet'!$A$113:$I$133,3,0))</f>
        <v>0</v>
      </c>
      <c r="CG52" s="154">
        <f>IF(ISNA(VLOOKUP(A52,'Données projet'!$A$113:$I$133,4,0)),0,VLOOKUP(A52,'Données projet'!$A$113:$I$133,4,0))</f>
        <v>0</v>
      </c>
      <c r="CH52" s="155">
        <f>IF(ISNA(VLOOKUP(A52,'Données projet'!$A$113:$I$133,5,0)),0%,VLOOKUP(A52,'Données projet'!$A$113:$I$133,5,0)*VLOOKUP('Données projet'!$B$12,'Paramètres'!$A$1:$I$88,7,0))</f>
        <v>0</v>
      </c>
      <c r="CI52" s="155">
        <f>IF(ISNA(VLOOKUP(A52,'Données projet'!$A$113:$I$133,6,0)),0%,VLOOKUP(A52,'Données projet'!$A$113:$I$133,6,0)*VLOOKUP('Données projet'!$B$12,'Paramètres'!$A$1:$I$88,7,0))</f>
        <v>0</v>
      </c>
      <c r="CJ52" s="155">
        <f>IF(ISNA(VLOOKUP(A52,'Données projet'!$A$113:$I$133,7,0)),0%,VLOOKUP(A52,'Données projet'!$A$113:$I$133,7,0))</f>
        <v>0</v>
      </c>
      <c r="CK52" s="162" t="str">
        <f>EXP(-LN(2)/35)*CK51+(1-EXP(-LN(2)/35))/(LN(2)/35)*CG52*CH52*VLOOKUP('Données projet'!$B$12,'Paramètres'!$A$1:$I$88,3,0)*0.475*44/12</f>
        <v>#N/A</v>
      </c>
      <c r="CL52" s="162" t="str">
        <f>EXP(-LN(2)/25)*CL51+(1-EXP(-LN(2)/25))/(LN(2)/25)*Calculateur!CG52*Calculateur!CI52*VLOOKUP('Données projet'!$B$12,'Paramètres'!$A$1:$I$88,3,0)*0.475*44/12</f>
        <v>#N/A</v>
      </c>
      <c r="CM52" s="162" t="str">
        <f>EXP(-LN(2)/2)*CM51+(1-EXP(-LN(2)/2))/(LN(2)/2)*CG52*CJ52*VLOOKUP('Données projet'!$B$12,'Paramètres'!$A$1:$I$88,3,0)*0.475*44/12</f>
        <v>#N/A</v>
      </c>
      <c r="CN52" s="163" t="str">
        <f t="shared" si="13"/>
        <v>#N/A</v>
      </c>
      <c r="CO52" s="159">
        <f>('Scénario référence'!$F$8+'Scénario référence'!$F$9+'Scénario référence'!$B$17+'Scénario référence'!$B$9+'Scénario référence'!$B$10)*70+IF((45+25*(1-EXP(-0.0175*A52)))&lt;70,'Scénario référence'!$B$16*(45+25*(1-EXP(-0.0175*A52))),70*'Scénario référence'!$B$16)+IF((32+38*(1-EXP(-0.0175*A52)))&lt;70,'Scénario référence'!$B$18*(32+38*(1-EXP(-0.0175*A52))),70*'Scénario référence'!$B$18)</f>
        <v>70</v>
      </c>
      <c r="CP52" s="151">
        <f>IF(A52&gt;30,10,('Scénario référence'!$B$16+'Scénario référence'!$B$17+'Scénario référence'!$B$18+'Scénario référence'!$B$9+'Scénario référence'!$B$10)*A52*10/30+('Scénario référence'!$F$8+'Scénario référence'!$F$9)*10)</f>
        <v>10</v>
      </c>
      <c r="CQ52" s="151" t="str">
        <f>VLOOKUP(A52,'Données projet'!$A$139:$I$159,2,0)</f>
        <v>#N/A</v>
      </c>
      <c r="CR52" s="151" t="str">
        <f>VLOOKUP(A52,'Données projet'!$A$139:$I$159,9,0)</f>
        <v>#N/A</v>
      </c>
      <c r="CS52" s="151" t="str">
        <f t="array" ref="CS52">INDEX(CR:CR,MIN(IF(ISNUMBER(CR52:CR248),ROW(CR52:CR248),"")))</f>
        <v/>
      </c>
      <c r="CT52" s="151">
        <f>IF('Données projet'!$A$140&gt;35,CT51+CS52-DB51,IF(A52&lt;'Données projet'!$A$140,$CQ$205^A52,IF(A52='Données projet'!$A$140,'Données projet'!$B$140,CT51+CS52-DB51)))</f>
        <v>0</v>
      </c>
      <c r="CU52" s="158" t="str">
        <f>CT52*VLOOKUP('Données projet'!$B$13,'Paramètres'!$A$1:$I$88,3,0)*VLOOKUP('Données projet'!$B$13,'Paramètres'!$A$1:$I$88,5,0)</f>
        <v>#N/A</v>
      </c>
      <c r="CV52" s="150" t="str">
        <f t="shared" si="42"/>
        <v>#N/A</v>
      </c>
      <c r="CW52" s="161" t="str">
        <f t="shared" si="14"/>
        <v>#N/A</v>
      </c>
      <c r="CX52" s="153" t="str">
        <f t="shared" si="15"/>
        <v>#N/A</v>
      </c>
      <c r="CY52" s="153" t="str">
        <f>AVERAGE(OFFSET($CX$3,0,0,'Données projet'!$E$13+1,1))-AVERAGE(OFFSET($H$3,0,0,'Données projet'!$E$13+1,1))</f>
        <v>#N/A</v>
      </c>
      <c r="CZ52" s="153" t="str">
        <f t="shared" si="43"/>
        <v>#N/A</v>
      </c>
      <c r="DA52" s="154">
        <f>IF(ISNA(VLOOKUP(A52,'Données projet'!$A$139:$I$159,3,0)),0,VLOOKUP(A52,'Données projet'!$A$139:$I$159,3,0))</f>
        <v>0</v>
      </c>
      <c r="DB52" s="154">
        <f>IF(ISNA(VLOOKUP(A52,'Données projet'!$A$139:$I$159,4,0)),0,VLOOKUP(A52,'Données projet'!$A$139:$I$159,4,0))</f>
        <v>0</v>
      </c>
      <c r="DC52" s="155">
        <f>IF(ISNA(VLOOKUP(A52,'Données projet'!$A$139:$I$159,5,0)),0%,VLOOKUP(A52,'Données projet'!$A$139:$I$159,5,0)*VLOOKUP('Données projet'!$B$13,'Paramètres'!$A$1:$I$88,7,0))</f>
        <v>0</v>
      </c>
      <c r="DD52" s="155">
        <f>IF(ISNA(VLOOKUP(A52,'Données projet'!$A$139:$I$159,6,0)),0%,VLOOKUP(A52,'Données projet'!$A$139:$I$159,6,0)*VLOOKUP('Données projet'!$B$13,'Paramètres'!$A$1:$I$88,7,0))</f>
        <v>0</v>
      </c>
      <c r="DE52" s="155">
        <f>IF(ISNA(VLOOKUP(A52,'Données projet'!$A$139:$I$159,7,0)),0%,VLOOKUP(A52,'Données projet'!$A$139:$I$159,7,0))</f>
        <v>0</v>
      </c>
      <c r="DF52" s="162" t="str">
        <f>EXP(-LN(2)/35)*DF51+(1-EXP(-LN(2)/35))/(LN(2)/35)*DB52*DC52*VLOOKUP('Données projet'!$B$13,'Paramètres'!$A$1:$I$88,3,0)*0.475*44/12</f>
        <v>#N/A</v>
      </c>
      <c r="DG52" s="162" t="str">
        <f>EXP(-LN(2)/25)*DG51+(1-EXP(-LN(2)/25))/(LN(2)/25)*Calculateur!DB52*Calculateur!DD52*VLOOKUP('Données projet'!$B$13,'Paramètres'!$A$1:$I$88,3,0)*0.475*44/12</f>
        <v>#N/A</v>
      </c>
      <c r="DH52" s="162" t="str">
        <f>EXP(-LN(2)/2)*DH51+(1-EXP(-LN(2)/2))/(LN(2)/2)*DB52*DE52*VLOOKUP('Données projet'!$B$13,'Paramètres'!$A$1:$I$88,3,0)*0.475*44/12</f>
        <v>#N/A</v>
      </c>
      <c r="DI52" s="163" t="str">
        <f t="shared" si="16"/>
        <v>#N/A</v>
      </c>
      <c r="DJ52" s="159">
        <f>('Scénario référence'!$F$8+'Scénario référence'!$F$9+'Scénario référence'!$B$17+'Scénario référence'!$B$9+'Scénario référence'!$B$10)*70+IF((45+25*(1-EXP(-0.0175*A52)))&lt;70,'Scénario référence'!$B$16*(45+25*(1-EXP(-0.0175*A52))),70*'Scénario référence'!$B$16)+IF((32+38*(1-EXP(-0.0175*A52)))&lt;70,'Scénario référence'!$B$18*(32+38*(1-EXP(-0.0175*A52))),70*'Scénario référence'!$B$18)</f>
        <v>70</v>
      </c>
      <c r="DK52" s="151">
        <f>IF(A52&gt;30,10,('Scénario référence'!$B$16+'Scénario référence'!$B$17+'Scénario référence'!$B$18+'Scénario référence'!$B$9+'Scénario référence'!$B$10)*A52*10/30+('Scénario référence'!$F$8+'Scénario référence'!$F$9)*10)</f>
        <v>10</v>
      </c>
      <c r="DL52" s="151" t="str">
        <f>VLOOKUP(A52,'Données projet'!$A$165:$I$185,2,0)</f>
        <v>#N/A</v>
      </c>
      <c r="DM52" s="151" t="str">
        <f>VLOOKUP(A52,'Données projet'!$A$165:$I$185,9,0)</f>
        <v>#N/A</v>
      </c>
      <c r="DN52" s="151" t="str">
        <f t="array" ref="DN52">INDEX(DM:DM,MIN(IF(ISNUMBER(DM52:DM248),ROW(DM52:DM248),"")))</f>
        <v/>
      </c>
      <c r="DO52" s="151">
        <f>IF('Données projet'!$A$166&gt;35,DO51+DN52-DW51,IF(A52&lt;'Données projet'!$A$166,$DL$205^A52,IF(A52='Données projet'!$A$166,'Données projet'!$B$166,DO51+DN52-DW51)))</f>
        <v>0</v>
      </c>
      <c r="DP52" s="158" t="str">
        <f>DO52*VLOOKUP('Données projet'!$B$14,'Paramètres'!$A$1:$I$88,3,0)*VLOOKUP('Données projet'!$B$14,'Paramètres'!$A$1:$I$88,5,0)</f>
        <v>#N/A</v>
      </c>
      <c r="DQ52" s="150" t="str">
        <f t="shared" si="44"/>
        <v>#N/A</v>
      </c>
      <c r="DR52" s="161" t="str">
        <f t="shared" si="17"/>
        <v>#N/A</v>
      </c>
      <c r="DS52" s="153" t="str">
        <f t="shared" si="18"/>
        <v>#N/A</v>
      </c>
      <c r="DT52" s="153" t="str">
        <f>AVERAGE(OFFSET($DS$3,0,0,'Données projet'!$E$14+1,1))-AVERAGE(OFFSET($H$3,0,0,'Données projet'!$E$14+1,1))</f>
        <v>#N/A</v>
      </c>
      <c r="DU52" s="153" t="str">
        <f t="shared" si="45"/>
        <v>#N/A</v>
      </c>
      <c r="DV52" s="154">
        <f>IF(ISNA(VLOOKUP(A52,'Données projet'!$A$165:$I$185,3,0)),0,VLOOKUP(A52,'Données projet'!$A$165:$I$185,3,0))</f>
        <v>0</v>
      </c>
      <c r="DW52" s="154">
        <f>IF(ISNA(VLOOKUP(A52,'Données projet'!$A$165:$I$185,4,0)),0,VLOOKUP(A52,'Données projet'!$A$165:$I$185,4,0))</f>
        <v>0</v>
      </c>
      <c r="DX52" s="155">
        <f>IF(ISNA(VLOOKUP(A52,'Données projet'!$A$165:$I$185,5,0)),0%,VLOOKUP(A52,'Données projet'!$A$165:$I$185,5,0)*VLOOKUP('Données projet'!$B$14,'Paramètres'!$A$1:$I$88,7,0))</f>
        <v>0</v>
      </c>
      <c r="DY52" s="155">
        <f>IF(ISNA(VLOOKUP(A52,'Données projet'!$A$165:$I$185,6,0)),0%,VLOOKUP(A52,'Données projet'!$A$165:$I$185,6,0)*VLOOKUP('Données projet'!$B$14,'Paramètres'!$A$1:$I$88,7,0))</f>
        <v>0</v>
      </c>
      <c r="DZ52" s="155">
        <f>IF(ISNA(VLOOKUP(A52,'Données projet'!$A$165:$I$185,7,0)),0%,VLOOKUP(A52,'Données projet'!$A$165:$I$185,7,0))</f>
        <v>0</v>
      </c>
      <c r="EA52" s="162" t="str">
        <f>EXP(-LN(2)/35)*EA51+(1-EXP(-LN(2)/35))/(LN(2)/35)*DW52*DX52*VLOOKUP('Données projet'!$B$14,'Paramètres'!$A$1:$I$88,3,0)*0.475*44/12</f>
        <v>#N/A</v>
      </c>
      <c r="EB52" s="162" t="str">
        <f>EXP(-LN(2)/25)*EB51+(1-EXP(-LN(2)/25))/(LN(2)/25)*Calculateur!DW52*Calculateur!DY52*VLOOKUP('Données projet'!$B$14,'Paramètres'!$A$1:$I$88,3,0)*0.475*44/12</f>
        <v>#N/A</v>
      </c>
      <c r="EC52" s="162" t="str">
        <f>EXP(-LN(2)/2)*EC51+(1-EXP(-LN(2)/2))/(LN(2)/2)*DW52*DZ52*VLOOKUP('Données projet'!$B$14,'Paramètres'!$A$1:$I$88,3,0)*0.475*44/12</f>
        <v>#N/A</v>
      </c>
      <c r="ED52" s="163" t="str">
        <f t="shared" si="19"/>
        <v>#N/A</v>
      </c>
      <c r="EE52" s="159">
        <f>('Scénario référence'!$F$8+'Scénario référence'!$F$9+'Scénario référence'!$B$17+'Scénario référence'!$B$9+'Scénario référence'!$B$10)*70+IF((45+25*(1-EXP(-0.0175*A52)))&lt;70,'Scénario référence'!$B$16*(45+25*(1-EXP(-0.0175*A52))),70*'Scénario référence'!$B$16)+IF((32+38*(1-EXP(-0.0175*A52)))&lt;70,'Scénario référence'!$B$18*(32+38*(1-EXP(-0.0175*A52))),70*'Scénario référence'!$B$18)</f>
        <v>70</v>
      </c>
      <c r="EF52" s="151">
        <f>IF(A52&gt;30,10,('Scénario référence'!$B$16+'Scénario référence'!$B$17+'Scénario référence'!$B$18+'Scénario référence'!$B$9+'Scénario référence'!$B$10)*A52*10/30+('Scénario référence'!$F$8+'Scénario référence'!$F$9)*10)</f>
        <v>10</v>
      </c>
      <c r="EG52" s="151" t="str">
        <f>VLOOKUP(A52,'Données projet'!$A$191:$I$211,2,0)</f>
        <v>#N/A</v>
      </c>
      <c r="EH52" s="151" t="str">
        <f>VLOOKUP(A52,'Données projet'!$A$191:$I$211,9,0)</f>
        <v>#N/A</v>
      </c>
      <c r="EI52" s="151" t="str">
        <f t="array" ref="EI52">INDEX(EH:EH,MIN(IF(ISNUMBER(EH52:EH248),ROW(EH52:EH248),"")))</f>
        <v/>
      </c>
      <c r="EJ52" s="151">
        <f>IF('Données projet'!$A$192&gt;35,EJ51+EI52-ER51,IF(A52&lt;'Données projet'!$A$192,$EG$205^A52,IF(A52='Données projet'!$A$192,'Données projet'!$B$192,EJ51+EI52-ER51)))</f>
        <v>0</v>
      </c>
      <c r="EK52" s="158" t="str">
        <f>EJ52*VLOOKUP('Données projet'!$B$15,'Paramètres'!$A$1:$I$88,3,0)*VLOOKUP('Données projet'!$B$15,'Paramètres'!$A$1:$I$88,5,0)</f>
        <v>#N/A</v>
      </c>
      <c r="EL52" s="150" t="str">
        <f t="shared" si="46"/>
        <v>#N/A</v>
      </c>
      <c r="EM52" s="161" t="str">
        <f t="shared" si="20"/>
        <v>#N/A</v>
      </c>
      <c r="EN52" s="153" t="str">
        <f t="shared" si="21"/>
        <v>#N/A</v>
      </c>
      <c r="EO52" s="153" t="str">
        <f>AVERAGE(OFFSET($EN$3,0,0,'Données projet'!$E$15+1,1))-AVERAGE(OFFSET($H$3,0,0,'Données projet'!$E$15+1,1))</f>
        <v>#N/A</v>
      </c>
      <c r="EP52" s="153" t="str">
        <f t="shared" si="47"/>
        <v>#N/A</v>
      </c>
      <c r="EQ52" s="154">
        <f>IF(ISNA(VLOOKUP(A52,'Données projet'!$A$191:$I$211,3,0)),0,VLOOKUP(A52,'Données projet'!$A$191:$I$211,3,0))</f>
        <v>0</v>
      </c>
      <c r="ER52" s="154">
        <f>IF(ISNA(VLOOKUP(A52,'Données projet'!$A$191:$I$211,4,0)),0,VLOOKUP(A52,'Données projet'!$A$191:$I$211,4,0))</f>
        <v>0</v>
      </c>
      <c r="ES52" s="155">
        <f>IF(ISNA(VLOOKUP(A52,'Données projet'!$A$191:$I$211,5,0)),0%,VLOOKUP(A52,'Données projet'!$A$191:$I$211,5,0)*VLOOKUP('Données projet'!$B$15,'Paramètres'!$A$1:$I$88,7,0))</f>
        <v>0</v>
      </c>
      <c r="ET52" s="155">
        <f>IF(ISNA(VLOOKUP(A52,'Données projet'!$A$191:$I$211,6,0)),0%,VLOOKUP(A52,'Données projet'!$A$191:$I$211,6,0)*VLOOKUP('Données projet'!$B$15,'Paramètres'!$A$1:$I$88,7,0))</f>
        <v>0</v>
      </c>
      <c r="EU52" s="155">
        <f>IF(ISNA(VLOOKUP(A52,'Données projet'!$A$191:$I$211,7,0)),0%,VLOOKUP(A52,'Données projet'!$A$191:$I$211,7,0))</f>
        <v>0</v>
      </c>
      <c r="EV52" s="162" t="str">
        <f>EXP(-LN(2)/35)*EV51+(1-EXP(-LN(2)/35))/(LN(2)/35)*ER52*ES52*VLOOKUP('Données projet'!$B$15,'Paramètres'!$A$1:$I$88,3,0)*0.475*44/12</f>
        <v>#N/A</v>
      </c>
      <c r="EW52" s="162" t="str">
        <f>EXP(-LN(2)/25)*EW51+(1-EXP(-LN(2)/25))/(LN(2)/25)*Calculateur!ER52*Calculateur!ET52*VLOOKUP('Données projet'!$B$15,'Paramètres'!$A$1:$I$88,3,0)*0.475*44/12</f>
        <v>#N/A</v>
      </c>
      <c r="EX52" s="162" t="str">
        <f>EXP(-LN(2)/2)*EX51+(1-EXP(-LN(2)/2))/(LN(2)/2)*ER52*EU52*VLOOKUP('Données projet'!$B$15,'Paramètres'!$A$1:$I$88,3,0)*0.475*44/12</f>
        <v>#N/A</v>
      </c>
      <c r="EY52" s="163" t="str">
        <f t="shared" si="22"/>
        <v>#N/A</v>
      </c>
      <c r="EZ52" s="159">
        <f>('Scénario référence'!$F$8+'Scénario référence'!$F$9+'Scénario référence'!$B$17+'Scénario référence'!$B$9+'Scénario référence'!$B$10)*70+IF((45+25*(1-EXP(-0.0175*A52)))&lt;70,'Scénario référence'!$B$16*(45+25*(1-EXP(-0.0175*A52))),70*'Scénario référence'!$B$16)+IF((32+38*(1-EXP(-0.0175*A52)))&lt;70,'Scénario référence'!$B$18*(32+38*(1-EXP(-0.0175*A52))),70*'Scénario référence'!$B$18)</f>
        <v>70</v>
      </c>
      <c r="FA52" s="151">
        <f>IF(A52&gt;30,10,('Scénario référence'!$B$16+'Scénario référence'!$B$17+'Scénario référence'!$B$18+'Scénario référence'!$B$9+'Scénario référence'!$B$10)*A52*10/30+('Scénario référence'!$F$8+'Scénario référence'!$F$9)*10)</f>
        <v>10</v>
      </c>
      <c r="FB52" s="151" t="str">
        <f>VLOOKUP(A52,'Données projet'!$A$217:$I$237,2,0)</f>
        <v>#N/A</v>
      </c>
      <c r="FC52" s="151" t="str">
        <f>VLOOKUP(A52,'Données projet'!$A$217:$I$237,9,0)</f>
        <v>#N/A</v>
      </c>
      <c r="FD52" s="151" t="str">
        <f t="array" ref="FD52">INDEX(FC:FC,MIN(IF(ISNUMBER(FC52:FC248),ROW(FC52:FC248),"")))</f>
        <v/>
      </c>
      <c r="FE52" s="151">
        <f>IF('Données projet'!$A$218&gt;35,FE51+FD52-FM51,IF(A52&lt;'Données projet'!$A$218,$FB$205^A52,IF(A52='Données projet'!$A$218,'Données projet'!$B$218,FE51+FD52-FM51)))</f>
        <v>0</v>
      </c>
      <c r="FF52" s="158" t="str">
        <f>FE52*VLOOKUP('Données projet'!$B$16,'Paramètres'!$A$1:$I$88,3,0)*VLOOKUP('Données projet'!$B$16,'Paramètres'!$A$1:$I$88,5,0)</f>
        <v>#N/A</v>
      </c>
      <c r="FG52" s="150" t="str">
        <f t="shared" si="48"/>
        <v>#N/A</v>
      </c>
      <c r="FH52" s="161" t="str">
        <f t="shared" si="23"/>
        <v>#N/A</v>
      </c>
      <c r="FI52" s="153" t="str">
        <f t="shared" si="24"/>
        <v>#N/A</v>
      </c>
      <c r="FJ52" s="153" t="str">
        <f>AVERAGE(OFFSET($FI$3,0,0,'Données projet'!$E$16+1,1))-AVERAGE(OFFSET($H$3,0,0,'Données projet'!$E$16+1,1))</f>
        <v>#N/A</v>
      </c>
      <c r="FK52" s="153" t="str">
        <f t="shared" si="49"/>
        <v>#N/A</v>
      </c>
      <c r="FL52" s="154">
        <f>IF(ISNA(VLOOKUP(A52,'Données projet'!$A$217:$I$237,3,0)),0,VLOOKUP(A52,'Données projet'!$A$217:$I$237,3,0))</f>
        <v>0</v>
      </c>
      <c r="FM52" s="154">
        <f>IF(ISNA(VLOOKUP(A52,'Données projet'!$A$217:$I$237,4,0)),0,VLOOKUP(A52,'Données projet'!$A$217:$I$237,4,0))</f>
        <v>0</v>
      </c>
      <c r="FN52" s="155">
        <f>IF(ISNA(VLOOKUP(A52,'Données projet'!$A$217:$I$237,5,0)),0%,VLOOKUP(A52,'Données projet'!$A$217:$I$237,5,0)*VLOOKUP('Données projet'!$B$16,'Paramètres'!$A$1:$I$88,7,0))</f>
        <v>0</v>
      </c>
      <c r="FO52" s="155">
        <f>IF(ISNA(VLOOKUP(A52,'Données projet'!$A$217:$I$237,6,0)),0%,VLOOKUP(A52,'Données projet'!$A$217:$I$237,6,0)*VLOOKUP('Données projet'!$B$16,'Paramètres'!$A$1:$I$88,7,0))</f>
        <v>0</v>
      </c>
      <c r="FP52" s="155">
        <f>IF(ISNA(VLOOKUP(A52,'Données projet'!$A$217:$I$237,7,0)),0%,VLOOKUP(A52,'Données projet'!$A$217:$I$237,7,0))</f>
        <v>0</v>
      </c>
      <c r="FQ52" s="162" t="str">
        <f>EXP(-LN(2)/35)*FQ51+(1-EXP(-LN(2)/35))/(LN(2)/35)*FM52*FN52*VLOOKUP('Données projet'!$B$16,'Paramètres'!$A$1:$I$88,3,0)*0.475*44/12</f>
        <v>#N/A</v>
      </c>
      <c r="FR52" s="162" t="str">
        <f>EXP(-LN(2)/25)*FR51+(1-EXP(-LN(2)/25))/(LN(2)/25)*Calculateur!FM52*Calculateur!FO52*VLOOKUP('Données projet'!$B$16,'Paramètres'!$A$1:$I$88,3,0)*0.475*44/12</f>
        <v>#N/A</v>
      </c>
      <c r="FS52" s="162" t="str">
        <f>EXP(-LN(2)/2)*FS51+(1-EXP(-LN(2)/2))/(LN(2)/2)*FM52*FP52*VLOOKUP('Données projet'!$B$16,'Paramètres'!$A$1:$I$88,3,0)*0.475*44/12</f>
        <v>#N/A</v>
      </c>
      <c r="FT52" s="163" t="str">
        <f t="shared" si="25"/>
        <v>#N/A</v>
      </c>
      <c r="FU52" s="159">
        <f>('Scénario référence'!$F$8+'Scénario référence'!$F$9+'Scénario référence'!$B$17+'Scénario référence'!$B$9+'Scénario référence'!$B$10)*70+IF((45+25*(1-EXP(-0.0175*A52)))&lt;70,'Scénario référence'!$B$16*(45+25*(1-EXP(-0.0175*A52))),70*'Scénario référence'!$B$16)+IF((32+38*(1-EXP(-0.0175*A52)))&lt;70,'Scénario référence'!$B$18*(32+38*(1-EXP(-0.0175*A52))),70*'Scénario référence'!$B$18)</f>
        <v>70</v>
      </c>
      <c r="FV52" s="151">
        <f>IF(A52&gt;30,10,('Scénario référence'!$B$16+'Scénario référence'!$B$17+'Scénario référence'!$B$18+'Scénario référence'!$B$9+'Scénario référence'!$B$10)*A52*10/30+('Scénario référence'!$F$8+'Scénario référence'!$F$9)*10)</f>
        <v>10</v>
      </c>
      <c r="FW52" s="151" t="str">
        <f>VLOOKUP(A52,'Données projet'!$A$243:$I$263,2,0)</f>
        <v>#N/A</v>
      </c>
      <c r="FX52" s="151" t="str">
        <f>VLOOKUP(A52,'Données projet'!$A$243:$I$263,9,0)</f>
        <v>#N/A</v>
      </c>
      <c r="FY52" s="151" t="str">
        <f t="array" ref="FY52">INDEX(FX:FX,MIN(IF(ISNUMBER(FX52:FX248),ROW(FX52:FX248),"")))</f>
        <v/>
      </c>
      <c r="FZ52" s="151">
        <f>IF('Données projet'!$A$244&gt;35,FZ51+FY52-GH51,IF(A52&lt;'Données projet'!$A$244,$FW$205^A52,IF(A52='Données projet'!$A$244,'Données projet'!$B$244,FZ51+FY52-GH51)))</f>
        <v>0</v>
      </c>
      <c r="GA52" s="158" t="str">
        <f>FZ52*VLOOKUP('Données projet'!$B$17,'Paramètres'!$A$1:$I$88,3,0)*VLOOKUP('Données projet'!$B$17,'Paramètres'!$A$1:$I$88,5,0)</f>
        <v>#N/A</v>
      </c>
      <c r="GB52" s="150" t="str">
        <f t="shared" si="50"/>
        <v>#N/A</v>
      </c>
      <c r="GC52" s="161" t="str">
        <f t="shared" si="26"/>
        <v>#N/A</v>
      </c>
      <c r="GD52" s="153" t="str">
        <f t="shared" si="27"/>
        <v>#N/A</v>
      </c>
      <c r="GE52" s="153" t="str">
        <f>AVERAGE(OFFSET($GD$3,0,0,'Données projet'!$E$17+1,1))-AVERAGE(OFFSET($H$3,0,0,'Données projet'!$E$17+1,1))</f>
        <v>#N/A</v>
      </c>
      <c r="GF52" s="153" t="str">
        <f t="shared" si="51"/>
        <v>#N/A</v>
      </c>
      <c r="GG52" s="154">
        <f>IF(ISNA(VLOOKUP(A52,'Données projet'!$A$243:$I$263,3,0)),0,VLOOKUP(A52,'Données projet'!$A$243:$I$263,3,0))</f>
        <v>0</v>
      </c>
      <c r="GH52" s="154">
        <f>IF(ISNA(VLOOKUP(A52,'Données projet'!$A$243:$I$263,4,0)),0,VLOOKUP(A52,'Données projet'!$A$243:$I$263,4,0))</f>
        <v>0</v>
      </c>
      <c r="GI52" s="155">
        <f>IF(ISNA(VLOOKUP(A52,'Données projet'!$A$243:$I$263,5,0)),0%,VLOOKUP(A52,'Données projet'!$A$243:$I$263,5,0)*VLOOKUP('Données projet'!$B$17,'Paramètres'!$A$1:$I$88,7,0))</f>
        <v>0</v>
      </c>
      <c r="GJ52" s="155">
        <f>IF(ISNA(VLOOKUP(A52,'Données projet'!$A$243:$I$263,6,0)),0%,VLOOKUP(A52,'Données projet'!$A$243:$I$263,6,0)*VLOOKUP('Données projet'!$B$17,'Paramètres'!$A$1:$I$88,7,0))</f>
        <v>0</v>
      </c>
      <c r="GK52" s="155">
        <f>IF(ISNA(VLOOKUP(A52,'Données projet'!$A$243:$I$263,7,0)),0%,VLOOKUP(A52,'Données projet'!$A$243:$I$263,7,0))</f>
        <v>0</v>
      </c>
      <c r="GL52" s="162" t="str">
        <f>EXP(-LN(2)/35)*GL51+(1-EXP(-LN(2)/35))/(LN(2)/35)*GH52*GI52*VLOOKUP('Données projet'!$B$17,'Paramètres'!$A$1:$I$88,3,0)*0.475*44/12</f>
        <v>#N/A</v>
      </c>
      <c r="GM52" s="162" t="str">
        <f>EXP(-LN(2)/25)*GM51+(1-EXP(-LN(2)/25))/(LN(2)/25)*Calculateur!GH52*Calculateur!GJ52*VLOOKUP('Données projet'!$B$17,'Paramètres'!$A$1:$I$88,3,0)*0.475*44/12</f>
        <v>#N/A</v>
      </c>
      <c r="GN52" s="162" t="str">
        <f>EXP(-LN(2)/2)*GN51+(1-EXP(-LN(2)/2))/(LN(2)/2)*GH52*GK52*VLOOKUP('Données projet'!$B$17,'Paramètres'!$A$1:$I$88,3,0)*0.475*44/12</f>
        <v>#N/A</v>
      </c>
      <c r="GO52" s="162" t="str">
        <f t="shared" si="28"/>
        <v>#N/A</v>
      </c>
      <c r="GP52" s="159">
        <f>('Scénario référence'!$F$8+'Scénario référence'!$F$9+'Scénario référence'!$B$17+'Scénario référence'!$B$9+'Scénario référence'!$B$10)*70+IF((45+25*(1-EXP(-0.0175*A52)))&lt;70,'Scénario référence'!$B$16*(45+25*(1-EXP(-0.0175*A52))),70*'Scénario référence'!$B$16)+IF((32+38*(1-EXP(-0.0175*A52)))&lt;70,'Scénario référence'!$B$18*(32+38*(1-EXP(-0.0175*A52))),70*'Scénario référence'!$B$18)</f>
        <v>70</v>
      </c>
      <c r="GQ52" s="151">
        <f>IF(A52&gt;30,10,('Scénario référence'!$B$16+'Scénario référence'!$B$17+'Scénario référence'!$B$18+'Scénario référence'!$B$9+'Scénario référence'!$B$10)*A52*10/30+('Scénario référence'!$F$8+'Scénario référence'!$F$9)*10)</f>
        <v>10</v>
      </c>
      <c r="GR52" s="151" t="str">
        <f>VLOOKUP(A52,'Données projet'!$A$269:$I$289,2,0)</f>
        <v>#N/A</v>
      </c>
      <c r="GS52" s="151" t="str">
        <f>VLOOKUP(A52,'Données projet'!$A$269:$I$289,9,0)</f>
        <v>#N/A</v>
      </c>
      <c r="GT52" s="151" t="str">
        <f t="array" ref="GT52">INDEX(GS:GS,MIN(IF(ISNUMBER(GS52:GS248),ROW(GS52:GS248),"")))</f>
        <v/>
      </c>
      <c r="GU52" s="151">
        <f>IF('Données projet'!$A$270&gt;35,GU51+GT52-HC51,IF(A52&lt;'Données projet'!$A$270,$GR$205^A52,IF(A52='Données projet'!$A$270,'Données projet'!$B$270,GU51+GT52-HC51)))</f>
        <v>0</v>
      </c>
      <c r="GV52" s="158" t="str">
        <f>GU52*VLOOKUP('Données projet'!$B$18,'Paramètres'!$A$1:$I$88,3,0)*VLOOKUP('Données projet'!$B$18,'Paramètres'!$A$1:$I$88,5,0)</f>
        <v>#N/A</v>
      </c>
      <c r="GW52" s="150" t="str">
        <f t="shared" si="52"/>
        <v>#N/A</v>
      </c>
      <c r="GX52" s="161" t="str">
        <f t="shared" si="29"/>
        <v>#N/A</v>
      </c>
      <c r="GY52" s="153" t="str">
        <f t="shared" si="30"/>
        <v>#N/A</v>
      </c>
      <c r="GZ52" s="153" t="str">
        <f>AVERAGE(OFFSET($GY$3,0,0,'Données projet'!$E$18+1,1))-AVERAGE(OFFSET($H$3,0,0,'Données projet'!$E$18+1,1))</f>
        <v>#N/A</v>
      </c>
      <c r="HA52" s="153" t="str">
        <f t="shared" si="53"/>
        <v>#N/A</v>
      </c>
      <c r="HB52" s="154">
        <f>IF(ISNA(VLOOKUP(A52,'Données projet'!$A$269:$I$289,3,0)),0,VLOOKUP(A52,'Données projet'!$A$269:$I$289,3,0))</f>
        <v>0</v>
      </c>
      <c r="HC52" s="154">
        <f>IF(ISNA(VLOOKUP(A52,'Données projet'!$A$269:$I$289,4,0)),0,VLOOKUP(A52,'Données projet'!$A$269:$I$289,4,0))</f>
        <v>0</v>
      </c>
      <c r="HD52" s="155">
        <f>IF(ISNA(VLOOKUP(A52,'Données projet'!$A$269:$I$289,5,0)),0%,VLOOKUP(A52,'Données projet'!$A$269:$I$289,5,0)*VLOOKUP('Données projet'!$B$18,'Paramètres'!$A$1:$I$88,7,0))</f>
        <v>0</v>
      </c>
      <c r="HE52" s="155">
        <f>IF(ISNA(VLOOKUP(A52,'Données projet'!$A$269:$I$289,6,0)),0%,VLOOKUP(A52,'Données projet'!$A$269:$I$289,6,0)*VLOOKUP('Données projet'!$B$18,'Paramètres'!$A$1:$I$88,7,0))</f>
        <v>0</v>
      </c>
      <c r="HF52" s="155">
        <f>IF(ISNA(VLOOKUP(A52,'Données projet'!$A$269:$I$289,7,0)),0%,VLOOKUP(A52,'Données projet'!$A$269:$I$289,7,0))</f>
        <v>0</v>
      </c>
      <c r="HG52" s="162" t="str">
        <f>EXP(-LN(2)/35)*HG51+(1-EXP(-LN(2)/35))/(LN(2)/35)*HC52*HD52*VLOOKUP('Données projet'!$B$18,'Paramètres'!$A$1:$I$88,3,0)*0.475*44/12</f>
        <v>#N/A</v>
      </c>
      <c r="HH52" s="162" t="str">
        <f>EXP(-LN(2)/25)*HH51+(1-EXP(-LN(2)/25))/(LN(2)/25)*Calculateur!HC52*Calculateur!HE52*VLOOKUP('Données projet'!$B$18,'Paramètres'!$A$1:$I$88,3,0)*0.475*44/12</f>
        <v>#N/A</v>
      </c>
      <c r="HI52" s="162" t="str">
        <f>EXP(-LN(2)/2)*HI51+(1-EXP(-LN(2)/2))/(LN(2)/2)*HC52*HF52*VLOOKUP('Données projet'!$B$18,'Paramètres'!$A$1:$I$88,3,0)*0.475*44/12</f>
        <v>#N/A</v>
      </c>
      <c r="HJ52" s="163" t="str">
        <f t="shared" si="31"/>
        <v>#N/A</v>
      </c>
    </row>
    <row r="53" ht="15.75" customHeight="1">
      <c r="A53" s="145">
        <f t="shared" si="32"/>
        <v>50</v>
      </c>
      <c r="B53" s="146">
        <f>'Scénario référence'!$B$16*5+'Scénario référence'!$B$17*0+'Scénario référence'!$B$18*5</f>
        <v>0</v>
      </c>
      <c r="C53" s="160">
        <f>Calculateur!C52+'Scénario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53" s="147">
        <f t="shared" si="33"/>
        <v>0</v>
      </c>
      <c r="E53" s="147">
        <f>'Scénario référence'!$B$16*45+('Scénario référence'!$B$17+'Scénario référence'!$F$8+'Scénario référence'!$F$9+'Scénario référence'!$B$10+'Scénario référence'!$B$9)*70+'Scénario référence'!$B$18*32</f>
        <v>70</v>
      </c>
      <c r="F53" s="147">
        <f>IF(OR('Scénario référence'!$F$8&gt;0,'Scénario référence'!$F$9&gt;0),('Scénario référence'!$F$8+'Scénario référence'!$F$9)*10,0)</f>
        <v>0</v>
      </c>
      <c r="G53" s="147">
        <f>'Scénario référence'!$B$8*B53*44/12+'Scénario référence'!$B$9*(C53+D53)/0.475*44/12+'Scénario référence'!$B$10*(C53+D53)/0.475*44/12+'Scénario référence'!$F$8*(C53+D53)/0.475*44/12+'Scénario référence'!$F$9*(C53+D53)/0.475*44/12</f>
        <v>0</v>
      </c>
      <c r="H53" s="148">
        <f t="shared" si="1"/>
        <v>256.6666667</v>
      </c>
      <c r="I53" s="149">
        <f>('Scénario référence'!$F$8+'Scénario référence'!$F$9+'Scénario référence'!$B$17+'Scénario référence'!$B$9+'Scénario référence'!$B$10)*70+IF((45+25*(1-EXP(-0.0175*A53)))&lt;70,'Scénario référence'!$B$16*(45+25*(1-EXP(-0.0175*A53))),70*'Scénario référence'!$B$16)+IF((32+38*(1-EXP(-0.0175*A53)))&lt;70,'Scénario référence'!$B$18*(32+38*(1-EXP(-0.0175*A53))),70*'Scénario référence'!$B$18)</f>
        <v>70</v>
      </c>
      <c r="J53" s="150">
        <f>IF(A53&gt;30,10,('Scénario référence'!$B$16+'Scénario référence'!$B$17+'Scénario référence'!$B$18+'Scénario référence'!$B$9+'Scénario référence'!$B$10)*A53*10/30+('Scénario référence'!$F$8+'Scénario référence'!$F$9)*10)</f>
        <v>10</v>
      </c>
      <c r="K53" s="165">
        <f>VLOOKUP(A53,'Données projet'!$A$35:$I$55,2,0)</f>
        <v>231</v>
      </c>
      <c r="L53" s="150">
        <f>VLOOKUP(A53,'Données projet'!$A$35:$I$55,9,0)</f>
        <v>11</v>
      </c>
      <c r="M53" s="150">
        <f t="array" ref="M53">INDEX(L:L,MIN(IF(ISNUMBER(L53:L249),ROW(L53:L249),"")))</f>
        <v>11</v>
      </c>
      <c r="N53" s="150">
        <f>IF('Données projet'!$A$36&gt;35,N52+M53-V52,IF(A53&lt;'Données projet'!$A$36,$K$205^A53,IF(A53='Données projet'!$A$36,'Données projet'!$B$36,N52+M53-V52)))</f>
        <v>231</v>
      </c>
      <c r="O53" s="150">
        <f>N53*VLOOKUP('Données projet'!$B$9,'Paramètres'!$A$1:$I$88,3,0)*VLOOKUP('Données projet'!$B$9,'Paramètres'!$A$1:$I$88,5,0)</f>
        <v>209.0088</v>
      </c>
      <c r="P53" s="150">
        <f t="shared" si="34"/>
        <v>51.71892395</v>
      </c>
      <c r="Q53" s="161">
        <f t="shared" si="2"/>
        <v>454.1007859</v>
      </c>
      <c r="R53" s="153">
        <f t="shared" si="3"/>
        <v>747.4341192</v>
      </c>
      <c r="S53" s="153">
        <f>AVERAGE(OFFSET($R$3,0,0,'Données projet'!$E$9+1,1))-AVERAGE(OFFSET($H$3,0,0,'Données projet'!$E$9+1,1))</f>
        <v>439.1985427</v>
      </c>
      <c r="T53" s="153">
        <f t="shared" si="35"/>
        <v>278.2174123</v>
      </c>
      <c r="U53" s="154">
        <f>IF(ISNA(VLOOKUP(A53,'Données projet'!$A$35:$I$55,3,0)),0,VLOOKUP(A53,'Données projet'!$A$35:$I$55,3,0))</f>
        <v>7</v>
      </c>
      <c r="V53" s="164">
        <f>IF(ISNA(VLOOKUP(A53,'Données projet'!$A$35:$I$55,4,0)),0,VLOOKUP(A53,'Données projet'!$A$35:$I$55,4,0))</f>
        <v>28</v>
      </c>
      <c r="W53" s="155">
        <f>IF(ISNA(VLOOKUP(A53,'Données projet'!$A$35:$I$55,5,0)),0%,VLOOKUP(A53,'Données projet'!$A$35:$I$55,5,0)*VLOOKUP('Données projet'!$B$9,'Paramètres'!$A$1:$I$88,7,0))</f>
        <v>0</v>
      </c>
      <c r="X53" s="155">
        <f>IF(ISNA(VLOOKUP(A53,'Données projet'!$A$35:$I$55,6,0)),0%,VLOOKUP(A53,'Données projet'!$A$35:$I$55,6,0)*VLOOKUP('Données projet'!$B$9,'Paramètres'!$A$1:$I$88,7,0))</f>
        <v>0</v>
      </c>
      <c r="Y53" s="155" t="str">
        <f>IF(ISNA(VLOOKUP(A53,'Données projet'!$A$35:$I$55,7,0)),0%,VLOOKUP(A53,'Données projet'!$A$35:$I$55,7,0))</f>
        <v/>
      </c>
      <c r="Z53" s="162">
        <f>EXP(-LN(2)/35)*Z52+(1-EXP(-LN(2)/35))/(LN(2)/35)*V53*W53*VLOOKUP('Données projet'!$B$9,'Paramètres'!$A$1:$I$88,3,0)*0.475*44/12</f>
        <v>0</v>
      </c>
      <c r="AA53" s="162">
        <f>EXP(-LN(2)/25)*AA52+(1-EXP(-LN(2)/25))/(LN(2)/25)*Calculateur!V53*Calculateur!X53*VLOOKUP('Données projet'!$B$9,'Paramètres'!$A$1:$I$88,3,0)*0.475*44/12</f>
        <v>2.577438328</v>
      </c>
      <c r="AB53" s="162">
        <f>EXP(-LN(2)/2)*AB52+(1-EXP(-LN(2)/2))/(LN(2)/2)*V53*Y53*VLOOKUP('Données projet'!$B$9,'Paramètres'!$A$1:$I$88,3,0)*0.475*44/12</f>
        <v>0</v>
      </c>
      <c r="AC53" s="163">
        <f t="shared" si="4"/>
        <v>2.577438328</v>
      </c>
      <c r="AD53" s="150">
        <f>('Scénario référence'!$F$8+'Scénario référence'!$F$9+'Scénario référence'!$B$17+'Scénario référence'!$B$9+'Scénario référence'!$B$10)*70+IF((45+25*(1-EXP(-0.0175*A53)))&lt;70,'Scénario référence'!$B$16*(45+25*(1-EXP(-0.0175*A53))),70*'Scénario référence'!$B$16)+IF((32+38*(1-EXP(-0.0175*A53)))&lt;70,'Scénario référence'!$B$18*(32+38*(1-EXP(-0.0175*A53))),70*'Scénario référence'!$B$18)</f>
        <v>70</v>
      </c>
      <c r="AE53" s="150">
        <f>IF(A53&gt;30,10,('Scénario référence'!$B$16+'Scénario référence'!$B$17+'Scénario référence'!$B$18+'Scénario référence'!$B$9+'Scénario référence'!$B$10)*A53*10/30+('Scénario référence'!$F$8+'Scénario référence'!$F$9)*10)</f>
        <v>10</v>
      </c>
      <c r="AF53" s="151">
        <f>VLOOKUP(A53,'Données projet'!$A$61:$I$81,2,0)</f>
        <v>303</v>
      </c>
      <c r="AG53" s="150">
        <f>VLOOKUP(A53,'Données projet'!$A$61:$I$81,9,0)</f>
        <v>9.8</v>
      </c>
      <c r="AH53" s="150">
        <f t="array" ref="AH53">INDEX(AG:AG,MIN(IF(ISNUMBER(AG53:AG249),ROW(AG53:AG249),"")))</f>
        <v>9.8</v>
      </c>
      <c r="AI53" s="150">
        <f>IF('Données projet'!$A$62&gt;35,AI52+AH53-AQ52,IF(A53&lt;'Données projet'!$A$62,$AF$205^A53,IF(A53='Données projet'!$A$62,'Données projet'!$B$62,AI52+AH53-AQ52)))</f>
        <v>303</v>
      </c>
      <c r="AJ53" s="150">
        <f>AI53*VLOOKUP('Données projet'!$B$10,'Paramètres'!$A$1:$I$88,3,0)*VLOOKUP('Données projet'!$B$10,'Paramètres'!$A$1:$I$88,5,0)</f>
        <v>241.0668</v>
      </c>
      <c r="AK53" s="150">
        <f t="shared" si="36"/>
        <v>58.66899842</v>
      </c>
      <c r="AL53" s="161">
        <f t="shared" si="5"/>
        <v>522.0398489</v>
      </c>
      <c r="AM53" s="153">
        <f t="shared" si="6"/>
        <v>815.3731822</v>
      </c>
      <c r="AN53" s="153">
        <f>AVERAGE(OFFSET($AM$3,0,0,'Données projet'!$E$10+1,1))-AVERAGE(OFFSET($H$3,0,0,'Données projet'!$E$10+1,1))</f>
        <v>405.6113614</v>
      </c>
      <c r="AO53" s="153">
        <f t="shared" si="37"/>
        <v>393.0787141</v>
      </c>
      <c r="AP53" s="154">
        <f>IF(ISNA(VLOOKUP(A53,'Données projet'!$A$61:$I$81,3,0)),0,VLOOKUP(A53,'Données projet'!$A$61:$I$81,3,0))</f>
        <v>9</v>
      </c>
      <c r="AQ53" s="164">
        <f>IF(ISNA(VLOOKUP(A53,'Données projet'!$A$61:$I$81,4,0)),0,VLOOKUP(A53,'Données projet'!$A$61:$I$81,4,0))</f>
        <v>21</v>
      </c>
      <c r="AR53" s="155">
        <f>IF(ISNA(VLOOKUP(A53,'Données projet'!$A$61:$I$81,5,0)),0%,VLOOKUP(A53,'Données projet'!$A$61:$I$81,5,0)*VLOOKUP('Données projet'!$B$10,'Paramètres'!$A$1:$I$88,7,0))</f>
        <v>0</v>
      </c>
      <c r="AS53" s="155">
        <f>IF(ISNA(VLOOKUP(A53,'Données projet'!$A$61:$I$81,6,0)),0%,VLOOKUP(A53,'Données projet'!$A$61:$I$81,6,0)*VLOOKUP('Données projet'!$B$10,'Paramètres'!$A$1:$I$88,7,0))</f>
        <v>0</v>
      </c>
      <c r="AT53" s="155" t="str">
        <f>IF(ISNA(VLOOKUP(A53,'Données projet'!$A$61:$I$81,7,0)),0%,VLOOKUP(A53,'Données projet'!$A$61:$I$81,7,0))</f>
        <v/>
      </c>
      <c r="AU53" s="162">
        <f>EXP(-LN(2)/35)*AU52+(1-EXP(-LN(2)/35))/(LN(2)/35)*AQ53*AR53*VLOOKUP('Données projet'!$B$10,'Paramètres'!$A$1:$I$88,3,0)*0.475*44/12</f>
        <v>0</v>
      </c>
      <c r="AV53" s="162">
        <f>EXP(-LN(2)/25)*AV52+(1-EXP(-LN(2)/25))/(LN(2)/25)*Calculateur!AQ53*Calculateur!AS53*VLOOKUP('Données projet'!$B$10,'Paramètres'!$A$1:$I$88,3,0)*0.475*44/12</f>
        <v>10.47536458</v>
      </c>
      <c r="AW53" s="162">
        <f>EXP(-LN(2)/2)*AW52+(1-EXP(-LN(2)/2))/(LN(2)/2)*AQ53*AT53*VLOOKUP('Données projet'!$B$10,'Paramètres'!$A$1:$I$88,3,0)*0.475*44/12</f>
        <v>0.0005661251992</v>
      </c>
      <c r="AX53" s="162">
        <f t="shared" si="7"/>
        <v>10.4759307</v>
      </c>
      <c r="AY53" s="157">
        <f>('Scénario référence'!$F$8+'Scénario référence'!$F$9+'Scénario référence'!$B$17+'Scénario référence'!$B$9+'Scénario référence'!$B$10)*70+IF((45+25*(1-EXP(-0.0175*A53)))&lt;70,'Scénario référence'!$B$16*(45+25*(1-EXP(-0.0175*A53))),70*'Scénario référence'!$B$16)+IF((32+38*(1-EXP(-0.0175*A53)))&lt;70,'Scénario référence'!$B$18*(32+38*(1-EXP(-0.0175*A53))),70*'Scénario référence'!$B$18)</f>
        <v>70</v>
      </c>
      <c r="AZ53" s="151">
        <f>IF(A53&gt;30,10,('Scénario référence'!$B$16+'Scénario référence'!$B$17+'Scénario référence'!$B$18+'Scénario référence'!$B$9+'Scénario référence'!$B$10)*A53*10/30+('Scénario référence'!$F$8+'Scénario référence'!$F$9)*10)</f>
        <v>10</v>
      </c>
      <c r="BA53" s="151" t="str">
        <f>VLOOKUP(A53,'Données projet'!$A$87:$I$107,2,0)</f>
        <v>#N/A</v>
      </c>
      <c r="BB53" s="151" t="str">
        <f>VLOOKUP(A53,'Données projet'!$A$87:$I$107,9,0)</f>
        <v>#N/A</v>
      </c>
      <c r="BC53" s="150" t="str">
        <f t="array" ref="BC53">INDEX(BB:BB,MIN(IF(ISNUMBER(BB53:BB249),ROW(BB53:BB249),"")))</f>
        <v/>
      </c>
      <c r="BD53" s="150">
        <f>IF('Données projet'!$A$88&gt;35,BD52+BC53-BL52,IF(A53&lt;'Données projet'!$A$88,$BA$205^A53,IF(A53='Données projet'!$A$88,'Données projet'!$B$88,BD52+BC53-BL52)))</f>
        <v>0</v>
      </c>
      <c r="BE53" s="150">
        <f>BD53*VLOOKUP('Données projet'!$B$11,'Paramètres'!$A$1:$I$88,3,0)*VLOOKUP('Données projet'!$B$11,'Paramètres'!$A$1:$I$88,5,0)</f>
        <v>0</v>
      </c>
      <c r="BF53" s="150" t="str">
        <f t="shared" si="38"/>
        <v>#NUM!</v>
      </c>
      <c r="BG53" s="161" t="str">
        <f t="shared" si="8"/>
        <v>#NUM!</v>
      </c>
      <c r="BH53" s="153" t="str">
        <f t="shared" si="9"/>
        <v>#NUM!</v>
      </c>
      <c r="BI53" s="153">
        <f>AVERAGE(OFFSET($BH$3,0,0,'Données projet'!$E$11+1,1))-AVERAGE(OFFSET($H$3,0,0,'Données projet'!$E$11+1,1))</f>
        <v>0</v>
      </c>
      <c r="BJ53" s="153">
        <f t="shared" si="39"/>
        <v>0</v>
      </c>
      <c r="BK53" s="154">
        <f>IF(ISNA(VLOOKUP(A53,'Données projet'!$A$87:$I$107,3,0)),0,VLOOKUP(A53,'Données projet'!$A$87:$I$107,3,0))</f>
        <v>0</v>
      </c>
      <c r="BL53" s="154">
        <f>IF(ISNA(VLOOKUP(A53,'Données projet'!$A$87:$I$107,4,0)),0,VLOOKUP(A53,'Données projet'!$A$87:$I$107,4,0))</f>
        <v>0</v>
      </c>
      <c r="BM53" s="155">
        <f>IF(ISNA(VLOOKUP(A53,'Données projet'!$A$87:$I$107,5,0)),0%,VLOOKUP(A53,'Données projet'!$A$87:$I$107,5,0)*VLOOKUP('Données projet'!$B$11,'Paramètres'!$A$1:$I$88,7,0))</f>
        <v>0</v>
      </c>
      <c r="BN53" s="155">
        <f>IF(ISNA(VLOOKUP(A53,'Données projet'!$A$87:$I$107,6,0)),0%,VLOOKUP(A53,'Données projet'!$A$87:$I$107,6,0)*VLOOKUP('Données projet'!$B$11,'Paramètres'!$A$1:$I$88,7,0))</f>
        <v>0</v>
      </c>
      <c r="BO53" s="155">
        <f>IF(ISNA(VLOOKUP(A53,'Données projet'!$A$87:$I$107,7,0)),0%,VLOOKUP(A53,'Données projet'!$A$87:$I$107,7,0))</f>
        <v>0</v>
      </c>
      <c r="BP53" s="162">
        <f>EXP(-LN(2)/35)*BP52+(1-EXP(-LN(2)/35))/(LN(2)/35)*BL53*BM53*VLOOKUP('Données projet'!$B$11,'Paramètres'!$A$1:$I$88,3,0)*0.475*44/12</f>
        <v>0</v>
      </c>
      <c r="BQ53" s="162">
        <f>EXP(-LN(2)/25)*BQ52+(1-EXP(-LN(2)/25))/(LN(2)/25)*Calculateur!BL53*Calculateur!BN53*VLOOKUP('Données projet'!$B$11,'Paramètres'!$A$1:$I$88,3,0)*0.475*44/12</f>
        <v>0</v>
      </c>
      <c r="BR53" s="162">
        <f>EXP(-LN(2)/2)*BR52+(1-EXP(-LN(2)/2))/(LN(2)/2)*BL53*BO53*VLOOKUP('Données projet'!$B$11,'Paramètres'!$A$1:$I$88,3,0)*0.475*44/12</f>
        <v>0</v>
      </c>
      <c r="BS53" s="163">
        <f t="shared" si="10"/>
        <v>0</v>
      </c>
      <c r="BT53" s="159">
        <f>('Scénario référence'!$F$8+'Scénario référence'!$F$9+'Scénario référence'!$B$17+'Scénario référence'!$B$9+'Scénario référence'!$B$10)*70+IF((45+25*(1-EXP(-0.0175*A53)))&lt;70,'Scénario référence'!$B$16*(45+25*(1-EXP(-0.0175*A53))),70*'Scénario référence'!$B$16)+IF((32+38*(1-EXP(-0.0175*A53)))&lt;70,'Scénario référence'!$B$18*(32+38*(1-EXP(-0.0175*A53))),70*'Scénario référence'!$B$18)</f>
        <v>70</v>
      </c>
      <c r="BU53" s="151">
        <f>IF(A53&gt;30,10,('Scénario référence'!$B$16+'Scénario référence'!$B$17+'Scénario référence'!$B$18+'Scénario référence'!$B$9+'Scénario référence'!$B$10)*A53*10/30+('Scénario référence'!$F$8+'Scénario référence'!$F$9)*10)</f>
        <v>10</v>
      </c>
      <c r="BV53" s="151" t="str">
        <f>VLOOKUP(A53,'Données projet'!$A$113:$I$133,2,0)</f>
        <v>#N/A</v>
      </c>
      <c r="BW53" s="151" t="str">
        <f>VLOOKUP(A53,'Données projet'!$A$113:$I$133,9,0)</f>
        <v>#N/A</v>
      </c>
      <c r="BX53" s="150" t="str">
        <f t="array" ref="BX53">INDEX(BW:BW,MIN(IF(ISNUMBER(BW53:BW249),ROW(BW53:BW249),"")))</f>
        <v/>
      </c>
      <c r="BY53" s="150">
        <f>IF('Données projet'!$A$114&gt;35,BY52+BX53-CG52,IF(A53&lt;'Données projet'!$A$114,$BV$205^A53,IF(A53='Données projet'!$A$114,'Données projet'!$B$114,BY52+BX53-CG52)))</f>
        <v>0</v>
      </c>
      <c r="BZ53" s="150" t="str">
        <f>BY53*VLOOKUP('Données projet'!$B$12,'Paramètres'!$A$1:$I$88,3,0)*VLOOKUP('Données projet'!$B$12,'Paramètres'!$A$1:$I$88,5,0)</f>
        <v>#N/A</v>
      </c>
      <c r="CA53" s="150" t="str">
        <f t="shared" si="40"/>
        <v>#N/A</v>
      </c>
      <c r="CB53" s="161" t="str">
        <f t="shared" si="11"/>
        <v>#N/A</v>
      </c>
      <c r="CC53" s="153" t="str">
        <f t="shared" si="12"/>
        <v>#N/A</v>
      </c>
      <c r="CD53" s="153" t="str">
        <f>AVERAGE(OFFSET($CC$3,0,0,'Données projet'!$E$12+1,1))-AVERAGE(OFFSET($H$3,0,0,'Données projet'!$E$12+1,1))</f>
        <v>#N/A</v>
      </c>
      <c r="CE53" s="153" t="str">
        <f t="shared" si="41"/>
        <v>#N/A</v>
      </c>
      <c r="CF53" s="154">
        <f>IF(ISNA(VLOOKUP(A53,'Données projet'!$A$113:$I$133,3,0)),0,VLOOKUP(A53,'Données projet'!$A$113:$I$133,3,0))</f>
        <v>0</v>
      </c>
      <c r="CG53" s="154">
        <f>IF(ISNA(VLOOKUP(A53,'Données projet'!$A$113:$I$133,4,0)),0,VLOOKUP(A53,'Données projet'!$A$113:$I$133,4,0))</f>
        <v>0</v>
      </c>
      <c r="CH53" s="155">
        <f>IF(ISNA(VLOOKUP(A53,'Données projet'!$A$113:$I$133,5,0)),0%,VLOOKUP(A53,'Données projet'!$A$113:$I$133,5,0)*VLOOKUP('Données projet'!$B$12,'Paramètres'!$A$1:$I$88,7,0))</f>
        <v>0</v>
      </c>
      <c r="CI53" s="155">
        <f>IF(ISNA(VLOOKUP(A53,'Données projet'!$A$113:$I$133,6,0)),0%,VLOOKUP(A53,'Données projet'!$A$113:$I$133,6,0)*VLOOKUP('Données projet'!$B$12,'Paramètres'!$A$1:$I$88,7,0))</f>
        <v>0</v>
      </c>
      <c r="CJ53" s="155">
        <f>IF(ISNA(VLOOKUP(A53,'Données projet'!$A$113:$I$133,7,0)),0%,VLOOKUP(A53,'Données projet'!$A$113:$I$133,7,0))</f>
        <v>0</v>
      </c>
      <c r="CK53" s="162" t="str">
        <f>EXP(-LN(2)/35)*CK52+(1-EXP(-LN(2)/35))/(LN(2)/35)*CG53*CH53*VLOOKUP('Données projet'!$B$12,'Paramètres'!$A$1:$I$88,3,0)*0.475*44/12</f>
        <v>#N/A</v>
      </c>
      <c r="CL53" s="162" t="str">
        <f>EXP(-LN(2)/25)*CL52+(1-EXP(-LN(2)/25))/(LN(2)/25)*Calculateur!CG53*Calculateur!CI53*VLOOKUP('Données projet'!$B$12,'Paramètres'!$A$1:$I$88,3,0)*0.475*44/12</f>
        <v>#N/A</v>
      </c>
      <c r="CM53" s="162" t="str">
        <f>EXP(-LN(2)/2)*CM52+(1-EXP(-LN(2)/2))/(LN(2)/2)*CG53*CJ53*VLOOKUP('Données projet'!$B$12,'Paramètres'!$A$1:$I$88,3,0)*0.475*44/12</f>
        <v>#N/A</v>
      </c>
      <c r="CN53" s="163" t="str">
        <f t="shared" si="13"/>
        <v>#N/A</v>
      </c>
      <c r="CO53" s="159">
        <f>('Scénario référence'!$F$8+'Scénario référence'!$F$9+'Scénario référence'!$B$17+'Scénario référence'!$B$9+'Scénario référence'!$B$10)*70+IF((45+25*(1-EXP(-0.0175*A53)))&lt;70,'Scénario référence'!$B$16*(45+25*(1-EXP(-0.0175*A53))),70*'Scénario référence'!$B$16)+IF((32+38*(1-EXP(-0.0175*A53)))&lt;70,'Scénario référence'!$B$18*(32+38*(1-EXP(-0.0175*A53))),70*'Scénario référence'!$B$18)</f>
        <v>70</v>
      </c>
      <c r="CP53" s="151">
        <f>IF(A53&gt;30,10,('Scénario référence'!$B$16+'Scénario référence'!$B$17+'Scénario référence'!$B$18+'Scénario référence'!$B$9+'Scénario référence'!$B$10)*A53*10/30+('Scénario référence'!$F$8+'Scénario référence'!$F$9)*10)</f>
        <v>10</v>
      </c>
      <c r="CQ53" s="151" t="str">
        <f>VLOOKUP(A53,'Données projet'!$A$139:$I$159,2,0)</f>
        <v>#N/A</v>
      </c>
      <c r="CR53" s="151" t="str">
        <f>VLOOKUP(A53,'Données projet'!$A$139:$I$159,9,0)</f>
        <v>#N/A</v>
      </c>
      <c r="CS53" s="151" t="str">
        <f t="array" ref="CS53">INDEX(CR:CR,MIN(IF(ISNUMBER(CR53:CR249),ROW(CR53:CR249),"")))</f>
        <v/>
      </c>
      <c r="CT53" s="151">
        <f>IF('Données projet'!$A$140&gt;35,CT52+CS53-DB52,IF(A53&lt;'Données projet'!$A$140,$CQ$205^A53,IF(A53='Données projet'!$A$140,'Données projet'!$B$140,CT52+CS53-DB52)))</f>
        <v>0</v>
      </c>
      <c r="CU53" s="158" t="str">
        <f>CT53*VLOOKUP('Données projet'!$B$13,'Paramètres'!$A$1:$I$88,3,0)*VLOOKUP('Données projet'!$B$13,'Paramètres'!$A$1:$I$88,5,0)</f>
        <v>#N/A</v>
      </c>
      <c r="CV53" s="150" t="str">
        <f t="shared" si="42"/>
        <v>#N/A</v>
      </c>
      <c r="CW53" s="161" t="str">
        <f t="shared" si="14"/>
        <v>#N/A</v>
      </c>
      <c r="CX53" s="153" t="str">
        <f t="shared" si="15"/>
        <v>#N/A</v>
      </c>
      <c r="CY53" s="153" t="str">
        <f>AVERAGE(OFFSET($CX$3,0,0,'Données projet'!$E$13+1,1))-AVERAGE(OFFSET($H$3,0,0,'Données projet'!$E$13+1,1))</f>
        <v>#N/A</v>
      </c>
      <c r="CZ53" s="153" t="str">
        <f t="shared" si="43"/>
        <v>#N/A</v>
      </c>
      <c r="DA53" s="154">
        <f>IF(ISNA(VLOOKUP(A53,'Données projet'!$A$139:$I$159,3,0)),0,VLOOKUP(A53,'Données projet'!$A$139:$I$159,3,0))</f>
        <v>0</v>
      </c>
      <c r="DB53" s="154">
        <f>IF(ISNA(VLOOKUP(A53,'Données projet'!$A$139:$I$159,4,0)),0,VLOOKUP(A53,'Données projet'!$A$139:$I$159,4,0))</f>
        <v>0</v>
      </c>
      <c r="DC53" s="155">
        <f>IF(ISNA(VLOOKUP(A53,'Données projet'!$A$139:$I$159,5,0)),0%,VLOOKUP(A53,'Données projet'!$A$139:$I$159,5,0)*VLOOKUP('Données projet'!$B$13,'Paramètres'!$A$1:$I$88,7,0))</f>
        <v>0</v>
      </c>
      <c r="DD53" s="155">
        <f>IF(ISNA(VLOOKUP(A53,'Données projet'!$A$139:$I$159,6,0)),0%,VLOOKUP(A53,'Données projet'!$A$139:$I$159,6,0)*VLOOKUP('Données projet'!$B$13,'Paramètres'!$A$1:$I$88,7,0))</f>
        <v>0</v>
      </c>
      <c r="DE53" s="155">
        <f>IF(ISNA(VLOOKUP(A53,'Données projet'!$A$139:$I$159,7,0)),0%,VLOOKUP(A53,'Données projet'!$A$139:$I$159,7,0))</f>
        <v>0</v>
      </c>
      <c r="DF53" s="162" t="str">
        <f>EXP(-LN(2)/35)*DF52+(1-EXP(-LN(2)/35))/(LN(2)/35)*DB53*DC53*VLOOKUP('Données projet'!$B$13,'Paramètres'!$A$1:$I$88,3,0)*0.475*44/12</f>
        <v>#N/A</v>
      </c>
      <c r="DG53" s="162" t="str">
        <f>EXP(-LN(2)/25)*DG52+(1-EXP(-LN(2)/25))/(LN(2)/25)*Calculateur!DB53*Calculateur!DD53*VLOOKUP('Données projet'!$B$13,'Paramètres'!$A$1:$I$88,3,0)*0.475*44/12</f>
        <v>#N/A</v>
      </c>
      <c r="DH53" s="162" t="str">
        <f>EXP(-LN(2)/2)*DH52+(1-EXP(-LN(2)/2))/(LN(2)/2)*DB53*DE53*VLOOKUP('Données projet'!$B$13,'Paramètres'!$A$1:$I$88,3,0)*0.475*44/12</f>
        <v>#N/A</v>
      </c>
      <c r="DI53" s="163" t="str">
        <f t="shared" si="16"/>
        <v>#N/A</v>
      </c>
      <c r="DJ53" s="159">
        <f>('Scénario référence'!$F$8+'Scénario référence'!$F$9+'Scénario référence'!$B$17+'Scénario référence'!$B$9+'Scénario référence'!$B$10)*70+IF((45+25*(1-EXP(-0.0175*A53)))&lt;70,'Scénario référence'!$B$16*(45+25*(1-EXP(-0.0175*A53))),70*'Scénario référence'!$B$16)+IF((32+38*(1-EXP(-0.0175*A53)))&lt;70,'Scénario référence'!$B$18*(32+38*(1-EXP(-0.0175*A53))),70*'Scénario référence'!$B$18)</f>
        <v>70</v>
      </c>
      <c r="DK53" s="151">
        <f>IF(A53&gt;30,10,('Scénario référence'!$B$16+'Scénario référence'!$B$17+'Scénario référence'!$B$18+'Scénario référence'!$B$9+'Scénario référence'!$B$10)*A53*10/30+('Scénario référence'!$F$8+'Scénario référence'!$F$9)*10)</f>
        <v>10</v>
      </c>
      <c r="DL53" s="151" t="str">
        <f>VLOOKUP(A53,'Données projet'!$A$165:$I$185,2,0)</f>
        <v>#N/A</v>
      </c>
      <c r="DM53" s="151" t="str">
        <f>VLOOKUP(A53,'Données projet'!$A$165:$I$185,9,0)</f>
        <v>#N/A</v>
      </c>
      <c r="DN53" s="151" t="str">
        <f t="array" ref="DN53">INDEX(DM:DM,MIN(IF(ISNUMBER(DM53:DM249),ROW(DM53:DM249),"")))</f>
        <v/>
      </c>
      <c r="DO53" s="151">
        <f>IF('Données projet'!$A$166&gt;35,DO52+DN53-DW52,IF(A53&lt;'Données projet'!$A$166,$DL$205^A53,IF(A53='Données projet'!$A$166,'Données projet'!$B$166,DO52+DN53-DW52)))</f>
        <v>0</v>
      </c>
      <c r="DP53" s="158" t="str">
        <f>DO53*VLOOKUP('Données projet'!$B$14,'Paramètres'!$A$1:$I$88,3,0)*VLOOKUP('Données projet'!$B$14,'Paramètres'!$A$1:$I$88,5,0)</f>
        <v>#N/A</v>
      </c>
      <c r="DQ53" s="150" t="str">
        <f t="shared" si="44"/>
        <v>#N/A</v>
      </c>
      <c r="DR53" s="161" t="str">
        <f t="shared" si="17"/>
        <v>#N/A</v>
      </c>
      <c r="DS53" s="153" t="str">
        <f t="shared" si="18"/>
        <v>#N/A</v>
      </c>
      <c r="DT53" s="153" t="str">
        <f>AVERAGE(OFFSET($DS$3,0,0,'Données projet'!$E$14+1,1))-AVERAGE(OFFSET($H$3,0,0,'Données projet'!$E$14+1,1))</f>
        <v>#N/A</v>
      </c>
      <c r="DU53" s="153" t="str">
        <f t="shared" si="45"/>
        <v>#N/A</v>
      </c>
      <c r="DV53" s="154">
        <f>IF(ISNA(VLOOKUP(A53,'Données projet'!$A$165:$I$185,3,0)),0,VLOOKUP(A53,'Données projet'!$A$165:$I$185,3,0))</f>
        <v>0</v>
      </c>
      <c r="DW53" s="154">
        <f>IF(ISNA(VLOOKUP(A53,'Données projet'!$A$165:$I$185,4,0)),0,VLOOKUP(A53,'Données projet'!$A$165:$I$185,4,0))</f>
        <v>0</v>
      </c>
      <c r="DX53" s="155">
        <f>IF(ISNA(VLOOKUP(A53,'Données projet'!$A$165:$I$185,5,0)),0%,VLOOKUP(A53,'Données projet'!$A$165:$I$185,5,0)*VLOOKUP('Données projet'!$B$14,'Paramètres'!$A$1:$I$88,7,0))</f>
        <v>0</v>
      </c>
      <c r="DY53" s="155">
        <f>IF(ISNA(VLOOKUP(A53,'Données projet'!$A$165:$I$185,6,0)),0%,VLOOKUP(A53,'Données projet'!$A$165:$I$185,6,0)*VLOOKUP('Données projet'!$B$14,'Paramètres'!$A$1:$I$88,7,0))</f>
        <v>0</v>
      </c>
      <c r="DZ53" s="155">
        <f>IF(ISNA(VLOOKUP(A53,'Données projet'!$A$165:$I$185,7,0)),0%,VLOOKUP(A53,'Données projet'!$A$165:$I$185,7,0))</f>
        <v>0</v>
      </c>
      <c r="EA53" s="162" t="str">
        <f>EXP(-LN(2)/35)*EA52+(1-EXP(-LN(2)/35))/(LN(2)/35)*DW53*DX53*VLOOKUP('Données projet'!$B$14,'Paramètres'!$A$1:$I$88,3,0)*0.475*44/12</f>
        <v>#N/A</v>
      </c>
      <c r="EB53" s="162" t="str">
        <f>EXP(-LN(2)/25)*EB52+(1-EXP(-LN(2)/25))/(LN(2)/25)*Calculateur!DW53*Calculateur!DY53*VLOOKUP('Données projet'!$B$14,'Paramètres'!$A$1:$I$88,3,0)*0.475*44/12</f>
        <v>#N/A</v>
      </c>
      <c r="EC53" s="162" t="str">
        <f>EXP(-LN(2)/2)*EC52+(1-EXP(-LN(2)/2))/(LN(2)/2)*DW53*DZ53*VLOOKUP('Données projet'!$B$14,'Paramètres'!$A$1:$I$88,3,0)*0.475*44/12</f>
        <v>#N/A</v>
      </c>
      <c r="ED53" s="163" t="str">
        <f t="shared" si="19"/>
        <v>#N/A</v>
      </c>
      <c r="EE53" s="159">
        <f>('Scénario référence'!$F$8+'Scénario référence'!$F$9+'Scénario référence'!$B$17+'Scénario référence'!$B$9+'Scénario référence'!$B$10)*70+IF((45+25*(1-EXP(-0.0175*A53)))&lt;70,'Scénario référence'!$B$16*(45+25*(1-EXP(-0.0175*A53))),70*'Scénario référence'!$B$16)+IF((32+38*(1-EXP(-0.0175*A53)))&lt;70,'Scénario référence'!$B$18*(32+38*(1-EXP(-0.0175*A53))),70*'Scénario référence'!$B$18)</f>
        <v>70</v>
      </c>
      <c r="EF53" s="151">
        <f>IF(A53&gt;30,10,('Scénario référence'!$B$16+'Scénario référence'!$B$17+'Scénario référence'!$B$18+'Scénario référence'!$B$9+'Scénario référence'!$B$10)*A53*10/30+('Scénario référence'!$F$8+'Scénario référence'!$F$9)*10)</f>
        <v>10</v>
      </c>
      <c r="EG53" s="151" t="str">
        <f>VLOOKUP(A53,'Données projet'!$A$191:$I$211,2,0)</f>
        <v>#N/A</v>
      </c>
      <c r="EH53" s="151" t="str">
        <f>VLOOKUP(A53,'Données projet'!$A$191:$I$211,9,0)</f>
        <v>#N/A</v>
      </c>
      <c r="EI53" s="151" t="str">
        <f t="array" ref="EI53">INDEX(EH:EH,MIN(IF(ISNUMBER(EH53:EH249),ROW(EH53:EH249),"")))</f>
        <v/>
      </c>
      <c r="EJ53" s="151">
        <f>IF('Données projet'!$A$192&gt;35,EJ52+EI53-ER52,IF(A53&lt;'Données projet'!$A$192,$EG$205^A53,IF(A53='Données projet'!$A$192,'Données projet'!$B$192,EJ52+EI53-ER52)))</f>
        <v>0</v>
      </c>
      <c r="EK53" s="158" t="str">
        <f>EJ53*VLOOKUP('Données projet'!$B$15,'Paramètres'!$A$1:$I$88,3,0)*VLOOKUP('Données projet'!$B$15,'Paramètres'!$A$1:$I$88,5,0)</f>
        <v>#N/A</v>
      </c>
      <c r="EL53" s="150" t="str">
        <f t="shared" si="46"/>
        <v>#N/A</v>
      </c>
      <c r="EM53" s="161" t="str">
        <f t="shared" si="20"/>
        <v>#N/A</v>
      </c>
      <c r="EN53" s="153" t="str">
        <f t="shared" si="21"/>
        <v>#N/A</v>
      </c>
      <c r="EO53" s="153" t="str">
        <f>AVERAGE(OFFSET($EN$3,0,0,'Données projet'!$E$15+1,1))-AVERAGE(OFFSET($H$3,0,0,'Données projet'!$E$15+1,1))</f>
        <v>#N/A</v>
      </c>
      <c r="EP53" s="153" t="str">
        <f t="shared" si="47"/>
        <v>#N/A</v>
      </c>
      <c r="EQ53" s="154">
        <f>IF(ISNA(VLOOKUP(A53,'Données projet'!$A$191:$I$211,3,0)),0,VLOOKUP(A53,'Données projet'!$A$191:$I$211,3,0))</f>
        <v>0</v>
      </c>
      <c r="ER53" s="154">
        <f>IF(ISNA(VLOOKUP(A53,'Données projet'!$A$191:$I$211,4,0)),0,VLOOKUP(A53,'Données projet'!$A$191:$I$211,4,0))</f>
        <v>0</v>
      </c>
      <c r="ES53" s="155">
        <f>IF(ISNA(VLOOKUP(A53,'Données projet'!$A$191:$I$211,5,0)),0%,VLOOKUP(A53,'Données projet'!$A$191:$I$211,5,0)*VLOOKUP('Données projet'!$B$15,'Paramètres'!$A$1:$I$88,7,0))</f>
        <v>0</v>
      </c>
      <c r="ET53" s="155">
        <f>IF(ISNA(VLOOKUP(A53,'Données projet'!$A$191:$I$211,6,0)),0%,VLOOKUP(A53,'Données projet'!$A$191:$I$211,6,0)*VLOOKUP('Données projet'!$B$15,'Paramètres'!$A$1:$I$88,7,0))</f>
        <v>0</v>
      </c>
      <c r="EU53" s="155">
        <f>IF(ISNA(VLOOKUP(A53,'Données projet'!$A$191:$I$211,7,0)),0%,VLOOKUP(A53,'Données projet'!$A$191:$I$211,7,0))</f>
        <v>0</v>
      </c>
      <c r="EV53" s="162" t="str">
        <f>EXP(-LN(2)/35)*EV52+(1-EXP(-LN(2)/35))/(LN(2)/35)*ER53*ES53*VLOOKUP('Données projet'!$B$15,'Paramètres'!$A$1:$I$88,3,0)*0.475*44/12</f>
        <v>#N/A</v>
      </c>
      <c r="EW53" s="162" t="str">
        <f>EXP(-LN(2)/25)*EW52+(1-EXP(-LN(2)/25))/(LN(2)/25)*Calculateur!ER53*Calculateur!ET53*VLOOKUP('Données projet'!$B$15,'Paramètres'!$A$1:$I$88,3,0)*0.475*44/12</f>
        <v>#N/A</v>
      </c>
      <c r="EX53" s="162" t="str">
        <f>EXP(-LN(2)/2)*EX52+(1-EXP(-LN(2)/2))/(LN(2)/2)*ER53*EU53*VLOOKUP('Données projet'!$B$15,'Paramètres'!$A$1:$I$88,3,0)*0.475*44/12</f>
        <v>#N/A</v>
      </c>
      <c r="EY53" s="163" t="str">
        <f t="shared" si="22"/>
        <v>#N/A</v>
      </c>
      <c r="EZ53" s="159">
        <f>('Scénario référence'!$F$8+'Scénario référence'!$F$9+'Scénario référence'!$B$17+'Scénario référence'!$B$9+'Scénario référence'!$B$10)*70+IF((45+25*(1-EXP(-0.0175*A53)))&lt;70,'Scénario référence'!$B$16*(45+25*(1-EXP(-0.0175*A53))),70*'Scénario référence'!$B$16)+IF((32+38*(1-EXP(-0.0175*A53)))&lt;70,'Scénario référence'!$B$18*(32+38*(1-EXP(-0.0175*A53))),70*'Scénario référence'!$B$18)</f>
        <v>70</v>
      </c>
      <c r="FA53" s="151">
        <f>IF(A53&gt;30,10,('Scénario référence'!$B$16+'Scénario référence'!$B$17+'Scénario référence'!$B$18+'Scénario référence'!$B$9+'Scénario référence'!$B$10)*A53*10/30+('Scénario référence'!$F$8+'Scénario référence'!$F$9)*10)</f>
        <v>10</v>
      </c>
      <c r="FB53" s="151" t="str">
        <f>VLOOKUP(A53,'Données projet'!$A$217:$I$237,2,0)</f>
        <v>#N/A</v>
      </c>
      <c r="FC53" s="151" t="str">
        <f>VLOOKUP(A53,'Données projet'!$A$217:$I$237,9,0)</f>
        <v>#N/A</v>
      </c>
      <c r="FD53" s="151" t="str">
        <f t="array" ref="FD53">INDEX(FC:FC,MIN(IF(ISNUMBER(FC53:FC249),ROW(FC53:FC249),"")))</f>
        <v/>
      </c>
      <c r="FE53" s="151">
        <f>IF('Données projet'!$A$218&gt;35,FE52+FD53-FM52,IF(A53&lt;'Données projet'!$A$218,$FB$205^A53,IF(A53='Données projet'!$A$218,'Données projet'!$B$218,FE52+FD53-FM52)))</f>
        <v>0</v>
      </c>
      <c r="FF53" s="158" t="str">
        <f>FE53*VLOOKUP('Données projet'!$B$16,'Paramètres'!$A$1:$I$88,3,0)*VLOOKUP('Données projet'!$B$16,'Paramètres'!$A$1:$I$88,5,0)</f>
        <v>#N/A</v>
      </c>
      <c r="FG53" s="150" t="str">
        <f t="shared" si="48"/>
        <v>#N/A</v>
      </c>
      <c r="FH53" s="161" t="str">
        <f t="shared" si="23"/>
        <v>#N/A</v>
      </c>
      <c r="FI53" s="153" t="str">
        <f t="shared" si="24"/>
        <v>#N/A</v>
      </c>
      <c r="FJ53" s="153" t="str">
        <f>AVERAGE(OFFSET($FI$3,0,0,'Données projet'!$E$16+1,1))-AVERAGE(OFFSET($H$3,0,0,'Données projet'!$E$16+1,1))</f>
        <v>#N/A</v>
      </c>
      <c r="FK53" s="153" t="str">
        <f t="shared" si="49"/>
        <v>#N/A</v>
      </c>
      <c r="FL53" s="154">
        <f>IF(ISNA(VLOOKUP(A53,'Données projet'!$A$217:$I$237,3,0)),0,VLOOKUP(A53,'Données projet'!$A$217:$I$237,3,0))</f>
        <v>0</v>
      </c>
      <c r="FM53" s="154">
        <f>IF(ISNA(VLOOKUP(A53,'Données projet'!$A$217:$I$237,4,0)),0,VLOOKUP(A53,'Données projet'!$A$217:$I$237,4,0))</f>
        <v>0</v>
      </c>
      <c r="FN53" s="155">
        <f>IF(ISNA(VLOOKUP(A53,'Données projet'!$A$217:$I$237,5,0)),0%,VLOOKUP(A53,'Données projet'!$A$217:$I$237,5,0)*VLOOKUP('Données projet'!$B$16,'Paramètres'!$A$1:$I$88,7,0))</f>
        <v>0</v>
      </c>
      <c r="FO53" s="155">
        <f>IF(ISNA(VLOOKUP(A53,'Données projet'!$A$217:$I$237,6,0)),0%,VLOOKUP(A53,'Données projet'!$A$217:$I$237,6,0)*VLOOKUP('Données projet'!$B$16,'Paramètres'!$A$1:$I$88,7,0))</f>
        <v>0</v>
      </c>
      <c r="FP53" s="155">
        <f>IF(ISNA(VLOOKUP(A53,'Données projet'!$A$217:$I$237,7,0)),0%,VLOOKUP(A53,'Données projet'!$A$217:$I$237,7,0))</f>
        <v>0</v>
      </c>
      <c r="FQ53" s="162" t="str">
        <f>EXP(-LN(2)/35)*FQ52+(1-EXP(-LN(2)/35))/(LN(2)/35)*FM53*FN53*VLOOKUP('Données projet'!$B$16,'Paramètres'!$A$1:$I$88,3,0)*0.475*44/12</f>
        <v>#N/A</v>
      </c>
      <c r="FR53" s="162" t="str">
        <f>EXP(-LN(2)/25)*FR52+(1-EXP(-LN(2)/25))/(LN(2)/25)*Calculateur!FM53*Calculateur!FO53*VLOOKUP('Données projet'!$B$16,'Paramètres'!$A$1:$I$88,3,0)*0.475*44/12</f>
        <v>#N/A</v>
      </c>
      <c r="FS53" s="162" t="str">
        <f>EXP(-LN(2)/2)*FS52+(1-EXP(-LN(2)/2))/(LN(2)/2)*FM53*FP53*VLOOKUP('Données projet'!$B$16,'Paramètres'!$A$1:$I$88,3,0)*0.475*44/12</f>
        <v>#N/A</v>
      </c>
      <c r="FT53" s="163" t="str">
        <f t="shared" si="25"/>
        <v>#N/A</v>
      </c>
      <c r="FU53" s="159">
        <f>('Scénario référence'!$F$8+'Scénario référence'!$F$9+'Scénario référence'!$B$17+'Scénario référence'!$B$9+'Scénario référence'!$B$10)*70+IF((45+25*(1-EXP(-0.0175*A53)))&lt;70,'Scénario référence'!$B$16*(45+25*(1-EXP(-0.0175*A53))),70*'Scénario référence'!$B$16)+IF((32+38*(1-EXP(-0.0175*A53)))&lt;70,'Scénario référence'!$B$18*(32+38*(1-EXP(-0.0175*A53))),70*'Scénario référence'!$B$18)</f>
        <v>70</v>
      </c>
      <c r="FV53" s="151">
        <f>IF(A53&gt;30,10,('Scénario référence'!$B$16+'Scénario référence'!$B$17+'Scénario référence'!$B$18+'Scénario référence'!$B$9+'Scénario référence'!$B$10)*A53*10/30+('Scénario référence'!$F$8+'Scénario référence'!$F$9)*10)</f>
        <v>10</v>
      </c>
      <c r="FW53" s="151" t="str">
        <f>VLOOKUP(A53,'Données projet'!$A$243:$I$263,2,0)</f>
        <v>#N/A</v>
      </c>
      <c r="FX53" s="151" t="str">
        <f>VLOOKUP(A53,'Données projet'!$A$243:$I$263,9,0)</f>
        <v>#N/A</v>
      </c>
      <c r="FY53" s="151" t="str">
        <f t="array" ref="FY53">INDEX(FX:FX,MIN(IF(ISNUMBER(FX53:FX249),ROW(FX53:FX249),"")))</f>
        <v/>
      </c>
      <c r="FZ53" s="151">
        <f>IF('Données projet'!$A$244&gt;35,FZ52+FY53-GH52,IF(A53&lt;'Données projet'!$A$244,$FW$205^A53,IF(A53='Données projet'!$A$244,'Données projet'!$B$244,FZ52+FY53-GH52)))</f>
        <v>0</v>
      </c>
      <c r="GA53" s="158" t="str">
        <f>FZ53*VLOOKUP('Données projet'!$B$17,'Paramètres'!$A$1:$I$88,3,0)*VLOOKUP('Données projet'!$B$17,'Paramètres'!$A$1:$I$88,5,0)</f>
        <v>#N/A</v>
      </c>
      <c r="GB53" s="150" t="str">
        <f t="shared" si="50"/>
        <v>#N/A</v>
      </c>
      <c r="GC53" s="161" t="str">
        <f t="shared" si="26"/>
        <v>#N/A</v>
      </c>
      <c r="GD53" s="153" t="str">
        <f t="shared" si="27"/>
        <v>#N/A</v>
      </c>
      <c r="GE53" s="153" t="str">
        <f>AVERAGE(OFFSET($GD$3,0,0,'Données projet'!$E$17+1,1))-AVERAGE(OFFSET($H$3,0,0,'Données projet'!$E$17+1,1))</f>
        <v>#N/A</v>
      </c>
      <c r="GF53" s="153" t="str">
        <f t="shared" si="51"/>
        <v>#N/A</v>
      </c>
      <c r="GG53" s="154">
        <f>IF(ISNA(VLOOKUP(A53,'Données projet'!$A$243:$I$263,3,0)),0,VLOOKUP(A53,'Données projet'!$A$243:$I$263,3,0))</f>
        <v>0</v>
      </c>
      <c r="GH53" s="154">
        <f>IF(ISNA(VLOOKUP(A53,'Données projet'!$A$243:$I$263,4,0)),0,VLOOKUP(A53,'Données projet'!$A$243:$I$263,4,0))</f>
        <v>0</v>
      </c>
      <c r="GI53" s="155">
        <f>IF(ISNA(VLOOKUP(A53,'Données projet'!$A$243:$I$263,5,0)),0%,VLOOKUP(A53,'Données projet'!$A$243:$I$263,5,0)*VLOOKUP('Données projet'!$B$17,'Paramètres'!$A$1:$I$88,7,0))</f>
        <v>0</v>
      </c>
      <c r="GJ53" s="155">
        <f>IF(ISNA(VLOOKUP(A53,'Données projet'!$A$243:$I$263,6,0)),0%,VLOOKUP(A53,'Données projet'!$A$243:$I$263,6,0)*VLOOKUP('Données projet'!$B$17,'Paramètres'!$A$1:$I$88,7,0))</f>
        <v>0</v>
      </c>
      <c r="GK53" s="155">
        <f>IF(ISNA(VLOOKUP(A53,'Données projet'!$A$243:$I$263,7,0)),0%,VLOOKUP(A53,'Données projet'!$A$243:$I$263,7,0))</f>
        <v>0</v>
      </c>
      <c r="GL53" s="162" t="str">
        <f>EXP(-LN(2)/35)*GL52+(1-EXP(-LN(2)/35))/(LN(2)/35)*GH53*GI53*VLOOKUP('Données projet'!$B$17,'Paramètres'!$A$1:$I$88,3,0)*0.475*44/12</f>
        <v>#N/A</v>
      </c>
      <c r="GM53" s="162" t="str">
        <f>EXP(-LN(2)/25)*GM52+(1-EXP(-LN(2)/25))/(LN(2)/25)*Calculateur!GH53*Calculateur!GJ53*VLOOKUP('Données projet'!$B$17,'Paramètres'!$A$1:$I$88,3,0)*0.475*44/12</f>
        <v>#N/A</v>
      </c>
      <c r="GN53" s="162" t="str">
        <f>EXP(-LN(2)/2)*GN52+(1-EXP(-LN(2)/2))/(LN(2)/2)*GH53*GK53*VLOOKUP('Données projet'!$B$17,'Paramètres'!$A$1:$I$88,3,0)*0.475*44/12</f>
        <v>#N/A</v>
      </c>
      <c r="GO53" s="162" t="str">
        <f t="shared" si="28"/>
        <v>#N/A</v>
      </c>
      <c r="GP53" s="159">
        <f>('Scénario référence'!$F$8+'Scénario référence'!$F$9+'Scénario référence'!$B$17+'Scénario référence'!$B$9+'Scénario référence'!$B$10)*70+IF((45+25*(1-EXP(-0.0175*A53)))&lt;70,'Scénario référence'!$B$16*(45+25*(1-EXP(-0.0175*A53))),70*'Scénario référence'!$B$16)+IF((32+38*(1-EXP(-0.0175*A53)))&lt;70,'Scénario référence'!$B$18*(32+38*(1-EXP(-0.0175*A53))),70*'Scénario référence'!$B$18)</f>
        <v>70</v>
      </c>
      <c r="GQ53" s="151">
        <f>IF(A53&gt;30,10,('Scénario référence'!$B$16+'Scénario référence'!$B$17+'Scénario référence'!$B$18+'Scénario référence'!$B$9+'Scénario référence'!$B$10)*A53*10/30+('Scénario référence'!$F$8+'Scénario référence'!$F$9)*10)</f>
        <v>10</v>
      </c>
      <c r="GR53" s="151" t="str">
        <f>VLOOKUP(A53,'Données projet'!$A$269:$I$289,2,0)</f>
        <v>#N/A</v>
      </c>
      <c r="GS53" s="151" t="str">
        <f>VLOOKUP(A53,'Données projet'!$A$269:$I$289,9,0)</f>
        <v>#N/A</v>
      </c>
      <c r="GT53" s="151" t="str">
        <f t="array" ref="GT53">INDEX(GS:GS,MIN(IF(ISNUMBER(GS53:GS249),ROW(GS53:GS249),"")))</f>
        <v/>
      </c>
      <c r="GU53" s="151">
        <f>IF('Données projet'!$A$270&gt;35,GU52+GT53-HC52,IF(A53&lt;'Données projet'!$A$270,$GR$205^A53,IF(A53='Données projet'!$A$270,'Données projet'!$B$270,GU52+GT53-HC52)))</f>
        <v>0</v>
      </c>
      <c r="GV53" s="158" t="str">
        <f>GU53*VLOOKUP('Données projet'!$B$18,'Paramètres'!$A$1:$I$88,3,0)*VLOOKUP('Données projet'!$B$18,'Paramètres'!$A$1:$I$88,5,0)</f>
        <v>#N/A</v>
      </c>
      <c r="GW53" s="150" t="str">
        <f t="shared" si="52"/>
        <v>#N/A</v>
      </c>
      <c r="GX53" s="161" t="str">
        <f t="shared" si="29"/>
        <v>#N/A</v>
      </c>
      <c r="GY53" s="153" t="str">
        <f t="shared" si="30"/>
        <v>#N/A</v>
      </c>
      <c r="GZ53" s="153" t="str">
        <f>AVERAGE(OFFSET($GY$3,0,0,'Données projet'!$E$18+1,1))-AVERAGE(OFFSET($H$3,0,0,'Données projet'!$E$18+1,1))</f>
        <v>#N/A</v>
      </c>
      <c r="HA53" s="153" t="str">
        <f t="shared" si="53"/>
        <v>#N/A</v>
      </c>
      <c r="HB53" s="154">
        <f>IF(ISNA(VLOOKUP(A53,'Données projet'!$A$269:$I$289,3,0)),0,VLOOKUP(A53,'Données projet'!$A$269:$I$289,3,0))</f>
        <v>0</v>
      </c>
      <c r="HC53" s="154">
        <f>IF(ISNA(VLOOKUP(A53,'Données projet'!$A$269:$I$289,4,0)),0,VLOOKUP(A53,'Données projet'!$A$269:$I$289,4,0))</f>
        <v>0</v>
      </c>
      <c r="HD53" s="155">
        <f>IF(ISNA(VLOOKUP(A53,'Données projet'!$A$269:$I$289,5,0)),0%,VLOOKUP(A53,'Données projet'!$A$269:$I$289,5,0)*VLOOKUP('Données projet'!$B$18,'Paramètres'!$A$1:$I$88,7,0))</f>
        <v>0</v>
      </c>
      <c r="HE53" s="155">
        <f>IF(ISNA(VLOOKUP(A53,'Données projet'!$A$269:$I$289,6,0)),0%,VLOOKUP(A53,'Données projet'!$A$269:$I$289,6,0)*VLOOKUP('Données projet'!$B$18,'Paramètres'!$A$1:$I$88,7,0))</f>
        <v>0</v>
      </c>
      <c r="HF53" s="155">
        <f>IF(ISNA(VLOOKUP(A53,'Données projet'!$A$269:$I$289,7,0)),0%,VLOOKUP(A53,'Données projet'!$A$269:$I$289,7,0))</f>
        <v>0</v>
      </c>
      <c r="HG53" s="162" t="str">
        <f>EXP(-LN(2)/35)*HG52+(1-EXP(-LN(2)/35))/(LN(2)/35)*HC53*HD53*VLOOKUP('Données projet'!$B$18,'Paramètres'!$A$1:$I$88,3,0)*0.475*44/12</f>
        <v>#N/A</v>
      </c>
      <c r="HH53" s="162" t="str">
        <f>EXP(-LN(2)/25)*HH52+(1-EXP(-LN(2)/25))/(LN(2)/25)*Calculateur!HC53*Calculateur!HE53*VLOOKUP('Données projet'!$B$18,'Paramètres'!$A$1:$I$88,3,0)*0.475*44/12</f>
        <v>#N/A</v>
      </c>
      <c r="HI53" s="162" t="str">
        <f>EXP(-LN(2)/2)*HI52+(1-EXP(-LN(2)/2))/(LN(2)/2)*HC53*HF53*VLOOKUP('Données projet'!$B$18,'Paramètres'!$A$1:$I$88,3,0)*0.475*44/12</f>
        <v>#N/A</v>
      </c>
      <c r="HJ53" s="163" t="str">
        <f t="shared" si="31"/>
        <v>#N/A</v>
      </c>
    </row>
    <row r="54" ht="15.75" customHeight="1">
      <c r="A54" s="145">
        <f t="shared" si="32"/>
        <v>51</v>
      </c>
      <c r="B54" s="146">
        <f>'Scénario référence'!$B$16*5+'Scénario référence'!$B$17*0+'Scénario référence'!$B$18*5</f>
        <v>0</v>
      </c>
      <c r="C54" s="160">
        <f>Calculateur!C53+'Scénario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54" s="147">
        <f t="shared" si="33"/>
        <v>0</v>
      </c>
      <c r="E54" s="147">
        <f>'Scénario référence'!$B$16*45+('Scénario référence'!$B$17+'Scénario référence'!$F$8+'Scénario référence'!$F$9+'Scénario référence'!$B$10+'Scénario référence'!$B$9)*70+'Scénario référence'!$B$18*32</f>
        <v>70</v>
      </c>
      <c r="F54" s="147">
        <f>IF(OR('Scénario référence'!$F$8&gt;0,'Scénario référence'!$F$9&gt;0),('Scénario référence'!$F$8+'Scénario référence'!$F$9)*10,0)</f>
        <v>0</v>
      </c>
      <c r="G54" s="147">
        <f>'Scénario référence'!$B$8*B54*44/12+'Scénario référence'!$B$9*(C54+D54)/0.475*44/12+'Scénario référence'!$B$10*(C54+D54)/0.475*44/12+'Scénario référence'!$F$8*(C54+D54)/0.475*44/12+'Scénario référence'!$F$9*(C54+D54)/0.475*44/12</f>
        <v>0</v>
      </c>
      <c r="H54" s="148">
        <f t="shared" si="1"/>
        <v>256.6666667</v>
      </c>
      <c r="I54" s="149">
        <f>('Scénario référence'!$F$8+'Scénario référence'!$F$9+'Scénario référence'!$B$17+'Scénario référence'!$B$9+'Scénario référence'!$B$10)*70+IF((45+25*(1-EXP(-0.0175*A54)))&lt;70,'Scénario référence'!$B$16*(45+25*(1-EXP(-0.0175*A54))),70*'Scénario référence'!$B$16)+IF((32+38*(1-EXP(-0.0175*A54)))&lt;70,'Scénario référence'!$B$18*(32+38*(1-EXP(-0.0175*A54))),70*'Scénario référence'!$B$18)</f>
        <v>70</v>
      </c>
      <c r="J54" s="150">
        <f>IF(A54&gt;30,10,('Scénario référence'!$B$16+'Scénario référence'!$B$17+'Scénario référence'!$B$18+'Scénario référence'!$B$9+'Scénario référence'!$B$10)*A54*10/30+('Scénario référence'!$F$8+'Scénario référence'!$F$9)*10)</f>
        <v>10</v>
      </c>
      <c r="K54" s="151" t="str">
        <f>VLOOKUP(A54,'Données projet'!$A$35:$I$55,2,0)</f>
        <v>#N/A</v>
      </c>
      <c r="L54" s="151" t="str">
        <f>VLOOKUP(A54,'Données projet'!$A$35:$I$55,9,0)</f>
        <v>#N/A</v>
      </c>
      <c r="M54" s="150">
        <f t="array" ref="M54">INDEX(L:L,MIN(IF(ISNUMBER(L54:L250),ROW(L54:L250),"")))</f>
        <v>10.2</v>
      </c>
      <c r="N54" s="150">
        <f>IF('Données projet'!$A$36&gt;35,N53+M54-V53,IF(A54&lt;'Données projet'!$A$36,$K$205^A54,IF(A54='Données projet'!$A$36,'Données projet'!$B$36,N53+M54-V53)))</f>
        <v>213.2</v>
      </c>
      <c r="O54" s="150">
        <f>N54*VLOOKUP('Données projet'!$B$9,'Paramètres'!$A$1:$I$88,3,0)*VLOOKUP('Données projet'!$B$9,'Paramètres'!$A$1:$I$88,5,0)</f>
        <v>192.90336</v>
      </c>
      <c r="P54" s="150">
        <f t="shared" si="34"/>
        <v>48.18127688</v>
      </c>
      <c r="Q54" s="161">
        <f t="shared" si="2"/>
        <v>419.8890759</v>
      </c>
      <c r="R54" s="153">
        <f t="shared" si="3"/>
        <v>713.2224092</v>
      </c>
      <c r="S54" s="153">
        <f>AVERAGE(OFFSET($R$3,0,0,'Données projet'!$E$9+1,1))-AVERAGE(OFFSET($H$3,0,0,'Données projet'!$E$9+1,1))</f>
        <v>439.1985427</v>
      </c>
      <c r="T54" s="153">
        <f t="shared" si="35"/>
        <v>278.2174123</v>
      </c>
      <c r="U54" s="154">
        <f>IF(ISNA(VLOOKUP(A54,'Données projet'!$A$35:$I$55,3,0)),0,VLOOKUP(A54,'Données projet'!$A$35:$I$55,3,0))</f>
        <v>0</v>
      </c>
      <c r="V54" s="154">
        <f>IF(ISNA(VLOOKUP(A54,'Données projet'!$A$35:$I$55,4,0)),0,VLOOKUP(A54,'Données projet'!$A$35:$I$55,4,0))</f>
        <v>0</v>
      </c>
      <c r="W54" s="155">
        <f>IF(ISNA(VLOOKUP(A54,'Données projet'!$A$35:$I$55,5,0)),0%,VLOOKUP(A54,'Données projet'!$A$35:$I$55,5,0)*VLOOKUP('Données projet'!$B$9,'Paramètres'!$A$1:$I$88,7,0))</f>
        <v>0</v>
      </c>
      <c r="X54" s="155">
        <f>IF(ISNA(VLOOKUP(A54,'Données projet'!$A$35:$I$55,6,0)),0%,VLOOKUP(A54,'Données projet'!$A$35:$I$55,6,0)*VLOOKUP('Données projet'!$B$9,'Paramètres'!$A$1:$I$88,7,0))</f>
        <v>0</v>
      </c>
      <c r="Y54" s="155">
        <f>IF(ISNA(VLOOKUP(A54,'Données projet'!$A$35:$I$55,7,0)),0%,VLOOKUP(A54,'Données projet'!$A$35:$I$55,7,0))</f>
        <v>0</v>
      </c>
      <c r="Z54" s="162">
        <f>EXP(-LN(2)/35)*Z53+(1-EXP(-LN(2)/35))/(LN(2)/35)*V54*W54*VLOOKUP('Données projet'!$B$9,'Paramètres'!$A$1:$I$88,3,0)*0.475*44/12</f>
        <v>0</v>
      </c>
      <c r="AA54" s="162">
        <f>EXP(-LN(2)/25)*AA53+(1-EXP(-LN(2)/25))/(LN(2)/25)*Calculateur!V54*Calculateur!X54*VLOOKUP('Données projet'!$B$9,'Paramètres'!$A$1:$I$88,3,0)*0.475*44/12</f>
        <v>2.506958141</v>
      </c>
      <c r="AB54" s="162">
        <f>EXP(-LN(2)/2)*AB53+(1-EXP(-LN(2)/2))/(LN(2)/2)*V54*Y54*VLOOKUP('Données projet'!$B$9,'Paramètres'!$A$1:$I$88,3,0)*0.475*44/12</f>
        <v>0</v>
      </c>
      <c r="AC54" s="163">
        <f t="shared" si="4"/>
        <v>2.506958141</v>
      </c>
      <c r="AD54" s="150">
        <f>('Scénario référence'!$F$8+'Scénario référence'!$F$9+'Scénario référence'!$B$17+'Scénario référence'!$B$9+'Scénario référence'!$B$10)*70+IF((45+25*(1-EXP(-0.0175*A54)))&lt;70,'Scénario référence'!$B$16*(45+25*(1-EXP(-0.0175*A54))),70*'Scénario référence'!$B$16)+IF((32+38*(1-EXP(-0.0175*A54)))&lt;70,'Scénario référence'!$B$18*(32+38*(1-EXP(-0.0175*A54))),70*'Scénario référence'!$B$18)</f>
        <v>70</v>
      </c>
      <c r="AE54" s="150">
        <f>IF(A54&gt;30,10,('Scénario référence'!$B$16+'Scénario référence'!$B$17+'Scénario référence'!$B$18+'Scénario référence'!$B$9+'Scénario référence'!$B$10)*A54*10/30+('Scénario référence'!$F$8+'Scénario référence'!$F$9)*10)</f>
        <v>10</v>
      </c>
      <c r="AF54" s="151" t="str">
        <f>VLOOKUP(A54,'Données projet'!$A$61:$I$81,2,0)</f>
        <v>#N/A</v>
      </c>
      <c r="AG54" s="151" t="str">
        <f>VLOOKUP(A54,'Données projet'!$A$61:$I$81,9,0)</f>
        <v>#N/A</v>
      </c>
      <c r="AH54" s="150">
        <f t="array" ref="AH54">INDEX(AG:AG,MIN(IF(ISNUMBER(AG54:AG250),ROW(AG54:AG250),"")))</f>
        <v>8.4</v>
      </c>
      <c r="AI54" s="150">
        <f>IF('Données projet'!$A$62&gt;35,AI53+AH54-AQ53,IF(A54&lt;'Données projet'!$A$62,$AF$205^A54,IF(A54='Données projet'!$A$62,'Données projet'!$B$62,AI53+AH54-AQ53)))</f>
        <v>290.4</v>
      </c>
      <c r="AJ54" s="150">
        <f>AI54*VLOOKUP('Données projet'!$B$10,'Paramètres'!$A$1:$I$88,3,0)*VLOOKUP('Données projet'!$B$10,'Paramètres'!$A$1:$I$88,5,0)</f>
        <v>231.04224</v>
      </c>
      <c r="AK54" s="150">
        <f t="shared" si="36"/>
        <v>56.50797885</v>
      </c>
      <c r="AL54" s="161">
        <f t="shared" si="5"/>
        <v>500.8166312</v>
      </c>
      <c r="AM54" s="153">
        <f t="shared" si="6"/>
        <v>794.1499645</v>
      </c>
      <c r="AN54" s="153">
        <f>AVERAGE(OFFSET($AM$3,0,0,'Données projet'!$E$10+1,1))-AVERAGE(OFFSET($H$3,0,0,'Données projet'!$E$10+1,1))</f>
        <v>405.6113614</v>
      </c>
      <c r="AO54" s="153">
        <f t="shared" si="37"/>
        <v>393.0787141</v>
      </c>
      <c r="AP54" s="154">
        <f>IF(ISNA(VLOOKUP(A54,'Données projet'!$A$61:$I$81,3,0)),0,VLOOKUP(A54,'Données projet'!$A$61:$I$81,3,0))</f>
        <v>0</v>
      </c>
      <c r="AQ54" s="154">
        <f>IF(ISNA(VLOOKUP(A54,'Données projet'!$A$61:$I$81,4,0)),0,VLOOKUP(A54,'Données projet'!$A$61:$I$81,4,0))</f>
        <v>0</v>
      </c>
      <c r="AR54" s="155">
        <f>IF(ISNA(VLOOKUP(A54,'Données projet'!$A$61:$I$81,5,0)),0%,VLOOKUP(A54,'Données projet'!$A$61:$I$81,5,0)*VLOOKUP('Données projet'!$B$10,'Paramètres'!$A$1:$I$88,7,0))</f>
        <v>0</v>
      </c>
      <c r="AS54" s="155">
        <f>IF(ISNA(VLOOKUP(A54,'Données projet'!$A$61:$I$81,6,0)),0%,VLOOKUP(A54,'Données projet'!$A$61:$I$81,6,0)*VLOOKUP('Données projet'!$B$10,'Paramètres'!$A$1:$I$88,7,0))</f>
        <v>0</v>
      </c>
      <c r="AT54" s="155">
        <f>IF(ISNA(VLOOKUP(A54,'Données projet'!$A$61:$I$81,7,0)),0%,VLOOKUP(A54,'Données projet'!$A$61:$I$81,7,0))</f>
        <v>0</v>
      </c>
      <c r="AU54" s="162">
        <f>EXP(-LN(2)/35)*AU53+(1-EXP(-LN(2)/35))/(LN(2)/35)*AQ54*AR54*VLOOKUP('Données projet'!$B$10,'Paramètres'!$A$1:$I$88,3,0)*0.475*44/12</f>
        <v>0</v>
      </c>
      <c r="AV54" s="162">
        <f>EXP(-LN(2)/25)*AV53+(1-EXP(-LN(2)/25))/(LN(2)/25)*Calculateur!AQ54*Calculateur!AS54*VLOOKUP('Données projet'!$B$10,'Paramètres'!$A$1:$I$88,3,0)*0.475*44/12</f>
        <v>10.18891518</v>
      </c>
      <c r="AW54" s="162">
        <f>EXP(-LN(2)/2)*AW53+(1-EXP(-LN(2)/2))/(LN(2)/2)*AQ54*AT54*VLOOKUP('Données projet'!$B$10,'Paramètres'!$A$1:$I$88,3,0)*0.475*44/12</f>
        <v>0.0004003109673</v>
      </c>
      <c r="AX54" s="162">
        <f t="shared" si="7"/>
        <v>10.18931549</v>
      </c>
      <c r="AY54" s="157">
        <f>('Scénario référence'!$F$8+'Scénario référence'!$F$9+'Scénario référence'!$B$17+'Scénario référence'!$B$9+'Scénario référence'!$B$10)*70+IF((45+25*(1-EXP(-0.0175*A54)))&lt;70,'Scénario référence'!$B$16*(45+25*(1-EXP(-0.0175*A54))),70*'Scénario référence'!$B$16)+IF((32+38*(1-EXP(-0.0175*A54)))&lt;70,'Scénario référence'!$B$18*(32+38*(1-EXP(-0.0175*A54))),70*'Scénario référence'!$B$18)</f>
        <v>70</v>
      </c>
      <c r="AZ54" s="151">
        <f>IF(A54&gt;30,10,('Scénario référence'!$B$16+'Scénario référence'!$B$17+'Scénario référence'!$B$18+'Scénario référence'!$B$9+'Scénario référence'!$B$10)*A54*10/30+('Scénario référence'!$F$8+'Scénario référence'!$F$9)*10)</f>
        <v>10</v>
      </c>
      <c r="BA54" s="151" t="str">
        <f>VLOOKUP(A54,'Données projet'!$A$87:$I$107,2,0)</f>
        <v>#N/A</v>
      </c>
      <c r="BB54" s="151" t="str">
        <f>VLOOKUP(A54,'Données projet'!$A$87:$I$107,9,0)</f>
        <v>#N/A</v>
      </c>
      <c r="BC54" s="150" t="str">
        <f t="array" ref="BC54">INDEX(BB:BB,MIN(IF(ISNUMBER(BB54:BB250),ROW(BB54:BB250),"")))</f>
        <v/>
      </c>
      <c r="BD54" s="150">
        <f>IF('Données projet'!$A$88&gt;35,BD53+BC54-BL53,IF(A54&lt;'Données projet'!$A$88,$BA$205^A54,IF(A54='Données projet'!$A$88,'Données projet'!$B$88,BD53+BC54-BL53)))</f>
        <v>0</v>
      </c>
      <c r="BE54" s="150">
        <f>BD54*VLOOKUP('Données projet'!$B$11,'Paramètres'!$A$1:$I$88,3,0)*VLOOKUP('Données projet'!$B$11,'Paramètres'!$A$1:$I$88,5,0)</f>
        <v>0</v>
      </c>
      <c r="BF54" s="150" t="str">
        <f t="shared" si="38"/>
        <v>#NUM!</v>
      </c>
      <c r="BG54" s="161" t="str">
        <f t="shared" si="8"/>
        <v>#NUM!</v>
      </c>
      <c r="BH54" s="153" t="str">
        <f t="shared" si="9"/>
        <v>#NUM!</v>
      </c>
      <c r="BI54" s="153">
        <f>AVERAGE(OFFSET($BH$3,0,0,'Données projet'!$E$11+1,1))-AVERAGE(OFFSET($H$3,0,0,'Données projet'!$E$11+1,1))</f>
        <v>0</v>
      </c>
      <c r="BJ54" s="153">
        <f t="shared" si="39"/>
        <v>0</v>
      </c>
      <c r="BK54" s="154">
        <f>IF(ISNA(VLOOKUP(A54,'Données projet'!$A$87:$I$107,3,0)),0,VLOOKUP(A54,'Données projet'!$A$87:$I$107,3,0))</f>
        <v>0</v>
      </c>
      <c r="BL54" s="154">
        <f>IF(ISNA(VLOOKUP(A54,'Données projet'!$A$87:$I$107,4,0)),0,VLOOKUP(A54,'Données projet'!$A$87:$I$107,4,0))</f>
        <v>0</v>
      </c>
      <c r="BM54" s="155">
        <f>IF(ISNA(VLOOKUP(A54,'Données projet'!$A$87:$I$107,5,0)),0%,VLOOKUP(A54,'Données projet'!$A$87:$I$107,5,0)*VLOOKUP('Données projet'!$B$11,'Paramètres'!$A$1:$I$88,7,0))</f>
        <v>0</v>
      </c>
      <c r="BN54" s="155">
        <f>IF(ISNA(VLOOKUP(A54,'Données projet'!$A$87:$I$107,6,0)),0%,VLOOKUP(A54,'Données projet'!$A$87:$I$107,6,0)*VLOOKUP('Données projet'!$B$11,'Paramètres'!$A$1:$I$88,7,0))</f>
        <v>0</v>
      </c>
      <c r="BO54" s="155">
        <f>IF(ISNA(VLOOKUP(A54,'Données projet'!$A$87:$I$107,7,0)),0%,VLOOKUP(A54,'Données projet'!$A$87:$I$107,7,0))</f>
        <v>0</v>
      </c>
      <c r="BP54" s="162">
        <f>EXP(-LN(2)/35)*BP53+(1-EXP(-LN(2)/35))/(LN(2)/35)*BL54*BM54*VLOOKUP('Données projet'!$B$11,'Paramètres'!$A$1:$I$88,3,0)*0.475*44/12</f>
        <v>0</v>
      </c>
      <c r="BQ54" s="162">
        <f>EXP(-LN(2)/25)*BQ53+(1-EXP(-LN(2)/25))/(LN(2)/25)*Calculateur!BL54*Calculateur!BN54*VLOOKUP('Données projet'!$B$11,'Paramètres'!$A$1:$I$88,3,0)*0.475*44/12</f>
        <v>0</v>
      </c>
      <c r="BR54" s="162">
        <f>EXP(-LN(2)/2)*BR53+(1-EXP(-LN(2)/2))/(LN(2)/2)*BL54*BO54*VLOOKUP('Données projet'!$B$11,'Paramètres'!$A$1:$I$88,3,0)*0.475*44/12</f>
        <v>0</v>
      </c>
      <c r="BS54" s="163">
        <f t="shared" si="10"/>
        <v>0</v>
      </c>
      <c r="BT54" s="159">
        <f>('Scénario référence'!$F$8+'Scénario référence'!$F$9+'Scénario référence'!$B$17+'Scénario référence'!$B$9+'Scénario référence'!$B$10)*70+IF((45+25*(1-EXP(-0.0175*A54)))&lt;70,'Scénario référence'!$B$16*(45+25*(1-EXP(-0.0175*A54))),70*'Scénario référence'!$B$16)+IF((32+38*(1-EXP(-0.0175*A54)))&lt;70,'Scénario référence'!$B$18*(32+38*(1-EXP(-0.0175*A54))),70*'Scénario référence'!$B$18)</f>
        <v>70</v>
      </c>
      <c r="BU54" s="151">
        <f>IF(A54&gt;30,10,('Scénario référence'!$B$16+'Scénario référence'!$B$17+'Scénario référence'!$B$18+'Scénario référence'!$B$9+'Scénario référence'!$B$10)*A54*10/30+('Scénario référence'!$F$8+'Scénario référence'!$F$9)*10)</f>
        <v>10</v>
      </c>
      <c r="BV54" s="151" t="str">
        <f>VLOOKUP(A54,'Données projet'!$A$113:$I$133,2,0)</f>
        <v>#N/A</v>
      </c>
      <c r="BW54" s="151" t="str">
        <f>VLOOKUP(A54,'Données projet'!$A$113:$I$133,9,0)</f>
        <v>#N/A</v>
      </c>
      <c r="BX54" s="150" t="str">
        <f t="array" ref="BX54">INDEX(BW:BW,MIN(IF(ISNUMBER(BW54:BW250),ROW(BW54:BW250),"")))</f>
        <v/>
      </c>
      <c r="BY54" s="150">
        <f>IF('Données projet'!$A$114&gt;35,BY53+BX54-CG53,IF(A54&lt;'Données projet'!$A$114,$BV$205^A54,IF(A54='Données projet'!$A$114,'Données projet'!$B$114,BY53+BX54-CG53)))</f>
        <v>0</v>
      </c>
      <c r="BZ54" s="150" t="str">
        <f>BY54*VLOOKUP('Données projet'!$B$12,'Paramètres'!$A$1:$I$88,3,0)*VLOOKUP('Données projet'!$B$12,'Paramètres'!$A$1:$I$88,5,0)</f>
        <v>#N/A</v>
      </c>
      <c r="CA54" s="150" t="str">
        <f t="shared" si="40"/>
        <v>#N/A</v>
      </c>
      <c r="CB54" s="161" t="str">
        <f t="shared" si="11"/>
        <v>#N/A</v>
      </c>
      <c r="CC54" s="153" t="str">
        <f t="shared" si="12"/>
        <v>#N/A</v>
      </c>
      <c r="CD54" s="153" t="str">
        <f>AVERAGE(OFFSET($CC$3,0,0,'Données projet'!$E$12+1,1))-AVERAGE(OFFSET($H$3,0,0,'Données projet'!$E$12+1,1))</f>
        <v>#N/A</v>
      </c>
      <c r="CE54" s="153" t="str">
        <f t="shared" si="41"/>
        <v>#N/A</v>
      </c>
      <c r="CF54" s="154">
        <f>IF(ISNA(VLOOKUP(A54,'Données projet'!$A$113:$I$133,3,0)),0,VLOOKUP(A54,'Données projet'!$A$113:$I$133,3,0))</f>
        <v>0</v>
      </c>
      <c r="CG54" s="154">
        <f>IF(ISNA(VLOOKUP(A54,'Données projet'!$A$113:$I$133,4,0)),0,VLOOKUP(A54,'Données projet'!$A$113:$I$133,4,0))</f>
        <v>0</v>
      </c>
      <c r="CH54" s="155">
        <f>IF(ISNA(VLOOKUP(A54,'Données projet'!$A$113:$I$133,5,0)),0%,VLOOKUP(A54,'Données projet'!$A$113:$I$133,5,0)*VLOOKUP('Données projet'!$B$12,'Paramètres'!$A$1:$I$88,7,0))</f>
        <v>0</v>
      </c>
      <c r="CI54" s="155">
        <f>IF(ISNA(VLOOKUP(A54,'Données projet'!$A$113:$I$133,6,0)),0%,VLOOKUP(A54,'Données projet'!$A$113:$I$133,6,0)*VLOOKUP('Données projet'!$B$12,'Paramètres'!$A$1:$I$88,7,0))</f>
        <v>0</v>
      </c>
      <c r="CJ54" s="155">
        <f>IF(ISNA(VLOOKUP(A54,'Données projet'!$A$113:$I$133,7,0)),0%,VLOOKUP(A54,'Données projet'!$A$113:$I$133,7,0))</f>
        <v>0</v>
      </c>
      <c r="CK54" s="162" t="str">
        <f>EXP(-LN(2)/35)*CK53+(1-EXP(-LN(2)/35))/(LN(2)/35)*CG54*CH54*VLOOKUP('Données projet'!$B$12,'Paramètres'!$A$1:$I$88,3,0)*0.475*44/12</f>
        <v>#N/A</v>
      </c>
      <c r="CL54" s="162" t="str">
        <f>EXP(-LN(2)/25)*CL53+(1-EXP(-LN(2)/25))/(LN(2)/25)*Calculateur!CG54*Calculateur!CI54*VLOOKUP('Données projet'!$B$12,'Paramètres'!$A$1:$I$88,3,0)*0.475*44/12</f>
        <v>#N/A</v>
      </c>
      <c r="CM54" s="162" t="str">
        <f>EXP(-LN(2)/2)*CM53+(1-EXP(-LN(2)/2))/(LN(2)/2)*CG54*CJ54*VLOOKUP('Données projet'!$B$12,'Paramètres'!$A$1:$I$88,3,0)*0.475*44/12</f>
        <v>#N/A</v>
      </c>
      <c r="CN54" s="163" t="str">
        <f t="shared" si="13"/>
        <v>#N/A</v>
      </c>
      <c r="CO54" s="159">
        <f>('Scénario référence'!$F$8+'Scénario référence'!$F$9+'Scénario référence'!$B$17+'Scénario référence'!$B$9+'Scénario référence'!$B$10)*70+IF((45+25*(1-EXP(-0.0175*A54)))&lt;70,'Scénario référence'!$B$16*(45+25*(1-EXP(-0.0175*A54))),70*'Scénario référence'!$B$16)+IF((32+38*(1-EXP(-0.0175*A54)))&lt;70,'Scénario référence'!$B$18*(32+38*(1-EXP(-0.0175*A54))),70*'Scénario référence'!$B$18)</f>
        <v>70</v>
      </c>
      <c r="CP54" s="151">
        <f>IF(A54&gt;30,10,('Scénario référence'!$B$16+'Scénario référence'!$B$17+'Scénario référence'!$B$18+'Scénario référence'!$B$9+'Scénario référence'!$B$10)*A54*10/30+('Scénario référence'!$F$8+'Scénario référence'!$F$9)*10)</f>
        <v>10</v>
      </c>
      <c r="CQ54" s="151" t="str">
        <f>VLOOKUP(A54,'Données projet'!$A$139:$I$159,2,0)</f>
        <v>#N/A</v>
      </c>
      <c r="CR54" s="151" t="str">
        <f>VLOOKUP(A54,'Données projet'!$A$139:$I$159,9,0)</f>
        <v>#N/A</v>
      </c>
      <c r="CS54" s="151" t="str">
        <f t="array" ref="CS54">INDEX(CR:CR,MIN(IF(ISNUMBER(CR54:CR250),ROW(CR54:CR250),"")))</f>
        <v/>
      </c>
      <c r="CT54" s="151">
        <f>IF('Données projet'!$A$140&gt;35,CT53+CS54-DB53,IF(A54&lt;'Données projet'!$A$140,$CQ$205^A54,IF(A54='Données projet'!$A$140,'Données projet'!$B$140,CT53+CS54-DB53)))</f>
        <v>0</v>
      </c>
      <c r="CU54" s="158" t="str">
        <f>CT54*VLOOKUP('Données projet'!$B$13,'Paramètres'!$A$1:$I$88,3,0)*VLOOKUP('Données projet'!$B$13,'Paramètres'!$A$1:$I$88,5,0)</f>
        <v>#N/A</v>
      </c>
      <c r="CV54" s="150" t="str">
        <f t="shared" si="42"/>
        <v>#N/A</v>
      </c>
      <c r="CW54" s="161" t="str">
        <f t="shared" si="14"/>
        <v>#N/A</v>
      </c>
      <c r="CX54" s="153" t="str">
        <f t="shared" si="15"/>
        <v>#N/A</v>
      </c>
      <c r="CY54" s="153" t="str">
        <f>AVERAGE(OFFSET($CX$3,0,0,'Données projet'!$E$13+1,1))-AVERAGE(OFFSET($H$3,0,0,'Données projet'!$E$13+1,1))</f>
        <v>#N/A</v>
      </c>
      <c r="CZ54" s="153" t="str">
        <f t="shared" si="43"/>
        <v>#N/A</v>
      </c>
      <c r="DA54" s="154">
        <f>IF(ISNA(VLOOKUP(A54,'Données projet'!$A$139:$I$159,3,0)),0,VLOOKUP(A54,'Données projet'!$A$139:$I$159,3,0))</f>
        <v>0</v>
      </c>
      <c r="DB54" s="154">
        <f>IF(ISNA(VLOOKUP(A54,'Données projet'!$A$139:$I$159,4,0)),0,VLOOKUP(A54,'Données projet'!$A$139:$I$159,4,0))</f>
        <v>0</v>
      </c>
      <c r="DC54" s="155">
        <f>IF(ISNA(VLOOKUP(A54,'Données projet'!$A$139:$I$159,5,0)),0%,VLOOKUP(A54,'Données projet'!$A$139:$I$159,5,0)*VLOOKUP('Données projet'!$B$13,'Paramètres'!$A$1:$I$88,7,0))</f>
        <v>0</v>
      </c>
      <c r="DD54" s="155">
        <f>IF(ISNA(VLOOKUP(A54,'Données projet'!$A$139:$I$159,6,0)),0%,VLOOKUP(A54,'Données projet'!$A$139:$I$159,6,0)*VLOOKUP('Données projet'!$B$13,'Paramètres'!$A$1:$I$88,7,0))</f>
        <v>0</v>
      </c>
      <c r="DE54" s="155">
        <f>IF(ISNA(VLOOKUP(A54,'Données projet'!$A$139:$I$159,7,0)),0%,VLOOKUP(A54,'Données projet'!$A$139:$I$159,7,0))</f>
        <v>0</v>
      </c>
      <c r="DF54" s="162" t="str">
        <f>EXP(-LN(2)/35)*DF53+(1-EXP(-LN(2)/35))/(LN(2)/35)*DB54*DC54*VLOOKUP('Données projet'!$B$13,'Paramètres'!$A$1:$I$88,3,0)*0.475*44/12</f>
        <v>#N/A</v>
      </c>
      <c r="DG54" s="162" t="str">
        <f>EXP(-LN(2)/25)*DG53+(1-EXP(-LN(2)/25))/(LN(2)/25)*Calculateur!DB54*Calculateur!DD54*VLOOKUP('Données projet'!$B$13,'Paramètres'!$A$1:$I$88,3,0)*0.475*44/12</f>
        <v>#N/A</v>
      </c>
      <c r="DH54" s="162" t="str">
        <f>EXP(-LN(2)/2)*DH53+(1-EXP(-LN(2)/2))/(LN(2)/2)*DB54*DE54*VLOOKUP('Données projet'!$B$13,'Paramètres'!$A$1:$I$88,3,0)*0.475*44/12</f>
        <v>#N/A</v>
      </c>
      <c r="DI54" s="163" t="str">
        <f t="shared" si="16"/>
        <v>#N/A</v>
      </c>
      <c r="DJ54" s="159">
        <f>('Scénario référence'!$F$8+'Scénario référence'!$F$9+'Scénario référence'!$B$17+'Scénario référence'!$B$9+'Scénario référence'!$B$10)*70+IF((45+25*(1-EXP(-0.0175*A54)))&lt;70,'Scénario référence'!$B$16*(45+25*(1-EXP(-0.0175*A54))),70*'Scénario référence'!$B$16)+IF((32+38*(1-EXP(-0.0175*A54)))&lt;70,'Scénario référence'!$B$18*(32+38*(1-EXP(-0.0175*A54))),70*'Scénario référence'!$B$18)</f>
        <v>70</v>
      </c>
      <c r="DK54" s="151">
        <f>IF(A54&gt;30,10,('Scénario référence'!$B$16+'Scénario référence'!$B$17+'Scénario référence'!$B$18+'Scénario référence'!$B$9+'Scénario référence'!$B$10)*A54*10/30+('Scénario référence'!$F$8+'Scénario référence'!$F$9)*10)</f>
        <v>10</v>
      </c>
      <c r="DL54" s="151" t="str">
        <f>VLOOKUP(A54,'Données projet'!$A$165:$I$185,2,0)</f>
        <v>#N/A</v>
      </c>
      <c r="DM54" s="151" t="str">
        <f>VLOOKUP(A54,'Données projet'!$A$165:$I$185,9,0)</f>
        <v>#N/A</v>
      </c>
      <c r="DN54" s="151" t="str">
        <f t="array" ref="DN54">INDEX(DM:DM,MIN(IF(ISNUMBER(DM54:DM250),ROW(DM54:DM250),"")))</f>
        <v/>
      </c>
      <c r="DO54" s="151">
        <f>IF('Données projet'!$A$166&gt;35,DO53+DN54-DW53,IF(A54&lt;'Données projet'!$A$166,$DL$205^A54,IF(A54='Données projet'!$A$166,'Données projet'!$B$166,DO53+DN54-DW53)))</f>
        <v>0</v>
      </c>
      <c r="DP54" s="158" t="str">
        <f>DO54*VLOOKUP('Données projet'!$B$14,'Paramètres'!$A$1:$I$88,3,0)*VLOOKUP('Données projet'!$B$14,'Paramètres'!$A$1:$I$88,5,0)</f>
        <v>#N/A</v>
      </c>
      <c r="DQ54" s="150" t="str">
        <f t="shared" si="44"/>
        <v>#N/A</v>
      </c>
      <c r="DR54" s="161" t="str">
        <f t="shared" si="17"/>
        <v>#N/A</v>
      </c>
      <c r="DS54" s="153" t="str">
        <f t="shared" si="18"/>
        <v>#N/A</v>
      </c>
      <c r="DT54" s="153" t="str">
        <f>AVERAGE(OFFSET($DS$3,0,0,'Données projet'!$E$14+1,1))-AVERAGE(OFFSET($H$3,0,0,'Données projet'!$E$14+1,1))</f>
        <v>#N/A</v>
      </c>
      <c r="DU54" s="153" t="str">
        <f t="shared" si="45"/>
        <v>#N/A</v>
      </c>
      <c r="DV54" s="154">
        <f>IF(ISNA(VLOOKUP(A54,'Données projet'!$A$165:$I$185,3,0)),0,VLOOKUP(A54,'Données projet'!$A$165:$I$185,3,0))</f>
        <v>0</v>
      </c>
      <c r="DW54" s="154">
        <f>IF(ISNA(VLOOKUP(A54,'Données projet'!$A$165:$I$185,4,0)),0,VLOOKUP(A54,'Données projet'!$A$165:$I$185,4,0))</f>
        <v>0</v>
      </c>
      <c r="DX54" s="155">
        <f>IF(ISNA(VLOOKUP(A54,'Données projet'!$A$165:$I$185,5,0)),0%,VLOOKUP(A54,'Données projet'!$A$165:$I$185,5,0)*VLOOKUP('Données projet'!$B$14,'Paramètres'!$A$1:$I$88,7,0))</f>
        <v>0</v>
      </c>
      <c r="DY54" s="155">
        <f>IF(ISNA(VLOOKUP(A54,'Données projet'!$A$165:$I$185,6,0)),0%,VLOOKUP(A54,'Données projet'!$A$165:$I$185,6,0)*VLOOKUP('Données projet'!$B$14,'Paramètres'!$A$1:$I$88,7,0))</f>
        <v>0</v>
      </c>
      <c r="DZ54" s="155">
        <f>IF(ISNA(VLOOKUP(A54,'Données projet'!$A$165:$I$185,7,0)),0%,VLOOKUP(A54,'Données projet'!$A$165:$I$185,7,0))</f>
        <v>0</v>
      </c>
      <c r="EA54" s="162" t="str">
        <f>EXP(-LN(2)/35)*EA53+(1-EXP(-LN(2)/35))/(LN(2)/35)*DW54*DX54*VLOOKUP('Données projet'!$B$14,'Paramètres'!$A$1:$I$88,3,0)*0.475*44/12</f>
        <v>#N/A</v>
      </c>
      <c r="EB54" s="162" t="str">
        <f>EXP(-LN(2)/25)*EB53+(1-EXP(-LN(2)/25))/(LN(2)/25)*Calculateur!DW54*Calculateur!DY54*VLOOKUP('Données projet'!$B$14,'Paramètres'!$A$1:$I$88,3,0)*0.475*44/12</f>
        <v>#N/A</v>
      </c>
      <c r="EC54" s="162" t="str">
        <f>EXP(-LN(2)/2)*EC53+(1-EXP(-LN(2)/2))/(LN(2)/2)*DW54*DZ54*VLOOKUP('Données projet'!$B$14,'Paramètres'!$A$1:$I$88,3,0)*0.475*44/12</f>
        <v>#N/A</v>
      </c>
      <c r="ED54" s="163" t="str">
        <f t="shared" si="19"/>
        <v>#N/A</v>
      </c>
      <c r="EE54" s="159">
        <f>('Scénario référence'!$F$8+'Scénario référence'!$F$9+'Scénario référence'!$B$17+'Scénario référence'!$B$9+'Scénario référence'!$B$10)*70+IF((45+25*(1-EXP(-0.0175*A54)))&lt;70,'Scénario référence'!$B$16*(45+25*(1-EXP(-0.0175*A54))),70*'Scénario référence'!$B$16)+IF((32+38*(1-EXP(-0.0175*A54)))&lt;70,'Scénario référence'!$B$18*(32+38*(1-EXP(-0.0175*A54))),70*'Scénario référence'!$B$18)</f>
        <v>70</v>
      </c>
      <c r="EF54" s="151">
        <f>IF(A54&gt;30,10,('Scénario référence'!$B$16+'Scénario référence'!$B$17+'Scénario référence'!$B$18+'Scénario référence'!$B$9+'Scénario référence'!$B$10)*A54*10/30+('Scénario référence'!$F$8+'Scénario référence'!$F$9)*10)</f>
        <v>10</v>
      </c>
      <c r="EG54" s="151" t="str">
        <f>VLOOKUP(A54,'Données projet'!$A$191:$I$211,2,0)</f>
        <v>#N/A</v>
      </c>
      <c r="EH54" s="151" t="str">
        <f>VLOOKUP(A54,'Données projet'!$A$191:$I$211,9,0)</f>
        <v>#N/A</v>
      </c>
      <c r="EI54" s="151" t="str">
        <f t="array" ref="EI54">INDEX(EH:EH,MIN(IF(ISNUMBER(EH54:EH250),ROW(EH54:EH250),"")))</f>
        <v/>
      </c>
      <c r="EJ54" s="151">
        <f>IF('Données projet'!$A$192&gt;35,EJ53+EI54-ER53,IF(A54&lt;'Données projet'!$A$192,$EG$205^A54,IF(A54='Données projet'!$A$192,'Données projet'!$B$192,EJ53+EI54-ER53)))</f>
        <v>0</v>
      </c>
      <c r="EK54" s="158" t="str">
        <f>EJ54*VLOOKUP('Données projet'!$B$15,'Paramètres'!$A$1:$I$88,3,0)*VLOOKUP('Données projet'!$B$15,'Paramètres'!$A$1:$I$88,5,0)</f>
        <v>#N/A</v>
      </c>
      <c r="EL54" s="150" t="str">
        <f t="shared" si="46"/>
        <v>#N/A</v>
      </c>
      <c r="EM54" s="161" t="str">
        <f t="shared" si="20"/>
        <v>#N/A</v>
      </c>
      <c r="EN54" s="153" t="str">
        <f t="shared" si="21"/>
        <v>#N/A</v>
      </c>
      <c r="EO54" s="153" t="str">
        <f>AVERAGE(OFFSET($EN$3,0,0,'Données projet'!$E$15+1,1))-AVERAGE(OFFSET($H$3,0,0,'Données projet'!$E$15+1,1))</f>
        <v>#N/A</v>
      </c>
      <c r="EP54" s="153" t="str">
        <f t="shared" si="47"/>
        <v>#N/A</v>
      </c>
      <c r="EQ54" s="154">
        <f>IF(ISNA(VLOOKUP(A54,'Données projet'!$A$191:$I$211,3,0)),0,VLOOKUP(A54,'Données projet'!$A$191:$I$211,3,0))</f>
        <v>0</v>
      </c>
      <c r="ER54" s="154">
        <f>IF(ISNA(VLOOKUP(A54,'Données projet'!$A$191:$I$211,4,0)),0,VLOOKUP(A54,'Données projet'!$A$191:$I$211,4,0))</f>
        <v>0</v>
      </c>
      <c r="ES54" s="155">
        <f>IF(ISNA(VLOOKUP(A54,'Données projet'!$A$191:$I$211,5,0)),0%,VLOOKUP(A54,'Données projet'!$A$191:$I$211,5,0)*VLOOKUP('Données projet'!$B$15,'Paramètres'!$A$1:$I$88,7,0))</f>
        <v>0</v>
      </c>
      <c r="ET54" s="155">
        <f>IF(ISNA(VLOOKUP(A54,'Données projet'!$A$191:$I$211,6,0)),0%,VLOOKUP(A54,'Données projet'!$A$191:$I$211,6,0)*VLOOKUP('Données projet'!$B$15,'Paramètres'!$A$1:$I$88,7,0))</f>
        <v>0</v>
      </c>
      <c r="EU54" s="155">
        <f>IF(ISNA(VLOOKUP(A54,'Données projet'!$A$191:$I$211,7,0)),0%,VLOOKUP(A54,'Données projet'!$A$191:$I$211,7,0))</f>
        <v>0</v>
      </c>
      <c r="EV54" s="162" t="str">
        <f>EXP(-LN(2)/35)*EV53+(1-EXP(-LN(2)/35))/(LN(2)/35)*ER54*ES54*VLOOKUP('Données projet'!$B$15,'Paramètres'!$A$1:$I$88,3,0)*0.475*44/12</f>
        <v>#N/A</v>
      </c>
      <c r="EW54" s="162" t="str">
        <f>EXP(-LN(2)/25)*EW53+(1-EXP(-LN(2)/25))/(LN(2)/25)*Calculateur!ER54*Calculateur!ET54*VLOOKUP('Données projet'!$B$15,'Paramètres'!$A$1:$I$88,3,0)*0.475*44/12</f>
        <v>#N/A</v>
      </c>
      <c r="EX54" s="162" t="str">
        <f>EXP(-LN(2)/2)*EX53+(1-EXP(-LN(2)/2))/(LN(2)/2)*ER54*EU54*VLOOKUP('Données projet'!$B$15,'Paramètres'!$A$1:$I$88,3,0)*0.475*44/12</f>
        <v>#N/A</v>
      </c>
      <c r="EY54" s="163" t="str">
        <f t="shared" si="22"/>
        <v>#N/A</v>
      </c>
      <c r="EZ54" s="159">
        <f>('Scénario référence'!$F$8+'Scénario référence'!$F$9+'Scénario référence'!$B$17+'Scénario référence'!$B$9+'Scénario référence'!$B$10)*70+IF((45+25*(1-EXP(-0.0175*A54)))&lt;70,'Scénario référence'!$B$16*(45+25*(1-EXP(-0.0175*A54))),70*'Scénario référence'!$B$16)+IF((32+38*(1-EXP(-0.0175*A54)))&lt;70,'Scénario référence'!$B$18*(32+38*(1-EXP(-0.0175*A54))),70*'Scénario référence'!$B$18)</f>
        <v>70</v>
      </c>
      <c r="FA54" s="151">
        <f>IF(A54&gt;30,10,('Scénario référence'!$B$16+'Scénario référence'!$B$17+'Scénario référence'!$B$18+'Scénario référence'!$B$9+'Scénario référence'!$B$10)*A54*10/30+('Scénario référence'!$F$8+'Scénario référence'!$F$9)*10)</f>
        <v>10</v>
      </c>
      <c r="FB54" s="151" t="str">
        <f>VLOOKUP(A54,'Données projet'!$A$217:$I$237,2,0)</f>
        <v>#N/A</v>
      </c>
      <c r="FC54" s="151" t="str">
        <f>VLOOKUP(A54,'Données projet'!$A$217:$I$237,9,0)</f>
        <v>#N/A</v>
      </c>
      <c r="FD54" s="151" t="str">
        <f t="array" ref="FD54">INDEX(FC:FC,MIN(IF(ISNUMBER(FC54:FC250),ROW(FC54:FC250),"")))</f>
        <v/>
      </c>
      <c r="FE54" s="151">
        <f>IF('Données projet'!$A$218&gt;35,FE53+FD54-FM53,IF(A54&lt;'Données projet'!$A$218,$FB$205^A54,IF(A54='Données projet'!$A$218,'Données projet'!$B$218,FE53+FD54-FM53)))</f>
        <v>0</v>
      </c>
      <c r="FF54" s="158" t="str">
        <f>FE54*VLOOKUP('Données projet'!$B$16,'Paramètres'!$A$1:$I$88,3,0)*VLOOKUP('Données projet'!$B$16,'Paramètres'!$A$1:$I$88,5,0)</f>
        <v>#N/A</v>
      </c>
      <c r="FG54" s="150" t="str">
        <f t="shared" si="48"/>
        <v>#N/A</v>
      </c>
      <c r="FH54" s="161" t="str">
        <f t="shared" si="23"/>
        <v>#N/A</v>
      </c>
      <c r="FI54" s="153" t="str">
        <f t="shared" si="24"/>
        <v>#N/A</v>
      </c>
      <c r="FJ54" s="153" t="str">
        <f>AVERAGE(OFFSET($FI$3,0,0,'Données projet'!$E$16+1,1))-AVERAGE(OFFSET($H$3,0,0,'Données projet'!$E$16+1,1))</f>
        <v>#N/A</v>
      </c>
      <c r="FK54" s="153" t="str">
        <f t="shared" si="49"/>
        <v>#N/A</v>
      </c>
      <c r="FL54" s="154">
        <f>IF(ISNA(VLOOKUP(A54,'Données projet'!$A$217:$I$237,3,0)),0,VLOOKUP(A54,'Données projet'!$A$217:$I$237,3,0))</f>
        <v>0</v>
      </c>
      <c r="FM54" s="154">
        <f>IF(ISNA(VLOOKUP(A54,'Données projet'!$A$217:$I$237,4,0)),0,VLOOKUP(A54,'Données projet'!$A$217:$I$237,4,0))</f>
        <v>0</v>
      </c>
      <c r="FN54" s="155">
        <f>IF(ISNA(VLOOKUP(A54,'Données projet'!$A$217:$I$237,5,0)),0%,VLOOKUP(A54,'Données projet'!$A$217:$I$237,5,0)*VLOOKUP('Données projet'!$B$16,'Paramètres'!$A$1:$I$88,7,0))</f>
        <v>0</v>
      </c>
      <c r="FO54" s="155">
        <f>IF(ISNA(VLOOKUP(A54,'Données projet'!$A$217:$I$237,6,0)),0%,VLOOKUP(A54,'Données projet'!$A$217:$I$237,6,0)*VLOOKUP('Données projet'!$B$16,'Paramètres'!$A$1:$I$88,7,0))</f>
        <v>0</v>
      </c>
      <c r="FP54" s="155">
        <f>IF(ISNA(VLOOKUP(A54,'Données projet'!$A$217:$I$237,7,0)),0%,VLOOKUP(A54,'Données projet'!$A$217:$I$237,7,0))</f>
        <v>0</v>
      </c>
      <c r="FQ54" s="162" t="str">
        <f>EXP(-LN(2)/35)*FQ53+(1-EXP(-LN(2)/35))/(LN(2)/35)*FM54*FN54*VLOOKUP('Données projet'!$B$16,'Paramètres'!$A$1:$I$88,3,0)*0.475*44/12</f>
        <v>#N/A</v>
      </c>
      <c r="FR54" s="162" t="str">
        <f>EXP(-LN(2)/25)*FR53+(1-EXP(-LN(2)/25))/(LN(2)/25)*Calculateur!FM54*Calculateur!FO54*VLOOKUP('Données projet'!$B$16,'Paramètres'!$A$1:$I$88,3,0)*0.475*44/12</f>
        <v>#N/A</v>
      </c>
      <c r="FS54" s="162" t="str">
        <f>EXP(-LN(2)/2)*FS53+(1-EXP(-LN(2)/2))/(LN(2)/2)*FM54*FP54*VLOOKUP('Données projet'!$B$16,'Paramètres'!$A$1:$I$88,3,0)*0.475*44/12</f>
        <v>#N/A</v>
      </c>
      <c r="FT54" s="163" t="str">
        <f t="shared" si="25"/>
        <v>#N/A</v>
      </c>
      <c r="FU54" s="159">
        <f>('Scénario référence'!$F$8+'Scénario référence'!$F$9+'Scénario référence'!$B$17+'Scénario référence'!$B$9+'Scénario référence'!$B$10)*70+IF((45+25*(1-EXP(-0.0175*A54)))&lt;70,'Scénario référence'!$B$16*(45+25*(1-EXP(-0.0175*A54))),70*'Scénario référence'!$B$16)+IF((32+38*(1-EXP(-0.0175*A54)))&lt;70,'Scénario référence'!$B$18*(32+38*(1-EXP(-0.0175*A54))),70*'Scénario référence'!$B$18)</f>
        <v>70</v>
      </c>
      <c r="FV54" s="151">
        <f>IF(A54&gt;30,10,('Scénario référence'!$B$16+'Scénario référence'!$B$17+'Scénario référence'!$B$18+'Scénario référence'!$B$9+'Scénario référence'!$B$10)*A54*10/30+('Scénario référence'!$F$8+'Scénario référence'!$F$9)*10)</f>
        <v>10</v>
      </c>
      <c r="FW54" s="151" t="str">
        <f>VLOOKUP(A54,'Données projet'!$A$243:$I$263,2,0)</f>
        <v>#N/A</v>
      </c>
      <c r="FX54" s="151" t="str">
        <f>VLOOKUP(A54,'Données projet'!$A$243:$I$263,9,0)</f>
        <v>#N/A</v>
      </c>
      <c r="FY54" s="151" t="str">
        <f t="array" ref="FY54">INDEX(FX:FX,MIN(IF(ISNUMBER(FX54:FX250),ROW(FX54:FX250),"")))</f>
        <v/>
      </c>
      <c r="FZ54" s="151">
        <f>IF('Données projet'!$A$244&gt;35,FZ53+FY54-GH53,IF(A54&lt;'Données projet'!$A$244,$FW$205^A54,IF(A54='Données projet'!$A$244,'Données projet'!$B$244,FZ53+FY54-GH53)))</f>
        <v>0</v>
      </c>
      <c r="GA54" s="158" t="str">
        <f>FZ54*VLOOKUP('Données projet'!$B$17,'Paramètres'!$A$1:$I$88,3,0)*VLOOKUP('Données projet'!$B$17,'Paramètres'!$A$1:$I$88,5,0)</f>
        <v>#N/A</v>
      </c>
      <c r="GB54" s="150" t="str">
        <f t="shared" si="50"/>
        <v>#N/A</v>
      </c>
      <c r="GC54" s="161" t="str">
        <f t="shared" si="26"/>
        <v>#N/A</v>
      </c>
      <c r="GD54" s="153" t="str">
        <f t="shared" si="27"/>
        <v>#N/A</v>
      </c>
      <c r="GE54" s="153" t="str">
        <f>AVERAGE(OFFSET($GD$3,0,0,'Données projet'!$E$17+1,1))-AVERAGE(OFFSET($H$3,0,0,'Données projet'!$E$17+1,1))</f>
        <v>#N/A</v>
      </c>
      <c r="GF54" s="153" t="str">
        <f t="shared" si="51"/>
        <v>#N/A</v>
      </c>
      <c r="GG54" s="154">
        <f>IF(ISNA(VLOOKUP(A54,'Données projet'!$A$243:$I$263,3,0)),0,VLOOKUP(A54,'Données projet'!$A$243:$I$263,3,0))</f>
        <v>0</v>
      </c>
      <c r="GH54" s="154">
        <f>IF(ISNA(VLOOKUP(A54,'Données projet'!$A$243:$I$263,4,0)),0,VLOOKUP(A54,'Données projet'!$A$243:$I$263,4,0))</f>
        <v>0</v>
      </c>
      <c r="GI54" s="155">
        <f>IF(ISNA(VLOOKUP(A54,'Données projet'!$A$243:$I$263,5,0)),0%,VLOOKUP(A54,'Données projet'!$A$243:$I$263,5,0)*VLOOKUP('Données projet'!$B$17,'Paramètres'!$A$1:$I$88,7,0))</f>
        <v>0</v>
      </c>
      <c r="GJ54" s="155">
        <f>IF(ISNA(VLOOKUP(A54,'Données projet'!$A$243:$I$263,6,0)),0%,VLOOKUP(A54,'Données projet'!$A$243:$I$263,6,0)*VLOOKUP('Données projet'!$B$17,'Paramètres'!$A$1:$I$88,7,0))</f>
        <v>0</v>
      </c>
      <c r="GK54" s="155">
        <f>IF(ISNA(VLOOKUP(A54,'Données projet'!$A$243:$I$263,7,0)),0%,VLOOKUP(A54,'Données projet'!$A$243:$I$263,7,0))</f>
        <v>0</v>
      </c>
      <c r="GL54" s="162" t="str">
        <f>EXP(-LN(2)/35)*GL53+(1-EXP(-LN(2)/35))/(LN(2)/35)*GH54*GI54*VLOOKUP('Données projet'!$B$17,'Paramètres'!$A$1:$I$88,3,0)*0.475*44/12</f>
        <v>#N/A</v>
      </c>
      <c r="GM54" s="162" t="str">
        <f>EXP(-LN(2)/25)*GM53+(1-EXP(-LN(2)/25))/(LN(2)/25)*Calculateur!GH54*Calculateur!GJ54*VLOOKUP('Données projet'!$B$17,'Paramètres'!$A$1:$I$88,3,0)*0.475*44/12</f>
        <v>#N/A</v>
      </c>
      <c r="GN54" s="162" t="str">
        <f>EXP(-LN(2)/2)*GN53+(1-EXP(-LN(2)/2))/(LN(2)/2)*GH54*GK54*VLOOKUP('Données projet'!$B$17,'Paramètres'!$A$1:$I$88,3,0)*0.475*44/12</f>
        <v>#N/A</v>
      </c>
      <c r="GO54" s="162" t="str">
        <f t="shared" si="28"/>
        <v>#N/A</v>
      </c>
      <c r="GP54" s="159">
        <f>('Scénario référence'!$F$8+'Scénario référence'!$F$9+'Scénario référence'!$B$17+'Scénario référence'!$B$9+'Scénario référence'!$B$10)*70+IF((45+25*(1-EXP(-0.0175*A54)))&lt;70,'Scénario référence'!$B$16*(45+25*(1-EXP(-0.0175*A54))),70*'Scénario référence'!$B$16)+IF((32+38*(1-EXP(-0.0175*A54)))&lt;70,'Scénario référence'!$B$18*(32+38*(1-EXP(-0.0175*A54))),70*'Scénario référence'!$B$18)</f>
        <v>70</v>
      </c>
      <c r="GQ54" s="151">
        <f>IF(A54&gt;30,10,('Scénario référence'!$B$16+'Scénario référence'!$B$17+'Scénario référence'!$B$18+'Scénario référence'!$B$9+'Scénario référence'!$B$10)*A54*10/30+('Scénario référence'!$F$8+'Scénario référence'!$F$9)*10)</f>
        <v>10</v>
      </c>
      <c r="GR54" s="151" t="str">
        <f>VLOOKUP(A54,'Données projet'!$A$269:$I$289,2,0)</f>
        <v>#N/A</v>
      </c>
      <c r="GS54" s="151" t="str">
        <f>VLOOKUP(A54,'Données projet'!$A$269:$I$289,9,0)</f>
        <v>#N/A</v>
      </c>
      <c r="GT54" s="151" t="str">
        <f t="array" ref="GT54">INDEX(GS:GS,MIN(IF(ISNUMBER(GS54:GS250),ROW(GS54:GS250),"")))</f>
        <v/>
      </c>
      <c r="GU54" s="151">
        <f>IF('Données projet'!$A$270&gt;35,GU53+GT54-HC53,IF(A54&lt;'Données projet'!$A$270,$GR$205^A54,IF(A54='Données projet'!$A$270,'Données projet'!$B$270,GU53+GT54-HC53)))</f>
        <v>0</v>
      </c>
      <c r="GV54" s="158" t="str">
        <f>GU54*VLOOKUP('Données projet'!$B$18,'Paramètres'!$A$1:$I$88,3,0)*VLOOKUP('Données projet'!$B$18,'Paramètres'!$A$1:$I$88,5,0)</f>
        <v>#N/A</v>
      </c>
      <c r="GW54" s="150" t="str">
        <f t="shared" si="52"/>
        <v>#N/A</v>
      </c>
      <c r="GX54" s="161" t="str">
        <f t="shared" si="29"/>
        <v>#N/A</v>
      </c>
      <c r="GY54" s="153" t="str">
        <f t="shared" si="30"/>
        <v>#N/A</v>
      </c>
      <c r="GZ54" s="153" t="str">
        <f>AVERAGE(OFFSET($GY$3,0,0,'Données projet'!$E$18+1,1))-AVERAGE(OFFSET($H$3,0,0,'Données projet'!$E$18+1,1))</f>
        <v>#N/A</v>
      </c>
      <c r="HA54" s="153" t="str">
        <f t="shared" si="53"/>
        <v>#N/A</v>
      </c>
      <c r="HB54" s="154">
        <f>IF(ISNA(VLOOKUP(A54,'Données projet'!$A$269:$I$289,3,0)),0,VLOOKUP(A54,'Données projet'!$A$269:$I$289,3,0))</f>
        <v>0</v>
      </c>
      <c r="HC54" s="154">
        <f>IF(ISNA(VLOOKUP(A54,'Données projet'!$A$269:$I$289,4,0)),0,VLOOKUP(A54,'Données projet'!$A$269:$I$289,4,0))</f>
        <v>0</v>
      </c>
      <c r="HD54" s="155">
        <f>IF(ISNA(VLOOKUP(A54,'Données projet'!$A$269:$I$289,5,0)),0%,VLOOKUP(A54,'Données projet'!$A$269:$I$289,5,0)*VLOOKUP('Données projet'!$B$18,'Paramètres'!$A$1:$I$88,7,0))</f>
        <v>0</v>
      </c>
      <c r="HE54" s="155">
        <f>IF(ISNA(VLOOKUP(A54,'Données projet'!$A$269:$I$289,6,0)),0%,VLOOKUP(A54,'Données projet'!$A$269:$I$289,6,0)*VLOOKUP('Données projet'!$B$18,'Paramètres'!$A$1:$I$88,7,0))</f>
        <v>0</v>
      </c>
      <c r="HF54" s="155">
        <f>IF(ISNA(VLOOKUP(A54,'Données projet'!$A$269:$I$289,7,0)),0%,VLOOKUP(A54,'Données projet'!$A$269:$I$289,7,0))</f>
        <v>0</v>
      </c>
      <c r="HG54" s="162" t="str">
        <f>EXP(-LN(2)/35)*HG53+(1-EXP(-LN(2)/35))/(LN(2)/35)*HC54*HD54*VLOOKUP('Données projet'!$B$18,'Paramètres'!$A$1:$I$88,3,0)*0.475*44/12</f>
        <v>#N/A</v>
      </c>
      <c r="HH54" s="162" t="str">
        <f>EXP(-LN(2)/25)*HH53+(1-EXP(-LN(2)/25))/(LN(2)/25)*Calculateur!HC54*Calculateur!HE54*VLOOKUP('Données projet'!$B$18,'Paramètres'!$A$1:$I$88,3,0)*0.475*44/12</f>
        <v>#N/A</v>
      </c>
      <c r="HI54" s="162" t="str">
        <f>EXP(-LN(2)/2)*HI53+(1-EXP(-LN(2)/2))/(LN(2)/2)*HC54*HF54*VLOOKUP('Données projet'!$B$18,'Paramètres'!$A$1:$I$88,3,0)*0.475*44/12</f>
        <v>#N/A</v>
      </c>
      <c r="HJ54" s="163" t="str">
        <f t="shared" si="31"/>
        <v>#N/A</v>
      </c>
    </row>
    <row r="55" ht="15.75" customHeight="1">
      <c r="A55" s="145">
        <f t="shared" si="32"/>
        <v>52</v>
      </c>
      <c r="B55" s="146">
        <f>'Scénario référence'!$B$16*5+'Scénario référence'!$B$17*0+'Scénario référence'!$B$18*5</f>
        <v>0</v>
      </c>
      <c r="C55" s="160">
        <f>Calculateur!C54+'Scénario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55" s="147">
        <f t="shared" si="33"/>
        <v>0</v>
      </c>
      <c r="E55" s="147">
        <f>'Scénario référence'!$B$16*45+('Scénario référence'!$B$17+'Scénario référence'!$F$8+'Scénario référence'!$F$9+'Scénario référence'!$B$10+'Scénario référence'!$B$9)*70+'Scénario référence'!$B$18*32</f>
        <v>70</v>
      </c>
      <c r="F55" s="147">
        <f>IF(OR('Scénario référence'!$F$8&gt;0,'Scénario référence'!$F$9&gt;0),('Scénario référence'!$F$8+'Scénario référence'!$F$9)*10,0)</f>
        <v>0</v>
      </c>
      <c r="G55" s="147">
        <f>'Scénario référence'!$B$8*B55*44/12+'Scénario référence'!$B$9*(C55+D55)/0.475*44/12+'Scénario référence'!$B$10*(C55+D55)/0.475*44/12+'Scénario référence'!$F$8*(C55+D55)/0.475*44/12+'Scénario référence'!$F$9*(C55+D55)/0.475*44/12</f>
        <v>0</v>
      </c>
      <c r="H55" s="148">
        <f t="shared" si="1"/>
        <v>256.6666667</v>
      </c>
      <c r="I55" s="149">
        <f>('Scénario référence'!$F$8+'Scénario référence'!$F$9+'Scénario référence'!$B$17+'Scénario référence'!$B$9+'Scénario référence'!$B$10)*70+IF((45+25*(1-EXP(-0.0175*A55)))&lt;70,'Scénario référence'!$B$16*(45+25*(1-EXP(-0.0175*A55))),70*'Scénario référence'!$B$16)+IF((32+38*(1-EXP(-0.0175*A55)))&lt;70,'Scénario référence'!$B$18*(32+38*(1-EXP(-0.0175*A55))),70*'Scénario référence'!$B$18)</f>
        <v>70</v>
      </c>
      <c r="J55" s="150">
        <f>IF(A55&gt;30,10,('Scénario référence'!$B$16+'Scénario référence'!$B$17+'Scénario référence'!$B$18+'Scénario référence'!$B$9+'Scénario référence'!$B$10)*A55*10/30+('Scénario référence'!$F$8+'Scénario référence'!$F$9)*10)</f>
        <v>10</v>
      </c>
      <c r="K55" s="151" t="str">
        <f>VLOOKUP(A55,'Données projet'!$A$35:$I$55,2,0)</f>
        <v>#N/A</v>
      </c>
      <c r="L55" s="151" t="str">
        <f>VLOOKUP(A55,'Données projet'!$A$35:$I$55,9,0)</f>
        <v>#N/A</v>
      </c>
      <c r="M55" s="150">
        <f t="array" ref="M55">INDEX(L:L,MIN(IF(ISNUMBER(L55:L251),ROW(L55:L251),"")))</f>
        <v>10.2</v>
      </c>
      <c r="N55" s="150">
        <f>IF('Données projet'!$A$36&gt;35,N54+M55-V54,IF(A55&lt;'Données projet'!$A$36,$K$205^A55,IF(A55='Données projet'!$A$36,'Données projet'!$B$36,N54+M55-V54)))</f>
        <v>223.4</v>
      </c>
      <c r="O55" s="150">
        <f>N55*VLOOKUP('Données projet'!$B$9,'Paramètres'!$A$1:$I$88,3,0)*VLOOKUP('Données projet'!$B$9,'Paramètres'!$A$1:$I$88,5,0)</f>
        <v>202.13232</v>
      </c>
      <c r="P55" s="150">
        <f t="shared" si="34"/>
        <v>50.21249749</v>
      </c>
      <c r="Q55" s="161">
        <f t="shared" si="2"/>
        <v>439.5005571</v>
      </c>
      <c r="R55" s="153">
        <f t="shared" si="3"/>
        <v>732.8338905</v>
      </c>
      <c r="S55" s="153">
        <f>AVERAGE(OFFSET($R$3,0,0,'Données projet'!$E$9+1,1))-AVERAGE(OFFSET($H$3,0,0,'Données projet'!$E$9+1,1))</f>
        <v>439.1985427</v>
      </c>
      <c r="T55" s="153">
        <f t="shared" si="35"/>
        <v>278.2174123</v>
      </c>
      <c r="U55" s="154">
        <f>IF(ISNA(VLOOKUP(A55,'Données projet'!$A$35:$I$55,3,0)),0,VLOOKUP(A55,'Données projet'!$A$35:$I$55,3,0))</f>
        <v>0</v>
      </c>
      <c r="V55" s="154">
        <f>IF(ISNA(VLOOKUP(A55,'Données projet'!$A$35:$I$55,4,0)),0,VLOOKUP(A55,'Données projet'!$A$35:$I$55,4,0))</f>
        <v>0</v>
      </c>
      <c r="W55" s="155">
        <f>IF(ISNA(VLOOKUP(A55,'Données projet'!$A$35:$I$55,5,0)),0%,VLOOKUP(A55,'Données projet'!$A$35:$I$55,5,0)*VLOOKUP('Données projet'!$B$9,'Paramètres'!$A$1:$I$88,7,0))</f>
        <v>0</v>
      </c>
      <c r="X55" s="155">
        <f>IF(ISNA(VLOOKUP(A55,'Données projet'!$A$35:$I$55,6,0)),0%,VLOOKUP(A55,'Données projet'!$A$35:$I$55,6,0)*VLOOKUP('Données projet'!$B$9,'Paramètres'!$A$1:$I$88,7,0))</f>
        <v>0</v>
      </c>
      <c r="Y55" s="155">
        <f>IF(ISNA(VLOOKUP(A55,'Données projet'!$A$35:$I$55,7,0)),0%,VLOOKUP(A55,'Données projet'!$A$35:$I$55,7,0))</f>
        <v>0</v>
      </c>
      <c r="Z55" s="162">
        <f>EXP(-LN(2)/35)*Z54+(1-EXP(-LN(2)/35))/(LN(2)/35)*V55*W55*VLOOKUP('Données projet'!$B$9,'Paramètres'!$A$1:$I$88,3,0)*0.475*44/12</f>
        <v>0</v>
      </c>
      <c r="AA55" s="162">
        <f>EXP(-LN(2)/25)*AA54+(1-EXP(-LN(2)/25))/(LN(2)/25)*Calculateur!V55*Calculateur!X55*VLOOKUP('Données projet'!$B$9,'Paramètres'!$A$1:$I$88,3,0)*0.475*44/12</f>
        <v>2.438405239</v>
      </c>
      <c r="AB55" s="162">
        <f>EXP(-LN(2)/2)*AB54+(1-EXP(-LN(2)/2))/(LN(2)/2)*V55*Y55*VLOOKUP('Données projet'!$B$9,'Paramètres'!$A$1:$I$88,3,0)*0.475*44/12</f>
        <v>0</v>
      </c>
      <c r="AC55" s="163">
        <f t="shared" si="4"/>
        <v>2.438405239</v>
      </c>
      <c r="AD55" s="150">
        <f>('Scénario référence'!$F$8+'Scénario référence'!$F$9+'Scénario référence'!$B$17+'Scénario référence'!$B$9+'Scénario référence'!$B$10)*70+IF((45+25*(1-EXP(-0.0175*A55)))&lt;70,'Scénario référence'!$B$16*(45+25*(1-EXP(-0.0175*A55))),70*'Scénario référence'!$B$16)+IF((32+38*(1-EXP(-0.0175*A55)))&lt;70,'Scénario référence'!$B$18*(32+38*(1-EXP(-0.0175*A55))),70*'Scénario référence'!$B$18)</f>
        <v>70</v>
      </c>
      <c r="AE55" s="150">
        <f>IF(A55&gt;30,10,('Scénario référence'!$B$16+'Scénario référence'!$B$17+'Scénario référence'!$B$18+'Scénario référence'!$B$9+'Scénario référence'!$B$10)*A55*10/30+('Scénario référence'!$F$8+'Scénario référence'!$F$9)*10)</f>
        <v>10</v>
      </c>
      <c r="AF55" s="151" t="str">
        <f>VLOOKUP(A55,'Données projet'!$A$61:$I$81,2,0)</f>
        <v>#N/A</v>
      </c>
      <c r="AG55" s="151" t="str">
        <f>VLOOKUP(A55,'Données projet'!$A$61:$I$81,9,0)</f>
        <v>#N/A</v>
      </c>
      <c r="AH55" s="150">
        <f t="array" ref="AH55">INDEX(AG:AG,MIN(IF(ISNUMBER(AG55:AG251),ROW(AG55:AG251),"")))</f>
        <v>8.4</v>
      </c>
      <c r="AI55" s="150">
        <f>IF('Données projet'!$A$62&gt;35,AI54+AH55-AQ54,IF(A55&lt;'Données projet'!$A$62,$AF$205^A55,IF(A55='Données projet'!$A$62,'Données projet'!$B$62,AI54+AH55-AQ54)))</f>
        <v>298.8</v>
      </c>
      <c r="AJ55" s="150">
        <f>AI55*VLOOKUP('Données projet'!$B$10,'Paramètres'!$A$1:$I$88,3,0)*VLOOKUP('Données projet'!$B$10,'Paramètres'!$A$1:$I$88,5,0)</f>
        <v>237.72528</v>
      </c>
      <c r="AK55" s="150">
        <f t="shared" si="36"/>
        <v>57.94984246</v>
      </c>
      <c r="AL55" s="161">
        <f t="shared" si="5"/>
        <v>514.967505</v>
      </c>
      <c r="AM55" s="153">
        <f t="shared" si="6"/>
        <v>808.3008383</v>
      </c>
      <c r="AN55" s="153">
        <f>AVERAGE(OFFSET($AM$3,0,0,'Données projet'!$E$10+1,1))-AVERAGE(OFFSET($H$3,0,0,'Données projet'!$E$10+1,1))</f>
        <v>405.6113614</v>
      </c>
      <c r="AO55" s="153">
        <f t="shared" si="37"/>
        <v>393.0787141</v>
      </c>
      <c r="AP55" s="154">
        <f>IF(ISNA(VLOOKUP(A55,'Données projet'!$A$61:$I$81,3,0)),0,VLOOKUP(A55,'Données projet'!$A$61:$I$81,3,0))</f>
        <v>0</v>
      </c>
      <c r="AQ55" s="154">
        <f>IF(ISNA(VLOOKUP(A55,'Données projet'!$A$61:$I$81,4,0)),0,VLOOKUP(A55,'Données projet'!$A$61:$I$81,4,0))</f>
        <v>0</v>
      </c>
      <c r="AR55" s="155">
        <f>IF(ISNA(VLOOKUP(A55,'Données projet'!$A$61:$I$81,5,0)),0%,VLOOKUP(A55,'Données projet'!$A$61:$I$81,5,0)*VLOOKUP('Données projet'!$B$10,'Paramètres'!$A$1:$I$88,7,0))</f>
        <v>0</v>
      </c>
      <c r="AS55" s="155">
        <f>IF(ISNA(VLOOKUP(A55,'Données projet'!$A$61:$I$81,6,0)),0%,VLOOKUP(A55,'Données projet'!$A$61:$I$81,6,0)*VLOOKUP('Données projet'!$B$10,'Paramètres'!$A$1:$I$88,7,0))</f>
        <v>0</v>
      </c>
      <c r="AT55" s="155">
        <f>IF(ISNA(VLOOKUP(A55,'Données projet'!$A$61:$I$81,7,0)),0%,VLOOKUP(A55,'Données projet'!$A$61:$I$81,7,0))</f>
        <v>0</v>
      </c>
      <c r="AU55" s="162">
        <f>EXP(-LN(2)/35)*AU54+(1-EXP(-LN(2)/35))/(LN(2)/35)*AQ55*AR55*VLOOKUP('Données projet'!$B$10,'Paramètres'!$A$1:$I$88,3,0)*0.475*44/12</f>
        <v>0</v>
      </c>
      <c r="AV55" s="162">
        <f>EXP(-LN(2)/25)*AV54+(1-EXP(-LN(2)/25))/(LN(2)/25)*Calculateur!AQ55*Calculateur!AS55*VLOOKUP('Données projet'!$B$10,'Paramètres'!$A$1:$I$88,3,0)*0.475*44/12</f>
        <v>9.910298759</v>
      </c>
      <c r="AW55" s="162">
        <f>EXP(-LN(2)/2)*AW54+(1-EXP(-LN(2)/2))/(LN(2)/2)*AQ55*AT55*VLOOKUP('Données projet'!$B$10,'Paramètres'!$A$1:$I$88,3,0)*0.475*44/12</f>
        <v>0.0002830625996</v>
      </c>
      <c r="AX55" s="162">
        <f t="shared" si="7"/>
        <v>9.910581822</v>
      </c>
      <c r="AY55" s="157">
        <f>('Scénario référence'!$F$8+'Scénario référence'!$F$9+'Scénario référence'!$B$17+'Scénario référence'!$B$9+'Scénario référence'!$B$10)*70+IF((45+25*(1-EXP(-0.0175*A55)))&lt;70,'Scénario référence'!$B$16*(45+25*(1-EXP(-0.0175*A55))),70*'Scénario référence'!$B$16)+IF((32+38*(1-EXP(-0.0175*A55)))&lt;70,'Scénario référence'!$B$18*(32+38*(1-EXP(-0.0175*A55))),70*'Scénario référence'!$B$18)</f>
        <v>70</v>
      </c>
      <c r="AZ55" s="151">
        <f>IF(A55&gt;30,10,('Scénario référence'!$B$16+'Scénario référence'!$B$17+'Scénario référence'!$B$18+'Scénario référence'!$B$9+'Scénario référence'!$B$10)*A55*10/30+('Scénario référence'!$F$8+'Scénario référence'!$F$9)*10)</f>
        <v>10</v>
      </c>
      <c r="BA55" s="151" t="str">
        <f>VLOOKUP(A55,'Données projet'!$A$87:$I$107,2,0)</f>
        <v>#N/A</v>
      </c>
      <c r="BB55" s="151" t="str">
        <f>VLOOKUP(A55,'Données projet'!$A$87:$I$107,9,0)</f>
        <v>#N/A</v>
      </c>
      <c r="BC55" s="150" t="str">
        <f t="array" ref="BC55">INDEX(BB:BB,MIN(IF(ISNUMBER(BB55:BB251),ROW(BB55:BB251),"")))</f>
        <v/>
      </c>
      <c r="BD55" s="150">
        <f>IF('Données projet'!$A$88&gt;35,BD54+BC55-BL54,IF(A55&lt;'Données projet'!$A$88,$BA$205^A55,IF(A55='Données projet'!$A$88,'Données projet'!$B$88,BD54+BC55-BL54)))</f>
        <v>0</v>
      </c>
      <c r="BE55" s="150">
        <f>BD55*VLOOKUP('Données projet'!$B$11,'Paramètres'!$A$1:$I$88,3,0)*VLOOKUP('Données projet'!$B$11,'Paramètres'!$A$1:$I$88,5,0)</f>
        <v>0</v>
      </c>
      <c r="BF55" s="150" t="str">
        <f t="shared" si="38"/>
        <v>#NUM!</v>
      </c>
      <c r="BG55" s="161" t="str">
        <f t="shared" si="8"/>
        <v>#NUM!</v>
      </c>
      <c r="BH55" s="153" t="str">
        <f t="shared" si="9"/>
        <v>#NUM!</v>
      </c>
      <c r="BI55" s="153">
        <f>AVERAGE(OFFSET($BH$3,0,0,'Données projet'!$E$11+1,1))-AVERAGE(OFFSET($H$3,0,0,'Données projet'!$E$11+1,1))</f>
        <v>0</v>
      </c>
      <c r="BJ55" s="153">
        <f t="shared" si="39"/>
        <v>0</v>
      </c>
      <c r="BK55" s="154">
        <f>IF(ISNA(VLOOKUP(A55,'Données projet'!$A$87:$I$107,3,0)),0,VLOOKUP(A55,'Données projet'!$A$87:$I$107,3,0))</f>
        <v>0</v>
      </c>
      <c r="BL55" s="154">
        <f>IF(ISNA(VLOOKUP(A55,'Données projet'!$A$87:$I$107,4,0)),0,VLOOKUP(A55,'Données projet'!$A$87:$I$107,4,0))</f>
        <v>0</v>
      </c>
      <c r="BM55" s="155">
        <f>IF(ISNA(VLOOKUP(A55,'Données projet'!$A$87:$I$107,5,0)),0%,VLOOKUP(A55,'Données projet'!$A$87:$I$107,5,0)*VLOOKUP('Données projet'!$B$11,'Paramètres'!$A$1:$I$88,7,0))</f>
        <v>0</v>
      </c>
      <c r="BN55" s="155">
        <f>IF(ISNA(VLOOKUP(A55,'Données projet'!$A$87:$I$107,6,0)),0%,VLOOKUP(A55,'Données projet'!$A$87:$I$107,6,0)*VLOOKUP('Données projet'!$B$11,'Paramètres'!$A$1:$I$88,7,0))</f>
        <v>0</v>
      </c>
      <c r="BO55" s="155">
        <f>IF(ISNA(VLOOKUP(A55,'Données projet'!$A$87:$I$107,7,0)),0%,VLOOKUP(A55,'Données projet'!$A$87:$I$107,7,0))</f>
        <v>0</v>
      </c>
      <c r="BP55" s="162">
        <f>EXP(-LN(2)/35)*BP54+(1-EXP(-LN(2)/35))/(LN(2)/35)*BL55*BM55*VLOOKUP('Données projet'!$B$11,'Paramètres'!$A$1:$I$88,3,0)*0.475*44/12</f>
        <v>0</v>
      </c>
      <c r="BQ55" s="162">
        <f>EXP(-LN(2)/25)*BQ54+(1-EXP(-LN(2)/25))/(LN(2)/25)*Calculateur!BL55*Calculateur!BN55*VLOOKUP('Données projet'!$B$11,'Paramètres'!$A$1:$I$88,3,0)*0.475*44/12</f>
        <v>0</v>
      </c>
      <c r="BR55" s="162">
        <f>EXP(-LN(2)/2)*BR54+(1-EXP(-LN(2)/2))/(LN(2)/2)*BL55*BO55*VLOOKUP('Données projet'!$B$11,'Paramètres'!$A$1:$I$88,3,0)*0.475*44/12</f>
        <v>0</v>
      </c>
      <c r="BS55" s="163">
        <f t="shared" si="10"/>
        <v>0</v>
      </c>
      <c r="BT55" s="159">
        <f>('Scénario référence'!$F$8+'Scénario référence'!$F$9+'Scénario référence'!$B$17+'Scénario référence'!$B$9+'Scénario référence'!$B$10)*70+IF((45+25*(1-EXP(-0.0175*A55)))&lt;70,'Scénario référence'!$B$16*(45+25*(1-EXP(-0.0175*A55))),70*'Scénario référence'!$B$16)+IF((32+38*(1-EXP(-0.0175*A55)))&lt;70,'Scénario référence'!$B$18*(32+38*(1-EXP(-0.0175*A55))),70*'Scénario référence'!$B$18)</f>
        <v>70</v>
      </c>
      <c r="BU55" s="151">
        <f>IF(A55&gt;30,10,('Scénario référence'!$B$16+'Scénario référence'!$B$17+'Scénario référence'!$B$18+'Scénario référence'!$B$9+'Scénario référence'!$B$10)*A55*10/30+('Scénario référence'!$F$8+'Scénario référence'!$F$9)*10)</f>
        <v>10</v>
      </c>
      <c r="BV55" s="151" t="str">
        <f>VLOOKUP(A55,'Données projet'!$A$113:$I$133,2,0)</f>
        <v>#N/A</v>
      </c>
      <c r="BW55" s="151" t="str">
        <f>VLOOKUP(A55,'Données projet'!$A$113:$I$133,9,0)</f>
        <v>#N/A</v>
      </c>
      <c r="BX55" s="150" t="str">
        <f t="array" ref="BX55">INDEX(BW:BW,MIN(IF(ISNUMBER(BW55:BW251),ROW(BW55:BW251),"")))</f>
        <v/>
      </c>
      <c r="BY55" s="150">
        <f>IF('Données projet'!$A$114&gt;35,BY54+BX55-CG54,IF(A55&lt;'Données projet'!$A$114,$BV$205^A55,IF(A55='Données projet'!$A$114,'Données projet'!$B$114,BY54+BX55-CG54)))</f>
        <v>0</v>
      </c>
      <c r="BZ55" s="150" t="str">
        <f>BY55*VLOOKUP('Données projet'!$B$12,'Paramètres'!$A$1:$I$88,3,0)*VLOOKUP('Données projet'!$B$12,'Paramètres'!$A$1:$I$88,5,0)</f>
        <v>#N/A</v>
      </c>
      <c r="CA55" s="150" t="str">
        <f t="shared" si="40"/>
        <v>#N/A</v>
      </c>
      <c r="CB55" s="161" t="str">
        <f t="shared" si="11"/>
        <v>#N/A</v>
      </c>
      <c r="CC55" s="153" t="str">
        <f t="shared" si="12"/>
        <v>#N/A</v>
      </c>
      <c r="CD55" s="153" t="str">
        <f>AVERAGE(OFFSET($CC$3,0,0,'Données projet'!$E$12+1,1))-AVERAGE(OFFSET($H$3,0,0,'Données projet'!$E$12+1,1))</f>
        <v>#N/A</v>
      </c>
      <c r="CE55" s="153" t="str">
        <f t="shared" si="41"/>
        <v>#N/A</v>
      </c>
      <c r="CF55" s="154">
        <f>IF(ISNA(VLOOKUP(A55,'Données projet'!$A$113:$I$133,3,0)),0,VLOOKUP(A55,'Données projet'!$A$113:$I$133,3,0))</f>
        <v>0</v>
      </c>
      <c r="CG55" s="154">
        <f>IF(ISNA(VLOOKUP(A55,'Données projet'!$A$113:$I$133,4,0)),0,VLOOKUP(A55,'Données projet'!$A$113:$I$133,4,0))</f>
        <v>0</v>
      </c>
      <c r="CH55" s="155">
        <f>IF(ISNA(VLOOKUP(A55,'Données projet'!$A$113:$I$133,5,0)),0%,VLOOKUP(A55,'Données projet'!$A$113:$I$133,5,0)*VLOOKUP('Données projet'!$B$12,'Paramètres'!$A$1:$I$88,7,0))</f>
        <v>0</v>
      </c>
      <c r="CI55" s="155">
        <f>IF(ISNA(VLOOKUP(A55,'Données projet'!$A$113:$I$133,6,0)),0%,VLOOKUP(A55,'Données projet'!$A$113:$I$133,6,0)*VLOOKUP('Données projet'!$B$12,'Paramètres'!$A$1:$I$88,7,0))</f>
        <v>0</v>
      </c>
      <c r="CJ55" s="155">
        <f>IF(ISNA(VLOOKUP(A55,'Données projet'!$A$113:$I$133,7,0)),0%,VLOOKUP(A55,'Données projet'!$A$113:$I$133,7,0))</f>
        <v>0</v>
      </c>
      <c r="CK55" s="162" t="str">
        <f>EXP(-LN(2)/35)*CK54+(1-EXP(-LN(2)/35))/(LN(2)/35)*CG55*CH55*VLOOKUP('Données projet'!$B$12,'Paramètres'!$A$1:$I$88,3,0)*0.475*44/12</f>
        <v>#N/A</v>
      </c>
      <c r="CL55" s="162" t="str">
        <f>EXP(-LN(2)/25)*CL54+(1-EXP(-LN(2)/25))/(LN(2)/25)*Calculateur!CG55*Calculateur!CI55*VLOOKUP('Données projet'!$B$12,'Paramètres'!$A$1:$I$88,3,0)*0.475*44/12</f>
        <v>#N/A</v>
      </c>
      <c r="CM55" s="162" t="str">
        <f>EXP(-LN(2)/2)*CM54+(1-EXP(-LN(2)/2))/(LN(2)/2)*CG55*CJ55*VLOOKUP('Données projet'!$B$12,'Paramètres'!$A$1:$I$88,3,0)*0.475*44/12</f>
        <v>#N/A</v>
      </c>
      <c r="CN55" s="163" t="str">
        <f t="shared" si="13"/>
        <v>#N/A</v>
      </c>
      <c r="CO55" s="159">
        <f>('Scénario référence'!$F$8+'Scénario référence'!$F$9+'Scénario référence'!$B$17+'Scénario référence'!$B$9+'Scénario référence'!$B$10)*70+IF((45+25*(1-EXP(-0.0175*A55)))&lt;70,'Scénario référence'!$B$16*(45+25*(1-EXP(-0.0175*A55))),70*'Scénario référence'!$B$16)+IF((32+38*(1-EXP(-0.0175*A55)))&lt;70,'Scénario référence'!$B$18*(32+38*(1-EXP(-0.0175*A55))),70*'Scénario référence'!$B$18)</f>
        <v>70</v>
      </c>
      <c r="CP55" s="151">
        <f>IF(A55&gt;30,10,('Scénario référence'!$B$16+'Scénario référence'!$B$17+'Scénario référence'!$B$18+'Scénario référence'!$B$9+'Scénario référence'!$B$10)*A55*10/30+('Scénario référence'!$F$8+'Scénario référence'!$F$9)*10)</f>
        <v>10</v>
      </c>
      <c r="CQ55" s="151" t="str">
        <f>VLOOKUP(A55,'Données projet'!$A$139:$I$159,2,0)</f>
        <v>#N/A</v>
      </c>
      <c r="CR55" s="151" t="str">
        <f>VLOOKUP(A55,'Données projet'!$A$139:$I$159,9,0)</f>
        <v>#N/A</v>
      </c>
      <c r="CS55" s="151" t="str">
        <f t="array" ref="CS55">INDEX(CR:CR,MIN(IF(ISNUMBER(CR55:CR251),ROW(CR55:CR251),"")))</f>
        <v/>
      </c>
      <c r="CT55" s="151">
        <f>IF('Données projet'!$A$140&gt;35,CT54+CS55-DB54,IF(A55&lt;'Données projet'!$A$140,$CQ$205^A55,IF(A55='Données projet'!$A$140,'Données projet'!$B$140,CT54+CS55-DB54)))</f>
        <v>0</v>
      </c>
      <c r="CU55" s="158" t="str">
        <f>CT55*VLOOKUP('Données projet'!$B$13,'Paramètres'!$A$1:$I$88,3,0)*VLOOKUP('Données projet'!$B$13,'Paramètres'!$A$1:$I$88,5,0)</f>
        <v>#N/A</v>
      </c>
      <c r="CV55" s="150" t="str">
        <f t="shared" si="42"/>
        <v>#N/A</v>
      </c>
      <c r="CW55" s="161" t="str">
        <f t="shared" si="14"/>
        <v>#N/A</v>
      </c>
      <c r="CX55" s="153" t="str">
        <f t="shared" si="15"/>
        <v>#N/A</v>
      </c>
      <c r="CY55" s="153" t="str">
        <f>AVERAGE(OFFSET($CX$3,0,0,'Données projet'!$E$13+1,1))-AVERAGE(OFFSET($H$3,0,0,'Données projet'!$E$13+1,1))</f>
        <v>#N/A</v>
      </c>
      <c r="CZ55" s="153" t="str">
        <f t="shared" si="43"/>
        <v>#N/A</v>
      </c>
      <c r="DA55" s="154">
        <f>IF(ISNA(VLOOKUP(A55,'Données projet'!$A$139:$I$159,3,0)),0,VLOOKUP(A55,'Données projet'!$A$139:$I$159,3,0))</f>
        <v>0</v>
      </c>
      <c r="DB55" s="154">
        <f>IF(ISNA(VLOOKUP(A55,'Données projet'!$A$139:$I$159,4,0)),0,VLOOKUP(A55,'Données projet'!$A$139:$I$159,4,0))</f>
        <v>0</v>
      </c>
      <c r="DC55" s="155">
        <f>IF(ISNA(VLOOKUP(A55,'Données projet'!$A$139:$I$159,5,0)),0%,VLOOKUP(A55,'Données projet'!$A$139:$I$159,5,0)*VLOOKUP('Données projet'!$B$13,'Paramètres'!$A$1:$I$88,7,0))</f>
        <v>0</v>
      </c>
      <c r="DD55" s="155">
        <f>IF(ISNA(VLOOKUP(A55,'Données projet'!$A$139:$I$159,6,0)),0%,VLOOKUP(A55,'Données projet'!$A$139:$I$159,6,0)*VLOOKUP('Données projet'!$B$13,'Paramètres'!$A$1:$I$88,7,0))</f>
        <v>0</v>
      </c>
      <c r="DE55" s="155">
        <f>IF(ISNA(VLOOKUP(A55,'Données projet'!$A$139:$I$159,7,0)),0%,VLOOKUP(A55,'Données projet'!$A$139:$I$159,7,0))</f>
        <v>0</v>
      </c>
      <c r="DF55" s="162" t="str">
        <f>EXP(-LN(2)/35)*DF54+(1-EXP(-LN(2)/35))/(LN(2)/35)*DB55*DC55*VLOOKUP('Données projet'!$B$13,'Paramètres'!$A$1:$I$88,3,0)*0.475*44/12</f>
        <v>#N/A</v>
      </c>
      <c r="DG55" s="162" t="str">
        <f>EXP(-LN(2)/25)*DG54+(1-EXP(-LN(2)/25))/(LN(2)/25)*Calculateur!DB55*Calculateur!DD55*VLOOKUP('Données projet'!$B$13,'Paramètres'!$A$1:$I$88,3,0)*0.475*44/12</f>
        <v>#N/A</v>
      </c>
      <c r="DH55" s="162" t="str">
        <f>EXP(-LN(2)/2)*DH54+(1-EXP(-LN(2)/2))/(LN(2)/2)*DB55*DE55*VLOOKUP('Données projet'!$B$13,'Paramètres'!$A$1:$I$88,3,0)*0.475*44/12</f>
        <v>#N/A</v>
      </c>
      <c r="DI55" s="163" t="str">
        <f t="shared" si="16"/>
        <v>#N/A</v>
      </c>
      <c r="DJ55" s="159">
        <f>('Scénario référence'!$F$8+'Scénario référence'!$F$9+'Scénario référence'!$B$17+'Scénario référence'!$B$9+'Scénario référence'!$B$10)*70+IF((45+25*(1-EXP(-0.0175*A55)))&lt;70,'Scénario référence'!$B$16*(45+25*(1-EXP(-0.0175*A55))),70*'Scénario référence'!$B$16)+IF((32+38*(1-EXP(-0.0175*A55)))&lt;70,'Scénario référence'!$B$18*(32+38*(1-EXP(-0.0175*A55))),70*'Scénario référence'!$B$18)</f>
        <v>70</v>
      </c>
      <c r="DK55" s="151">
        <f>IF(A55&gt;30,10,('Scénario référence'!$B$16+'Scénario référence'!$B$17+'Scénario référence'!$B$18+'Scénario référence'!$B$9+'Scénario référence'!$B$10)*A55*10/30+('Scénario référence'!$F$8+'Scénario référence'!$F$9)*10)</f>
        <v>10</v>
      </c>
      <c r="DL55" s="151" t="str">
        <f>VLOOKUP(A55,'Données projet'!$A$165:$I$185,2,0)</f>
        <v>#N/A</v>
      </c>
      <c r="DM55" s="151" t="str">
        <f>VLOOKUP(A55,'Données projet'!$A$165:$I$185,9,0)</f>
        <v>#N/A</v>
      </c>
      <c r="DN55" s="151" t="str">
        <f t="array" ref="DN55">INDEX(DM:DM,MIN(IF(ISNUMBER(DM55:DM251),ROW(DM55:DM251),"")))</f>
        <v/>
      </c>
      <c r="DO55" s="151">
        <f>IF('Données projet'!$A$166&gt;35,DO54+DN55-DW54,IF(A55&lt;'Données projet'!$A$166,$DL$205^A55,IF(A55='Données projet'!$A$166,'Données projet'!$B$166,DO54+DN55-DW54)))</f>
        <v>0</v>
      </c>
      <c r="DP55" s="158" t="str">
        <f>DO55*VLOOKUP('Données projet'!$B$14,'Paramètres'!$A$1:$I$88,3,0)*VLOOKUP('Données projet'!$B$14,'Paramètres'!$A$1:$I$88,5,0)</f>
        <v>#N/A</v>
      </c>
      <c r="DQ55" s="150" t="str">
        <f t="shared" si="44"/>
        <v>#N/A</v>
      </c>
      <c r="DR55" s="161" t="str">
        <f t="shared" si="17"/>
        <v>#N/A</v>
      </c>
      <c r="DS55" s="153" t="str">
        <f t="shared" si="18"/>
        <v>#N/A</v>
      </c>
      <c r="DT55" s="153" t="str">
        <f>AVERAGE(OFFSET($DS$3,0,0,'Données projet'!$E$14+1,1))-AVERAGE(OFFSET($H$3,0,0,'Données projet'!$E$14+1,1))</f>
        <v>#N/A</v>
      </c>
      <c r="DU55" s="153" t="str">
        <f t="shared" si="45"/>
        <v>#N/A</v>
      </c>
      <c r="DV55" s="154">
        <f>IF(ISNA(VLOOKUP(A55,'Données projet'!$A$165:$I$185,3,0)),0,VLOOKUP(A55,'Données projet'!$A$165:$I$185,3,0))</f>
        <v>0</v>
      </c>
      <c r="DW55" s="154">
        <f>IF(ISNA(VLOOKUP(A55,'Données projet'!$A$165:$I$185,4,0)),0,VLOOKUP(A55,'Données projet'!$A$165:$I$185,4,0))</f>
        <v>0</v>
      </c>
      <c r="DX55" s="155">
        <f>IF(ISNA(VLOOKUP(A55,'Données projet'!$A$165:$I$185,5,0)),0%,VLOOKUP(A55,'Données projet'!$A$165:$I$185,5,0)*VLOOKUP('Données projet'!$B$14,'Paramètres'!$A$1:$I$88,7,0))</f>
        <v>0</v>
      </c>
      <c r="DY55" s="155">
        <f>IF(ISNA(VLOOKUP(A55,'Données projet'!$A$165:$I$185,6,0)),0%,VLOOKUP(A55,'Données projet'!$A$165:$I$185,6,0)*VLOOKUP('Données projet'!$B$14,'Paramètres'!$A$1:$I$88,7,0))</f>
        <v>0</v>
      </c>
      <c r="DZ55" s="155">
        <f>IF(ISNA(VLOOKUP(A55,'Données projet'!$A$165:$I$185,7,0)),0%,VLOOKUP(A55,'Données projet'!$A$165:$I$185,7,0))</f>
        <v>0</v>
      </c>
      <c r="EA55" s="162" t="str">
        <f>EXP(-LN(2)/35)*EA54+(1-EXP(-LN(2)/35))/(LN(2)/35)*DW55*DX55*VLOOKUP('Données projet'!$B$14,'Paramètres'!$A$1:$I$88,3,0)*0.475*44/12</f>
        <v>#N/A</v>
      </c>
      <c r="EB55" s="162" t="str">
        <f>EXP(-LN(2)/25)*EB54+(1-EXP(-LN(2)/25))/(LN(2)/25)*Calculateur!DW55*Calculateur!DY55*VLOOKUP('Données projet'!$B$14,'Paramètres'!$A$1:$I$88,3,0)*0.475*44/12</f>
        <v>#N/A</v>
      </c>
      <c r="EC55" s="162" t="str">
        <f>EXP(-LN(2)/2)*EC54+(1-EXP(-LN(2)/2))/(LN(2)/2)*DW55*DZ55*VLOOKUP('Données projet'!$B$14,'Paramètres'!$A$1:$I$88,3,0)*0.475*44/12</f>
        <v>#N/A</v>
      </c>
      <c r="ED55" s="163" t="str">
        <f t="shared" si="19"/>
        <v>#N/A</v>
      </c>
      <c r="EE55" s="159">
        <f>('Scénario référence'!$F$8+'Scénario référence'!$F$9+'Scénario référence'!$B$17+'Scénario référence'!$B$9+'Scénario référence'!$B$10)*70+IF((45+25*(1-EXP(-0.0175*A55)))&lt;70,'Scénario référence'!$B$16*(45+25*(1-EXP(-0.0175*A55))),70*'Scénario référence'!$B$16)+IF((32+38*(1-EXP(-0.0175*A55)))&lt;70,'Scénario référence'!$B$18*(32+38*(1-EXP(-0.0175*A55))),70*'Scénario référence'!$B$18)</f>
        <v>70</v>
      </c>
      <c r="EF55" s="151">
        <f>IF(A55&gt;30,10,('Scénario référence'!$B$16+'Scénario référence'!$B$17+'Scénario référence'!$B$18+'Scénario référence'!$B$9+'Scénario référence'!$B$10)*A55*10/30+('Scénario référence'!$F$8+'Scénario référence'!$F$9)*10)</f>
        <v>10</v>
      </c>
      <c r="EG55" s="151" t="str">
        <f>VLOOKUP(A55,'Données projet'!$A$191:$I$211,2,0)</f>
        <v>#N/A</v>
      </c>
      <c r="EH55" s="151" t="str">
        <f>VLOOKUP(A55,'Données projet'!$A$191:$I$211,9,0)</f>
        <v>#N/A</v>
      </c>
      <c r="EI55" s="151" t="str">
        <f t="array" ref="EI55">INDEX(EH:EH,MIN(IF(ISNUMBER(EH55:EH251),ROW(EH55:EH251),"")))</f>
        <v/>
      </c>
      <c r="EJ55" s="151">
        <f>IF('Données projet'!$A$192&gt;35,EJ54+EI55-ER54,IF(A55&lt;'Données projet'!$A$192,$EG$205^A55,IF(A55='Données projet'!$A$192,'Données projet'!$B$192,EJ54+EI55-ER54)))</f>
        <v>0</v>
      </c>
      <c r="EK55" s="158" t="str">
        <f>EJ55*VLOOKUP('Données projet'!$B$15,'Paramètres'!$A$1:$I$88,3,0)*VLOOKUP('Données projet'!$B$15,'Paramètres'!$A$1:$I$88,5,0)</f>
        <v>#N/A</v>
      </c>
      <c r="EL55" s="150" t="str">
        <f t="shared" si="46"/>
        <v>#N/A</v>
      </c>
      <c r="EM55" s="161" t="str">
        <f t="shared" si="20"/>
        <v>#N/A</v>
      </c>
      <c r="EN55" s="153" t="str">
        <f t="shared" si="21"/>
        <v>#N/A</v>
      </c>
      <c r="EO55" s="153" t="str">
        <f>AVERAGE(OFFSET($EN$3,0,0,'Données projet'!$E$15+1,1))-AVERAGE(OFFSET($H$3,0,0,'Données projet'!$E$15+1,1))</f>
        <v>#N/A</v>
      </c>
      <c r="EP55" s="153" t="str">
        <f t="shared" si="47"/>
        <v>#N/A</v>
      </c>
      <c r="EQ55" s="154">
        <f>IF(ISNA(VLOOKUP(A55,'Données projet'!$A$191:$I$211,3,0)),0,VLOOKUP(A55,'Données projet'!$A$191:$I$211,3,0))</f>
        <v>0</v>
      </c>
      <c r="ER55" s="154">
        <f>IF(ISNA(VLOOKUP(A55,'Données projet'!$A$191:$I$211,4,0)),0,VLOOKUP(A55,'Données projet'!$A$191:$I$211,4,0))</f>
        <v>0</v>
      </c>
      <c r="ES55" s="155">
        <f>IF(ISNA(VLOOKUP(A55,'Données projet'!$A$191:$I$211,5,0)),0%,VLOOKUP(A55,'Données projet'!$A$191:$I$211,5,0)*VLOOKUP('Données projet'!$B$15,'Paramètres'!$A$1:$I$88,7,0))</f>
        <v>0</v>
      </c>
      <c r="ET55" s="155">
        <f>IF(ISNA(VLOOKUP(A55,'Données projet'!$A$191:$I$211,6,0)),0%,VLOOKUP(A55,'Données projet'!$A$191:$I$211,6,0)*VLOOKUP('Données projet'!$B$15,'Paramètres'!$A$1:$I$88,7,0))</f>
        <v>0</v>
      </c>
      <c r="EU55" s="155">
        <f>IF(ISNA(VLOOKUP(A55,'Données projet'!$A$191:$I$211,7,0)),0%,VLOOKUP(A55,'Données projet'!$A$191:$I$211,7,0))</f>
        <v>0</v>
      </c>
      <c r="EV55" s="162" t="str">
        <f>EXP(-LN(2)/35)*EV54+(1-EXP(-LN(2)/35))/(LN(2)/35)*ER55*ES55*VLOOKUP('Données projet'!$B$15,'Paramètres'!$A$1:$I$88,3,0)*0.475*44/12</f>
        <v>#N/A</v>
      </c>
      <c r="EW55" s="162" t="str">
        <f>EXP(-LN(2)/25)*EW54+(1-EXP(-LN(2)/25))/(LN(2)/25)*Calculateur!ER55*Calculateur!ET55*VLOOKUP('Données projet'!$B$15,'Paramètres'!$A$1:$I$88,3,0)*0.475*44/12</f>
        <v>#N/A</v>
      </c>
      <c r="EX55" s="162" t="str">
        <f>EXP(-LN(2)/2)*EX54+(1-EXP(-LN(2)/2))/(LN(2)/2)*ER55*EU55*VLOOKUP('Données projet'!$B$15,'Paramètres'!$A$1:$I$88,3,0)*0.475*44/12</f>
        <v>#N/A</v>
      </c>
      <c r="EY55" s="163" t="str">
        <f t="shared" si="22"/>
        <v>#N/A</v>
      </c>
      <c r="EZ55" s="159">
        <f>('Scénario référence'!$F$8+'Scénario référence'!$F$9+'Scénario référence'!$B$17+'Scénario référence'!$B$9+'Scénario référence'!$B$10)*70+IF((45+25*(1-EXP(-0.0175*A55)))&lt;70,'Scénario référence'!$B$16*(45+25*(1-EXP(-0.0175*A55))),70*'Scénario référence'!$B$16)+IF((32+38*(1-EXP(-0.0175*A55)))&lt;70,'Scénario référence'!$B$18*(32+38*(1-EXP(-0.0175*A55))),70*'Scénario référence'!$B$18)</f>
        <v>70</v>
      </c>
      <c r="FA55" s="151">
        <f>IF(A55&gt;30,10,('Scénario référence'!$B$16+'Scénario référence'!$B$17+'Scénario référence'!$B$18+'Scénario référence'!$B$9+'Scénario référence'!$B$10)*A55*10/30+('Scénario référence'!$F$8+'Scénario référence'!$F$9)*10)</f>
        <v>10</v>
      </c>
      <c r="FB55" s="151" t="str">
        <f>VLOOKUP(A55,'Données projet'!$A$217:$I$237,2,0)</f>
        <v>#N/A</v>
      </c>
      <c r="FC55" s="151" t="str">
        <f>VLOOKUP(A55,'Données projet'!$A$217:$I$237,9,0)</f>
        <v>#N/A</v>
      </c>
      <c r="FD55" s="151" t="str">
        <f t="array" ref="FD55">INDEX(FC:FC,MIN(IF(ISNUMBER(FC55:FC251),ROW(FC55:FC251),"")))</f>
        <v/>
      </c>
      <c r="FE55" s="151">
        <f>IF('Données projet'!$A$218&gt;35,FE54+FD55-FM54,IF(A55&lt;'Données projet'!$A$218,$FB$205^A55,IF(A55='Données projet'!$A$218,'Données projet'!$B$218,FE54+FD55-FM54)))</f>
        <v>0</v>
      </c>
      <c r="FF55" s="158" t="str">
        <f>FE55*VLOOKUP('Données projet'!$B$16,'Paramètres'!$A$1:$I$88,3,0)*VLOOKUP('Données projet'!$B$16,'Paramètres'!$A$1:$I$88,5,0)</f>
        <v>#N/A</v>
      </c>
      <c r="FG55" s="150" t="str">
        <f t="shared" si="48"/>
        <v>#N/A</v>
      </c>
      <c r="FH55" s="161" t="str">
        <f t="shared" si="23"/>
        <v>#N/A</v>
      </c>
      <c r="FI55" s="153" t="str">
        <f t="shared" si="24"/>
        <v>#N/A</v>
      </c>
      <c r="FJ55" s="153" t="str">
        <f>AVERAGE(OFFSET($FI$3,0,0,'Données projet'!$E$16+1,1))-AVERAGE(OFFSET($H$3,0,0,'Données projet'!$E$16+1,1))</f>
        <v>#N/A</v>
      </c>
      <c r="FK55" s="153" t="str">
        <f t="shared" si="49"/>
        <v>#N/A</v>
      </c>
      <c r="FL55" s="154">
        <f>IF(ISNA(VLOOKUP(A55,'Données projet'!$A$217:$I$237,3,0)),0,VLOOKUP(A55,'Données projet'!$A$217:$I$237,3,0))</f>
        <v>0</v>
      </c>
      <c r="FM55" s="154">
        <f>IF(ISNA(VLOOKUP(A55,'Données projet'!$A$217:$I$237,4,0)),0,VLOOKUP(A55,'Données projet'!$A$217:$I$237,4,0))</f>
        <v>0</v>
      </c>
      <c r="FN55" s="155">
        <f>IF(ISNA(VLOOKUP(A55,'Données projet'!$A$217:$I$237,5,0)),0%,VLOOKUP(A55,'Données projet'!$A$217:$I$237,5,0)*VLOOKUP('Données projet'!$B$16,'Paramètres'!$A$1:$I$88,7,0))</f>
        <v>0</v>
      </c>
      <c r="FO55" s="155">
        <f>IF(ISNA(VLOOKUP(A55,'Données projet'!$A$217:$I$237,6,0)),0%,VLOOKUP(A55,'Données projet'!$A$217:$I$237,6,0)*VLOOKUP('Données projet'!$B$16,'Paramètres'!$A$1:$I$88,7,0))</f>
        <v>0</v>
      </c>
      <c r="FP55" s="155">
        <f>IF(ISNA(VLOOKUP(A55,'Données projet'!$A$217:$I$237,7,0)),0%,VLOOKUP(A55,'Données projet'!$A$217:$I$237,7,0))</f>
        <v>0</v>
      </c>
      <c r="FQ55" s="162" t="str">
        <f>EXP(-LN(2)/35)*FQ54+(1-EXP(-LN(2)/35))/(LN(2)/35)*FM55*FN55*VLOOKUP('Données projet'!$B$16,'Paramètres'!$A$1:$I$88,3,0)*0.475*44/12</f>
        <v>#N/A</v>
      </c>
      <c r="FR55" s="162" t="str">
        <f>EXP(-LN(2)/25)*FR54+(1-EXP(-LN(2)/25))/(LN(2)/25)*Calculateur!FM55*Calculateur!FO55*VLOOKUP('Données projet'!$B$16,'Paramètres'!$A$1:$I$88,3,0)*0.475*44/12</f>
        <v>#N/A</v>
      </c>
      <c r="FS55" s="162" t="str">
        <f>EXP(-LN(2)/2)*FS54+(1-EXP(-LN(2)/2))/(LN(2)/2)*FM55*FP55*VLOOKUP('Données projet'!$B$16,'Paramètres'!$A$1:$I$88,3,0)*0.475*44/12</f>
        <v>#N/A</v>
      </c>
      <c r="FT55" s="163" t="str">
        <f t="shared" si="25"/>
        <v>#N/A</v>
      </c>
      <c r="FU55" s="159">
        <f>('Scénario référence'!$F$8+'Scénario référence'!$F$9+'Scénario référence'!$B$17+'Scénario référence'!$B$9+'Scénario référence'!$B$10)*70+IF((45+25*(1-EXP(-0.0175*A55)))&lt;70,'Scénario référence'!$B$16*(45+25*(1-EXP(-0.0175*A55))),70*'Scénario référence'!$B$16)+IF((32+38*(1-EXP(-0.0175*A55)))&lt;70,'Scénario référence'!$B$18*(32+38*(1-EXP(-0.0175*A55))),70*'Scénario référence'!$B$18)</f>
        <v>70</v>
      </c>
      <c r="FV55" s="151">
        <f>IF(A55&gt;30,10,('Scénario référence'!$B$16+'Scénario référence'!$B$17+'Scénario référence'!$B$18+'Scénario référence'!$B$9+'Scénario référence'!$B$10)*A55*10/30+('Scénario référence'!$F$8+'Scénario référence'!$F$9)*10)</f>
        <v>10</v>
      </c>
      <c r="FW55" s="151" t="str">
        <f>VLOOKUP(A55,'Données projet'!$A$243:$I$263,2,0)</f>
        <v>#N/A</v>
      </c>
      <c r="FX55" s="151" t="str">
        <f>VLOOKUP(A55,'Données projet'!$A$243:$I$263,9,0)</f>
        <v>#N/A</v>
      </c>
      <c r="FY55" s="151" t="str">
        <f t="array" ref="FY55">INDEX(FX:FX,MIN(IF(ISNUMBER(FX55:FX251),ROW(FX55:FX251),"")))</f>
        <v/>
      </c>
      <c r="FZ55" s="151">
        <f>IF('Données projet'!$A$244&gt;35,FZ54+FY55-GH54,IF(A55&lt;'Données projet'!$A$244,$FW$205^A55,IF(A55='Données projet'!$A$244,'Données projet'!$B$244,FZ54+FY55-GH54)))</f>
        <v>0</v>
      </c>
      <c r="GA55" s="158" t="str">
        <f>FZ55*VLOOKUP('Données projet'!$B$17,'Paramètres'!$A$1:$I$88,3,0)*VLOOKUP('Données projet'!$B$17,'Paramètres'!$A$1:$I$88,5,0)</f>
        <v>#N/A</v>
      </c>
      <c r="GB55" s="150" t="str">
        <f t="shared" si="50"/>
        <v>#N/A</v>
      </c>
      <c r="GC55" s="161" t="str">
        <f t="shared" si="26"/>
        <v>#N/A</v>
      </c>
      <c r="GD55" s="153" t="str">
        <f t="shared" si="27"/>
        <v>#N/A</v>
      </c>
      <c r="GE55" s="153" t="str">
        <f>AVERAGE(OFFSET($GD$3,0,0,'Données projet'!$E$17+1,1))-AVERAGE(OFFSET($H$3,0,0,'Données projet'!$E$17+1,1))</f>
        <v>#N/A</v>
      </c>
      <c r="GF55" s="153" t="str">
        <f t="shared" si="51"/>
        <v>#N/A</v>
      </c>
      <c r="GG55" s="154">
        <f>IF(ISNA(VLOOKUP(A55,'Données projet'!$A$243:$I$263,3,0)),0,VLOOKUP(A55,'Données projet'!$A$243:$I$263,3,0))</f>
        <v>0</v>
      </c>
      <c r="GH55" s="154">
        <f>IF(ISNA(VLOOKUP(A55,'Données projet'!$A$243:$I$263,4,0)),0,VLOOKUP(A55,'Données projet'!$A$243:$I$263,4,0))</f>
        <v>0</v>
      </c>
      <c r="GI55" s="155">
        <f>IF(ISNA(VLOOKUP(A55,'Données projet'!$A$243:$I$263,5,0)),0%,VLOOKUP(A55,'Données projet'!$A$243:$I$263,5,0)*VLOOKUP('Données projet'!$B$17,'Paramètres'!$A$1:$I$88,7,0))</f>
        <v>0</v>
      </c>
      <c r="GJ55" s="155">
        <f>IF(ISNA(VLOOKUP(A55,'Données projet'!$A$243:$I$263,6,0)),0%,VLOOKUP(A55,'Données projet'!$A$243:$I$263,6,0)*VLOOKUP('Données projet'!$B$17,'Paramètres'!$A$1:$I$88,7,0))</f>
        <v>0</v>
      </c>
      <c r="GK55" s="155">
        <f>IF(ISNA(VLOOKUP(A55,'Données projet'!$A$243:$I$263,7,0)),0%,VLOOKUP(A55,'Données projet'!$A$243:$I$263,7,0))</f>
        <v>0</v>
      </c>
      <c r="GL55" s="162" t="str">
        <f>EXP(-LN(2)/35)*GL54+(1-EXP(-LN(2)/35))/(LN(2)/35)*GH55*GI55*VLOOKUP('Données projet'!$B$17,'Paramètres'!$A$1:$I$88,3,0)*0.475*44/12</f>
        <v>#N/A</v>
      </c>
      <c r="GM55" s="162" t="str">
        <f>EXP(-LN(2)/25)*GM54+(1-EXP(-LN(2)/25))/(LN(2)/25)*Calculateur!GH55*Calculateur!GJ55*VLOOKUP('Données projet'!$B$17,'Paramètres'!$A$1:$I$88,3,0)*0.475*44/12</f>
        <v>#N/A</v>
      </c>
      <c r="GN55" s="162" t="str">
        <f>EXP(-LN(2)/2)*GN54+(1-EXP(-LN(2)/2))/(LN(2)/2)*GH55*GK55*VLOOKUP('Données projet'!$B$17,'Paramètres'!$A$1:$I$88,3,0)*0.475*44/12</f>
        <v>#N/A</v>
      </c>
      <c r="GO55" s="162" t="str">
        <f t="shared" si="28"/>
        <v>#N/A</v>
      </c>
      <c r="GP55" s="159">
        <f>('Scénario référence'!$F$8+'Scénario référence'!$F$9+'Scénario référence'!$B$17+'Scénario référence'!$B$9+'Scénario référence'!$B$10)*70+IF((45+25*(1-EXP(-0.0175*A55)))&lt;70,'Scénario référence'!$B$16*(45+25*(1-EXP(-0.0175*A55))),70*'Scénario référence'!$B$16)+IF((32+38*(1-EXP(-0.0175*A55)))&lt;70,'Scénario référence'!$B$18*(32+38*(1-EXP(-0.0175*A55))),70*'Scénario référence'!$B$18)</f>
        <v>70</v>
      </c>
      <c r="GQ55" s="151">
        <f>IF(A55&gt;30,10,('Scénario référence'!$B$16+'Scénario référence'!$B$17+'Scénario référence'!$B$18+'Scénario référence'!$B$9+'Scénario référence'!$B$10)*A55*10/30+('Scénario référence'!$F$8+'Scénario référence'!$F$9)*10)</f>
        <v>10</v>
      </c>
      <c r="GR55" s="151" t="str">
        <f>VLOOKUP(A55,'Données projet'!$A$269:$I$289,2,0)</f>
        <v>#N/A</v>
      </c>
      <c r="GS55" s="151" t="str">
        <f>VLOOKUP(A55,'Données projet'!$A$269:$I$289,9,0)</f>
        <v>#N/A</v>
      </c>
      <c r="GT55" s="151" t="str">
        <f t="array" ref="GT55">INDEX(GS:GS,MIN(IF(ISNUMBER(GS55:GS251),ROW(GS55:GS251),"")))</f>
        <v/>
      </c>
      <c r="GU55" s="151">
        <f>IF('Données projet'!$A$270&gt;35,GU54+GT55-HC54,IF(A55&lt;'Données projet'!$A$270,$GR$205^A55,IF(A55='Données projet'!$A$270,'Données projet'!$B$270,GU54+GT55-HC54)))</f>
        <v>0</v>
      </c>
      <c r="GV55" s="158" t="str">
        <f>GU55*VLOOKUP('Données projet'!$B$18,'Paramètres'!$A$1:$I$88,3,0)*VLOOKUP('Données projet'!$B$18,'Paramètres'!$A$1:$I$88,5,0)</f>
        <v>#N/A</v>
      </c>
      <c r="GW55" s="150" t="str">
        <f t="shared" si="52"/>
        <v>#N/A</v>
      </c>
      <c r="GX55" s="161" t="str">
        <f t="shared" si="29"/>
        <v>#N/A</v>
      </c>
      <c r="GY55" s="153" t="str">
        <f t="shared" si="30"/>
        <v>#N/A</v>
      </c>
      <c r="GZ55" s="153" t="str">
        <f>AVERAGE(OFFSET($GY$3,0,0,'Données projet'!$E$18+1,1))-AVERAGE(OFFSET($H$3,0,0,'Données projet'!$E$18+1,1))</f>
        <v>#N/A</v>
      </c>
      <c r="HA55" s="153" t="str">
        <f t="shared" si="53"/>
        <v>#N/A</v>
      </c>
      <c r="HB55" s="154">
        <f>IF(ISNA(VLOOKUP(A55,'Données projet'!$A$269:$I$289,3,0)),0,VLOOKUP(A55,'Données projet'!$A$269:$I$289,3,0))</f>
        <v>0</v>
      </c>
      <c r="HC55" s="154">
        <f>IF(ISNA(VLOOKUP(A55,'Données projet'!$A$269:$I$289,4,0)),0,VLOOKUP(A55,'Données projet'!$A$269:$I$289,4,0))</f>
        <v>0</v>
      </c>
      <c r="HD55" s="155">
        <f>IF(ISNA(VLOOKUP(A55,'Données projet'!$A$269:$I$289,5,0)),0%,VLOOKUP(A55,'Données projet'!$A$269:$I$289,5,0)*VLOOKUP('Données projet'!$B$18,'Paramètres'!$A$1:$I$88,7,0))</f>
        <v>0</v>
      </c>
      <c r="HE55" s="155">
        <f>IF(ISNA(VLOOKUP(A55,'Données projet'!$A$269:$I$289,6,0)),0%,VLOOKUP(A55,'Données projet'!$A$269:$I$289,6,0)*VLOOKUP('Données projet'!$B$18,'Paramètres'!$A$1:$I$88,7,0))</f>
        <v>0</v>
      </c>
      <c r="HF55" s="155">
        <f>IF(ISNA(VLOOKUP(A55,'Données projet'!$A$269:$I$289,7,0)),0%,VLOOKUP(A55,'Données projet'!$A$269:$I$289,7,0))</f>
        <v>0</v>
      </c>
      <c r="HG55" s="162" t="str">
        <f>EXP(-LN(2)/35)*HG54+(1-EXP(-LN(2)/35))/(LN(2)/35)*HC55*HD55*VLOOKUP('Données projet'!$B$18,'Paramètres'!$A$1:$I$88,3,0)*0.475*44/12</f>
        <v>#N/A</v>
      </c>
      <c r="HH55" s="162" t="str">
        <f>EXP(-LN(2)/25)*HH54+(1-EXP(-LN(2)/25))/(LN(2)/25)*Calculateur!HC55*Calculateur!HE55*VLOOKUP('Données projet'!$B$18,'Paramètres'!$A$1:$I$88,3,0)*0.475*44/12</f>
        <v>#N/A</v>
      </c>
      <c r="HI55" s="162" t="str">
        <f>EXP(-LN(2)/2)*HI54+(1-EXP(-LN(2)/2))/(LN(2)/2)*HC55*HF55*VLOOKUP('Données projet'!$B$18,'Paramètres'!$A$1:$I$88,3,0)*0.475*44/12</f>
        <v>#N/A</v>
      </c>
      <c r="HJ55" s="163" t="str">
        <f t="shared" si="31"/>
        <v>#N/A</v>
      </c>
    </row>
    <row r="56" ht="15.75" customHeight="1">
      <c r="A56" s="145">
        <f t="shared" si="32"/>
        <v>53</v>
      </c>
      <c r="B56" s="146">
        <f>'Scénario référence'!$B$16*5+'Scénario référence'!$B$17*0+'Scénario référence'!$B$18*5</f>
        <v>0</v>
      </c>
      <c r="C56" s="160">
        <f>Calculateur!C55+'Scénario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56" s="147">
        <f t="shared" si="33"/>
        <v>0</v>
      </c>
      <c r="E56" s="147">
        <f>'Scénario référence'!$B$16*45+('Scénario référence'!$B$17+'Scénario référence'!$F$8+'Scénario référence'!$F$9+'Scénario référence'!$B$10+'Scénario référence'!$B$9)*70+'Scénario référence'!$B$18*32</f>
        <v>70</v>
      </c>
      <c r="F56" s="147">
        <f>IF(OR('Scénario référence'!$F$8&gt;0,'Scénario référence'!$F$9&gt;0),('Scénario référence'!$F$8+'Scénario référence'!$F$9)*10,0)</f>
        <v>0</v>
      </c>
      <c r="G56" s="147">
        <f>'Scénario référence'!$B$8*B56*44/12+'Scénario référence'!$B$9*(C56+D56)/0.475*44/12+'Scénario référence'!$B$10*(C56+D56)/0.475*44/12+'Scénario référence'!$F$8*(C56+D56)/0.475*44/12+'Scénario référence'!$F$9*(C56+D56)/0.475*44/12</f>
        <v>0</v>
      </c>
      <c r="H56" s="148">
        <f t="shared" si="1"/>
        <v>256.6666667</v>
      </c>
      <c r="I56" s="149">
        <f>('Scénario référence'!$F$8+'Scénario référence'!$F$9+'Scénario référence'!$B$17+'Scénario référence'!$B$9+'Scénario référence'!$B$10)*70+IF((45+25*(1-EXP(-0.0175*A56)))&lt;70,'Scénario référence'!$B$16*(45+25*(1-EXP(-0.0175*A56))),70*'Scénario référence'!$B$16)+IF((32+38*(1-EXP(-0.0175*A56)))&lt;70,'Scénario référence'!$B$18*(32+38*(1-EXP(-0.0175*A56))),70*'Scénario référence'!$B$18)</f>
        <v>70</v>
      </c>
      <c r="J56" s="150">
        <f>IF(A56&gt;30,10,('Scénario référence'!$B$16+'Scénario référence'!$B$17+'Scénario référence'!$B$18+'Scénario référence'!$B$9+'Scénario référence'!$B$10)*A56*10/30+('Scénario référence'!$F$8+'Scénario référence'!$F$9)*10)</f>
        <v>10</v>
      </c>
      <c r="K56" s="151" t="str">
        <f>VLOOKUP(A56,'Données projet'!$A$35:$I$55,2,0)</f>
        <v>#N/A</v>
      </c>
      <c r="L56" s="151" t="str">
        <f>VLOOKUP(A56,'Données projet'!$A$35:$I$55,9,0)</f>
        <v>#N/A</v>
      </c>
      <c r="M56" s="150">
        <f t="array" ref="M56">INDEX(L:L,MIN(IF(ISNUMBER(L56:L252),ROW(L56:L252),"")))</f>
        <v>10.2</v>
      </c>
      <c r="N56" s="150">
        <f>IF('Données projet'!$A$36&gt;35,N55+M56-V55,IF(A56&lt;'Données projet'!$A$36,$K$205^A56,IF(A56='Données projet'!$A$36,'Données projet'!$B$36,N55+M56-V55)))</f>
        <v>233.6</v>
      </c>
      <c r="O56" s="150">
        <f>N56*VLOOKUP('Données projet'!$B$9,'Paramètres'!$A$1:$I$88,3,0)*VLOOKUP('Données projet'!$B$9,'Paramètres'!$A$1:$I$88,5,0)</f>
        <v>211.36128</v>
      </c>
      <c r="P56" s="150">
        <f t="shared" si="34"/>
        <v>52.23294767</v>
      </c>
      <c r="Q56" s="161">
        <f t="shared" si="2"/>
        <v>459.0932799</v>
      </c>
      <c r="R56" s="153">
        <f t="shared" si="3"/>
        <v>752.4266132</v>
      </c>
      <c r="S56" s="153">
        <f>AVERAGE(OFFSET($R$3,0,0,'Données projet'!$E$9+1,1))-AVERAGE(OFFSET($H$3,0,0,'Données projet'!$E$9+1,1))</f>
        <v>439.1985427</v>
      </c>
      <c r="T56" s="153">
        <f t="shared" si="35"/>
        <v>278.2174123</v>
      </c>
      <c r="U56" s="154">
        <f>IF(ISNA(VLOOKUP(A56,'Données projet'!$A$35:$I$55,3,0)),0,VLOOKUP(A56,'Données projet'!$A$35:$I$55,3,0))</f>
        <v>0</v>
      </c>
      <c r="V56" s="154">
        <f>IF(ISNA(VLOOKUP(A56,'Données projet'!$A$35:$I$55,4,0)),0,VLOOKUP(A56,'Données projet'!$A$35:$I$55,4,0))</f>
        <v>0</v>
      </c>
      <c r="W56" s="155">
        <f>IF(ISNA(VLOOKUP(A56,'Données projet'!$A$35:$I$55,5,0)),0%,VLOOKUP(A56,'Données projet'!$A$35:$I$55,5,0)*VLOOKUP('Données projet'!$B$9,'Paramètres'!$A$1:$I$88,7,0))</f>
        <v>0</v>
      </c>
      <c r="X56" s="155">
        <f>IF(ISNA(VLOOKUP(A56,'Données projet'!$A$35:$I$55,6,0)),0%,VLOOKUP(A56,'Données projet'!$A$35:$I$55,6,0)*VLOOKUP('Données projet'!$B$9,'Paramètres'!$A$1:$I$88,7,0))</f>
        <v>0</v>
      </c>
      <c r="Y56" s="155">
        <f>IF(ISNA(VLOOKUP(A56,'Données projet'!$A$35:$I$55,7,0)),0%,VLOOKUP(A56,'Données projet'!$A$35:$I$55,7,0))</f>
        <v>0</v>
      </c>
      <c r="Z56" s="162">
        <f>EXP(-LN(2)/35)*Z55+(1-EXP(-LN(2)/35))/(LN(2)/35)*V56*W56*VLOOKUP('Données projet'!$B$9,'Paramètres'!$A$1:$I$88,3,0)*0.475*44/12</f>
        <v>0</v>
      </c>
      <c r="AA56" s="162">
        <f>EXP(-LN(2)/25)*AA55+(1-EXP(-LN(2)/25))/(LN(2)/25)*Calculateur!V56*Calculateur!X56*VLOOKUP('Données projet'!$B$9,'Paramètres'!$A$1:$I$88,3,0)*0.475*44/12</f>
        <v>2.37172692</v>
      </c>
      <c r="AB56" s="162">
        <f>EXP(-LN(2)/2)*AB55+(1-EXP(-LN(2)/2))/(LN(2)/2)*V56*Y56*VLOOKUP('Données projet'!$B$9,'Paramètres'!$A$1:$I$88,3,0)*0.475*44/12</f>
        <v>0</v>
      </c>
      <c r="AC56" s="163">
        <f t="shared" si="4"/>
        <v>2.37172692</v>
      </c>
      <c r="AD56" s="150">
        <f>('Scénario référence'!$F$8+'Scénario référence'!$F$9+'Scénario référence'!$B$17+'Scénario référence'!$B$9+'Scénario référence'!$B$10)*70+IF((45+25*(1-EXP(-0.0175*A56)))&lt;70,'Scénario référence'!$B$16*(45+25*(1-EXP(-0.0175*A56))),70*'Scénario référence'!$B$16)+IF((32+38*(1-EXP(-0.0175*A56)))&lt;70,'Scénario référence'!$B$18*(32+38*(1-EXP(-0.0175*A56))),70*'Scénario référence'!$B$18)</f>
        <v>70</v>
      </c>
      <c r="AE56" s="150">
        <f>IF(A56&gt;30,10,('Scénario référence'!$B$16+'Scénario référence'!$B$17+'Scénario référence'!$B$18+'Scénario référence'!$B$9+'Scénario référence'!$B$10)*A56*10/30+('Scénario référence'!$F$8+'Scénario référence'!$F$9)*10)</f>
        <v>10</v>
      </c>
      <c r="AF56" s="151" t="str">
        <f>VLOOKUP(A56,'Données projet'!$A$61:$I$81,2,0)</f>
        <v>#N/A</v>
      </c>
      <c r="AG56" s="151" t="str">
        <f>VLOOKUP(A56,'Données projet'!$A$61:$I$81,9,0)</f>
        <v>#N/A</v>
      </c>
      <c r="AH56" s="150">
        <f t="array" ref="AH56">INDEX(AG:AG,MIN(IF(ISNUMBER(AG56:AG252),ROW(AG56:AG252),"")))</f>
        <v>8.4</v>
      </c>
      <c r="AI56" s="150">
        <f>IF('Données projet'!$A$62&gt;35,AI55+AH56-AQ55,IF(A56&lt;'Données projet'!$A$62,$AF$205^A56,IF(A56='Données projet'!$A$62,'Données projet'!$B$62,AI55+AH56-AQ55)))</f>
        <v>307.2</v>
      </c>
      <c r="AJ56" s="150">
        <f>AI56*VLOOKUP('Données projet'!$B$10,'Paramètres'!$A$1:$I$88,3,0)*VLOOKUP('Données projet'!$B$10,'Paramètres'!$A$1:$I$88,5,0)</f>
        <v>244.40832</v>
      </c>
      <c r="AK56" s="150">
        <f t="shared" si="36"/>
        <v>59.38699494</v>
      </c>
      <c r="AL56" s="161">
        <f t="shared" si="5"/>
        <v>529.1101735</v>
      </c>
      <c r="AM56" s="153">
        <f t="shared" si="6"/>
        <v>822.4435068</v>
      </c>
      <c r="AN56" s="153">
        <f>AVERAGE(OFFSET($AM$3,0,0,'Données projet'!$E$10+1,1))-AVERAGE(OFFSET($H$3,0,0,'Données projet'!$E$10+1,1))</f>
        <v>405.6113614</v>
      </c>
      <c r="AO56" s="153">
        <f t="shared" si="37"/>
        <v>393.0787141</v>
      </c>
      <c r="AP56" s="154">
        <f>IF(ISNA(VLOOKUP(A56,'Données projet'!$A$61:$I$81,3,0)),0,VLOOKUP(A56,'Données projet'!$A$61:$I$81,3,0))</f>
        <v>0</v>
      </c>
      <c r="AQ56" s="154">
        <f>IF(ISNA(VLOOKUP(A56,'Données projet'!$A$61:$I$81,4,0)),0,VLOOKUP(A56,'Données projet'!$A$61:$I$81,4,0))</f>
        <v>0</v>
      </c>
      <c r="AR56" s="155">
        <f>IF(ISNA(VLOOKUP(A56,'Données projet'!$A$61:$I$81,5,0)),0%,VLOOKUP(A56,'Données projet'!$A$61:$I$81,5,0)*VLOOKUP('Données projet'!$B$10,'Paramètres'!$A$1:$I$88,7,0))</f>
        <v>0</v>
      </c>
      <c r="AS56" s="155">
        <f>IF(ISNA(VLOOKUP(A56,'Données projet'!$A$61:$I$81,6,0)),0%,VLOOKUP(A56,'Données projet'!$A$61:$I$81,6,0)*VLOOKUP('Données projet'!$B$10,'Paramètres'!$A$1:$I$88,7,0))</f>
        <v>0</v>
      </c>
      <c r="AT56" s="155">
        <f>IF(ISNA(VLOOKUP(A56,'Données projet'!$A$61:$I$81,7,0)),0%,VLOOKUP(A56,'Données projet'!$A$61:$I$81,7,0))</f>
        <v>0</v>
      </c>
      <c r="AU56" s="162">
        <f>EXP(-LN(2)/35)*AU55+(1-EXP(-LN(2)/35))/(LN(2)/35)*AQ56*AR56*VLOOKUP('Données projet'!$B$10,'Paramètres'!$A$1:$I$88,3,0)*0.475*44/12</f>
        <v>0</v>
      </c>
      <c r="AV56" s="162">
        <f>EXP(-LN(2)/25)*AV55+(1-EXP(-LN(2)/25))/(LN(2)/25)*Calculateur!AQ56*Calculateur!AS56*VLOOKUP('Données projet'!$B$10,'Paramètres'!$A$1:$I$88,3,0)*0.475*44/12</f>
        <v>9.639301118</v>
      </c>
      <c r="AW56" s="162">
        <f>EXP(-LN(2)/2)*AW55+(1-EXP(-LN(2)/2))/(LN(2)/2)*AQ56*AT56*VLOOKUP('Données projet'!$B$10,'Paramètres'!$A$1:$I$88,3,0)*0.475*44/12</f>
        <v>0.0002001554837</v>
      </c>
      <c r="AX56" s="162">
        <f t="shared" si="7"/>
        <v>9.639501274</v>
      </c>
      <c r="AY56" s="157">
        <f>('Scénario référence'!$F$8+'Scénario référence'!$F$9+'Scénario référence'!$B$17+'Scénario référence'!$B$9+'Scénario référence'!$B$10)*70+IF((45+25*(1-EXP(-0.0175*A56)))&lt;70,'Scénario référence'!$B$16*(45+25*(1-EXP(-0.0175*A56))),70*'Scénario référence'!$B$16)+IF((32+38*(1-EXP(-0.0175*A56)))&lt;70,'Scénario référence'!$B$18*(32+38*(1-EXP(-0.0175*A56))),70*'Scénario référence'!$B$18)</f>
        <v>70</v>
      </c>
      <c r="AZ56" s="151">
        <f>IF(A56&gt;30,10,('Scénario référence'!$B$16+'Scénario référence'!$B$17+'Scénario référence'!$B$18+'Scénario référence'!$B$9+'Scénario référence'!$B$10)*A56*10/30+('Scénario référence'!$F$8+'Scénario référence'!$F$9)*10)</f>
        <v>10</v>
      </c>
      <c r="BA56" s="151" t="str">
        <f>VLOOKUP(A56,'Données projet'!$A$87:$I$107,2,0)</f>
        <v>#N/A</v>
      </c>
      <c r="BB56" s="151" t="str">
        <f>VLOOKUP(A56,'Données projet'!$A$87:$I$107,9,0)</f>
        <v>#N/A</v>
      </c>
      <c r="BC56" s="150" t="str">
        <f t="array" ref="BC56">INDEX(BB:BB,MIN(IF(ISNUMBER(BB56:BB252),ROW(BB56:BB252),"")))</f>
        <v/>
      </c>
      <c r="BD56" s="150">
        <f>IF('Données projet'!$A$88&gt;35,BD55+BC56-BL55,IF(A56&lt;'Données projet'!$A$88,$BA$205^A56,IF(A56='Données projet'!$A$88,'Données projet'!$B$88,BD55+BC56-BL55)))</f>
        <v>0</v>
      </c>
      <c r="BE56" s="150">
        <f>BD56*VLOOKUP('Données projet'!$B$11,'Paramètres'!$A$1:$I$88,3,0)*VLOOKUP('Données projet'!$B$11,'Paramètres'!$A$1:$I$88,5,0)</f>
        <v>0</v>
      </c>
      <c r="BF56" s="150" t="str">
        <f t="shared" si="38"/>
        <v>#NUM!</v>
      </c>
      <c r="BG56" s="161" t="str">
        <f t="shared" si="8"/>
        <v>#NUM!</v>
      </c>
      <c r="BH56" s="153" t="str">
        <f t="shared" si="9"/>
        <v>#NUM!</v>
      </c>
      <c r="BI56" s="153">
        <f>AVERAGE(OFFSET($BH$3,0,0,'Données projet'!$E$11+1,1))-AVERAGE(OFFSET($H$3,0,0,'Données projet'!$E$11+1,1))</f>
        <v>0</v>
      </c>
      <c r="BJ56" s="153">
        <f t="shared" si="39"/>
        <v>0</v>
      </c>
      <c r="BK56" s="154">
        <f>IF(ISNA(VLOOKUP(A56,'Données projet'!$A$87:$I$107,3,0)),0,VLOOKUP(A56,'Données projet'!$A$87:$I$107,3,0))</f>
        <v>0</v>
      </c>
      <c r="BL56" s="154">
        <f>IF(ISNA(VLOOKUP(A56,'Données projet'!$A$87:$I$107,4,0)),0,VLOOKUP(A56,'Données projet'!$A$87:$I$107,4,0))</f>
        <v>0</v>
      </c>
      <c r="BM56" s="155">
        <f>IF(ISNA(VLOOKUP(A56,'Données projet'!$A$87:$I$107,5,0)),0%,VLOOKUP(A56,'Données projet'!$A$87:$I$107,5,0)*VLOOKUP('Données projet'!$B$11,'Paramètres'!$A$1:$I$88,7,0))</f>
        <v>0</v>
      </c>
      <c r="BN56" s="155">
        <f>IF(ISNA(VLOOKUP(A56,'Données projet'!$A$87:$I$107,6,0)),0%,VLOOKUP(A56,'Données projet'!$A$87:$I$107,6,0)*VLOOKUP('Données projet'!$B$11,'Paramètres'!$A$1:$I$88,7,0))</f>
        <v>0</v>
      </c>
      <c r="BO56" s="155">
        <f>IF(ISNA(VLOOKUP(A56,'Données projet'!$A$87:$I$107,7,0)),0%,VLOOKUP(A56,'Données projet'!$A$87:$I$107,7,0))</f>
        <v>0</v>
      </c>
      <c r="BP56" s="162">
        <f>EXP(-LN(2)/35)*BP55+(1-EXP(-LN(2)/35))/(LN(2)/35)*BL56*BM56*VLOOKUP('Données projet'!$B$11,'Paramètres'!$A$1:$I$88,3,0)*0.475*44/12</f>
        <v>0</v>
      </c>
      <c r="BQ56" s="162">
        <f>EXP(-LN(2)/25)*BQ55+(1-EXP(-LN(2)/25))/(LN(2)/25)*Calculateur!BL56*Calculateur!BN56*VLOOKUP('Données projet'!$B$11,'Paramètres'!$A$1:$I$88,3,0)*0.475*44/12</f>
        <v>0</v>
      </c>
      <c r="BR56" s="162">
        <f>EXP(-LN(2)/2)*BR55+(1-EXP(-LN(2)/2))/(LN(2)/2)*BL56*BO56*VLOOKUP('Données projet'!$B$11,'Paramètres'!$A$1:$I$88,3,0)*0.475*44/12</f>
        <v>0</v>
      </c>
      <c r="BS56" s="163">
        <f t="shared" si="10"/>
        <v>0</v>
      </c>
      <c r="BT56" s="159">
        <f>('Scénario référence'!$F$8+'Scénario référence'!$F$9+'Scénario référence'!$B$17+'Scénario référence'!$B$9+'Scénario référence'!$B$10)*70+IF((45+25*(1-EXP(-0.0175*A56)))&lt;70,'Scénario référence'!$B$16*(45+25*(1-EXP(-0.0175*A56))),70*'Scénario référence'!$B$16)+IF((32+38*(1-EXP(-0.0175*A56)))&lt;70,'Scénario référence'!$B$18*(32+38*(1-EXP(-0.0175*A56))),70*'Scénario référence'!$B$18)</f>
        <v>70</v>
      </c>
      <c r="BU56" s="151">
        <f>IF(A56&gt;30,10,('Scénario référence'!$B$16+'Scénario référence'!$B$17+'Scénario référence'!$B$18+'Scénario référence'!$B$9+'Scénario référence'!$B$10)*A56*10/30+('Scénario référence'!$F$8+'Scénario référence'!$F$9)*10)</f>
        <v>10</v>
      </c>
      <c r="BV56" s="151" t="str">
        <f>VLOOKUP(A56,'Données projet'!$A$113:$I$133,2,0)</f>
        <v>#N/A</v>
      </c>
      <c r="BW56" s="151" t="str">
        <f>VLOOKUP(A56,'Données projet'!$A$113:$I$133,9,0)</f>
        <v>#N/A</v>
      </c>
      <c r="BX56" s="150" t="str">
        <f t="array" ref="BX56">INDEX(BW:BW,MIN(IF(ISNUMBER(BW56:BW252),ROW(BW56:BW252),"")))</f>
        <v/>
      </c>
      <c r="BY56" s="150">
        <f>IF('Données projet'!$A$114&gt;35,BY55+BX56-CG55,IF(A56&lt;'Données projet'!$A$114,$BV$205^A56,IF(A56='Données projet'!$A$114,'Données projet'!$B$114,BY55+BX56-CG55)))</f>
        <v>0</v>
      </c>
      <c r="BZ56" s="150" t="str">
        <f>BY56*VLOOKUP('Données projet'!$B$12,'Paramètres'!$A$1:$I$88,3,0)*VLOOKUP('Données projet'!$B$12,'Paramètres'!$A$1:$I$88,5,0)</f>
        <v>#N/A</v>
      </c>
      <c r="CA56" s="150" t="str">
        <f t="shared" si="40"/>
        <v>#N/A</v>
      </c>
      <c r="CB56" s="161" t="str">
        <f t="shared" si="11"/>
        <v>#N/A</v>
      </c>
      <c r="CC56" s="153" t="str">
        <f t="shared" si="12"/>
        <v>#N/A</v>
      </c>
      <c r="CD56" s="153" t="str">
        <f>AVERAGE(OFFSET($CC$3,0,0,'Données projet'!$E$12+1,1))-AVERAGE(OFFSET($H$3,0,0,'Données projet'!$E$12+1,1))</f>
        <v>#N/A</v>
      </c>
      <c r="CE56" s="153" t="str">
        <f t="shared" si="41"/>
        <v>#N/A</v>
      </c>
      <c r="CF56" s="154">
        <f>IF(ISNA(VLOOKUP(A56,'Données projet'!$A$113:$I$133,3,0)),0,VLOOKUP(A56,'Données projet'!$A$113:$I$133,3,0))</f>
        <v>0</v>
      </c>
      <c r="CG56" s="154">
        <f>IF(ISNA(VLOOKUP(A56,'Données projet'!$A$113:$I$133,4,0)),0,VLOOKUP(A56,'Données projet'!$A$113:$I$133,4,0))</f>
        <v>0</v>
      </c>
      <c r="CH56" s="155">
        <f>IF(ISNA(VLOOKUP(A56,'Données projet'!$A$113:$I$133,5,0)),0%,VLOOKUP(A56,'Données projet'!$A$113:$I$133,5,0)*VLOOKUP('Données projet'!$B$12,'Paramètres'!$A$1:$I$88,7,0))</f>
        <v>0</v>
      </c>
      <c r="CI56" s="155">
        <f>IF(ISNA(VLOOKUP(A56,'Données projet'!$A$113:$I$133,6,0)),0%,VLOOKUP(A56,'Données projet'!$A$113:$I$133,6,0)*VLOOKUP('Données projet'!$B$12,'Paramètres'!$A$1:$I$88,7,0))</f>
        <v>0</v>
      </c>
      <c r="CJ56" s="155">
        <f>IF(ISNA(VLOOKUP(A56,'Données projet'!$A$113:$I$133,7,0)),0%,VLOOKUP(A56,'Données projet'!$A$113:$I$133,7,0))</f>
        <v>0</v>
      </c>
      <c r="CK56" s="162" t="str">
        <f>EXP(-LN(2)/35)*CK55+(1-EXP(-LN(2)/35))/(LN(2)/35)*CG56*CH56*VLOOKUP('Données projet'!$B$12,'Paramètres'!$A$1:$I$88,3,0)*0.475*44/12</f>
        <v>#N/A</v>
      </c>
      <c r="CL56" s="162" t="str">
        <f>EXP(-LN(2)/25)*CL55+(1-EXP(-LN(2)/25))/(LN(2)/25)*Calculateur!CG56*Calculateur!CI56*VLOOKUP('Données projet'!$B$12,'Paramètres'!$A$1:$I$88,3,0)*0.475*44/12</f>
        <v>#N/A</v>
      </c>
      <c r="CM56" s="162" t="str">
        <f>EXP(-LN(2)/2)*CM55+(1-EXP(-LN(2)/2))/(LN(2)/2)*CG56*CJ56*VLOOKUP('Données projet'!$B$12,'Paramètres'!$A$1:$I$88,3,0)*0.475*44/12</f>
        <v>#N/A</v>
      </c>
      <c r="CN56" s="163" t="str">
        <f t="shared" si="13"/>
        <v>#N/A</v>
      </c>
      <c r="CO56" s="159">
        <f>('Scénario référence'!$F$8+'Scénario référence'!$F$9+'Scénario référence'!$B$17+'Scénario référence'!$B$9+'Scénario référence'!$B$10)*70+IF((45+25*(1-EXP(-0.0175*A56)))&lt;70,'Scénario référence'!$B$16*(45+25*(1-EXP(-0.0175*A56))),70*'Scénario référence'!$B$16)+IF((32+38*(1-EXP(-0.0175*A56)))&lt;70,'Scénario référence'!$B$18*(32+38*(1-EXP(-0.0175*A56))),70*'Scénario référence'!$B$18)</f>
        <v>70</v>
      </c>
      <c r="CP56" s="151">
        <f>IF(A56&gt;30,10,('Scénario référence'!$B$16+'Scénario référence'!$B$17+'Scénario référence'!$B$18+'Scénario référence'!$B$9+'Scénario référence'!$B$10)*A56*10/30+('Scénario référence'!$F$8+'Scénario référence'!$F$9)*10)</f>
        <v>10</v>
      </c>
      <c r="CQ56" s="151" t="str">
        <f>VLOOKUP(A56,'Données projet'!$A$139:$I$159,2,0)</f>
        <v>#N/A</v>
      </c>
      <c r="CR56" s="151" t="str">
        <f>VLOOKUP(A56,'Données projet'!$A$139:$I$159,9,0)</f>
        <v>#N/A</v>
      </c>
      <c r="CS56" s="151" t="str">
        <f t="array" ref="CS56">INDEX(CR:CR,MIN(IF(ISNUMBER(CR56:CR252),ROW(CR56:CR252),"")))</f>
        <v/>
      </c>
      <c r="CT56" s="151">
        <f>IF('Données projet'!$A$140&gt;35,CT55+CS56-DB55,IF(A56&lt;'Données projet'!$A$140,$CQ$205^A56,IF(A56='Données projet'!$A$140,'Données projet'!$B$140,CT55+CS56-DB55)))</f>
        <v>0</v>
      </c>
      <c r="CU56" s="158" t="str">
        <f>CT56*VLOOKUP('Données projet'!$B$13,'Paramètres'!$A$1:$I$88,3,0)*VLOOKUP('Données projet'!$B$13,'Paramètres'!$A$1:$I$88,5,0)</f>
        <v>#N/A</v>
      </c>
      <c r="CV56" s="150" t="str">
        <f t="shared" si="42"/>
        <v>#N/A</v>
      </c>
      <c r="CW56" s="161" t="str">
        <f t="shared" si="14"/>
        <v>#N/A</v>
      </c>
      <c r="CX56" s="153" t="str">
        <f t="shared" si="15"/>
        <v>#N/A</v>
      </c>
      <c r="CY56" s="153" t="str">
        <f>AVERAGE(OFFSET($CX$3,0,0,'Données projet'!$E$13+1,1))-AVERAGE(OFFSET($H$3,0,0,'Données projet'!$E$13+1,1))</f>
        <v>#N/A</v>
      </c>
      <c r="CZ56" s="153" t="str">
        <f t="shared" si="43"/>
        <v>#N/A</v>
      </c>
      <c r="DA56" s="154">
        <f>IF(ISNA(VLOOKUP(A56,'Données projet'!$A$139:$I$159,3,0)),0,VLOOKUP(A56,'Données projet'!$A$139:$I$159,3,0))</f>
        <v>0</v>
      </c>
      <c r="DB56" s="154">
        <f>IF(ISNA(VLOOKUP(A56,'Données projet'!$A$139:$I$159,4,0)),0,VLOOKUP(A56,'Données projet'!$A$139:$I$159,4,0))</f>
        <v>0</v>
      </c>
      <c r="DC56" s="155">
        <f>IF(ISNA(VLOOKUP(A56,'Données projet'!$A$139:$I$159,5,0)),0%,VLOOKUP(A56,'Données projet'!$A$139:$I$159,5,0)*VLOOKUP('Données projet'!$B$13,'Paramètres'!$A$1:$I$88,7,0))</f>
        <v>0</v>
      </c>
      <c r="DD56" s="155">
        <f>IF(ISNA(VLOOKUP(A56,'Données projet'!$A$139:$I$159,6,0)),0%,VLOOKUP(A56,'Données projet'!$A$139:$I$159,6,0)*VLOOKUP('Données projet'!$B$13,'Paramètres'!$A$1:$I$88,7,0))</f>
        <v>0</v>
      </c>
      <c r="DE56" s="155">
        <f>IF(ISNA(VLOOKUP(A56,'Données projet'!$A$139:$I$159,7,0)),0%,VLOOKUP(A56,'Données projet'!$A$139:$I$159,7,0))</f>
        <v>0</v>
      </c>
      <c r="DF56" s="162" t="str">
        <f>EXP(-LN(2)/35)*DF55+(1-EXP(-LN(2)/35))/(LN(2)/35)*DB56*DC56*VLOOKUP('Données projet'!$B$13,'Paramètres'!$A$1:$I$88,3,0)*0.475*44/12</f>
        <v>#N/A</v>
      </c>
      <c r="DG56" s="162" t="str">
        <f>EXP(-LN(2)/25)*DG55+(1-EXP(-LN(2)/25))/(LN(2)/25)*Calculateur!DB56*Calculateur!DD56*VLOOKUP('Données projet'!$B$13,'Paramètres'!$A$1:$I$88,3,0)*0.475*44/12</f>
        <v>#N/A</v>
      </c>
      <c r="DH56" s="162" t="str">
        <f>EXP(-LN(2)/2)*DH55+(1-EXP(-LN(2)/2))/(LN(2)/2)*DB56*DE56*VLOOKUP('Données projet'!$B$13,'Paramètres'!$A$1:$I$88,3,0)*0.475*44/12</f>
        <v>#N/A</v>
      </c>
      <c r="DI56" s="163" t="str">
        <f t="shared" si="16"/>
        <v>#N/A</v>
      </c>
      <c r="DJ56" s="159">
        <f>('Scénario référence'!$F$8+'Scénario référence'!$F$9+'Scénario référence'!$B$17+'Scénario référence'!$B$9+'Scénario référence'!$B$10)*70+IF((45+25*(1-EXP(-0.0175*A56)))&lt;70,'Scénario référence'!$B$16*(45+25*(1-EXP(-0.0175*A56))),70*'Scénario référence'!$B$16)+IF((32+38*(1-EXP(-0.0175*A56)))&lt;70,'Scénario référence'!$B$18*(32+38*(1-EXP(-0.0175*A56))),70*'Scénario référence'!$B$18)</f>
        <v>70</v>
      </c>
      <c r="DK56" s="151">
        <f>IF(A56&gt;30,10,('Scénario référence'!$B$16+'Scénario référence'!$B$17+'Scénario référence'!$B$18+'Scénario référence'!$B$9+'Scénario référence'!$B$10)*A56*10/30+('Scénario référence'!$F$8+'Scénario référence'!$F$9)*10)</f>
        <v>10</v>
      </c>
      <c r="DL56" s="151" t="str">
        <f>VLOOKUP(A56,'Données projet'!$A$165:$I$185,2,0)</f>
        <v>#N/A</v>
      </c>
      <c r="DM56" s="151" t="str">
        <f>VLOOKUP(A56,'Données projet'!$A$165:$I$185,9,0)</f>
        <v>#N/A</v>
      </c>
      <c r="DN56" s="151" t="str">
        <f t="array" ref="DN56">INDEX(DM:DM,MIN(IF(ISNUMBER(DM56:DM252),ROW(DM56:DM252),"")))</f>
        <v/>
      </c>
      <c r="DO56" s="151">
        <f>IF('Données projet'!$A$166&gt;35,DO55+DN56-DW55,IF(A56&lt;'Données projet'!$A$166,$DL$205^A56,IF(A56='Données projet'!$A$166,'Données projet'!$B$166,DO55+DN56-DW55)))</f>
        <v>0</v>
      </c>
      <c r="DP56" s="158" t="str">
        <f>DO56*VLOOKUP('Données projet'!$B$14,'Paramètres'!$A$1:$I$88,3,0)*VLOOKUP('Données projet'!$B$14,'Paramètres'!$A$1:$I$88,5,0)</f>
        <v>#N/A</v>
      </c>
      <c r="DQ56" s="150" t="str">
        <f t="shared" si="44"/>
        <v>#N/A</v>
      </c>
      <c r="DR56" s="161" t="str">
        <f t="shared" si="17"/>
        <v>#N/A</v>
      </c>
      <c r="DS56" s="153" t="str">
        <f t="shared" si="18"/>
        <v>#N/A</v>
      </c>
      <c r="DT56" s="153" t="str">
        <f>AVERAGE(OFFSET($DS$3,0,0,'Données projet'!$E$14+1,1))-AVERAGE(OFFSET($H$3,0,0,'Données projet'!$E$14+1,1))</f>
        <v>#N/A</v>
      </c>
      <c r="DU56" s="153" t="str">
        <f t="shared" si="45"/>
        <v>#N/A</v>
      </c>
      <c r="DV56" s="154">
        <f>IF(ISNA(VLOOKUP(A56,'Données projet'!$A$165:$I$185,3,0)),0,VLOOKUP(A56,'Données projet'!$A$165:$I$185,3,0))</f>
        <v>0</v>
      </c>
      <c r="DW56" s="154">
        <f>IF(ISNA(VLOOKUP(A56,'Données projet'!$A$165:$I$185,4,0)),0,VLOOKUP(A56,'Données projet'!$A$165:$I$185,4,0))</f>
        <v>0</v>
      </c>
      <c r="DX56" s="155">
        <f>IF(ISNA(VLOOKUP(A56,'Données projet'!$A$165:$I$185,5,0)),0%,VLOOKUP(A56,'Données projet'!$A$165:$I$185,5,0)*VLOOKUP('Données projet'!$B$14,'Paramètres'!$A$1:$I$88,7,0))</f>
        <v>0</v>
      </c>
      <c r="DY56" s="155">
        <f>IF(ISNA(VLOOKUP(A56,'Données projet'!$A$165:$I$185,6,0)),0%,VLOOKUP(A56,'Données projet'!$A$165:$I$185,6,0)*VLOOKUP('Données projet'!$B$14,'Paramètres'!$A$1:$I$88,7,0))</f>
        <v>0</v>
      </c>
      <c r="DZ56" s="155">
        <f>IF(ISNA(VLOOKUP(A56,'Données projet'!$A$165:$I$185,7,0)),0%,VLOOKUP(A56,'Données projet'!$A$165:$I$185,7,0))</f>
        <v>0</v>
      </c>
      <c r="EA56" s="162" t="str">
        <f>EXP(-LN(2)/35)*EA55+(1-EXP(-LN(2)/35))/(LN(2)/35)*DW56*DX56*VLOOKUP('Données projet'!$B$14,'Paramètres'!$A$1:$I$88,3,0)*0.475*44/12</f>
        <v>#N/A</v>
      </c>
      <c r="EB56" s="162" t="str">
        <f>EXP(-LN(2)/25)*EB55+(1-EXP(-LN(2)/25))/(LN(2)/25)*Calculateur!DW56*Calculateur!DY56*VLOOKUP('Données projet'!$B$14,'Paramètres'!$A$1:$I$88,3,0)*0.475*44/12</f>
        <v>#N/A</v>
      </c>
      <c r="EC56" s="162" t="str">
        <f>EXP(-LN(2)/2)*EC55+(1-EXP(-LN(2)/2))/(LN(2)/2)*DW56*DZ56*VLOOKUP('Données projet'!$B$14,'Paramètres'!$A$1:$I$88,3,0)*0.475*44/12</f>
        <v>#N/A</v>
      </c>
      <c r="ED56" s="163" t="str">
        <f t="shared" si="19"/>
        <v>#N/A</v>
      </c>
      <c r="EE56" s="159">
        <f>('Scénario référence'!$F$8+'Scénario référence'!$F$9+'Scénario référence'!$B$17+'Scénario référence'!$B$9+'Scénario référence'!$B$10)*70+IF((45+25*(1-EXP(-0.0175*A56)))&lt;70,'Scénario référence'!$B$16*(45+25*(1-EXP(-0.0175*A56))),70*'Scénario référence'!$B$16)+IF((32+38*(1-EXP(-0.0175*A56)))&lt;70,'Scénario référence'!$B$18*(32+38*(1-EXP(-0.0175*A56))),70*'Scénario référence'!$B$18)</f>
        <v>70</v>
      </c>
      <c r="EF56" s="151">
        <f>IF(A56&gt;30,10,('Scénario référence'!$B$16+'Scénario référence'!$B$17+'Scénario référence'!$B$18+'Scénario référence'!$B$9+'Scénario référence'!$B$10)*A56*10/30+('Scénario référence'!$F$8+'Scénario référence'!$F$9)*10)</f>
        <v>10</v>
      </c>
      <c r="EG56" s="151" t="str">
        <f>VLOOKUP(A56,'Données projet'!$A$191:$I$211,2,0)</f>
        <v>#N/A</v>
      </c>
      <c r="EH56" s="151" t="str">
        <f>VLOOKUP(A56,'Données projet'!$A$191:$I$211,9,0)</f>
        <v>#N/A</v>
      </c>
      <c r="EI56" s="151" t="str">
        <f t="array" ref="EI56">INDEX(EH:EH,MIN(IF(ISNUMBER(EH56:EH252),ROW(EH56:EH252),"")))</f>
        <v/>
      </c>
      <c r="EJ56" s="151">
        <f>IF('Données projet'!$A$192&gt;35,EJ55+EI56-ER55,IF(A56&lt;'Données projet'!$A$192,$EG$205^A56,IF(A56='Données projet'!$A$192,'Données projet'!$B$192,EJ55+EI56-ER55)))</f>
        <v>0</v>
      </c>
      <c r="EK56" s="158" t="str">
        <f>EJ56*VLOOKUP('Données projet'!$B$15,'Paramètres'!$A$1:$I$88,3,0)*VLOOKUP('Données projet'!$B$15,'Paramètres'!$A$1:$I$88,5,0)</f>
        <v>#N/A</v>
      </c>
      <c r="EL56" s="150" t="str">
        <f t="shared" si="46"/>
        <v>#N/A</v>
      </c>
      <c r="EM56" s="161" t="str">
        <f t="shared" si="20"/>
        <v>#N/A</v>
      </c>
      <c r="EN56" s="153" t="str">
        <f t="shared" si="21"/>
        <v>#N/A</v>
      </c>
      <c r="EO56" s="153" t="str">
        <f>AVERAGE(OFFSET($EN$3,0,0,'Données projet'!$E$15+1,1))-AVERAGE(OFFSET($H$3,0,0,'Données projet'!$E$15+1,1))</f>
        <v>#N/A</v>
      </c>
      <c r="EP56" s="153" t="str">
        <f t="shared" si="47"/>
        <v>#N/A</v>
      </c>
      <c r="EQ56" s="154">
        <f>IF(ISNA(VLOOKUP(A56,'Données projet'!$A$191:$I$211,3,0)),0,VLOOKUP(A56,'Données projet'!$A$191:$I$211,3,0))</f>
        <v>0</v>
      </c>
      <c r="ER56" s="154">
        <f>IF(ISNA(VLOOKUP(A56,'Données projet'!$A$191:$I$211,4,0)),0,VLOOKUP(A56,'Données projet'!$A$191:$I$211,4,0))</f>
        <v>0</v>
      </c>
      <c r="ES56" s="155">
        <f>IF(ISNA(VLOOKUP(A56,'Données projet'!$A$191:$I$211,5,0)),0%,VLOOKUP(A56,'Données projet'!$A$191:$I$211,5,0)*VLOOKUP('Données projet'!$B$15,'Paramètres'!$A$1:$I$88,7,0))</f>
        <v>0</v>
      </c>
      <c r="ET56" s="155">
        <f>IF(ISNA(VLOOKUP(A56,'Données projet'!$A$191:$I$211,6,0)),0%,VLOOKUP(A56,'Données projet'!$A$191:$I$211,6,0)*VLOOKUP('Données projet'!$B$15,'Paramètres'!$A$1:$I$88,7,0))</f>
        <v>0</v>
      </c>
      <c r="EU56" s="155">
        <f>IF(ISNA(VLOOKUP(A56,'Données projet'!$A$191:$I$211,7,0)),0%,VLOOKUP(A56,'Données projet'!$A$191:$I$211,7,0))</f>
        <v>0</v>
      </c>
      <c r="EV56" s="162" t="str">
        <f>EXP(-LN(2)/35)*EV55+(1-EXP(-LN(2)/35))/(LN(2)/35)*ER56*ES56*VLOOKUP('Données projet'!$B$15,'Paramètres'!$A$1:$I$88,3,0)*0.475*44/12</f>
        <v>#N/A</v>
      </c>
      <c r="EW56" s="162" t="str">
        <f>EXP(-LN(2)/25)*EW55+(1-EXP(-LN(2)/25))/(LN(2)/25)*Calculateur!ER56*Calculateur!ET56*VLOOKUP('Données projet'!$B$15,'Paramètres'!$A$1:$I$88,3,0)*0.475*44/12</f>
        <v>#N/A</v>
      </c>
      <c r="EX56" s="162" t="str">
        <f>EXP(-LN(2)/2)*EX55+(1-EXP(-LN(2)/2))/(LN(2)/2)*ER56*EU56*VLOOKUP('Données projet'!$B$15,'Paramètres'!$A$1:$I$88,3,0)*0.475*44/12</f>
        <v>#N/A</v>
      </c>
      <c r="EY56" s="163" t="str">
        <f t="shared" si="22"/>
        <v>#N/A</v>
      </c>
      <c r="EZ56" s="159">
        <f>('Scénario référence'!$F$8+'Scénario référence'!$F$9+'Scénario référence'!$B$17+'Scénario référence'!$B$9+'Scénario référence'!$B$10)*70+IF((45+25*(1-EXP(-0.0175*A56)))&lt;70,'Scénario référence'!$B$16*(45+25*(1-EXP(-0.0175*A56))),70*'Scénario référence'!$B$16)+IF((32+38*(1-EXP(-0.0175*A56)))&lt;70,'Scénario référence'!$B$18*(32+38*(1-EXP(-0.0175*A56))),70*'Scénario référence'!$B$18)</f>
        <v>70</v>
      </c>
      <c r="FA56" s="151">
        <f>IF(A56&gt;30,10,('Scénario référence'!$B$16+'Scénario référence'!$B$17+'Scénario référence'!$B$18+'Scénario référence'!$B$9+'Scénario référence'!$B$10)*A56*10/30+('Scénario référence'!$F$8+'Scénario référence'!$F$9)*10)</f>
        <v>10</v>
      </c>
      <c r="FB56" s="151" t="str">
        <f>VLOOKUP(A56,'Données projet'!$A$217:$I$237,2,0)</f>
        <v>#N/A</v>
      </c>
      <c r="FC56" s="151" t="str">
        <f>VLOOKUP(A56,'Données projet'!$A$217:$I$237,9,0)</f>
        <v>#N/A</v>
      </c>
      <c r="FD56" s="151" t="str">
        <f t="array" ref="FD56">INDEX(FC:FC,MIN(IF(ISNUMBER(FC56:FC252),ROW(FC56:FC252),"")))</f>
        <v/>
      </c>
      <c r="FE56" s="151">
        <f>IF('Données projet'!$A$218&gt;35,FE55+FD56-FM55,IF(A56&lt;'Données projet'!$A$218,$FB$205^A56,IF(A56='Données projet'!$A$218,'Données projet'!$B$218,FE55+FD56-FM55)))</f>
        <v>0</v>
      </c>
      <c r="FF56" s="158" t="str">
        <f>FE56*VLOOKUP('Données projet'!$B$16,'Paramètres'!$A$1:$I$88,3,0)*VLOOKUP('Données projet'!$B$16,'Paramètres'!$A$1:$I$88,5,0)</f>
        <v>#N/A</v>
      </c>
      <c r="FG56" s="150" t="str">
        <f t="shared" si="48"/>
        <v>#N/A</v>
      </c>
      <c r="FH56" s="161" t="str">
        <f t="shared" si="23"/>
        <v>#N/A</v>
      </c>
      <c r="FI56" s="153" t="str">
        <f t="shared" si="24"/>
        <v>#N/A</v>
      </c>
      <c r="FJ56" s="153" t="str">
        <f>AVERAGE(OFFSET($FI$3,0,0,'Données projet'!$E$16+1,1))-AVERAGE(OFFSET($H$3,0,0,'Données projet'!$E$16+1,1))</f>
        <v>#N/A</v>
      </c>
      <c r="FK56" s="153" t="str">
        <f t="shared" si="49"/>
        <v>#N/A</v>
      </c>
      <c r="FL56" s="154">
        <f>IF(ISNA(VLOOKUP(A56,'Données projet'!$A$217:$I$237,3,0)),0,VLOOKUP(A56,'Données projet'!$A$217:$I$237,3,0))</f>
        <v>0</v>
      </c>
      <c r="FM56" s="154">
        <f>IF(ISNA(VLOOKUP(A56,'Données projet'!$A$217:$I$237,4,0)),0,VLOOKUP(A56,'Données projet'!$A$217:$I$237,4,0))</f>
        <v>0</v>
      </c>
      <c r="FN56" s="155">
        <f>IF(ISNA(VLOOKUP(A56,'Données projet'!$A$217:$I$237,5,0)),0%,VLOOKUP(A56,'Données projet'!$A$217:$I$237,5,0)*VLOOKUP('Données projet'!$B$16,'Paramètres'!$A$1:$I$88,7,0))</f>
        <v>0</v>
      </c>
      <c r="FO56" s="155">
        <f>IF(ISNA(VLOOKUP(A56,'Données projet'!$A$217:$I$237,6,0)),0%,VLOOKUP(A56,'Données projet'!$A$217:$I$237,6,0)*VLOOKUP('Données projet'!$B$16,'Paramètres'!$A$1:$I$88,7,0))</f>
        <v>0</v>
      </c>
      <c r="FP56" s="155">
        <f>IF(ISNA(VLOOKUP(A56,'Données projet'!$A$217:$I$237,7,0)),0%,VLOOKUP(A56,'Données projet'!$A$217:$I$237,7,0))</f>
        <v>0</v>
      </c>
      <c r="FQ56" s="162" t="str">
        <f>EXP(-LN(2)/35)*FQ55+(1-EXP(-LN(2)/35))/(LN(2)/35)*FM56*FN56*VLOOKUP('Données projet'!$B$16,'Paramètres'!$A$1:$I$88,3,0)*0.475*44/12</f>
        <v>#N/A</v>
      </c>
      <c r="FR56" s="162" t="str">
        <f>EXP(-LN(2)/25)*FR55+(1-EXP(-LN(2)/25))/(LN(2)/25)*Calculateur!FM56*Calculateur!FO56*VLOOKUP('Données projet'!$B$16,'Paramètres'!$A$1:$I$88,3,0)*0.475*44/12</f>
        <v>#N/A</v>
      </c>
      <c r="FS56" s="162" t="str">
        <f>EXP(-LN(2)/2)*FS55+(1-EXP(-LN(2)/2))/(LN(2)/2)*FM56*FP56*VLOOKUP('Données projet'!$B$16,'Paramètres'!$A$1:$I$88,3,0)*0.475*44/12</f>
        <v>#N/A</v>
      </c>
      <c r="FT56" s="163" t="str">
        <f t="shared" si="25"/>
        <v>#N/A</v>
      </c>
      <c r="FU56" s="159">
        <f>('Scénario référence'!$F$8+'Scénario référence'!$F$9+'Scénario référence'!$B$17+'Scénario référence'!$B$9+'Scénario référence'!$B$10)*70+IF((45+25*(1-EXP(-0.0175*A56)))&lt;70,'Scénario référence'!$B$16*(45+25*(1-EXP(-0.0175*A56))),70*'Scénario référence'!$B$16)+IF((32+38*(1-EXP(-0.0175*A56)))&lt;70,'Scénario référence'!$B$18*(32+38*(1-EXP(-0.0175*A56))),70*'Scénario référence'!$B$18)</f>
        <v>70</v>
      </c>
      <c r="FV56" s="151">
        <f>IF(A56&gt;30,10,('Scénario référence'!$B$16+'Scénario référence'!$B$17+'Scénario référence'!$B$18+'Scénario référence'!$B$9+'Scénario référence'!$B$10)*A56*10/30+('Scénario référence'!$F$8+'Scénario référence'!$F$9)*10)</f>
        <v>10</v>
      </c>
      <c r="FW56" s="151" t="str">
        <f>VLOOKUP(A56,'Données projet'!$A$243:$I$263,2,0)</f>
        <v>#N/A</v>
      </c>
      <c r="FX56" s="151" t="str">
        <f>VLOOKUP(A56,'Données projet'!$A$243:$I$263,9,0)</f>
        <v>#N/A</v>
      </c>
      <c r="FY56" s="151" t="str">
        <f t="array" ref="FY56">INDEX(FX:FX,MIN(IF(ISNUMBER(FX56:FX252),ROW(FX56:FX252),"")))</f>
        <v/>
      </c>
      <c r="FZ56" s="151">
        <f>IF('Données projet'!$A$244&gt;35,FZ55+FY56-GH55,IF(A56&lt;'Données projet'!$A$244,$FW$205^A56,IF(A56='Données projet'!$A$244,'Données projet'!$B$244,FZ55+FY56-GH55)))</f>
        <v>0</v>
      </c>
      <c r="GA56" s="158" t="str">
        <f>FZ56*VLOOKUP('Données projet'!$B$17,'Paramètres'!$A$1:$I$88,3,0)*VLOOKUP('Données projet'!$B$17,'Paramètres'!$A$1:$I$88,5,0)</f>
        <v>#N/A</v>
      </c>
      <c r="GB56" s="150" t="str">
        <f t="shared" si="50"/>
        <v>#N/A</v>
      </c>
      <c r="GC56" s="161" t="str">
        <f t="shared" si="26"/>
        <v>#N/A</v>
      </c>
      <c r="GD56" s="153" t="str">
        <f t="shared" si="27"/>
        <v>#N/A</v>
      </c>
      <c r="GE56" s="153" t="str">
        <f>AVERAGE(OFFSET($GD$3,0,0,'Données projet'!$E$17+1,1))-AVERAGE(OFFSET($H$3,0,0,'Données projet'!$E$17+1,1))</f>
        <v>#N/A</v>
      </c>
      <c r="GF56" s="153" t="str">
        <f t="shared" si="51"/>
        <v>#N/A</v>
      </c>
      <c r="GG56" s="154">
        <f>IF(ISNA(VLOOKUP(A56,'Données projet'!$A$243:$I$263,3,0)),0,VLOOKUP(A56,'Données projet'!$A$243:$I$263,3,0))</f>
        <v>0</v>
      </c>
      <c r="GH56" s="154">
        <f>IF(ISNA(VLOOKUP(A56,'Données projet'!$A$243:$I$263,4,0)),0,VLOOKUP(A56,'Données projet'!$A$243:$I$263,4,0))</f>
        <v>0</v>
      </c>
      <c r="GI56" s="155">
        <f>IF(ISNA(VLOOKUP(A56,'Données projet'!$A$243:$I$263,5,0)),0%,VLOOKUP(A56,'Données projet'!$A$243:$I$263,5,0)*VLOOKUP('Données projet'!$B$17,'Paramètres'!$A$1:$I$88,7,0))</f>
        <v>0</v>
      </c>
      <c r="GJ56" s="155">
        <f>IF(ISNA(VLOOKUP(A56,'Données projet'!$A$243:$I$263,6,0)),0%,VLOOKUP(A56,'Données projet'!$A$243:$I$263,6,0)*VLOOKUP('Données projet'!$B$17,'Paramètres'!$A$1:$I$88,7,0))</f>
        <v>0</v>
      </c>
      <c r="GK56" s="155">
        <f>IF(ISNA(VLOOKUP(A56,'Données projet'!$A$243:$I$263,7,0)),0%,VLOOKUP(A56,'Données projet'!$A$243:$I$263,7,0))</f>
        <v>0</v>
      </c>
      <c r="GL56" s="162" t="str">
        <f>EXP(-LN(2)/35)*GL55+(1-EXP(-LN(2)/35))/(LN(2)/35)*GH56*GI56*VLOOKUP('Données projet'!$B$17,'Paramètres'!$A$1:$I$88,3,0)*0.475*44/12</f>
        <v>#N/A</v>
      </c>
      <c r="GM56" s="162" t="str">
        <f>EXP(-LN(2)/25)*GM55+(1-EXP(-LN(2)/25))/(LN(2)/25)*Calculateur!GH56*Calculateur!GJ56*VLOOKUP('Données projet'!$B$17,'Paramètres'!$A$1:$I$88,3,0)*0.475*44/12</f>
        <v>#N/A</v>
      </c>
      <c r="GN56" s="162" t="str">
        <f>EXP(-LN(2)/2)*GN55+(1-EXP(-LN(2)/2))/(LN(2)/2)*GH56*GK56*VLOOKUP('Données projet'!$B$17,'Paramètres'!$A$1:$I$88,3,0)*0.475*44/12</f>
        <v>#N/A</v>
      </c>
      <c r="GO56" s="162" t="str">
        <f t="shared" si="28"/>
        <v>#N/A</v>
      </c>
      <c r="GP56" s="159">
        <f>('Scénario référence'!$F$8+'Scénario référence'!$F$9+'Scénario référence'!$B$17+'Scénario référence'!$B$9+'Scénario référence'!$B$10)*70+IF((45+25*(1-EXP(-0.0175*A56)))&lt;70,'Scénario référence'!$B$16*(45+25*(1-EXP(-0.0175*A56))),70*'Scénario référence'!$B$16)+IF((32+38*(1-EXP(-0.0175*A56)))&lt;70,'Scénario référence'!$B$18*(32+38*(1-EXP(-0.0175*A56))),70*'Scénario référence'!$B$18)</f>
        <v>70</v>
      </c>
      <c r="GQ56" s="151">
        <f>IF(A56&gt;30,10,('Scénario référence'!$B$16+'Scénario référence'!$B$17+'Scénario référence'!$B$18+'Scénario référence'!$B$9+'Scénario référence'!$B$10)*A56*10/30+('Scénario référence'!$F$8+'Scénario référence'!$F$9)*10)</f>
        <v>10</v>
      </c>
      <c r="GR56" s="151" t="str">
        <f>VLOOKUP(A56,'Données projet'!$A$269:$I$289,2,0)</f>
        <v>#N/A</v>
      </c>
      <c r="GS56" s="151" t="str">
        <f>VLOOKUP(A56,'Données projet'!$A$269:$I$289,9,0)</f>
        <v>#N/A</v>
      </c>
      <c r="GT56" s="151" t="str">
        <f t="array" ref="GT56">INDEX(GS:GS,MIN(IF(ISNUMBER(GS56:GS252),ROW(GS56:GS252),"")))</f>
        <v/>
      </c>
      <c r="GU56" s="151">
        <f>IF('Données projet'!$A$270&gt;35,GU55+GT56-HC55,IF(A56&lt;'Données projet'!$A$270,$GR$205^A56,IF(A56='Données projet'!$A$270,'Données projet'!$B$270,GU55+GT56-HC55)))</f>
        <v>0</v>
      </c>
      <c r="GV56" s="158" t="str">
        <f>GU56*VLOOKUP('Données projet'!$B$18,'Paramètres'!$A$1:$I$88,3,0)*VLOOKUP('Données projet'!$B$18,'Paramètres'!$A$1:$I$88,5,0)</f>
        <v>#N/A</v>
      </c>
      <c r="GW56" s="150" t="str">
        <f t="shared" si="52"/>
        <v>#N/A</v>
      </c>
      <c r="GX56" s="161" t="str">
        <f t="shared" si="29"/>
        <v>#N/A</v>
      </c>
      <c r="GY56" s="153" t="str">
        <f t="shared" si="30"/>
        <v>#N/A</v>
      </c>
      <c r="GZ56" s="153" t="str">
        <f>AVERAGE(OFFSET($GY$3,0,0,'Données projet'!$E$18+1,1))-AVERAGE(OFFSET($H$3,0,0,'Données projet'!$E$18+1,1))</f>
        <v>#N/A</v>
      </c>
      <c r="HA56" s="153" t="str">
        <f t="shared" si="53"/>
        <v>#N/A</v>
      </c>
      <c r="HB56" s="154">
        <f>IF(ISNA(VLOOKUP(A56,'Données projet'!$A$269:$I$289,3,0)),0,VLOOKUP(A56,'Données projet'!$A$269:$I$289,3,0))</f>
        <v>0</v>
      </c>
      <c r="HC56" s="154">
        <f>IF(ISNA(VLOOKUP(A56,'Données projet'!$A$269:$I$289,4,0)),0,VLOOKUP(A56,'Données projet'!$A$269:$I$289,4,0))</f>
        <v>0</v>
      </c>
      <c r="HD56" s="155">
        <f>IF(ISNA(VLOOKUP(A56,'Données projet'!$A$269:$I$289,5,0)),0%,VLOOKUP(A56,'Données projet'!$A$269:$I$289,5,0)*VLOOKUP('Données projet'!$B$18,'Paramètres'!$A$1:$I$88,7,0))</f>
        <v>0</v>
      </c>
      <c r="HE56" s="155">
        <f>IF(ISNA(VLOOKUP(A56,'Données projet'!$A$269:$I$289,6,0)),0%,VLOOKUP(A56,'Données projet'!$A$269:$I$289,6,0)*VLOOKUP('Données projet'!$B$18,'Paramètres'!$A$1:$I$88,7,0))</f>
        <v>0</v>
      </c>
      <c r="HF56" s="155">
        <f>IF(ISNA(VLOOKUP(A56,'Données projet'!$A$269:$I$289,7,0)),0%,VLOOKUP(A56,'Données projet'!$A$269:$I$289,7,0))</f>
        <v>0</v>
      </c>
      <c r="HG56" s="162" t="str">
        <f>EXP(-LN(2)/35)*HG55+(1-EXP(-LN(2)/35))/(LN(2)/35)*HC56*HD56*VLOOKUP('Données projet'!$B$18,'Paramètres'!$A$1:$I$88,3,0)*0.475*44/12</f>
        <v>#N/A</v>
      </c>
      <c r="HH56" s="162" t="str">
        <f>EXP(-LN(2)/25)*HH55+(1-EXP(-LN(2)/25))/(LN(2)/25)*Calculateur!HC56*Calculateur!HE56*VLOOKUP('Données projet'!$B$18,'Paramètres'!$A$1:$I$88,3,0)*0.475*44/12</f>
        <v>#N/A</v>
      </c>
      <c r="HI56" s="162" t="str">
        <f>EXP(-LN(2)/2)*HI55+(1-EXP(-LN(2)/2))/(LN(2)/2)*HC56*HF56*VLOOKUP('Données projet'!$B$18,'Paramètres'!$A$1:$I$88,3,0)*0.475*44/12</f>
        <v>#N/A</v>
      </c>
      <c r="HJ56" s="163" t="str">
        <f t="shared" si="31"/>
        <v>#N/A</v>
      </c>
    </row>
    <row r="57" ht="15.75" customHeight="1">
      <c r="A57" s="145">
        <f t="shared" si="32"/>
        <v>54</v>
      </c>
      <c r="B57" s="146">
        <f>'Scénario référence'!$B$16*5+'Scénario référence'!$B$17*0+'Scénario référence'!$B$18*5</f>
        <v>0</v>
      </c>
      <c r="C57" s="160">
        <f>Calculateur!C56+'Scénario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57" s="147">
        <f t="shared" si="33"/>
        <v>0</v>
      </c>
      <c r="E57" s="147">
        <f>'Scénario référence'!$B$16*45+('Scénario référence'!$B$17+'Scénario référence'!$F$8+'Scénario référence'!$F$9+'Scénario référence'!$B$10+'Scénario référence'!$B$9)*70+'Scénario référence'!$B$18*32</f>
        <v>70</v>
      </c>
      <c r="F57" s="147">
        <f>IF(OR('Scénario référence'!$F$8&gt;0,'Scénario référence'!$F$9&gt;0),('Scénario référence'!$F$8+'Scénario référence'!$F$9)*10,0)</f>
        <v>0</v>
      </c>
      <c r="G57" s="147">
        <f>'Scénario référence'!$B$8*B57*44/12+'Scénario référence'!$B$9*(C57+D57)/0.475*44/12+'Scénario référence'!$B$10*(C57+D57)/0.475*44/12+'Scénario référence'!$F$8*(C57+D57)/0.475*44/12+'Scénario référence'!$F$9*(C57+D57)/0.475*44/12</f>
        <v>0</v>
      </c>
      <c r="H57" s="148">
        <f t="shared" si="1"/>
        <v>256.6666667</v>
      </c>
      <c r="I57" s="149">
        <f>('Scénario référence'!$F$8+'Scénario référence'!$F$9+'Scénario référence'!$B$17+'Scénario référence'!$B$9+'Scénario référence'!$B$10)*70+IF((45+25*(1-EXP(-0.0175*A57)))&lt;70,'Scénario référence'!$B$16*(45+25*(1-EXP(-0.0175*A57))),70*'Scénario référence'!$B$16)+IF((32+38*(1-EXP(-0.0175*A57)))&lt;70,'Scénario référence'!$B$18*(32+38*(1-EXP(-0.0175*A57))),70*'Scénario référence'!$B$18)</f>
        <v>70</v>
      </c>
      <c r="J57" s="150">
        <f>IF(A57&gt;30,10,('Scénario référence'!$B$16+'Scénario référence'!$B$17+'Scénario référence'!$B$18+'Scénario référence'!$B$9+'Scénario référence'!$B$10)*A57*10/30+('Scénario référence'!$F$8+'Scénario référence'!$F$9)*10)</f>
        <v>10</v>
      </c>
      <c r="K57" s="151" t="str">
        <f>VLOOKUP(A57,'Données projet'!$A$35:$I$55,2,0)</f>
        <v>#N/A</v>
      </c>
      <c r="L57" s="151" t="str">
        <f>VLOOKUP(A57,'Données projet'!$A$35:$I$55,9,0)</f>
        <v>#N/A</v>
      </c>
      <c r="M57" s="150">
        <f t="array" ref="M57">INDEX(L:L,MIN(IF(ISNUMBER(L57:L253),ROW(L57:L253),"")))</f>
        <v>10.2</v>
      </c>
      <c r="N57" s="150">
        <f>IF('Données projet'!$A$36&gt;35,N56+M57-V56,IF(A57&lt;'Données projet'!$A$36,$K$205^A57,IF(A57='Données projet'!$A$36,'Données projet'!$B$36,N56+M57-V56)))</f>
        <v>243.8</v>
      </c>
      <c r="O57" s="150">
        <f>N57*VLOOKUP('Données projet'!$B$9,'Paramètres'!$A$1:$I$88,3,0)*VLOOKUP('Données projet'!$B$9,'Paramètres'!$A$1:$I$88,5,0)</f>
        <v>220.59024</v>
      </c>
      <c r="P57" s="150">
        <f t="shared" si="34"/>
        <v>54.24315146</v>
      </c>
      <c r="Q57" s="161">
        <f t="shared" si="2"/>
        <v>478.6681568</v>
      </c>
      <c r="R57" s="153">
        <f t="shared" si="3"/>
        <v>772.0014901</v>
      </c>
      <c r="S57" s="153">
        <f>AVERAGE(OFFSET($R$3,0,0,'Données projet'!$E$9+1,1))-AVERAGE(OFFSET($H$3,0,0,'Données projet'!$E$9+1,1))</f>
        <v>439.1985427</v>
      </c>
      <c r="T57" s="153">
        <f t="shared" si="35"/>
        <v>278.2174123</v>
      </c>
      <c r="U57" s="154">
        <f>IF(ISNA(VLOOKUP(A57,'Données projet'!$A$35:$I$55,3,0)),0,VLOOKUP(A57,'Données projet'!$A$35:$I$55,3,0))</f>
        <v>0</v>
      </c>
      <c r="V57" s="154">
        <f>IF(ISNA(VLOOKUP(A57,'Données projet'!$A$35:$I$55,4,0)),0,VLOOKUP(A57,'Données projet'!$A$35:$I$55,4,0))</f>
        <v>0</v>
      </c>
      <c r="W57" s="155">
        <f>IF(ISNA(VLOOKUP(A57,'Données projet'!$A$35:$I$55,5,0)),0%,VLOOKUP(A57,'Données projet'!$A$35:$I$55,5,0)*VLOOKUP('Données projet'!$B$9,'Paramètres'!$A$1:$I$88,7,0))</f>
        <v>0</v>
      </c>
      <c r="X57" s="155">
        <f>IF(ISNA(VLOOKUP(A57,'Données projet'!$A$35:$I$55,6,0)),0%,VLOOKUP(A57,'Données projet'!$A$35:$I$55,6,0)*VLOOKUP('Données projet'!$B$9,'Paramètres'!$A$1:$I$88,7,0))</f>
        <v>0</v>
      </c>
      <c r="Y57" s="155">
        <f>IF(ISNA(VLOOKUP(A57,'Données projet'!$A$35:$I$55,7,0)),0%,VLOOKUP(A57,'Données projet'!$A$35:$I$55,7,0))</f>
        <v>0</v>
      </c>
      <c r="Z57" s="162">
        <f>EXP(-LN(2)/35)*Z56+(1-EXP(-LN(2)/35))/(LN(2)/35)*V57*W57*VLOOKUP('Données projet'!$B$9,'Paramètres'!$A$1:$I$88,3,0)*0.475*44/12</f>
        <v>0</v>
      </c>
      <c r="AA57" s="162">
        <f>EXP(-LN(2)/25)*AA56+(1-EXP(-LN(2)/25))/(LN(2)/25)*Calculateur!V57*Calculateur!X57*VLOOKUP('Données projet'!$B$9,'Paramètres'!$A$1:$I$88,3,0)*0.475*44/12</f>
        <v>2.306871922</v>
      </c>
      <c r="AB57" s="162">
        <f>EXP(-LN(2)/2)*AB56+(1-EXP(-LN(2)/2))/(LN(2)/2)*V57*Y57*VLOOKUP('Données projet'!$B$9,'Paramètres'!$A$1:$I$88,3,0)*0.475*44/12</f>
        <v>0</v>
      </c>
      <c r="AC57" s="163">
        <f t="shared" si="4"/>
        <v>2.306871922</v>
      </c>
      <c r="AD57" s="150">
        <f>('Scénario référence'!$F$8+'Scénario référence'!$F$9+'Scénario référence'!$B$17+'Scénario référence'!$B$9+'Scénario référence'!$B$10)*70+IF((45+25*(1-EXP(-0.0175*A57)))&lt;70,'Scénario référence'!$B$16*(45+25*(1-EXP(-0.0175*A57))),70*'Scénario référence'!$B$16)+IF((32+38*(1-EXP(-0.0175*A57)))&lt;70,'Scénario référence'!$B$18*(32+38*(1-EXP(-0.0175*A57))),70*'Scénario référence'!$B$18)</f>
        <v>70</v>
      </c>
      <c r="AE57" s="150">
        <f>IF(A57&gt;30,10,('Scénario référence'!$B$16+'Scénario référence'!$B$17+'Scénario référence'!$B$18+'Scénario référence'!$B$9+'Scénario référence'!$B$10)*A57*10/30+('Scénario référence'!$F$8+'Scénario référence'!$F$9)*10)</f>
        <v>10</v>
      </c>
      <c r="AF57" s="151" t="str">
        <f>VLOOKUP(A57,'Données projet'!$A$61:$I$81,2,0)</f>
        <v>#N/A</v>
      </c>
      <c r="AG57" s="151" t="str">
        <f>VLOOKUP(A57,'Données projet'!$A$61:$I$81,9,0)</f>
        <v>#N/A</v>
      </c>
      <c r="AH57" s="150">
        <f t="array" ref="AH57">INDEX(AG:AG,MIN(IF(ISNUMBER(AG57:AG253),ROW(AG57:AG253),"")))</f>
        <v>8.4</v>
      </c>
      <c r="AI57" s="150">
        <f>IF('Données projet'!$A$62&gt;35,AI56+AH57-AQ56,IF(A57&lt;'Données projet'!$A$62,$AF$205^A57,IF(A57='Données projet'!$A$62,'Données projet'!$B$62,AI56+AH57-AQ56)))</f>
        <v>315.6</v>
      </c>
      <c r="AJ57" s="150">
        <f>AI57*VLOOKUP('Données projet'!$B$10,'Paramètres'!$A$1:$I$88,3,0)*VLOOKUP('Données projet'!$B$10,'Paramètres'!$A$1:$I$88,5,0)</f>
        <v>251.09136</v>
      </c>
      <c r="AK57" s="150">
        <f t="shared" si="36"/>
        <v>60.81957989</v>
      </c>
      <c r="AL57" s="161">
        <f t="shared" si="5"/>
        <v>543.244887</v>
      </c>
      <c r="AM57" s="153">
        <f t="shared" si="6"/>
        <v>836.5782203</v>
      </c>
      <c r="AN57" s="153">
        <f>AVERAGE(OFFSET($AM$3,0,0,'Données projet'!$E$10+1,1))-AVERAGE(OFFSET($H$3,0,0,'Données projet'!$E$10+1,1))</f>
        <v>405.6113614</v>
      </c>
      <c r="AO57" s="153">
        <f t="shared" si="37"/>
        <v>393.0787141</v>
      </c>
      <c r="AP57" s="154">
        <f>IF(ISNA(VLOOKUP(A57,'Données projet'!$A$61:$I$81,3,0)),0,VLOOKUP(A57,'Données projet'!$A$61:$I$81,3,0))</f>
        <v>0</v>
      </c>
      <c r="AQ57" s="154">
        <f>IF(ISNA(VLOOKUP(A57,'Données projet'!$A$61:$I$81,4,0)),0,VLOOKUP(A57,'Données projet'!$A$61:$I$81,4,0))</f>
        <v>0</v>
      </c>
      <c r="AR57" s="155">
        <f>IF(ISNA(VLOOKUP(A57,'Données projet'!$A$61:$I$81,5,0)),0%,VLOOKUP(A57,'Données projet'!$A$61:$I$81,5,0)*VLOOKUP('Données projet'!$B$10,'Paramètres'!$A$1:$I$88,7,0))</f>
        <v>0</v>
      </c>
      <c r="AS57" s="155">
        <f>IF(ISNA(VLOOKUP(A57,'Données projet'!$A$61:$I$81,6,0)),0%,VLOOKUP(A57,'Données projet'!$A$61:$I$81,6,0)*VLOOKUP('Données projet'!$B$10,'Paramètres'!$A$1:$I$88,7,0))</f>
        <v>0</v>
      </c>
      <c r="AT57" s="155">
        <f>IF(ISNA(VLOOKUP(A57,'Données projet'!$A$61:$I$81,7,0)),0%,VLOOKUP(A57,'Données projet'!$A$61:$I$81,7,0))</f>
        <v>0</v>
      </c>
      <c r="AU57" s="162">
        <f>EXP(-LN(2)/35)*AU56+(1-EXP(-LN(2)/35))/(LN(2)/35)*AQ57*AR57*VLOOKUP('Données projet'!$B$10,'Paramètres'!$A$1:$I$88,3,0)*0.475*44/12</f>
        <v>0</v>
      </c>
      <c r="AV57" s="162">
        <f>EXP(-LN(2)/25)*AV56+(1-EXP(-LN(2)/25))/(LN(2)/25)*Calculateur!AQ57*Calculateur!AS57*VLOOKUP('Données projet'!$B$10,'Paramètres'!$A$1:$I$88,3,0)*0.475*44/12</f>
        <v>9.375713922</v>
      </c>
      <c r="AW57" s="162">
        <f>EXP(-LN(2)/2)*AW56+(1-EXP(-LN(2)/2))/(LN(2)/2)*AQ57*AT57*VLOOKUP('Données projet'!$B$10,'Paramètres'!$A$1:$I$88,3,0)*0.475*44/12</f>
        <v>0.0001415312998</v>
      </c>
      <c r="AX57" s="162">
        <f t="shared" si="7"/>
        <v>9.375855454</v>
      </c>
      <c r="AY57" s="157">
        <f>('Scénario référence'!$F$8+'Scénario référence'!$F$9+'Scénario référence'!$B$17+'Scénario référence'!$B$9+'Scénario référence'!$B$10)*70+IF((45+25*(1-EXP(-0.0175*A57)))&lt;70,'Scénario référence'!$B$16*(45+25*(1-EXP(-0.0175*A57))),70*'Scénario référence'!$B$16)+IF((32+38*(1-EXP(-0.0175*A57)))&lt;70,'Scénario référence'!$B$18*(32+38*(1-EXP(-0.0175*A57))),70*'Scénario référence'!$B$18)</f>
        <v>70</v>
      </c>
      <c r="AZ57" s="151">
        <f>IF(A57&gt;30,10,('Scénario référence'!$B$16+'Scénario référence'!$B$17+'Scénario référence'!$B$18+'Scénario référence'!$B$9+'Scénario référence'!$B$10)*A57*10/30+('Scénario référence'!$F$8+'Scénario référence'!$F$9)*10)</f>
        <v>10</v>
      </c>
      <c r="BA57" s="151" t="str">
        <f>VLOOKUP(A57,'Données projet'!$A$87:$I$107,2,0)</f>
        <v>#N/A</v>
      </c>
      <c r="BB57" s="151" t="str">
        <f>VLOOKUP(A57,'Données projet'!$A$87:$I$107,9,0)</f>
        <v>#N/A</v>
      </c>
      <c r="BC57" s="150" t="str">
        <f t="array" ref="BC57">INDEX(BB:BB,MIN(IF(ISNUMBER(BB57:BB253),ROW(BB57:BB253),"")))</f>
        <v/>
      </c>
      <c r="BD57" s="150">
        <f>IF('Données projet'!$A$88&gt;35,BD56+BC57-BL56,IF(A57&lt;'Données projet'!$A$88,$BA$205^A57,IF(A57='Données projet'!$A$88,'Données projet'!$B$88,BD56+BC57-BL56)))</f>
        <v>0</v>
      </c>
      <c r="BE57" s="150">
        <f>BD57*VLOOKUP('Données projet'!$B$11,'Paramètres'!$A$1:$I$88,3,0)*VLOOKUP('Données projet'!$B$11,'Paramètres'!$A$1:$I$88,5,0)</f>
        <v>0</v>
      </c>
      <c r="BF57" s="150" t="str">
        <f t="shared" si="38"/>
        <v>#NUM!</v>
      </c>
      <c r="BG57" s="161" t="str">
        <f t="shared" si="8"/>
        <v>#NUM!</v>
      </c>
      <c r="BH57" s="153" t="str">
        <f t="shared" si="9"/>
        <v>#NUM!</v>
      </c>
      <c r="BI57" s="153">
        <f>AVERAGE(OFFSET($BH$3,0,0,'Données projet'!$E$11+1,1))-AVERAGE(OFFSET($H$3,0,0,'Données projet'!$E$11+1,1))</f>
        <v>0</v>
      </c>
      <c r="BJ57" s="153">
        <f t="shared" si="39"/>
        <v>0</v>
      </c>
      <c r="BK57" s="154">
        <f>IF(ISNA(VLOOKUP(A57,'Données projet'!$A$87:$I$107,3,0)),0,VLOOKUP(A57,'Données projet'!$A$87:$I$107,3,0))</f>
        <v>0</v>
      </c>
      <c r="BL57" s="154">
        <f>IF(ISNA(VLOOKUP(A57,'Données projet'!$A$87:$I$107,4,0)),0,VLOOKUP(A57,'Données projet'!$A$87:$I$107,4,0))</f>
        <v>0</v>
      </c>
      <c r="BM57" s="155">
        <f>IF(ISNA(VLOOKUP(A57,'Données projet'!$A$87:$I$107,5,0)),0%,VLOOKUP(A57,'Données projet'!$A$87:$I$107,5,0)*VLOOKUP('Données projet'!$B$11,'Paramètres'!$A$1:$I$88,7,0))</f>
        <v>0</v>
      </c>
      <c r="BN57" s="155">
        <f>IF(ISNA(VLOOKUP(A57,'Données projet'!$A$87:$I$107,6,0)),0%,VLOOKUP(A57,'Données projet'!$A$87:$I$107,6,0)*VLOOKUP('Données projet'!$B$11,'Paramètres'!$A$1:$I$88,7,0))</f>
        <v>0</v>
      </c>
      <c r="BO57" s="155">
        <f>IF(ISNA(VLOOKUP(A57,'Données projet'!$A$87:$I$107,7,0)),0%,VLOOKUP(A57,'Données projet'!$A$87:$I$107,7,0))</f>
        <v>0</v>
      </c>
      <c r="BP57" s="162">
        <f>EXP(-LN(2)/35)*BP56+(1-EXP(-LN(2)/35))/(LN(2)/35)*BL57*BM57*VLOOKUP('Données projet'!$B$11,'Paramètres'!$A$1:$I$88,3,0)*0.475*44/12</f>
        <v>0</v>
      </c>
      <c r="BQ57" s="162">
        <f>EXP(-LN(2)/25)*BQ56+(1-EXP(-LN(2)/25))/(LN(2)/25)*Calculateur!BL57*Calculateur!BN57*VLOOKUP('Données projet'!$B$11,'Paramètres'!$A$1:$I$88,3,0)*0.475*44/12</f>
        <v>0</v>
      </c>
      <c r="BR57" s="162">
        <f>EXP(-LN(2)/2)*BR56+(1-EXP(-LN(2)/2))/(LN(2)/2)*BL57*BO57*VLOOKUP('Données projet'!$B$11,'Paramètres'!$A$1:$I$88,3,0)*0.475*44/12</f>
        <v>0</v>
      </c>
      <c r="BS57" s="163">
        <f t="shared" si="10"/>
        <v>0</v>
      </c>
      <c r="BT57" s="159">
        <f>('Scénario référence'!$F$8+'Scénario référence'!$F$9+'Scénario référence'!$B$17+'Scénario référence'!$B$9+'Scénario référence'!$B$10)*70+IF((45+25*(1-EXP(-0.0175*A57)))&lt;70,'Scénario référence'!$B$16*(45+25*(1-EXP(-0.0175*A57))),70*'Scénario référence'!$B$16)+IF((32+38*(1-EXP(-0.0175*A57)))&lt;70,'Scénario référence'!$B$18*(32+38*(1-EXP(-0.0175*A57))),70*'Scénario référence'!$B$18)</f>
        <v>70</v>
      </c>
      <c r="BU57" s="151">
        <f>IF(A57&gt;30,10,('Scénario référence'!$B$16+'Scénario référence'!$B$17+'Scénario référence'!$B$18+'Scénario référence'!$B$9+'Scénario référence'!$B$10)*A57*10/30+('Scénario référence'!$F$8+'Scénario référence'!$F$9)*10)</f>
        <v>10</v>
      </c>
      <c r="BV57" s="151" t="str">
        <f>VLOOKUP(A57,'Données projet'!$A$113:$I$133,2,0)</f>
        <v>#N/A</v>
      </c>
      <c r="BW57" s="151" t="str">
        <f>VLOOKUP(A57,'Données projet'!$A$113:$I$133,9,0)</f>
        <v>#N/A</v>
      </c>
      <c r="BX57" s="150" t="str">
        <f t="array" ref="BX57">INDEX(BW:BW,MIN(IF(ISNUMBER(BW57:BW253),ROW(BW57:BW253),"")))</f>
        <v/>
      </c>
      <c r="BY57" s="150">
        <f>IF('Données projet'!$A$114&gt;35,BY56+BX57-CG56,IF(A57&lt;'Données projet'!$A$114,$BV$205^A57,IF(A57='Données projet'!$A$114,'Données projet'!$B$114,BY56+BX57-CG56)))</f>
        <v>0</v>
      </c>
      <c r="BZ57" s="150" t="str">
        <f>BY57*VLOOKUP('Données projet'!$B$12,'Paramètres'!$A$1:$I$88,3,0)*VLOOKUP('Données projet'!$B$12,'Paramètres'!$A$1:$I$88,5,0)</f>
        <v>#N/A</v>
      </c>
      <c r="CA57" s="150" t="str">
        <f t="shared" si="40"/>
        <v>#N/A</v>
      </c>
      <c r="CB57" s="161" t="str">
        <f t="shared" si="11"/>
        <v>#N/A</v>
      </c>
      <c r="CC57" s="153" t="str">
        <f t="shared" si="12"/>
        <v>#N/A</v>
      </c>
      <c r="CD57" s="153" t="str">
        <f>AVERAGE(OFFSET($CC$3,0,0,'Données projet'!$E$12+1,1))-AVERAGE(OFFSET($H$3,0,0,'Données projet'!$E$12+1,1))</f>
        <v>#N/A</v>
      </c>
      <c r="CE57" s="153" t="str">
        <f t="shared" si="41"/>
        <v>#N/A</v>
      </c>
      <c r="CF57" s="154">
        <f>IF(ISNA(VLOOKUP(A57,'Données projet'!$A$113:$I$133,3,0)),0,VLOOKUP(A57,'Données projet'!$A$113:$I$133,3,0))</f>
        <v>0</v>
      </c>
      <c r="CG57" s="154">
        <f>IF(ISNA(VLOOKUP(A57,'Données projet'!$A$113:$I$133,4,0)),0,VLOOKUP(A57,'Données projet'!$A$113:$I$133,4,0))</f>
        <v>0</v>
      </c>
      <c r="CH57" s="155">
        <f>IF(ISNA(VLOOKUP(A57,'Données projet'!$A$113:$I$133,5,0)),0%,VLOOKUP(A57,'Données projet'!$A$113:$I$133,5,0)*VLOOKUP('Données projet'!$B$12,'Paramètres'!$A$1:$I$88,7,0))</f>
        <v>0</v>
      </c>
      <c r="CI57" s="155">
        <f>IF(ISNA(VLOOKUP(A57,'Données projet'!$A$113:$I$133,6,0)),0%,VLOOKUP(A57,'Données projet'!$A$113:$I$133,6,0)*VLOOKUP('Données projet'!$B$12,'Paramètres'!$A$1:$I$88,7,0))</f>
        <v>0</v>
      </c>
      <c r="CJ57" s="155">
        <f>IF(ISNA(VLOOKUP(A57,'Données projet'!$A$113:$I$133,7,0)),0%,VLOOKUP(A57,'Données projet'!$A$113:$I$133,7,0))</f>
        <v>0</v>
      </c>
      <c r="CK57" s="162" t="str">
        <f>EXP(-LN(2)/35)*CK56+(1-EXP(-LN(2)/35))/(LN(2)/35)*CG57*CH57*VLOOKUP('Données projet'!$B$12,'Paramètres'!$A$1:$I$88,3,0)*0.475*44/12</f>
        <v>#N/A</v>
      </c>
      <c r="CL57" s="162" t="str">
        <f>EXP(-LN(2)/25)*CL56+(1-EXP(-LN(2)/25))/(LN(2)/25)*Calculateur!CG57*Calculateur!CI57*VLOOKUP('Données projet'!$B$12,'Paramètres'!$A$1:$I$88,3,0)*0.475*44/12</f>
        <v>#N/A</v>
      </c>
      <c r="CM57" s="162" t="str">
        <f>EXP(-LN(2)/2)*CM56+(1-EXP(-LN(2)/2))/(LN(2)/2)*CG57*CJ57*VLOOKUP('Données projet'!$B$12,'Paramètres'!$A$1:$I$88,3,0)*0.475*44/12</f>
        <v>#N/A</v>
      </c>
      <c r="CN57" s="163" t="str">
        <f t="shared" si="13"/>
        <v>#N/A</v>
      </c>
      <c r="CO57" s="159">
        <f>('Scénario référence'!$F$8+'Scénario référence'!$F$9+'Scénario référence'!$B$17+'Scénario référence'!$B$9+'Scénario référence'!$B$10)*70+IF((45+25*(1-EXP(-0.0175*A57)))&lt;70,'Scénario référence'!$B$16*(45+25*(1-EXP(-0.0175*A57))),70*'Scénario référence'!$B$16)+IF((32+38*(1-EXP(-0.0175*A57)))&lt;70,'Scénario référence'!$B$18*(32+38*(1-EXP(-0.0175*A57))),70*'Scénario référence'!$B$18)</f>
        <v>70</v>
      </c>
      <c r="CP57" s="151">
        <f>IF(A57&gt;30,10,('Scénario référence'!$B$16+'Scénario référence'!$B$17+'Scénario référence'!$B$18+'Scénario référence'!$B$9+'Scénario référence'!$B$10)*A57*10/30+('Scénario référence'!$F$8+'Scénario référence'!$F$9)*10)</f>
        <v>10</v>
      </c>
      <c r="CQ57" s="151" t="str">
        <f>VLOOKUP(A57,'Données projet'!$A$139:$I$159,2,0)</f>
        <v>#N/A</v>
      </c>
      <c r="CR57" s="151" t="str">
        <f>VLOOKUP(A57,'Données projet'!$A$139:$I$159,9,0)</f>
        <v>#N/A</v>
      </c>
      <c r="CS57" s="151" t="str">
        <f t="array" ref="CS57">INDEX(CR:CR,MIN(IF(ISNUMBER(CR57:CR253),ROW(CR57:CR253),"")))</f>
        <v/>
      </c>
      <c r="CT57" s="151">
        <f>IF('Données projet'!$A$140&gt;35,CT56+CS57-DB56,IF(A57&lt;'Données projet'!$A$140,$CQ$205^A57,IF(A57='Données projet'!$A$140,'Données projet'!$B$140,CT56+CS57-DB56)))</f>
        <v>0</v>
      </c>
      <c r="CU57" s="158" t="str">
        <f>CT57*VLOOKUP('Données projet'!$B$13,'Paramètres'!$A$1:$I$88,3,0)*VLOOKUP('Données projet'!$B$13,'Paramètres'!$A$1:$I$88,5,0)</f>
        <v>#N/A</v>
      </c>
      <c r="CV57" s="150" t="str">
        <f t="shared" si="42"/>
        <v>#N/A</v>
      </c>
      <c r="CW57" s="161" t="str">
        <f t="shared" si="14"/>
        <v>#N/A</v>
      </c>
      <c r="CX57" s="153" t="str">
        <f t="shared" si="15"/>
        <v>#N/A</v>
      </c>
      <c r="CY57" s="153" t="str">
        <f>AVERAGE(OFFSET($CX$3,0,0,'Données projet'!$E$13+1,1))-AVERAGE(OFFSET($H$3,0,0,'Données projet'!$E$13+1,1))</f>
        <v>#N/A</v>
      </c>
      <c r="CZ57" s="153" t="str">
        <f t="shared" si="43"/>
        <v>#N/A</v>
      </c>
      <c r="DA57" s="154">
        <f>IF(ISNA(VLOOKUP(A57,'Données projet'!$A$139:$I$159,3,0)),0,VLOOKUP(A57,'Données projet'!$A$139:$I$159,3,0))</f>
        <v>0</v>
      </c>
      <c r="DB57" s="154">
        <f>IF(ISNA(VLOOKUP(A57,'Données projet'!$A$139:$I$159,4,0)),0,VLOOKUP(A57,'Données projet'!$A$139:$I$159,4,0))</f>
        <v>0</v>
      </c>
      <c r="DC57" s="155">
        <f>IF(ISNA(VLOOKUP(A57,'Données projet'!$A$139:$I$159,5,0)),0%,VLOOKUP(A57,'Données projet'!$A$139:$I$159,5,0)*VLOOKUP('Données projet'!$B$13,'Paramètres'!$A$1:$I$88,7,0))</f>
        <v>0</v>
      </c>
      <c r="DD57" s="155">
        <f>IF(ISNA(VLOOKUP(A57,'Données projet'!$A$139:$I$159,6,0)),0%,VLOOKUP(A57,'Données projet'!$A$139:$I$159,6,0)*VLOOKUP('Données projet'!$B$13,'Paramètres'!$A$1:$I$88,7,0))</f>
        <v>0</v>
      </c>
      <c r="DE57" s="155">
        <f>IF(ISNA(VLOOKUP(A57,'Données projet'!$A$139:$I$159,7,0)),0%,VLOOKUP(A57,'Données projet'!$A$139:$I$159,7,0))</f>
        <v>0</v>
      </c>
      <c r="DF57" s="162" t="str">
        <f>EXP(-LN(2)/35)*DF56+(1-EXP(-LN(2)/35))/(LN(2)/35)*DB57*DC57*VLOOKUP('Données projet'!$B$13,'Paramètres'!$A$1:$I$88,3,0)*0.475*44/12</f>
        <v>#N/A</v>
      </c>
      <c r="DG57" s="162" t="str">
        <f>EXP(-LN(2)/25)*DG56+(1-EXP(-LN(2)/25))/(LN(2)/25)*Calculateur!DB57*Calculateur!DD57*VLOOKUP('Données projet'!$B$13,'Paramètres'!$A$1:$I$88,3,0)*0.475*44/12</f>
        <v>#N/A</v>
      </c>
      <c r="DH57" s="162" t="str">
        <f>EXP(-LN(2)/2)*DH56+(1-EXP(-LN(2)/2))/(LN(2)/2)*DB57*DE57*VLOOKUP('Données projet'!$B$13,'Paramètres'!$A$1:$I$88,3,0)*0.475*44/12</f>
        <v>#N/A</v>
      </c>
      <c r="DI57" s="163" t="str">
        <f t="shared" si="16"/>
        <v>#N/A</v>
      </c>
      <c r="DJ57" s="159">
        <f>('Scénario référence'!$F$8+'Scénario référence'!$F$9+'Scénario référence'!$B$17+'Scénario référence'!$B$9+'Scénario référence'!$B$10)*70+IF((45+25*(1-EXP(-0.0175*A57)))&lt;70,'Scénario référence'!$B$16*(45+25*(1-EXP(-0.0175*A57))),70*'Scénario référence'!$B$16)+IF((32+38*(1-EXP(-0.0175*A57)))&lt;70,'Scénario référence'!$B$18*(32+38*(1-EXP(-0.0175*A57))),70*'Scénario référence'!$B$18)</f>
        <v>70</v>
      </c>
      <c r="DK57" s="151">
        <f>IF(A57&gt;30,10,('Scénario référence'!$B$16+'Scénario référence'!$B$17+'Scénario référence'!$B$18+'Scénario référence'!$B$9+'Scénario référence'!$B$10)*A57*10/30+('Scénario référence'!$F$8+'Scénario référence'!$F$9)*10)</f>
        <v>10</v>
      </c>
      <c r="DL57" s="151" t="str">
        <f>VLOOKUP(A57,'Données projet'!$A$165:$I$185,2,0)</f>
        <v>#N/A</v>
      </c>
      <c r="DM57" s="151" t="str">
        <f>VLOOKUP(A57,'Données projet'!$A$165:$I$185,9,0)</f>
        <v>#N/A</v>
      </c>
      <c r="DN57" s="151" t="str">
        <f t="array" ref="DN57">INDEX(DM:DM,MIN(IF(ISNUMBER(DM57:DM253),ROW(DM57:DM253),"")))</f>
        <v/>
      </c>
      <c r="DO57" s="151">
        <f>IF('Données projet'!$A$166&gt;35,DO56+DN57-DW56,IF(A57&lt;'Données projet'!$A$166,$DL$205^A57,IF(A57='Données projet'!$A$166,'Données projet'!$B$166,DO56+DN57-DW56)))</f>
        <v>0</v>
      </c>
      <c r="DP57" s="158" t="str">
        <f>DO57*VLOOKUP('Données projet'!$B$14,'Paramètres'!$A$1:$I$88,3,0)*VLOOKUP('Données projet'!$B$14,'Paramètres'!$A$1:$I$88,5,0)</f>
        <v>#N/A</v>
      </c>
      <c r="DQ57" s="150" t="str">
        <f t="shared" si="44"/>
        <v>#N/A</v>
      </c>
      <c r="DR57" s="161" t="str">
        <f t="shared" si="17"/>
        <v>#N/A</v>
      </c>
      <c r="DS57" s="153" t="str">
        <f t="shared" si="18"/>
        <v>#N/A</v>
      </c>
      <c r="DT57" s="153" t="str">
        <f>AVERAGE(OFFSET($DS$3,0,0,'Données projet'!$E$14+1,1))-AVERAGE(OFFSET($H$3,0,0,'Données projet'!$E$14+1,1))</f>
        <v>#N/A</v>
      </c>
      <c r="DU57" s="153" t="str">
        <f t="shared" si="45"/>
        <v>#N/A</v>
      </c>
      <c r="DV57" s="154">
        <f>IF(ISNA(VLOOKUP(A57,'Données projet'!$A$165:$I$185,3,0)),0,VLOOKUP(A57,'Données projet'!$A$165:$I$185,3,0))</f>
        <v>0</v>
      </c>
      <c r="DW57" s="154">
        <f>IF(ISNA(VLOOKUP(A57,'Données projet'!$A$165:$I$185,4,0)),0,VLOOKUP(A57,'Données projet'!$A$165:$I$185,4,0))</f>
        <v>0</v>
      </c>
      <c r="DX57" s="155">
        <f>IF(ISNA(VLOOKUP(A57,'Données projet'!$A$165:$I$185,5,0)),0%,VLOOKUP(A57,'Données projet'!$A$165:$I$185,5,0)*VLOOKUP('Données projet'!$B$14,'Paramètres'!$A$1:$I$88,7,0))</f>
        <v>0</v>
      </c>
      <c r="DY57" s="155">
        <f>IF(ISNA(VLOOKUP(A57,'Données projet'!$A$165:$I$185,6,0)),0%,VLOOKUP(A57,'Données projet'!$A$165:$I$185,6,0)*VLOOKUP('Données projet'!$B$14,'Paramètres'!$A$1:$I$88,7,0))</f>
        <v>0</v>
      </c>
      <c r="DZ57" s="155">
        <f>IF(ISNA(VLOOKUP(A57,'Données projet'!$A$165:$I$185,7,0)),0%,VLOOKUP(A57,'Données projet'!$A$165:$I$185,7,0))</f>
        <v>0</v>
      </c>
      <c r="EA57" s="162" t="str">
        <f>EXP(-LN(2)/35)*EA56+(1-EXP(-LN(2)/35))/(LN(2)/35)*DW57*DX57*VLOOKUP('Données projet'!$B$14,'Paramètres'!$A$1:$I$88,3,0)*0.475*44/12</f>
        <v>#N/A</v>
      </c>
      <c r="EB57" s="162" t="str">
        <f>EXP(-LN(2)/25)*EB56+(1-EXP(-LN(2)/25))/(LN(2)/25)*Calculateur!DW57*Calculateur!DY57*VLOOKUP('Données projet'!$B$14,'Paramètres'!$A$1:$I$88,3,0)*0.475*44/12</f>
        <v>#N/A</v>
      </c>
      <c r="EC57" s="162" t="str">
        <f>EXP(-LN(2)/2)*EC56+(1-EXP(-LN(2)/2))/(LN(2)/2)*DW57*DZ57*VLOOKUP('Données projet'!$B$14,'Paramètres'!$A$1:$I$88,3,0)*0.475*44/12</f>
        <v>#N/A</v>
      </c>
      <c r="ED57" s="163" t="str">
        <f t="shared" si="19"/>
        <v>#N/A</v>
      </c>
      <c r="EE57" s="159">
        <f>('Scénario référence'!$F$8+'Scénario référence'!$F$9+'Scénario référence'!$B$17+'Scénario référence'!$B$9+'Scénario référence'!$B$10)*70+IF((45+25*(1-EXP(-0.0175*A57)))&lt;70,'Scénario référence'!$B$16*(45+25*(1-EXP(-0.0175*A57))),70*'Scénario référence'!$B$16)+IF((32+38*(1-EXP(-0.0175*A57)))&lt;70,'Scénario référence'!$B$18*(32+38*(1-EXP(-0.0175*A57))),70*'Scénario référence'!$B$18)</f>
        <v>70</v>
      </c>
      <c r="EF57" s="151">
        <f>IF(A57&gt;30,10,('Scénario référence'!$B$16+'Scénario référence'!$B$17+'Scénario référence'!$B$18+'Scénario référence'!$B$9+'Scénario référence'!$B$10)*A57*10/30+('Scénario référence'!$F$8+'Scénario référence'!$F$9)*10)</f>
        <v>10</v>
      </c>
      <c r="EG57" s="151" t="str">
        <f>VLOOKUP(A57,'Données projet'!$A$191:$I$211,2,0)</f>
        <v>#N/A</v>
      </c>
      <c r="EH57" s="151" t="str">
        <f>VLOOKUP(A57,'Données projet'!$A$191:$I$211,9,0)</f>
        <v>#N/A</v>
      </c>
      <c r="EI57" s="151" t="str">
        <f t="array" ref="EI57">INDEX(EH:EH,MIN(IF(ISNUMBER(EH57:EH253),ROW(EH57:EH253),"")))</f>
        <v/>
      </c>
      <c r="EJ57" s="151">
        <f>IF('Données projet'!$A$192&gt;35,EJ56+EI57-ER56,IF(A57&lt;'Données projet'!$A$192,$EG$205^A57,IF(A57='Données projet'!$A$192,'Données projet'!$B$192,EJ56+EI57-ER56)))</f>
        <v>0</v>
      </c>
      <c r="EK57" s="158" t="str">
        <f>EJ57*VLOOKUP('Données projet'!$B$15,'Paramètres'!$A$1:$I$88,3,0)*VLOOKUP('Données projet'!$B$15,'Paramètres'!$A$1:$I$88,5,0)</f>
        <v>#N/A</v>
      </c>
      <c r="EL57" s="150" t="str">
        <f t="shared" si="46"/>
        <v>#N/A</v>
      </c>
      <c r="EM57" s="161" t="str">
        <f t="shared" si="20"/>
        <v>#N/A</v>
      </c>
      <c r="EN57" s="153" t="str">
        <f t="shared" si="21"/>
        <v>#N/A</v>
      </c>
      <c r="EO57" s="153" t="str">
        <f>AVERAGE(OFFSET($EN$3,0,0,'Données projet'!$E$15+1,1))-AVERAGE(OFFSET($H$3,0,0,'Données projet'!$E$15+1,1))</f>
        <v>#N/A</v>
      </c>
      <c r="EP57" s="153" t="str">
        <f t="shared" si="47"/>
        <v>#N/A</v>
      </c>
      <c r="EQ57" s="154">
        <f>IF(ISNA(VLOOKUP(A57,'Données projet'!$A$191:$I$211,3,0)),0,VLOOKUP(A57,'Données projet'!$A$191:$I$211,3,0))</f>
        <v>0</v>
      </c>
      <c r="ER57" s="154">
        <f>IF(ISNA(VLOOKUP(A57,'Données projet'!$A$191:$I$211,4,0)),0,VLOOKUP(A57,'Données projet'!$A$191:$I$211,4,0))</f>
        <v>0</v>
      </c>
      <c r="ES57" s="155">
        <f>IF(ISNA(VLOOKUP(A57,'Données projet'!$A$191:$I$211,5,0)),0%,VLOOKUP(A57,'Données projet'!$A$191:$I$211,5,0)*VLOOKUP('Données projet'!$B$15,'Paramètres'!$A$1:$I$88,7,0))</f>
        <v>0</v>
      </c>
      <c r="ET57" s="155">
        <f>IF(ISNA(VLOOKUP(A57,'Données projet'!$A$191:$I$211,6,0)),0%,VLOOKUP(A57,'Données projet'!$A$191:$I$211,6,0)*VLOOKUP('Données projet'!$B$15,'Paramètres'!$A$1:$I$88,7,0))</f>
        <v>0</v>
      </c>
      <c r="EU57" s="155">
        <f>IF(ISNA(VLOOKUP(A57,'Données projet'!$A$191:$I$211,7,0)),0%,VLOOKUP(A57,'Données projet'!$A$191:$I$211,7,0))</f>
        <v>0</v>
      </c>
      <c r="EV57" s="162" t="str">
        <f>EXP(-LN(2)/35)*EV56+(1-EXP(-LN(2)/35))/(LN(2)/35)*ER57*ES57*VLOOKUP('Données projet'!$B$15,'Paramètres'!$A$1:$I$88,3,0)*0.475*44/12</f>
        <v>#N/A</v>
      </c>
      <c r="EW57" s="162" t="str">
        <f>EXP(-LN(2)/25)*EW56+(1-EXP(-LN(2)/25))/(LN(2)/25)*Calculateur!ER57*Calculateur!ET57*VLOOKUP('Données projet'!$B$15,'Paramètres'!$A$1:$I$88,3,0)*0.475*44/12</f>
        <v>#N/A</v>
      </c>
      <c r="EX57" s="162" t="str">
        <f>EXP(-LN(2)/2)*EX56+(1-EXP(-LN(2)/2))/(LN(2)/2)*ER57*EU57*VLOOKUP('Données projet'!$B$15,'Paramètres'!$A$1:$I$88,3,0)*0.475*44/12</f>
        <v>#N/A</v>
      </c>
      <c r="EY57" s="163" t="str">
        <f t="shared" si="22"/>
        <v>#N/A</v>
      </c>
      <c r="EZ57" s="159">
        <f>('Scénario référence'!$F$8+'Scénario référence'!$F$9+'Scénario référence'!$B$17+'Scénario référence'!$B$9+'Scénario référence'!$B$10)*70+IF((45+25*(1-EXP(-0.0175*A57)))&lt;70,'Scénario référence'!$B$16*(45+25*(1-EXP(-0.0175*A57))),70*'Scénario référence'!$B$16)+IF((32+38*(1-EXP(-0.0175*A57)))&lt;70,'Scénario référence'!$B$18*(32+38*(1-EXP(-0.0175*A57))),70*'Scénario référence'!$B$18)</f>
        <v>70</v>
      </c>
      <c r="FA57" s="151">
        <f>IF(A57&gt;30,10,('Scénario référence'!$B$16+'Scénario référence'!$B$17+'Scénario référence'!$B$18+'Scénario référence'!$B$9+'Scénario référence'!$B$10)*A57*10/30+('Scénario référence'!$F$8+'Scénario référence'!$F$9)*10)</f>
        <v>10</v>
      </c>
      <c r="FB57" s="151" t="str">
        <f>VLOOKUP(A57,'Données projet'!$A$217:$I$237,2,0)</f>
        <v>#N/A</v>
      </c>
      <c r="FC57" s="151" t="str">
        <f>VLOOKUP(A57,'Données projet'!$A$217:$I$237,9,0)</f>
        <v>#N/A</v>
      </c>
      <c r="FD57" s="151" t="str">
        <f t="array" ref="FD57">INDEX(FC:FC,MIN(IF(ISNUMBER(FC57:FC253),ROW(FC57:FC253),"")))</f>
        <v/>
      </c>
      <c r="FE57" s="151">
        <f>IF('Données projet'!$A$218&gt;35,FE56+FD57-FM56,IF(A57&lt;'Données projet'!$A$218,$FB$205^A57,IF(A57='Données projet'!$A$218,'Données projet'!$B$218,FE56+FD57-FM56)))</f>
        <v>0</v>
      </c>
      <c r="FF57" s="158" t="str">
        <f>FE57*VLOOKUP('Données projet'!$B$16,'Paramètres'!$A$1:$I$88,3,0)*VLOOKUP('Données projet'!$B$16,'Paramètres'!$A$1:$I$88,5,0)</f>
        <v>#N/A</v>
      </c>
      <c r="FG57" s="150" t="str">
        <f t="shared" si="48"/>
        <v>#N/A</v>
      </c>
      <c r="FH57" s="161" t="str">
        <f t="shared" si="23"/>
        <v>#N/A</v>
      </c>
      <c r="FI57" s="153" t="str">
        <f t="shared" si="24"/>
        <v>#N/A</v>
      </c>
      <c r="FJ57" s="153" t="str">
        <f>AVERAGE(OFFSET($FI$3,0,0,'Données projet'!$E$16+1,1))-AVERAGE(OFFSET($H$3,0,0,'Données projet'!$E$16+1,1))</f>
        <v>#N/A</v>
      </c>
      <c r="FK57" s="153" t="str">
        <f t="shared" si="49"/>
        <v>#N/A</v>
      </c>
      <c r="FL57" s="154">
        <f>IF(ISNA(VLOOKUP(A57,'Données projet'!$A$217:$I$237,3,0)),0,VLOOKUP(A57,'Données projet'!$A$217:$I$237,3,0))</f>
        <v>0</v>
      </c>
      <c r="FM57" s="154">
        <f>IF(ISNA(VLOOKUP(A57,'Données projet'!$A$217:$I$237,4,0)),0,VLOOKUP(A57,'Données projet'!$A$217:$I$237,4,0))</f>
        <v>0</v>
      </c>
      <c r="FN57" s="155">
        <f>IF(ISNA(VLOOKUP(A57,'Données projet'!$A$217:$I$237,5,0)),0%,VLOOKUP(A57,'Données projet'!$A$217:$I$237,5,0)*VLOOKUP('Données projet'!$B$16,'Paramètres'!$A$1:$I$88,7,0))</f>
        <v>0</v>
      </c>
      <c r="FO57" s="155">
        <f>IF(ISNA(VLOOKUP(A57,'Données projet'!$A$217:$I$237,6,0)),0%,VLOOKUP(A57,'Données projet'!$A$217:$I$237,6,0)*VLOOKUP('Données projet'!$B$16,'Paramètres'!$A$1:$I$88,7,0))</f>
        <v>0</v>
      </c>
      <c r="FP57" s="155">
        <f>IF(ISNA(VLOOKUP(A57,'Données projet'!$A$217:$I$237,7,0)),0%,VLOOKUP(A57,'Données projet'!$A$217:$I$237,7,0))</f>
        <v>0</v>
      </c>
      <c r="FQ57" s="162" t="str">
        <f>EXP(-LN(2)/35)*FQ56+(1-EXP(-LN(2)/35))/(LN(2)/35)*FM57*FN57*VLOOKUP('Données projet'!$B$16,'Paramètres'!$A$1:$I$88,3,0)*0.475*44/12</f>
        <v>#N/A</v>
      </c>
      <c r="FR57" s="162" t="str">
        <f>EXP(-LN(2)/25)*FR56+(1-EXP(-LN(2)/25))/(LN(2)/25)*Calculateur!FM57*Calculateur!FO57*VLOOKUP('Données projet'!$B$16,'Paramètres'!$A$1:$I$88,3,0)*0.475*44/12</f>
        <v>#N/A</v>
      </c>
      <c r="FS57" s="162" t="str">
        <f>EXP(-LN(2)/2)*FS56+(1-EXP(-LN(2)/2))/(LN(2)/2)*FM57*FP57*VLOOKUP('Données projet'!$B$16,'Paramètres'!$A$1:$I$88,3,0)*0.475*44/12</f>
        <v>#N/A</v>
      </c>
      <c r="FT57" s="163" t="str">
        <f t="shared" si="25"/>
        <v>#N/A</v>
      </c>
      <c r="FU57" s="159">
        <f>('Scénario référence'!$F$8+'Scénario référence'!$F$9+'Scénario référence'!$B$17+'Scénario référence'!$B$9+'Scénario référence'!$B$10)*70+IF((45+25*(1-EXP(-0.0175*A57)))&lt;70,'Scénario référence'!$B$16*(45+25*(1-EXP(-0.0175*A57))),70*'Scénario référence'!$B$16)+IF((32+38*(1-EXP(-0.0175*A57)))&lt;70,'Scénario référence'!$B$18*(32+38*(1-EXP(-0.0175*A57))),70*'Scénario référence'!$B$18)</f>
        <v>70</v>
      </c>
      <c r="FV57" s="151">
        <f>IF(A57&gt;30,10,('Scénario référence'!$B$16+'Scénario référence'!$B$17+'Scénario référence'!$B$18+'Scénario référence'!$B$9+'Scénario référence'!$B$10)*A57*10/30+('Scénario référence'!$F$8+'Scénario référence'!$F$9)*10)</f>
        <v>10</v>
      </c>
      <c r="FW57" s="151" t="str">
        <f>VLOOKUP(A57,'Données projet'!$A$243:$I$263,2,0)</f>
        <v>#N/A</v>
      </c>
      <c r="FX57" s="151" t="str">
        <f>VLOOKUP(A57,'Données projet'!$A$243:$I$263,9,0)</f>
        <v>#N/A</v>
      </c>
      <c r="FY57" s="151" t="str">
        <f t="array" ref="FY57">INDEX(FX:FX,MIN(IF(ISNUMBER(FX57:FX253),ROW(FX57:FX253),"")))</f>
        <v/>
      </c>
      <c r="FZ57" s="151">
        <f>IF('Données projet'!$A$244&gt;35,FZ56+FY57-GH56,IF(A57&lt;'Données projet'!$A$244,$FW$205^A57,IF(A57='Données projet'!$A$244,'Données projet'!$B$244,FZ56+FY57-GH56)))</f>
        <v>0</v>
      </c>
      <c r="GA57" s="158" t="str">
        <f>FZ57*VLOOKUP('Données projet'!$B$17,'Paramètres'!$A$1:$I$88,3,0)*VLOOKUP('Données projet'!$B$17,'Paramètres'!$A$1:$I$88,5,0)</f>
        <v>#N/A</v>
      </c>
      <c r="GB57" s="150" t="str">
        <f t="shared" si="50"/>
        <v>#N/A</v>
      </c>
      <c r="GC57" s="161" t="str">
        <f t="shared" si="26"/>
        <v>#N/A</v>
      </c>
      <c r="GD57" s="153" t="str">
        <f t="shared" si="27"/>
        <v>#N/A</v>
      </c>
      <c r="GE57" s="153" t="str">
        <f>AVERAGE(OFFSET($GD$3,0,0,'Données projet'!$E$17+1,1))-AVERAGE(OFFSET($H$3,0,0,'Données projet'!$E$17+1,1))</f>
        <v>#N/A</v>
      </c>
      <c r="GF57" s="153" t="str">
        <f t="shared" si="51"/>
        <v>#N/A</v>
      </c>
      <c r="GG57" s="154">
        <f>IF(ISNA(VLOOKUP(A57,'Données projet'!$A$243:$I$263,3,0)),0,VLOOKUP(A57,'Données projet'!$A$243:$I$263,3,0))</f>
        <v>0</v>
      </c>
      <c r="GH57" s="154">
        <f>IF(ISNA(VLOOKUP(A57,'Données projet'!$A$243:$I$263,4,0)),0,VLOOKUP(A57,'Données projet'!$A$243:$I$263,4,0))</f>
        <v>0</v>
      </c>
      <c r="GI57" s="155">
        <f>IF(ISNA(VLOOKUP(A57,'Données projet'!$A$243:$I$263,5,0)),0%,VLOOKUP(A57,'Données projet'!$A$243:$I$263,5,0)*VLOOKUP('Données projet'!$B$17,'Paramètres'!$A$1:$I$88,7,0))</f>
        <v>0</v>
      </c>
      <c r="GJ57" s="155">
        <f>IF(ISNA(VLOOKUP(A57,'Données projet'!$A$243:$I$263,6,0)),0%,VLOOKUP(A57,'Données projet'!$A$243:$I$263,6,0)*VLOOKUP('Données projet'!$B$17,'Paramètres'!$A$1:$I$88,7,0))</f>
        <v>0</v>
      </c>
      <c r="GK57" s="155">
        <f>IF(ISNA(VLOOKUP(A57,'Données projet'!$A$243:$I$263,7,0)),0%,VLOOKUP(A57,'Données projet'!$A$243:$I$263,7,0))</f>
        <v>0</v>
      </c>
      <c r="GL57" s="162" t="str">
        <f>EXP(-LN(2)/35)*GL56+(1-EXP(-LN(2)/35))/(LN(2)/35)*GH57*GI57*VLOOKUP('Données projet'!$B$17,'Paramètres'!$A$1:$I$88,3,0)*0.475*44/12</f>
        <v>#N/A</v>
      </c>
      <c r="GM57" s="162" t="str">
        <f>EXP(-LN(2)/25)*GM56+(1-EXP(-LN(2)/25))/(LN(2)/25)*Calculateur!GH57*Calculateur!GJ57*VLOOKUP('Données projet'!$B$17,'Paramètres'!$A$1:$I$88,3,0)*0.475*44/12</f>
        <v>#N/A</v>
      </c>
      <c r="GN57" s="162" t="str">
        <f>EXP(-LN(2)/2)*GN56+(1-EXP(-LN(2)/2))/(LN(2)/2)*GH57*GK57*VLOOKUP('Données projet'!$B$17,'Paramètres'!$A$1:$I$88,3,0)*0.475*44/12</f>
        <v>#N/A</v>
      </c>
      <c r="GO57" s="162" t="str">
        <f t="shared" si="28"/>
        <v>#N/A</v>
      </c>
      <c r="GP57" s="159">
        <f>('Scénario référence'!$F$8+'Scénario référence'!$F$9+'Scénario référence'!$B$17+'Scénario référence'!$B$9+'Scénario référence'!$B$10)*70+IF((45+25*(1-EXP(-0.0175*A57)))&lt;70,'Scénario référence'!$B$16*(45+25*(1-EXP(-0.0175*A57))),70*'Scénario référence'!$B$16)+IF((32+38*(1-EXP(-0.0175*A57)))&lt;70,'Scénario référence'!$B$18*(32+38*(1-EXP(-0.0175*A57))),70*'Scénario référence'!$B$18)</f>
        <v>70</v>
      </c>
      <c r="GQ57" s="151">
        <f>IF(A57&gt;30,10,('Scénario référence'!$B$16+'Scénario référence'!$B$17+'Scénario référence'!$B$18+'Scénario référence'!$B$9+'Scénario référence'!$B$10)*A57*10/30+('Scénario référence'!$F$8+'Scénario référence'!$F$9)*10)</f>
        <v>10</v>
      </c>
      <c r="GR57" s="151" t="str">
        <f>VLOOKUP(A57,'Données projet'!$A$269:$I$289,2,0)</f>
        <v>#N/A</v>
      </c>
      <c r="GS57" s="151" t="str">
        <f>VLOOKUP(A57,'Données projet'!$A$269:$I$289,9,0)</f>
        <v>#N/A</v>
      </c>
      <c r="GT57" s="151" t="str">
        <f t="array" ref="GT57">INDEX(GS:GS,MIN(IF(ISNUMBER(GS57:GS253),ROW(GS57:GS253),"")))</f>
        <v/>
      </c>
      <c r="GU57" s="151">
        <f>IF('Données projet'!$A$270&gt;35,GU56+GT57-HC56,IF(A57&lt;'Données projet'!$A$270,$GR$205^A57,IF(A57='Données projet'!$A$270,'Données projet'!$B$270,GU56+GT57-HC56)))</f>
        <v>0</v>
      </c>
      <c r="GV57" s="158" t="str">
        <f>GU57*VLOOKUP('Données projet'!$B$18,'Paramètres'!$A$1:$I$88,3,0)*VLOOKUP('Données projet'!$B$18,'Paramètres'!$A$1:$I$88,5,0)</f>
        <v>#N/A</v>
      </c>
      <c r="GW57" s="150" t="str">
        <f t="shared" si="52"/>
        <v>#N/A</v>
      </c>
      <c r="GX57" s="161" t="str">
        <f t="shared" si="29"/>
        <v>#N/A</v>
      </c>
      <c r="GY57" s="153" t="str">
        <f t="shared" si="30"/>
        <v>#N/A</v>
      </c>
      <c r="GZ57" s="153" t="str">
        <f>AVERAGE(OFFSET($GY$3,0,0,'Données projet'!$E$18+1,1))-AVERAGE(OFFSET($H$3,0,0,'Données projet'!$E$18+1,1))</f>
        <v>#N/A</v>
      </c>
      <c r="HA57" s="153" t="str">
        <f t="shared" si="53"/>
        <v>#N/A</v>
      </c>
      <c r="HB57" s="154">
        <f>IF(ISNA(VLOOKUP(A57,'Données projet'!$A$269:$I$289,3,0)),0,VLOOKUP(A57,'Données projet'!$A$269:$I$289,3,0))</f>
        <v>0</v>
      </c>
      <c r="HC57" s="154">
        <f>IF(ISNA(VLOOKUP(A57,'Données projet'!$A$269:$I$289,4,0)),0,VLOOKUP(A57,'Données projet'!$A$269:$I$289,4,0))</f>
        <v>0</v>
      </c>
      <c r="HD57" s="155">
        <f>IF(ISNA(VLOOKUP(A57,'Données projet'!$A$269:$I$289,5,0)),0%,VLOOKUP(A57,'Données projet'!$A$269:$I$289,5,0)*VLOOKUP('Données projet'!$B$18,'Paramètres'!$A$1:$I$88,7,0))</f>
        <v>0</v>
      </c>
      <c r="HE57" s="155">
        <f>IF(ISNA(VLOOKUP(A57,'Données projet'!$A$269:$I$289,6,0)),0%,VLOOKUP(A57,'Données projet'!$A$269:$I$289,6,0)*VLOOKUP('Données projet'!$B$18,'Paramètres'!$A$1:$I$88,7,0))</f>
        <v>0</v>
      </c>
      <c r="HF57" s="155">
        <f>IF(ISNA(VLOOKUP(A57,'Données projet'!$A$269:$I$289,7,0)),0%,VLOOKUP(A57,'Données projet'!$A$269:$I$289,7,0))</f>
        <v>0</v>
      </c>
      <c r="HG57" s="162" t="str">
        <f>EXP(-LN(2)/35)*HG56+(1-EXP(-LN(2)/35))/(LN(2)/35)*HC57*HD57*VLOOKUP('Données projet'!$B$18,'Paramètres'!$A$1:$I$88,3,0)*0.475*44/12</f>
        <v>#N/A</v>
      </c>
      <c r="HH57" s="162" t="str">
        <f>EXP(-LN(2)/25)*HH56+(1-EXP(-LN(2)/25))/(LN(2)/25)*Calculateur!HC57*Calculateur!HE57*VLOOKUP('Données projet'!$B$18,'Paramètres'!$A$1:$I$88,3,0)*0.475*44/12</f>
        <v>#N/A</v>
      </c>
      <c r="HI57" s="162" t="str">
        <f>EXP(-LN(2)/2)*HI56+(1-EXP(-LN(2)/2))/(LN(2)/2)*HC57*HF57*VLOOKUP('Données projet'!$B$18,'Paramètres'!$A$1:$I$88,3,0)*0.475*44/12</f>
        <v>#N/A</v>
      </c>
      <c r="HJ57" s="163" t="str">
        <f t="shared" si="31"/>
        <v>#N/A</v>
      </c>
    </row>
    <row r="58" ht="15.75" customHeight="1">
      <c r="A58" s="145">
        <f t="shared" si="32"/>
        <v>55</v>
      </c>
      <c r="B58" s="146">
        <f>'Scénario référence'!$B$16*5+'Scénario référence'!$B$17*0+'Scénario référence'!$B$18*5</f>
        <v>0</v>
      </c>
      <c r="C58" s="160">
        <f>Calculateur!C57+'Scénario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58" s="147">
        <f t="shared" si="33"/>
        <v>0</v>
      </c>
      <c r="E58" s="147">
        <f>'Scénario référence'!$B$16*45+('Scénario référence'!$B$17+'Scénario référence'!$F$8+'Scénario référence'!$F$9+'Scénario référence'!$B$10+'Scénario référence'!$B$9)*70+'Scénario référence'!$B$18*32</f>
        <v>70</v>
      </c>
      <c r="F58" s="147">
        <f>IF(OR('Scénario référence'!$F$8&gt;0,'Scénario référence'!$F$9&gt;0),('Scénario référence'!$F$8+'Scénario référence'!$F$9)*10,0)</f>
        <v>0</v>
      </c>
      <c r="G58" s="147">
        <f>'Scénario référence'!$B$8*B58*44/12+'Scénario référence'!$B$9*(C58+D58)/0.475*44/12+'Scénario référence'!$B$10*(C58+D58)/0.475*44/12+'Scénario référence'!$F$8*(C58+D58)/0.475*44/12+'Scénario référence'!$F$9*(C58+D58)/0.475*44/12</f>
        <v>0</v>
      </c>
      <c r="H58" s="148">
        <f t="shared" si="1"/>
        <v>256.6666667</v>
      </c>
      <c r="I58" s="149">
        <f>('Scénario référence'!$F$8+'Scénario référence'!$F$9+'Scénario référence'!$B$17+'Scénario référence'!$B$9+'Scénario référence'!$B$10)*70+IF((45+25*(1-EXP(-0.0175*A58)))&lt;70,'Scénario référence'!$B$16*(45+25*(1-EXP(-0.0175*A58))),70*'Scénario référence'!$B$16)+IF((32+38*(1-EXP(-0.0175*A58)))&lt;70,'Scénario référence'!$B$18*(32+38*(1-EXP(-0.0175*A58))),70*'Scénario référence'!$B$18)</f>
        <v>70</v>
      </c>
      <c r="J58" s="150">
        <f>IF(A58&gt;30,10,('Scénario référence'!$B$16+'Scénario référence'!$B$17+'Scénario référence'!$B$18+'Scénario référence'!$B$9+'Scénario référence'!$B$10)*A58*10/30+('Scénario référence'!$F$8+'Scénario référence'!$F$9)*10)</f>
        <v>10</v>
      </c>
      <c r="K58" s="165">
        <f>VLOOKUP(A58,'Données projet'!$A$35:$I$55,2,0)</f>
        <v>254</v>
      </c>
      <c r="L58" s="150">
        <f>VLOOKUP(A58,'Données projet'!$A$35:$I$55,9,0)</f>
        <v>10.2</v>
      </c>
      <c r="M58" s="150">
        <f t="array" ref="M58">INDEX(L:L,MIN(IF(ISNUMBER(L58:L254),ROW(L58:L254),"")))</f>
        <v>10.2</v>
      </c>
      <c r="N58" s="150">
        <f>IF('Données projet'!$A$36&gt;35,N57+M58-V57,IF(A58&lt;'Données projet'!$A$36,$K$205^A58,IF(A58='Données projet'!$A$36,'Données projet'!$B$36,N57+M58-V57)))</f>
        <v>254</v>
      </c>
      <c r="O58" s="150">
        <f>N58*VLOOKUP('Données projet'!$B$9,'Paramètres'!$A$1:$I$88,3,0)*VLOOKUP('Données projet'!$B$9,'Paramètres'!$A$1:$I$88,5,0)</f>
        <v>229.8192</v>
      </c>
      <c r="P58" s="150">
        <f t="shared" si="34"/>
        <v>56.24358655</v>
      </c>
      <c r="Q58" s="161">
        <f t="shared" si="2"/>
        <v>498.2260199</v>
      </c>
      <c r="R58" s="153">
        <f t="shared" si="3"/>
        <v>791.5593532</v>
      </c>
      <c r="S58" s="153">
        <f>AVERAGE(OFFSET($R$3,0,0,'Données projet'!$E$9+1,1))-AVERAGE(OFFSET($H$3,0,0,'Données projet'!$E$9+1,1))</f>
        <v>439.1985427</v>
      </c>
      <c r="T58" s="153">
        <f t="shared" si="35"/>
        <v>278.2174123</v>
      </c>
      <c r="U58" s="154">
        <f>IF(ISNA(VLOOKUP(A58,'Données projet'!$A$35:$I$55,3,0)),0,VLOOKUP(A58,'Données projet'!$A$35:$I$55,3,0))</f>
        <v>8</v>
      </c>
      <c r="V58" s="164">
        <f>IF(ISNA(VLOOKUP(A58,'Données projet'!$A$35:$I$55,4,0)),0,VLOOKUP(A58,'Données projet'!$A$35:$I$55,4,0))</f>
        <v>28</v>
      </c>
      <c r="W58" s="155">
        <f>IF(ISNA(VLOOKUP(A58,'Données projet'!$A$35:$I$55,5,0)),0%,VLOOKUP(A58,'Données projet'!$A$35:$I$55,5,0)*VLOOKUP('Données projet'!$B$9,'Paramètres'!$A$1:$I$88,7,0))</f>
        <v>0</v>
      </c>
      <c r="X58" s="155">
        <f>IF(ISNA(VLOOKUP(A58,'Données projet'!$A$35:$I$55,6,0)),0%,VLOOKUP(A58,'Données projet'!$A$35:$I$55,6,0)*VLOOKUP('Données projet'!$B$9,'Paramètres'!$A$1:$I$88,7,0))</f>
        <v>0</v>
      </c>
      <c r="Y58" s="155" t="str">
        <f>IF(ISNA(VLOOKUP(A58,'Données projet'!$A$35:$I$55,7,0)),0%,VLOOKUP(A58,'Données projet'!$A$35:$I$55,7,0))</f>
        <v/>
      </c>
      <c r="Z58" s="162">
        <f>EXP(-LN(2)/35)*Z57+(1-EXP(-LN(2)/35))/(LN(2)/35)*V58*W58*VLOOKUP('Données projet'!$B$9,'Paramètres'!$A$1:$I$88,3,0)*0.475*44/12</f>
        <v>0</v>
      </c>
      <c r="AA58" s="162">
        <f>EXP(-LN(2)/25)*AA57+(1-EXP(-LN(2)/25))/(LN(2)/25)*Calculateur!V58*Calculateur!X58*VLOOKUP('Données projet'!$B$9,'Paramètres'!$A$1:$I$88,3,0)*0.475*44/12</f>
        <v>2.243790388</v>
      </c>
      <c r="AB58" s="162">
        <f>EXP(-LN(2)/2)*AB57+(1-EXP(-LN(2)/2))/(LN(2)/2)*V58*Y58*VLOOKUP('Données projet'!$B$9,'Paramètres'!$A$1:$I$88,3,0)*0.475*44/12</f>
        <v>0</v>
      </c>
      <c r="AC58" s="163">
        <f t="shared" si="4"/>
        <v>2.243790388</v>
      </c>
      <c r="AD58" s="150">
        <f>('Scénario référence'!$F$8+'Scénario référence'!$F$9+'Scénario référence'!$B$17+'Scénario référence'!$B$9+'Scénario référence'!$B$10)*70+IF((45+25*(1-EXP(-0.0175*A58)))&lt;70,'Scénario référence'!$B$16*(45+25*(1-EXP(-0.0175*A58))),70*'Scénario référence'!$B$16)+IF((32+38*(1-EXP(-0.0175*A58)))&lt;70,'Scénario référence'!$B$18*(32+38*(1-EXP(-0.0175*A58))),70*'Scénario référence'!$B$18)</f>
        <v>70</v>
      </c>
      <c r="AE58" s="150">
        <f>IF(A58&gt;30,10,('Scénario référence'!$B$16+'Scénario référence'!$B$17+'Scénario référence'!$B$18+'Scénario référence'!$B$9+'Scénario référence'!$B$10)*A58*10/30+('Scénario référence'!$F$8+'Scénario référence'!$F$9)*10)</f>
        <v>10</v>
      </c>
      <c r="AF58" s="151">
        <f>VLOOKUP(A58,'Données projet'!$A$61:$I$81,2,0)</f>
        <v>324</v>
      </c>
      <c r="AG58" s="150">
        <f>VLOOKUP(A58,'Données projet'!$A$61:$I$81,9,0)</f>
        <v>8.4</v>
      </c>
      <c r="AH58" s="150">
        <f t="array" ref="AH58">INDEX(AG:AG,MIN(IF(ISNUMBER(AG58:AG254),ROW(AG58:AG254),"")))</f>
        <v>8.4</v>
      </c>
      <c r="AI58" s="150">
        <f>IF('Données projet'!$A$62&gt;35,AI57+AH58-AQ57,IF(A58&lt;'Données projet'!$A$62,$AF$205^A58,IF(A58='Données projet'!$A$62,'Données projet'!$B$62,AI57+AH58-AQ57)))</f>
        <v>324</v>
      </c>
      <c r="AJ58" s="150">
        <f>AI58*VLOOKUP('Données projet'!$B$10,'Paramètres'!$A$1:$I$88,3,0)*VLOOKUP('Données projet'!$B$10,'Paramètres'!$A$1:$I$88,5,0)</f>
        <v>257.7744</v>
      </c>
      <c r="AK58" s="150">
        <f t="shared" si="36"/>
        <v>62.24773287</v>
      </c>
      <c r="AL58" s="161">
        <f t="shared" si="5"/>
        <v>557.3718814</v>
      </c>
      <c r="AM58" s="153">
        <f t="shared" si="6"/>
        <v>850.7052148</v>
      </c>
      <c r="AN58" s="153">
        <f>AVERAGE(OFFSET($AM$3,0,0,'Données projet'!$E$10+1,1))-AVERAGE(OFFSET($H$3,0,0,'Données projet'!$E$10+1,1))</f>
        <v>405.6113614</v>
      </c>
      <c r="AO58" s="153">
        <f t="shared" si="37"/>
        <v>393.0787141</v>
      </c>
      <c r="AP58" s="154">
        <f>IF(ISNA(VLOOKUP(A58,'Données projet'!$A$61:$I$81,3,0)),0,VLOOKUP(A58,'Données projet'!$A$61:$I$81,3,0))</f>
        <v>10</v>
      </c>
      <c r="AQ58" s="164">
        <f>IF(ISNA(VLOOKUP(A58,'Données projet'!$A$61:$I$81,4,0)),0,VLOOKUP(A58,'Données projet'!$A$61:$I$81,4,0))</f>
        <v>18</v>
      </c>
      <c r="AR58" s="155">
        <f>IF(ISNA(VLOOKUP(A58,'Données projet'!$A$61:$I$81,5,0)),0%,VLOOKUP(A58,'Données projet'!$A$61:$I$81,5,0)*VLOOKUP('Données projet'!$B$10,'Paramètres'!$A$1:$I$88,7,0))</f>
        <v>0</v>
      </c>
      <c r="AS58" s="155">
        <f>IF(ISNA(VLOOKUP(A58,'Données projet'!$A$61:$I$81,6,0)),0%,VLOOKUP(A58,'Données projet'!$A$61:$I$81,6,0)*VLOOKUP('Données projet'!$B$10,'Paramètres'!$A$1:$I$88,7,0))</f>
        <v>0</v>
      </c>
      <c r="AT58" s="155" t="str">
        <f>IF(ISNA(VLOOKUP(A58,'Données projet'!$A$61:$I$81,7,0)),0%,VLOOKUP(A58,'Données projet'!$A$61:$I$81,7,0))</f>
        <v/>
      </c>
      <c r="AU58" s="162">
        <f>EXP(-LN(2)/35)*AU57+(1-EXP(-LN(2)/35))/(LN(2)/35)*AQ58*AR58*VLOOKUP('Données projet'!$B$10,'Paramètres'!$A$1:$I$88,3,0)*0.475*44/12</f>
        <v>0</v>
      </c>
      <c r="AV58" s="162">
        <f>EXP(-LN(2)/25)*AV57+(1-EXP(-LN(2)/25))/(LN(2)/25)*Calculateur!AQ58*Calculateur!AS58*VLOOKUP('Données projet'!$B$10,'Paramètres'!$A$1:$I$88,3,0)*0.475*44/12</f>
        <v>9.119334532</v>
      </c>
      <c r="AW58" s="162">
        <f>EXP(-LN(2)/2)*AW57+(1-EXP(-LN(2)/2))/(LN(2)/2)*AQ58*AT58*VLOOKUP('Données projet'!$B$10,'Paramètres'!$A$1:$I$88,3,0)*0.475*44/12</f>
        <v>0.0001000777418</v>
      </c>
      <c r="AX58" s="162">
        <f t="shared" si="7"/>
        <v>9.11943461</v>
      </c>
      <c r="AY58" s="157">
        <f>('Scénario référence'!$F$8+'Scénario référence'!$F$9+'Scénario référence'!$B$17+'Scénario référence'!$B$9+'Scénario référence'!$B$10)*70+IF((45+25*(1-EXP(-0.0175*A58)))&lt;70,'Scénario référence'!$B$16*(45+25*(1-EXP(-0.0175*A58))),70*'Scénario référence'!$B$16)+IF((32+38*(1-EXP(-0.0175*A58)))&lt;70,'Scénario référence'!$B$18*(32+38*(1-EXP(-0.0175*A58))),70*'Scénario référence'!$B$18)</f>
        <v>70</v>
      </c>
      <c r="AZ58" s="151">
        <f>IF(A58&gt;30,10,('Scénario référence'!$B$16+'Scénario référence'!$B$17+'Scénario référence'!$B$18+'Scénario référence'!$B$9+'Scénario référence'!$B$10)*A58*10/30+('Scénario référence'!$F$8+'Scénario référence'!$F$9)*10)</f>
        <v>10</v>
      </c>
      <c r="BA58" s="151" t="str">
        <f>VLOOKUP(A58,'Données projet'!$A$87:$I$107,2,0)</f>
        <v>#N/A</v>
      </c>
      <c r="BB58" s="150" t="str">
        <f>VLOOKUP(A58,'Données projet'!$A$87:$I$107,9,0)</f>
        <v>#N/A</v>
      </c>
      <c r="BC58" s="150" t="str">
        <f t="array" ref="BC58">INDEX(BB:BB,MIN(IF(ISNUMBER(BB58:BB254),ROW(BB58:BB254),"")))</f>
        <v/>
      </c>
      <c r="BD58" s="150">
        <f>IF('Données projet'!$A$88&gt;35,BD57+BC58-BL57,IF(A58&lt;'Données projet'!$A$88,$BA$205^A58,IF(A58='Données projet'!$A$88,'Données projet'!$B$88,BD57+BC58-BL57)))</f>
        <v>0</v>
      </c>
      <c r="BE58" s="150">
        <f>BD58*VLOOKUP('Données projet'!$B$11,'Paramètres'!$A$1:$I$88,3,0)*VLOOKUP('Données projet'!$B$11,'Paramètres'!$A$1:$I$88,5,0)</f>
        <v>0</v>
      </c>
      <c r="BF58" s="150" t="str">
        <f t="shared" si="38"/>
        <v>#NUM!</v>
      </c>
      <c r="BG58" s="161" t="str">
        <f t="shared" si="8"/>
        <v>#NUM!</v>
      </c>
      <c r="BH58" s="153" t="str">
        <f t="shared" si="9"/>
        <v>#NUM!</v>
      </c>
      <c r="BI58" s="153">
        <f>AVERAGE(OFFSET($BH$3,0,0,'Données projet'!$E$11+1,1))-AVERAGE(OFFSET($H$3,0,0,'Données projet'!$E$11+1,1))</f>
        <v>0</v>
      </c>
      <c r="BJ58" s="153">
        <f t="shared" si="39"/>
        <v>0</v>
      </c>
      <c r="BK58" s="154">
        <f>IF(ISNA(VLOOKUP(A58,'Données projet'!$A$87:$I$107,3,0)),0,VLOOKUP(A58,'Données projet'!$A$87:$I$107,3,0))</f>
        <v>0</v>
      </c>
      <c r="BL58" s="154">
        <f>IF(ISNA(VLOOKUP(A58,'Données projet'!$A$87:$I$107,4,0)),0,VLOOKUP(A58,'Données projet'!$A$87:$I$107,4,0))</f>
        <v>0</v>
      </c>
      <c r="BM58" s="155">
        <f>IF(ISNA(VLOOKUP(A58,'Données projet'!$A$87:$I$107,5,0)),0%,VLOOKUP(A58,'Données projet'!$A$87:$I$107,5,0)*VLOOKUP('Données projet'!$B$11,'Paramètres'!$A$1:$I$88,7,0))</f>
        <v>0</v>
      </c>
      <c r="BN58" s="155">
        <f>IF(ISNA(VLOOKUP(A58,'Données projet'!$A$87:$I$107,6,0)),0%,VLOOKUP(A58,'Données projet'!$A$87:$I$107,6,0)*VLOOKUP('Données projet'!$B$11,'Paramètres'!$A$1:$I$88,7,0))</f>
        <v>0</v>
      </c>
      <c r="BO58" s="155">
        <f>IF(ISNA(VLOOKUP(A58,'Données projet'!$A$87:$I$107,7,0)),0%,VLOOKUP(A58,'Données projet'!$A$87:$I$107,7,0))</f>
        <v>0</v>
      </c>
      <c r="BP58" s="162">
        <f>EXP(-LN(2)/35)*BP57+(1-EXP(-LN(2)/35))/(LN(2)/35)*BL58*BM58*VLOOKUP('Données projet'!$B$11,'Paramètres'!$A$1:$I$88,3,0)*0.475*44/12</f>
        <v>0</v>
      </c>
      <c r="BQ58" s="162">
        <f>EXP(-LN(2)/25)*BQ57+(1-EXP(-LN(2)/25))/(LN(2)/25)*Calculateur!BL58*Calculateur!BN58*VLOOKUP('Données projet'!$B$11,'Paramètres'!$A$1:$I$88,3,0)*0.475*44/12</f>
        <v>0</v>
      </c>
      <c r="BR58" s="162">
        <f>EXP(-LN(2)/2)*BR57+(1-EXP(-LN(2)/2))/(LN(2)/2)*BL58*BO58*VLOOKUP('Données projet'!$B$11,'Paramètres'!$A$1:$I$88,3,0)*0.475*44/12</f>
        <v>0</v>
      </c>
      <c r="BS58" s="163">
        <f t="shared" si="10"/>
        <v>0</v>
      </c>
      <c r="BT58" s="159">
        <f>('Scénario référence'!$F$8+'Scénario référence'!$F$9+'Scénario référence'!$B$17+'Scénario référence'!$B$9+'Scénario référence'!$B$10)*70+IF((45+25*(1-EXP(-0.0175*A58)))&lt;70,'Scénario référence'!$B$16*(45+25*(1-EXP(-0.0175*A58))),70*'Scénario référence'!$B$16)+IF((32+38*(1-EXP(-0.0175*A58)))&lt;70,'Scénario référence'!$B$18*(32+38*(1-EXP(-0.0175*A58))),70*'Scénario référence'!$B$18)</f>
        <v>70</v>
      </c>
      <c r="BU58" s="151">
        <f>IF(A58&gt;30,10,('Scénario référence'!$B$16+'Scénario référence'!$B$17+'Scénario référence'!$B$18+'Scénario référence'!$B$9+'Scénario référence'!$B$10)*A58*10/30+('Scénario référence'!$F$8+'Scénario référence'!$F$9)*10)</f>
        <v>10</v>
      </c>
      <c r="BV58" s="151" t="str">
        <f>VLOOKUP(A58,'Données projet'!$A$113:$I$133,2,0)</f>
        <v>#N/A</v>
      </c>
      <c r="BW58" s="150" t="str">
        <f>VLOOKUP(A58,'Données projet'!$A$113:$I$133,9,0)</f>
        <v>#N/A</v>
      </c>
      <c r="BX58" s="150" t="str">
        <f t="array" ref="BX58">INDEX(BW:BW,MIN(IF(ISNUMBER(BW58:BW254),ROW(BW58:BW254),"")))</f>
        <v/>
      </c>
      <c r="BY58" s="150">
        <f>IF('Données projet'!$A$114&gt;35,BY57+BX58-CG57,IF(A58&lt;'Données projet'!$A$114,$BV$205^A58,IF(A58='Données projet'!$A$114,'Données projet'!$B$114,BY57+BX58-CG57)))</f>
        <v>0</v>
      </c>
      <c r="BZ58" s="150" t="str">
        <f>BY58*VLOOKUP('Données projet'!$B$12,'Paramètres'!$A$1:$I$88,3,0)*VLOOKUP('Données projet'!$B$12,'Paramètres'!$A$1:$I$88,5,0)</f>
        <v>#N/A</v>
      </c>
      <c r="CA58" s="150" t="str">
        <f t="shared" si="40"/>
        <v>#N/A</v>
      </c>
      <c r="CB58" s="161" t="str">
        <f t="shared" si="11"/>
        <v>#N/A</v>
      </c>
      <c r="CC58" s="153" t="str">
        <f t="shared" si="12"/>
        <v>#N/A</v>
      </c>
      <c r="CD58" s="153" t="str">
        <f>AVERAGE(OFFSET($CC$3,0,0,'Données projet'!$E$12+1,1))-AVERAGE(OFFSET($H$3,0,0,'Données projet'!$E$12+1,1))</f>
        <v>#N/A</v>
      </c>
      <c r="CE58" s="153" t="str">
        <f t="shared" si="41"/>
        <v>#N/A</v>
      </c>
      <c r="CF58" s="154">
        <f>IF(ISNA(VLOOKUP(A58,'Données projet'!$A$113:$I$133,3,0)),0,VLOOKUP(A58,'Données projet'!$A$113:$I$133,3,0))</f>
        <v>0</v>
      </c>
      <c r="CG58" s="154">
        <f>IF(ISNA(VLOOKUP(A58,'Données projet'!$A$113:$I$133,4,0)),0,VLOOKUP(A58,'Données projet'!$A$113:$I$133,4,0))</f>
        <v>0</v>
      </c>
      <c r="CH58" s="155">
        <f>IF(ISNA(VLOOKUP(A58,'Données projet'!$A$113:$I$133,5,0)),0%,VLOOKUP(A58,'Données projet'!$A$113:$I$133,5,0)*VLOOKUP('Données projet'!$B$12,'Paramètres'!$A$1:$I$88,7,0))</f>
        <v>0</v>
      </c>
      <c r="CI58" s="155">
        <f>IF(ISNA(VLOOKUP(A58,'Données projet'!$A$113:$I$133,6,0)),0%,VLOOKUP(A58,'Données projet'!$A$113:$I$133,6,0)*VLOOKUP('Données projet'!$B$12,'Paramètres'!$A$1:$I$88,7,0))</f>
        <v>0</v>
      </c>
      <c r="CJ58" s="155">
        <f>IF(ISNA(VLOOKUP(A58,'Données projet'!$A$113:$I$133,7,0)),0%,VLOOKUP(A58,'Données projet'!$A$113:$I$133,7,0))</f>
        <v>0</v>
      </c>
      <c r="CK58" s="162" t="str">
        <f>EXP(-LN(2)/35)*CK57+(1-EXP(-LN(2)/35))/(LN(2)/35)*CG58*CH58*VLOOKUP('Données projet'!$B$12,'Paramètres'!$A$1:$I$88,3,0)*0.475*44/12</f>
        <v>#N/A</v>
      </c>
      <c r="CL58" s="162" t="str">
        <f>EXP(-LN(2)/25)*CL57+(1-EXP(-LN(2)/25))/(LN(2)/25)*Calculateur!CG58*Calculateur!CI58*VLOOKUP('Données projet'!$B$12,'Paramètres'!$A$1:$I$88,3,0)*0.475*44/12</f>
        <v>#N/A</v>
      </c>
      <c r="CM58" s="162" t="str">
        <f>EXP(-LN(2)/2)*CM57+(1-EXP(-LN(2)/2))/(LN(2)/2)*CG58*CJ58*VLOOKUP('Données projet'!$B$12,'Paramètres'!$A$1:$I$88,3,0)*0.475*44/12</f>
        <v>#N/A</v>
      </c>
      <c r="CN58" s="163" t="str">
        <f t="shared" si="13"/>
        <v>#N/A</v>
      </c>
      <c r="CO58" s="159">
        <f>('Scénario référence'!$F$8+'Scénario référence'!$F$9+'Scénario référence'!$B$17+'Scénario référence'!$B$9+'Scénario référence'!$B$10)*70+IF((45+25*(1-EXP(-0.0175*A58)))&lt;70,'Scénario référence'!$B$16*(45+25*(1-EXP(-0.0175*A58))),70*'Scénario référence'!$B$16)+IF((32+38*(1-EXP(-0.0175*A58)))&lt;70,'Scénario référence'!$B$18*(32+38*(1-EXP(-0.0175*A58))),70*'Scénario référence'!$B$18)</f>
        <v>70</v>
      </c>
      <c r="CP58" s="151">
        <f>IF(A58&gt;30,10,('Scénario référence'!$B$16+'Scénario référence'!$B$17+'Scénario référence'!$B$18+'Scénario référence'!$B$9+'Scénario référence'!$B$10)*A58*10/30+('Scénario référence'!$F$8+'Scénario référence'!$F$9)*10)</f>
        <v>10</v>
      </c>
      <c r="CQ58" s="151" t="str">
        <f>VLOOKUP(A58,'Données projet'!$A$139:$I$159,2,0)</f>
        <v>#N/A</v>
      </c>
      <c r="CR58" s="151" t="str">
        <f>VLOOKUP(A58,'Données projet'!$A$139:$I$159,9,0)</f>
        <v>#N/A</v>
      </c>
      <c r="CS58" s="151" t="str">
        <f t="array" ref="CS58">INDEX(CR:CR,MIN(IF(ISNUMBER(CR58:CR254),ROW(CR58:CR254),"")))</f>
        <v/>
      </c>
      <c r="CT58" s="151">
        <f>IF('Données projet'!$A$140&gt;35,CT57+CS58-DB57,IF(A58&lt;'Données projet'!$A$140,$CQ$205^A58,IF(A58='Données projet'!$A$140,'Données projet'!$B$140,CT57+CS58-DB57)))</f>
        <v>0</v>
      </c>
      <c r="CU58" s="158" t="str">
        <f>CT58*VLOOKUP('Données projet'!$B$13,'Paramètres'!$A$1:$I$88,3,0)*VLOOKUP('Données projet'!$B$13,'Paramètres'!$A$1:$I$88,5,0)</f>
        <v>#N/A</v>
      </c>
      <c r="CV58" s="150" t="str">
        <f t="shared" si="42"/>
        <v>#N/A</v>
      </c>
      <c r="CW58" s="161" t="str">
        <f t="shared" si="14"/>
        <v>#N/A</v>
      </c>
      <c r="CX58" s="153" t="str">
        <f t="shared" si="15"/>
        <v>#N/A</v>
      </c>
      <c r="CY58" s="153" t="str">
        <f>AVERAGE(OFFSET($CX$3,0,0,'Données projet'!$E$13+1,1))-AVERAGE(OFFSET($H$3,0,0,'Données projet'!$E$13+1,1))</f>
        <v>#N/A</v>
      </c>
      <c r="CZ58" s="153" t="str">
        <f t="shared" si="43"/>
        <v>#N/A</v>
      </c>
      <c r="DA58" s="154">
        <f>IF(ISNA(VLOOKUP(A58,'Données projet'!$A$139:$I$159,3,0)),0,VLOOKUP(A58,'Données projet'!$A$139:$I$159,3,0))</f>
        <v>0</v>
      </c>
      <c r="DB58" s="154">
        <f>IF(ISNA(VLOOKUP(A58,'Données projet'!$A$139:$I$159,4,0)),0,VLOOKUP(A58,'Données projet'!$A$139:$I$159,4,0))</f>
        <v>0</v>
      </c>
      <c r="DC58" s="155">
        <f>IF(ISNA(VLOOKUP(A58,'Données projet'!$A$139:$I$159,5,0)),0%,VLOOKUP(A58,'Données projet'!$A$139:$I$159,5,0)*VLOOKUP('Données projet'!$B$13,'Paramètres'!$A$1:$I$88,7,0))</f>
        <v>0</v>
      </c>
      <c r="DD58" s="155">
        <f>IF(ISNA(VLOOKUP(A58,'Données projet'!$A$139:$I$159,6,0)),0%,VLOOKUP(A58,'Données projet'!$A$139:$I$159,6,0)*VLOOKUP('Données projet'!$B$13,'Paramètres'!$A$1:$I$88,7,0))</f>
        <v>0</v>
      </c>
      <c r="DE58" s="155">
        <f>IF(ISNA(VLOOKUP(A58,'Données projet'!$A$139:$I$159,7,0)),0%,VLOOKUP(A58,'Données projet'!$A$139:$I$159,7,0))</f>
        <v>0</v>
      </c>
      <c r="DF58" s="162" t="str">
        <f>EXP(-LN(2)/35)*DF57+(1-EXP(-LN(2)/35))/(LN(2)/35)*DB58*DC58*VLOOKUP('Données projet'!$B$13,'Paramètres'!$A$1:$I$88,3,0)*0.475*44/12</f>
        <v>#N/A</v>
      </c>
      <c r="DG58" s="162" t="str">
        <f>EXP(-LN(2)/25)*DG57+(1-EXP(-LN(2)/25))/(LN(2)/25)*Calculateur!DB58*Calculateur!DD58*VLOOKUP('Données projet'!$B$13,'Paramètres'!$A$1:$I$88,3,0)*0.475*44/12</f>
        <v>#N/A</v>
      </c>
      <c r="DH58" s="162" t="str">
        <f>EXP(-LN(2)/2)*DH57+(1-EXP(-LN(2)/2))/(LN(2)/2)*DB58*DE58*VLOOKUP('Données projet'!$B$13,'Paramètres'!$A$1:$I$88,3,0)*0.475*44/12</f>
        <v>#N/A</v>
      </c>
      <c r="DI58" s="163" t="str">
        <f t="shared" si="16"/>
        <v>#N/A</v>
      </c>
      <c r="DJ58" s="159">
        <f>('Scénario référence'!$F$8+'Scénario référence'!$F$9+'Scénario référence'!$B$17+'Scénario référence'!$B$9+'Scénario référence'!$B$10)*70+IF((45+25*(1-EXP(-0.0175*A58)))&lt;70,'Scénario référence'!$B$16*(45+25*(1-EXP(-0.0175*A58))),70*'Scénario référence'!$B$16)+IF((32+38*(1-EXP(-0.0175*A58)))&lt;70,'Scénario référence'!$B$18*(32+38*(1-EXP(-0.0175*A58))),70*'Scénario référence'!$B$18)</f>
        <v>70</v>
      </c>
      <c r="DK58" s="151">
        <f>IF(A58&gt;30,10,('Scénario référence'!$B$16+'Scénario référence'!$B$17+'Scénario référence'!$B$18+'Scénario référence'!$B$9+'Scénario référence'!$B$10)*A58*10/30+('Scénario référence'!$F$8+'Scénario référence'!$F$9)*10)</f>
        <v>10</v>
      </c>
      <c r="DL58" s="151" t="str">
        <f>VLOOKUP(A58,'Données projet'!$A$165:$I$185,2,0)</f>
        <v>#N/A</v>
      </c>
      <c r="DM58" s="151" t="str">
        <f>VLOOKUP(A58,'Données projet'!$A$165:$I$185,9,0)</f>
        <v>#N/A</v>
      </c>
      <c r="DN58" s="151" t="str">
        <f t="array" ref="DN58">INDEX(DM:DM,MIN(IF(ISNUMBER(DM58:DM254),ROW(DM58:DM254),"")))</f>
        <v/>
      </c>
      <c r="DO58" s="151">
        <f>IF('Données projet'!$A$166&gt;35,DO57+DN58-DW57,IF(A58&lt;'Données projet'!$A$166,$DL$205^A58,IF(A58='Données projet'!$A$166,'Données projet'!$B$166,DO57+DN58-DW57)))</f>
        <v>0</v>
      </c>
      <c r="DP58" s="158" t="str">
        <f>DO58*VLOOKUP('Données projet'!$B$14,'Paramètres'!$A$1:$I$88,3,0)*VLOOKUP('Données projet'!$B$14,'Paramètres'!$A$1:$I$88,5,0)</f>
        <v>#N/A</v>
      </c>
      <c r="DQ58" s="150" t="str">
        <f t="shared" si="44"/>
        <v>#N/A</v>
      </c>
      <c r="DR58" s="161" t="str">
        <f t="shared" si="17"/>
        <v>#N/A</v>
      </c>
      <c r="DS58" s="153" t="str">
        <f t="shared" si="18"/>
        <v>#N/A</v>
      </c>
      <c r="DT58" s="153" t="str">
        <f>AVERAGE(OFFSET($DS$3,0,0,'Données projet'!$E$14+1,1))-AVERAGE(OFFSET($H$3,0,0,'Données projet'!$E$14+1,1))</f>
        <v>#N/A</v>
      </c>
      <c r="DU58" s="153" t="str">
        <f t="shared" si="45"/>
        <v>#N/A</v>
      </c>
      <c r="DV58" s="154">
        <f>IF(ISNA(VLOOKUP(A58,'Données projet'!$A$165:$I$185,3,0)),0,VLOOKUP(A58,'Données projet'!$A$165:$I$185,3,0))</f>
        <v>0</v>
      </c>
      <c r="DW58" s="154">
        <f>IF(ISNA(VLOOKUP(A58,'Données projet'!$A$165:$I$185,4,0)),0,VLOOKUP(A58,'Données projet'!$A$165:$I$185,4,0))</f>
        <v>0</v>
      </c>
      <c r="DX58" s="155">
        <f>IF(ISNA(VLOOKUP(A58,'Données projet'!$A$165:$I$185,5,0)),0%,VLOOKUP(A58,'Données projet'!$A$165:$I$185,5,0)*VLOOKUP('Données projet'!$B$14,'Paramètres'!$A$1:$I$88,7,0))</f>
        <v>0</v>
      </c>
      <c r="DY58" s="155">
        <f>IF(ISNA(VLOOKUP(A58,'Données projet'!$A$165:$I$185,6,0)),0%,VLOOKUP(A58,'Données projet'!$A$165:$I$185,6,0)*VLOOKUP('Données projet'!$B$14,'Paramètres'!$A$1:$I$88,7,0))</f>
        <v>0</v>
      </c>
      <c r="DZ58" s="155">
        <f>IF(ISNA(VLOOKUP(A58,'Données projet'!$A$165:$I$185,7,0)),0%,VLOOKUP(A58,'Données projet'!$A$165:$I$185,7,0))</f>
        <v>0</v>
      </c>
      <c r="EA58" s="162" t="str">
        <f>EXP(-LN(2)/35)*EA57+(1-EXP(-LN(2)/35))/(LN(2)/35)*DW58*DX58*VLOOKUP('Données projet'!$B$14,'Paramètres'!$A$1:$I$88,3,0)*0.475*44/12</f>
        <v>#N/A</v>
      </c>
      <c r="EB58" s="162" t="str">
        <f>EXP(-LN(2)/25)*EB57+(1-EXP(-LN(2)/25))/(LN(2)/25)*Calculateur!DW58*Calculateur!DY58*VLOOKUP('Données projet'!$B$14,'Paramètres'!$A$1:$I$88,3,0)*0.475*44/12</f>
        <v>#N/A</v>
      </c>
      <c r="EC58" s="162" t="str">
        <f>EXP(-LN(2)/2)*EC57+(1-EXP(-LN(2)/2))/(LN(2)/2)*DW58*DZ58*VLOOKUP('Données projet'!$B$14,'Paramètres'!$A$1:$I$88,3,0)*0.475*44/12</f>
        <v>#N/A</v>
      </c>
      <c r="ED58" s="163" t="str">
        <f t="shared" si="19"/>
        <v>#N/A</v>
      </c>
      <c r="EE58" s="159">
        <f>('Scénario référence'!$F$8+'Scénario référence'!$F$9+'Scénario référence'!$B$17+'Scénario référence'!$B$9+'Scénario référence'!$B$10)*70+IF((45+25*(1-EXP(-0.0175*A58)))&lt;70,'Scénario référence'!$B$16*(45+25*(1-EXP(-0.0175*A58))),70*'Scénario référence'!$B$16)+IF((32+38*(1-EXP(-0.0175*A58)))&lt;70,'Scénario référence'!$B$18*(32+38*(1-EXP(-0.0175*A58))),70*'Scénario référence'!$B$18)</f>
        <v>70</v>
      </c>
      <c r="EF58" s="151">
        <f>IF(A58&gt;30,10,('Scénario référence'!$B$16+'Scénario référence'!$B$17+'Scénario référence'!$B$18+'Scénario référence'!$B$9+'Scénario référence'!$B$10)*A58*10/30+('Scénario référence'!$F$8+'Scénario référence'!$F$9)*10)</f>
        <v>10</v>
      </c>
      <c r="EG58" s="151" t="str">
        <f>VLOOKUP(A58,'Données projet'!$A$191:$I$211,2,0)</f>
        <v>#N/A</v>
      </c>
      <c r="EH58" s="151" t="str">
        <f>VLOOKUP(A58,'Données projet'!$A$191:$I$211,9,0)</f>
        <v>#N/A</v>
      </c>
      <c r="EI58" s="151" t="str">
        <f t="array" ref="EI58">INDEX(EH:EH,MIN(IF(ISNUMBER(EH58:EH254),ROW(EH58:EH254),"")))</f>
        <v/>
      </c>
      <c r="EJ58" s="151">
        <f>IF('Données projet'!$A$192&gt;35,EJ57+EI58-ER57,IF(A58&lt;'Données projet'!$A$192,$EG$205^A58,IF(A58='Données projet'!$A$192,'Données projet'!$B$192,EJ57+EI58-ER57)))</f>
        <v>0</v>
      </c>
      <c r="EK58" s="158" t="str">
        <f>EJ58*VLOOKUP('Données projet'!$B$15,'Paramètres'!$A$1:$I$88,3,0)*VLOOKUP('Données projet'!$B$15,'Paramètres'!$A$1:$I$88,5,0)</f>
        <v>#N/A</v>
      </c>
      <c r="EL58" s="150" t="str">
        <f t="shared" si="46"/>
        <v>#N/A</v>
      </c>
      <c r="EM58" s="161" t="str">
        <f t="shared" si="20"/>
        <v>#N/A</v>
      </c>
      <c r="EN58" s="153" t="str">
        <f t="shared" si="21"/>
        <v>#N/A</v>
      </c>
      <c r="EO58" s="153" t="str">
        <f>AVERAGE(OFFSET($EN$3,0,0,'Données projet'!$E$15+1,1))-AVERAGE(OFFSET($H$3,0,0,'Données projet'!$E$15+1,1))</f>
        <v>#N/A</v>
      </c>
      <c r="EP58" s="153" t="str">
        <f t="shared" si="47"/>
        <v>#N/A</v>
      </c>
      <c r="EQ58" s="154">
        <f>IF(ISNA(VLOOKUP(A58,'Données projet'!$A$191:$I$211,3,0)),0,VLOOKUP(A58,'Données projet'!$A$191:$I$211,3,0))</f>
        <v>0</v>
      </c>
      <c r="ER58" s="154">
        <f>IF(ISNA(VLOOKUP(A58,'Données projet'!$A$191:$I$211,4,0)),0,VLOOKUP(A58,'Données projet'!$A$191:$I$211,4,0))</f>
        <v>0</v>
      </c>
      <c r="ES58" s="155">
        <f>IF(ISNA(VLOOKUP(A58,'Données projet'!$A$191:$I$211,5,0)),0%,VLOOKUP(A58,'Données projet'!$A$191:$I$211,5,0)*VLOOKUP('Données projet'!$B$15,'Paramètres'!$A$1:$I$88,7,0))</f>
        <v>0</v>
      </c>
      <c r="ET58" s="155">
        <f>IF(ISNA(VLOOKUP(A58,'Données projet'!$A$191:$I$211,6,0)),0%,VLOOKUP(A58,'Données projet'!$A$191:$I$211,6,0)*VLOOKUP('Données projet'!$B$15,'Paramètres'!$A$1:$I$88,7,0))</f>
        <v>0</v>
      </c>
      <c r="EU58" s="155">
        <f>IF(ISNA(VLOOKUP(A58,'Données projet'!$A$191:$I$211,7,0)),0%,VLOOKUP(A58,'Données projet'!$A$191:$I$211,7,0))</f>
        <v>0</v>
      </c>
      <c r="EV58" s="162" t="str">
        <f>EXP(-LN(2)/35)*EV57+(1-EXP(-LN(2)/35))/(LN(2)/35)*ER58*ES58*VLOOKUP('Données projet'!$B$15,'Paramètres'!$A$1:$I$88,3,0)*0.475*44/12</f>
        <v>#N/A</v>
      </c>
      <c r="EW58" s="162" t="str">
        <f>EXP(-LN(2)/25)*EW57+(1-EXP(-LN(2)/25))/(LN(2)/25)*Calculateur!ER58*Calculateur!ET58*VLOOKUP('Données projet'!$B$15,'Paramètres'!$A$1:$I$88,3,0)*0.475*44/12</f>
        <v>#N/A</v>
      </c>
      <c r="EX58" s="162" t="str">
        <f>EXP(-LN(2)/2)*EX57+(1-EXP(-LN(2)/2))/(LN(2)/2)*ER58*EU58*VLOOKUP('Données projet'!$B$15,'Paramètres'!$A$1:$I$88,3,0)*0.475*44/12</f>
        <v>#N/A</v>
      </c>
      <c r="EY58" s="163" t="str">
        <f t="shared" si="22"/>
        <v>#N/A</v>
      </c>
      <c r="EZ58" s="159">
        <f>('Scénario référence'!$F$8+'Scénario référence'!$F$9+'Scénario référence'!$B$17+'Scénario référence'!$B$9+'Scénario référence'!$B$10)*70+IF((45+25*(1-EXP(-0.0175*A58)))&lt;70,'Scénario référence'!$B$16*(45+25*(1-EXP(-0.0175*A58))),70*'Scénario référence'!$B$16)+IF((32+38*(1-EXP(-0.0175*A58)))&lt;70,'Scénario référence'!$B$18*(32+38*(1-EXP(-0.0175*A58))),70*'Scénario référence'!$B$18)</f>
        <v>70</v>
      </c>
      <c r="FA58" s="151">
        <f>IF(A58&gt;30,10,('Scénario référence'!$B$16+'Scénario référence'!$B$17+'Scénario référence'!$B$18+'Scénario référence'!$B$9+'Scénario référence'!$B$10)*A58*10/30+('Scénario référence'!$F$8+'Scénario référence'!$F$9)*10)</f>
        <v>10</v>
      </c>
      <c r="FB58" s="151" t="str">
        <f>VLOOKUP(A58,'Données projet'!$A$217:$I$237,2,0)</f>
        <v>#N/A</v>
      </c>
      <c r="FC58" s="151" t="str">
        <f>VLOOKUP(A58,'Données projet'!$A$217:$I$237,9,0)</f>
        <v>#N/A</v>
      </c>
      <c r="FD58" s="151" t="str">
        <f t="array" ref="FD58">INDEX(FC:FC,MIN(IF(ISNUMBER(FC58:FC254),ROW(FC58:FC254),"")))</f>
        <v/>
      </c>
      <c r="FE58" s="151">
        <f>IF('Données projet'!$A$218&gt;35,FE57+FD58-FM57,IF(A58&lt;'Données projet'!$A$218,$FB$205^A58,IF(A58='Données projet'!$A$218,'Données projet'!$B$218,FE57+FD58-FM57)))</f>
        <v>0</v>
      </c>
      <c r="FF58" s="158" t="str">
        <f>FE58*VLOOKUP('Données projet'!$B$16,'Paramètres'!$A$1:$I$88,3,0)*VLOOKUP('Données projet'!$B$16,'Paramètres'!$A$1:$I$88,5,0)</f>
        <v>#N/A</v>
      </c>
      <c r="FG58" s="150" t="str">
        <f t="shared" si="48"/>
        <v>#N/A</v>
      </c>
      <c r="FH58" s="161" t="str">
        <f t="shared" si="23"/>
        <v>#N/A</v>
      </c>
      <c r="FI58" s="153" t="str">
        <f t="shared" si="24"/>
        <v>#N/A</v>
      </c>
      <c r="FJ58" s="153" t="str">
        <f>AVERAGE(OFFSET($FI$3,0,0,'Données projet'!$E$16+1,1))-AVERAGE(OFFSET($H$3,0,0,'Données projet'!$E$16+1,1))</f>
        <v>#N/A</v>
      </c>
      <c r="FK58" s="153" t="str">
        <f t="shared" si="49"/>
        <v>#N/A</v>
      </c>
      <c r="FL58" s="154">
        <f>IF(ISNA(VLOOKUP(A58,'Données projet'!$A$217:$I$237,3,0)),0,VLOOKUP(A58,'Données projet'!$A$217:$I$237,3,0))</f>
        <v>0</v>
      </c>
      <c r="FM58" s="154">
        <f>IF(ISNA(VLOOKUP(A58,'Données projet'!$A$217:$I$237,4,0)),0,VLOOKUP(A58,'Données projet'!$A$217:$I$237,4,0))</f>
        <v>0</v>
      </c>
      <c r="FN58" s="155">
        <f>IF(ISNA(VLOOKUP(A58,'Données projet'!$A$217:$I$237,5,0)),0%,VLOOKUP(A58,'Données projet'!$A$217:$I$237,5,0)*VLOOKUP('Données projet'!$B$16,'Paramètres'!$A$1:$I$88,7,0))</f>
        <v>0</v>
      </c>
      <c r="FO58" s="155">
        <f>IF(ISNA(VLOOKUP(A58,'Données projet'!$A$217:$I$237,6,0)),0%,VLOOKUP(A58,'Données projet'!$A$217:$I$237,6,0)*VLOOKUP('Données projet'!$B$16,'Paramètres'!$A$1:$I$88,7,0))</f>
        <v>0</v>
      </c>
      <c r="FP58" s="155">
        <f>IF(ISNA(VLOOKUP(A58,'Données projet'!$A$217:$I$237,7,0)),0%,VLOOKUP(A58,'Données projet'!$A$217:$I$237,7,0))</f>
        <v>0</v>
      </c>
      <c r="FQ58" s="162" t="str">
        <f>EXP(-LN(2)/35)*FQ57+(1-EXP(-LN(2)/35))/(LN(2)/35)*FM58*FN58*VLOOKUP('Données projet'!$B$16,'Paramètres'!$A$1:$I$88,3,0)*0.475*44/12</f>
        <v>#N/A</v>
      </c>
      <c r="FR58" s="162" t="str">
        <f>EXP(-LN(2)/25)*FR57+(1-EXP(-LN(2)/25))/(LN(2)/25)*Calculateur!FM58*Calculateur!FO58*VLOOKUP('Données projet'!$B$16,'Paramètres'!$A$1:$I$88,3,0)*0.475*44/12</f>
        <v>#N/A</v>
      </c>
      <c r="FS58" s="162" t="str">
        <f>EXP(-LN(2)/2)*FS57+(1-EXP(-LN(2)/2))/(LN(2)/2)*FM58*FP58*VLOOKUP('Données projet'!$B$16,'Paramètres'!$A$1:$I$88,3,0)*0.475*44/12</f>
        <v>#N/A</v>
      </c>
      <c r="FT58" s="163" t="str">
        <f t="shared" si="25"/>
        <v>#N/A</v>
      </c>
      <c r="FU58" s="159">
        <f>('Scénario référence'!$F$8+'Scénario référence'!$F$9+'Scénario référence'!$B$17+'Scénario référence'!$B$9+'Scénario référence'!$B$10)*70+IF((45+25*(1-EXP(-0.0175*A58)))&lt;70,'Scénario référence'!$B$16*(45+25*(1-EXP(-0.0175*A58))),70*'Scénario référence'!$B$16)+IF((32+38*(1-EXP(-0.0175*A58)))&lt;70,'Scénario référence'!$B$18*(32+38*(1-EXP(-0.0175*A58))),70*'Scénario référence'!$B$18)</f>
        <v>70</v>
      </c>
      <c r="FV58" s="151">
        <f>IF(A58&gt;30,10,('Scénario référence'!$B$16+'Scénario référence'!$B$17+'Scénario référence'!$B$18+'Scénario référence'!$B$9+'Scénario référence'!$B$10)*A58*10/30+('Scénario référence'!$F$8+'Scénario référence'!$F$9)*10)</f>
        <v>10</v>
      </c>
      <c r="FW58" s="151" t="str">
        <f>VLOOKUP(A58,'Données projet'!$A$243:$I$263,2,0)</f>
        <v>#N/A</v>
      </c>
      <c r="FX58" s="151" t="str">
        <f>VLOOKUP(A58,'Données projet'!$A$243:$I$263,9,0)</f>
        <v>#N/A</v>
      </c>
      <c r="FY58" s="151" t="str">
        <f t="array" ref="FY58">INDEX(FX:FX,MIN(IF(ISNUMBER(FX58:FX254),ROW(FX58:FX254),"")))</f>
        <v/>
      </c>
      <c r="FZ58" s="151">
        <f>IF('Données projet'!$A$244&gt;35,FZ57+FY58-GH57,IF(A58&lt;'Données projet'!$A$244,$FW$205^A58,IF(A58='Données projet'!$A$244,'Données projet'!$B$244,FZ57+FY58-GH57)))</f>
        <v>0</v>
      </c>
      <c r="GA58" s="158" t="str">
        <f>FZ58*VLOOKUP('Données projet'!$B$17,'Paramètres'!$A$1:$I$88,3,0)*VLOOKUP('Données projet'!$B$17,'Paramètres'!$A$1:$I$88,5,0)</f>
        <v>#N/A</v>
      </c>
      <c r="GB58" s="150" t="str">
        <f t="shared" si="50"/>
        <v>#N/A</v>
      </c>
      <c r="GC58" s="161" t="str">
        <f t="shared" si="26"/>
        <v>#N/A</v>
      </c>
      <c r="GD58" s="153" t="str">
        <f t="shared" si="27"/>
        <v>#N/A</v>
      </c>
      <c r="GE58" s="153" t="str">
        <f>AVERAGE(OFFSET($GD$3,0,0,'Données projet'!$E$17+1,1))-AVERAGE(OFFSET($H$3,0,0,'Données projet'!$E$17+1,1))</f>
        <v>#N/A</v>
      </c>
      <c r="GF58" s="153" t="str">
        <f t="shared" si="51"/>
        <v>#N/A</v>
      </c>
      <c r="GG58" s="154">
        <f>IF(ISNA(VLOOKUP(A58,'Données projet'!$A$243:$I$263,3,0)),0,VLOOKUP(A58,'Données projet'!$A$243:$I$263,3,0))</f>
        <v>0</v>
      </c>
      <c r="GH58" s="154">
        <f>IF(ISNA(VLOOKUP(A58,'Données projet'!$A$243:$I$263,4,0)),0,VLOOKUP(A58,'Données projet'!$A$243:$I$263,4,0))</f>
        <v>0</v>
      </c>
      <c r="GI58" s="155">
        <f>IF(ISNA(VLOOKUP(A58,'Données projet'!$A$243:$I$263,5,0)),0%,VLOOKUP(A58,'Données projet'!$A$243:$I$263,5,0)*VLOOKUP('Données projet'!$B$17,'Paramètres'!$A$1:$I$88,7,0))</f>
        <v>0</v>
      </c>
      <c r="GJ58" s="155">
        <f>IF(ISNA(VLOOKUP(A58,'Données projet'!$A$243:$I$263,6,0)),0%,VLOOKUP(A58,'Données projet'!$A$243:$I$263,6,0)*VLOOKUP('Données projet'!$B$17,'Paramètres'!$A$1:$I$88,7,0))</f>
        <v>0</v>
      </c>
      <c r="GK58" s="155">
        <f>IF(ISNA(VLOOKUP(A58,'Données projet'!$A$243:$I$263,7,0)),0%,VLOOKUP(A58,'Données projet'!$A$243:$I$263,7,0))</f>
        <v>0</v>
      </c>
      <c r="GL58" s="162" t="str">
        <f>EXP(-LN(2)/35)*GL57+(1-EXP(-LN(2)/35))/(LN(2)/35)*GH58*GI58*VLOOKUP('Données projet'!$B$17,'Paramètres'!$A$1:$I$88,3,0)*0.475*44/12</f>
        <v>#N/A</v>
      </c>
      <c r="GM58" s="162" t="str">
        <f>EXP(-LN(2)/25)*GM57+(1-EXP(-LN(2)/25))/(LN(2)/25)*Calculateur!GH58*Calculateur!GJ58*VLOOKUP('Données projet'!$B$17,'Paramètres'!$A$1:$I$88,3,0)*0.475*44/12</f>
        <v>#N/A</v>
      </c>
      <c r="GN58" s="162" t="str">
        <f>EXP(-LN(2)/2)*GN57+(1-EXP(-LN(2)/2))/(LN(2)/2)*GH58*GK58*VLOOKUP('Données projet'!$B$17,'Paramètres'!$A$1:$I$88,3,0)*0.475*44/12</f>
        <v>#N/A</v>
      </c>
      <c r="GO58" s="162" t="str">
        <f t="shared" si="28"/>
        <v>#N/A</v>
      </c>
      <c r="GP58" s="159">
        <f>('Scénario référence'!$F$8+'Scénario référence'!$F$9+'Scénario référence'!$B$17+'Scénario référence'!$B$9+'Scénario référence'!$B$10)*70+IF((45+25*(1-EXP(-0.0175*A58)))&lt;70,'Scénario référence'!$B$16*(45+25*(1-EXP(-0.0175*A58))),70*'Scénario référence'!$B$16)+IF((32+38*(1-EXP(-0.0175*A58)))&lt;70,'Scénario référence'!$B$18*(32+38*(1-EXP(-0.0175*A58))),70*'Scénario référence'!$B$18)</f>
        <v>70</v>
      </c>
      <c r="GQ58" s="151">
        <f>IF(A58&gt;30,10,('Scénario référence'!$B$16+'Scénario référence'!$B$17+'Scénario référence'!$B$18+'Scénario référence'!$B$9+'Scénario référence'!$B$10)*A58*10/30+('Scénario référence'!$F$8+'Scénario référence'!$F$9)*10)</f>
        <v>10</v>
      </c>
      <c r="GR58" s="151" t="str">
        <f>VLOOKUP(A58,'Données projet'!$A$269:$I$289,2,0)</f>
        <v>#N/A</v>
      </c>
      <c r="GS58" s="151" t="str">
        <f>VLOOKUP(A58,'Données projet'!$A$269:$I$289,9,0)</f>
        <v>#N/A</v>
      </c>
      <c r="GT58" s="151" t="str">
        <f t="array" ref="GT58">INDEX(GS:GS,MIN(IF(ISNUMBER(GS58:GS254),ROW(GS58:GS254),"")))</f>
        <v/>
      </c>
      <c r="GU58" s="151">
        <f>IF('Données projet'!$A$270&gt;35,GU57+GT58-HC57,IF(A58&lt;'Données projet'!$A$270,$GR$205^A58,IF(A58='Données projet'!$A$270,'Données projet'!$B$270,GU57+GT58-HC57)))</f>
        <v>0</v>
      </c>
      <c r="GV58" s="158" t="str">
        <f>GU58*VLOOKUP('Données projet'!$B$18,'Paramètres'!$A$1:$I$88,3,0)*VLOOKUP('Données projet'!$B$18,'Paramètres'!$A$1:$I$88,5,0)</f>
        <v>#N/A</v>
      </c>
      <c r="GW58" s="150" t="str">
        <f t="shared" si="52"/>
        <v>#N/A</v>
      </c>
      <c r="GX58" s="161" t="str">
        <f t="shared" si="29"/>
        <v>#N/A</v>
      </c>
      <c r="GY58" s="153" t="str">
        <f t="shared" si="30"/>
        <v>#N/A</v>
      </c>
      <c r="GZ58" s="153" t="str">
        <f>AVERAGE(OFFSET($GY$3,0,0,'Données projet'!$E$18+1,1))-AVERAGE(OFFSET($H$3,0,0,'Données projet'!$E$18+1,1))</f>
        <v>#N/A</v>
      </c>
      <c r="HA58" s="153" t="str">
        <f t="shared" si="53"/>
        <v>#N/A</v>
      </c>
      <c r="HB58" s="154">
        <f>IF(ISNA(VLOOKUP(A58,'Données projet'!$A$269:$I$289,3,0)),0,VLOOKUP(A58,'Données projet'!$A$269:$I$289,3,0))</f>
        <v>0</v>
      </c>
      <c r="HC58" s="154">
        <f>IF(ISNA(VLOOKUP(A58,'Données projet'!$A$269:$I$289,4,0)),0,VLOOKUP(A58,'Données projet'!$A$269:$I$289,4,0))</f>
        <v>0</v>
      </c>
      <c r="HD58" s="155">
        <f>IF(ISNA(VLOOKUP(A58,'Données projet'!$A$269:$I$289,5,0)),0%,VLOOKUP(A58,'Données projet'!$A$269:$I$289,5,0)*VLOOKUP('Données projet'!$B$18,'Paramètres'!$A$1:$I$88,7,0))</f>
        <v>0</v>
      </c>
      <c r="HE58" s="155">
        <f>IF(ISNA(VLOOKUP(A58,'Données projet'!$A$269:$I$289,6,0)),0%,VLOOKUP(A58,'Données projet'!$A$269:$I$289,6,0)*VLOOKUP('Données projet'!$B$18,'Paramètres'!$A$1:$I$88,7,0))</f>
        <v>0</v>
      </c>
      <c r="HF58" s="155">
        <f>IF(ISNA(VLOOKUP(A58,'Données projet'!$A$269:$I$289,7,0)),0%,VLOOKUP(A58,'Données projet'!$A$269:$I$289,7,0))</f>
        <v>0</v>
      </c>
      <c r="HG58" s="162" t="str">
        <f>EXP(-LN(2)/35)*HG57+(1-EXP(-LN(2)/35))/(LN(2)/35)*HC58*HD58*VLOOKUP('Données projet'!$B$18,'Paramètres'!$A$1:$I$88,3,0)*0.475*44/12</f>
        <v>#N/A</v>
      </c>
      <c r="HH58" s="162" t="str">
        <f>EXP(-LN(2)/25)*HH57+(1-EXP(-LN(2)/25))/(LN(2)/25)*Calculateur!HC58*Calculateur!HE58*VLOOKUP('Données projet'!$B$18,'Paramètres'!$A$1:$I$88,3,0)*0.475*44/12</f>
        <v>#N/A</v>
      </c>
      <c r="HI58" s="162" t="str">
        <f>EXP(-LN(2)/2)*HI57+(1-EXP(-LN(2)/2))/(LN(2)/2)*HC58*HF58*VLOOKUP('Données projet'!$B$18,'Paramètres'!$A$1:$I$88,3,0)*0.475*44/12</f>
        <v>#N/A</v>
      </c>
      <c r="HJ58" s="163" t="str">
        <f t="shared" si="31"/>
        <v>#N/A</v>
      </c>
    </row>
    <row r="59" ht="15.75" customHeight="1">
      <c r="A59" s="145">
        <f t="shared" si="32"/>
        <v>56</v>
      </c>
      <c r="B59" s="146">
        <f>'Scénario référence'!$B$16*5+'Scénario référence'!$B$17*0+'Scénario référence'!$B$18*5</f>
        <v>0</v>
      </c>
      <c r="C59" s="160">
        <f>Calculateur!C58+'Scénario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59" s="147">
        <f t="shared" si="33"/>
        <v>0</v>
      </c>
      <c r="E59" s="147">
        <f>'Scénario référence'!$B$16*45+('Scénario référence'!$B$17+'Scénario référence'!$F$8+'Scénario référence'!$F$9+'Scénario référence'!$B$10+'Scénario référence'!$B$9)*70+'Scénario référence'!$B$18*32</f>
        <v>70</v>
      </c>
      <c r="F59" s="147">
        <f>IF(OR('Scénario référence'!$F$8&gt;0,'Scénario référence'!$F$9&gt;0),('Scénario référence'!$F$8+'Scénario référence'!$F$9)*10,0)</f>
        <v>0</v>
      </c>
      <c r="G59" s="147">
        <f>'Scénario référence'!$B$8*B59*44/12+'Scénario référence'!$B$9*(C59+D59)/0.475*44/12+'Scénario référence'!$B$10*(C59+D59)/0.475*44/12+'Scénario référence'!$F$8*(C59+D59)/0.475*44/12+'Scénario référence'!$F$9*(C59+D59)/0.475*44/12</f>
        <v>0</v>
      </c>
      <c r="H59" s="148">
        <f t="shared" si="1"/>
        <v>256.6666667</v>
      </c>
      <c r="I59" s="149">
        <f>('Scénario référence'!$F$8+'Scénario référence'!$F$9+'Scénario référence'!$B$17+'Scénario référence'!$B$9+'Scénario référence'!$B$10)*70+IF((45+25*(1-EXP(-0.0175*A59)))&lt;70,'Scénario référence'!$B$16*(45+25*(1-EXP(-0.0175*A59))),70*'Scénario référence'!$B$16)+IF((32+38*(1-EXP(-0.0175*A59)))&lt;70,'Scénario référence'!$B$18*(32+38*(1-EXP(-0.0175*A59))),70*'Scénario référence'!$B$18)</f>
        <v>70</v>
      </c>
      <c r="J59" s="150">
        <f>IF(A59&gt;30,10,('Scénario référence'!$B$16+'Scénario référence'!$B$17+'Scénario référence'!$B$18+'Scénario référence'!$B$9+'Scénario référence'!$B$10)*A59*10/30+('Scénario référence'!$F$8+'Scénario référence'!$F$9)*10)</f>
        <v>10</v>
      </c>
      <c r="K59" s="151" t="str">
        <f>VLOOKUP(A59,'Données projet'!$A$35:$I$55,2,0)</f>
        <v>#N/A</v>
      </c>
      <c r="L59" s="151" t="str">
        <f>VLOOKUP(A59,'Données projet'!$A$35:$I$55,9,0)</f>
        <v>#N/A</v>
      </c>
      <c r="M59" s="150">
        <f t="array" ref="M59">INDEX(L:L,MIN(IF(ISNUMBER(L59:L255),ROW(L59:L255),"")))</f>
        <v>9.4</v>
      </c>
      <c r="N59" s="150">
        <f>IF('Données projet'!$A$36&gt;35,N58+M59-V58,IF(A59&lt;'Données projet'!$A$36,$K$205^A59,IF(A59='Données projet'!$A$36,'Données projet'!$B$36,N58+M59-V58)))</f>
        <v>235.4</v>
      </c>
      <c r="O59" s="150">
        <f>N59*VLOOKUP('Données projet'!$B$9,'Paramètres'!$A$1:$I$88,3,0)*VLOOKUP('Données projet'!$B$9,'Paramètres'!$A$1:$I$88,5,0)</f>
        <v>212.98992</v>
      </c>
      <c r="P59" s="150">
        <f t="shared" si="34"/>
        <v>52.58841988</v>
      </c>
      <c r="Q59" s="161">
        <f t="shared" si="2"/>
        <v>462.548942</v>
      </c>
      <c r="R59" s="153">
        <f t="shared" si="3"/>
        <v>755.8822753</v>
      </c>
      <c r="S59" s="153">
        <f>AVERAGE(OFFSET($R$3,0,0,'Données projet'!$E$9+1,1))-AVERAGE(OFFSET($H$3,0,0,'Données projet'!$E$9+1,1))</f>
        <v>439.1985427</v>
      </c>
      <c r="T59" s="153">
        <f t="shared" si="35"/>
        <v>278.2174123</v>
      </c>
      <c r="U59" s="154">
        <f>IF(ISNA(VLOOKUP(A59,'Données projet'!$A$35:$I$55,3,0)),0,VLOOKUP(A59,'Données projet'!$A$35:$I$55,3,0))</f>
        <v>0</v>
      </c>
      <c r="V59" s="154">
        <f>IF(ISNA(VLOOKUP(A59,'Données projet'!$A$35:$I$55,4,0)),0,VLOOKUP(A59,'Données projet'!$A$35:$I$55,4,0))</f>
        <v>0</v>
      </c>
      <c r="W59" s="155">
        <f>IF(ISNA(VLOOKUP(A59,'Données projet'!$A$35:$I$55,5,0)),0%,VLOOKUP(A59,'Données projet'!$A$35:$I$55,5,0)*VLOOKUP('Données projet'!$B$9,'Paramètres'!$A$1:$I$88,7,0))</f>
        <v>0</v>
      </c>
      <c r="X59" s="155">
        <f>IF(ISNA(VLOOKUP(A59,'Données projet'!$A$35:$I$55,6,0)),0%,VLOOKUP(A59,'Données projet'!$A$35:$I$55,6,0)*VLOOKUP('Données projet'!$B$9,'Paramètres'!$A$1:$I$88,7,0))</f>
        <v>0</v>
      </c>
      <c r="Y59" s="155">
        <f>IF(ISNA(VLOOKUP(A59,'Données projet'!$A$35:$I$55,7,0)),0%,VLOOKUP(A59,'Données projet'!$A$35:$I$55,7,0))</f>
        <v>0</v>
      </c>
      <c r="Z59" s="162">
        <f>EXP(-LN(2)/35)*Z58+(1-EXP(-LN(2)/35))/(LN(2)/35)*V59*W59*VLOOKUP('Données projet'!$B$9,'Paramètres'!$A$1:$I$88,3,0)*0.475*44/12</f>
        <v>0</v>
      </c>
      <c r="AA59" s="162">
        <f>EXP(-LN(2)/25)*AA58+(1-EXP(-LN(2)/25))/(LN(2)/25)*Calculateur!V59*Calculateur!X59*VLOOKUP('Données projet'!$B$9,'Paramètres'!$A$1:$I$88,3,0)*0.475*44/12</f>
        <v>2.182433822</v>
      </c>
      <c r="AB59" s="162">
        <f>EXP(-LN(2)/2)*AB58+(1-EXP(-LN(2)/2))/(LN(2)/2)*V59*Y59*VLOOKUP('Données projet'!$B$9,'Paramètres'!$A$1:$I$88,3,0)*0.475*44/12</f>
        <v>0</v>
      </c>
      <c r="AC59" s="163">
        <f t="shared" si="4"/>
        <v>2.182433822</v>
      </c>
      <c r="AD59" s="150">
        <f>('Scénario référence'!$F$8+'Scénario référence'!$F$9+'Scénario référence'!$B$17+'Scénario référence'!$B$9+'Scénario référence'!$B$10)*70+IF((45+25*(1-EXP(-0.0175*A59)))&lt;70,'Scénario référence'!$B$16*(45+25*(1-EXP(-0.0175*A59))),70*'Scénario référence'!$B$16)+IF((32+38*(1-EXP(-0.0175*A59)))&lt;70,'Scénario référence'!$B$18*(32+38*(1-EXP(-0.0175*A59))),70*'Scénario référence'!$B$18)</f>
        <v>70</v>
      </c>
      <c r="AE59" s="150">
        <f>IF(A59&gt;30,10,('Scénario référence'!$B$16+'Scénario référence'!$B$17+'Scénario référence'!$B$18+'Scénario référence'!$B$9+'Scénario référence'!$B$10)*A59*10/30+('Scénario référence'!$F$8+'Scénario référence'!$F$9)*10)</f>
        <v>10</v>
      </c>
      <c r="AF59" s="151" t="str">
        <f>VLOOKUP(A59,'Données projet'!$A$61:$I$81,2,0)</f>
        <v>#N/A</v>
      </c>
      <c r="AG59" s="151" t="str">
        <f>VLOOKUP(A59,'Données projet'!$A$61:$I$81,9,0)</f>
        <v>#N/A</v>
      </c>
      <c r="AH59" s="150">
        <f t="array" ref="AH59">INDEX(AG:AG,MIN(IF(ISNUMBER(AG59:AG255),ROW(AG59:AG255),"")))</f>
        <v>7.4</v>
      </c>
      <c r="AI59" s="150">
        <f>IF('Données projet'!$A$62&gt;35,AI58+AH59-AQ58,IF(A59&lt;'Données projet'!$A$62,$AF$205^A59,IF(A59='Données projet'!$A$62,'Données projet'!$B$62,AI58+AH59-AQ58)))</f>
        <v>313.4</v>
      </c>
      <c r="AJ59" s="150">
        <f>AI59*VLOOKUP('Données projet'!$B$10,'Paramètres'!$A$1:$I$88,3,0)*VLOOKUP('Données projet'!$B$10,'Paramètres'!$A$1:$I$88,5,0)</f>
        <v>249.34104</v>
      </c>
      <c r="AK59" s="150">
        <f t="shared" si="36"/>
        <v>60.44481282</v>
      </c>
      <c r="AL59" s="161">
        <f t="shared" si="5"/>
        <v>539.5436937</v>
      </c>
      <c r="AM59" s="153">
        <f t="shared" si="6"/>
        <v>832.877027</v>
      </c>
      <c r="AN59" s="153">
        <f>AVERAGE(OFFSET($AM$3,0,0,'Données projet'!$E$10+1,1))-AVERAGE(OFFSET($H$3,0,0,'Données projet'!$E$10+1,1))</f>
        <v>405.6113614</v>
      </c>
      <c r="AO59" s="153">
        <f t="shared" si="37"/>
        <v>393.0787141</v>
      </c>
      <c r="AP59" s="154">
        <f>IF(ISNA(VLOOKUP(A59,'Données projet'!$A$61:$I$81,3,0)),0,VLOOKUP(A59,'Données projet'!$A$61:$I$81,3,0))</f>
        <v>0</v>
      </c>
      <c r="AQ59" s="154">
        <f>IF(ISNA(VLOOKUP(A59,'Données projet'!$A$61:$I$81,4,0)),0,VLOOKUP(A59,'Données projet'!$A$61:$I$81,4,0))</f>
        <v>0</v>
      </c>
      <c r="AR59" s="155">
        <f>IF(ISNA(VLOOKUP(A59,'Données projet'!$A$61:$I$81,5,0)),0%,VLOOKUP(A59,'Données projet'!$A$61:$I$81,5,0)*VLOOKUP('Données projet'!$B$10,'Paramètres'!$A$1:$I$88,7,0))</f>
        <v>0</v>
      </c>
      <c r="AS59" s="155">
        <f>IF(ISNA(VLOOKUP(A59,'Données projet'!$A$61:$I$81,6,0)),0%,VLOOKUP(A59,'Données projet'!$A$61:$I$81,6,0)*VLOOKUP('Données projet'!$B$10,'Paramètres'!$A$1:$I$88,7,0))</f>
        <v>0</v>
      </c>
      <c r="AT59" s="155">
        <f>IF(ISNA(VLOOKUP(A59,'Données projet'!$A$61:$I$81,7,0)),0%,VLOOKUP(A59,'Données projet'!$A$61:$I$81,7,0))</f>
        <v>0</v>
      </c>
      <c r="AU59" s="162">
        <f>EXP(-LN(2)/35)*AU58+(1-EXP(-LN(2)/35))/(LN(2)/35)*AQ59*AR59*VLOOKUP('Données projet'!$B$10,'Paramètres'!$A$1:$I$88,3,0)*0.475*44/12</f>
        <v>0</v>
      </c>
      <c r="AV59" s="162">
        <f>EXP(-LN(2)/25)*AV58+(1-EXP(-LN(2)/25))/(LN(2)/25)*Calculateur!AQ59*Calculateur!AS59*VLOOKUP('Données projet'!$B$10,'Paramètres'!$A$1:$I$88,3,0)*0.475*44/12</f>
        <v>8.86996585</v>
      </c>
      <c r="AW59" s="162">
        <f>EXP(-LN(2)/2)*AW58+(1-EXP(-LN(2)/2))/(LN(2)/2)*AQ59*AT59*VLOOKUP('Données projet'!$B$10,'Paramètres'!$A$1:$I$88,3,0)*0.475*44/12</f>
        <v>0.0000707656499</v>
      </c>
      <c r="AX59" s="162">
        <f t="shared" si="7"/>
        <v>8.870036615</v>
      </c>
      <c r="AY59" s="157">
        <f>('Scénario référence'!$F$8+'Scénario référence'!$F$9+'Scénario référence'!$B$17+'Scénario référence'!$B$9+'Scénario référence'!$B$10)*70+IF((45+25*(1-EXP(-0.0175*A59)))&lt;70,'Scénario référence'!$B$16*(45+25*(1-EXP(-0.0175*A59))),70*'Scénario référence'!$B$16)+IF((32+38*(1-EXP(-0.0175*A59)))&lt;70,'Scénario référence'!$B$18*(32+38*(1-EXP(-0.0175*A59))),70*'Scénario référence'!$B$18)</f>
        <v>70</v>
      </c>
      <c r="AZ59" s="151">
        <f>IF(A59&gt;30,10,('Scénario référence'!$B$16+'Scénario référence'!$B$17+'Scénario référence'!$B$18+'Scénario référence'!$B$9+'Scénario référence'!$B$10)*A59*10/30+('Scénario référence'!$F$8+'Scénario référence'!$F$9)*10)</f>
        <v>10</v>
      </c>
      <c r="BA59" s="151" t="str">
        <f>VLOOKUP(A59,'Données projet'!$A$87:$I$107,2,0)</f>
        <v>#N/A</v>
      </c>
      <c r="BB59" s="151" t="str">
        <f>VLOOKUP(A59,'Données projet'!$A$87:$I$107,9,0)</f>
        <v>#N/A</v>
      </c>
      <c r="BC59" s="150" t="str">
        <f t="array" ref="BC59">INDEX(BB:BB,MIN(IF(ISNUMBER(BB59:BB255),ROW(BB59:BB255),"")))</f>
        <v/>
      </c>
      <c r="BD59" s="150">
        <f>IF('Données projet'!$A$88&gt;35,BD58+BC59-BL58,IF(A59&lt;'Données projet'!$A$88,$BA$205^A59,IF(A59='Données projet'!$A$88,'Données projet'!$B$88,BD58+BC59-BL58)))</f>
        <v>0</v>
      </c>
      <c r="BE59" s="150">
        <f>BD59*VLOOKUP('Données projet'!$B$11,'Paramètres'!$A$1:$I$88,3,0)*VLOOKUP('Données projet'!$B$11,'Paramètres'!$A$1:$I$88,5,0)</f>
        <v>0</v>
      </c>
      <c r="BF59" s="150" t="str">
        <f t="shared" si="38"/>
        <v>#NUM!</v>
      </c>
      <c r="BG59" s="161" t="str">
        <f t="shared" si="8"/>
        <v>#NUM!</v>
      </c>
      <c r="BH59" s="153" t="str">
        <f t="shared" si="9"/>
        <v>#NUM!</v>
      </c>
      <c r="BI59" s="153">
        <f>AVERAGE(OFFSET($BH$3,0,0,'Données projet'!$E$11+1,1))-AVERAGE(OFFSET($H$3,0,0,'Données projet'!$E$11+1,1))</f>
        <v>0</v>
      </c>
      <c r="BJ59" s="153">
        <f t="shared" si="39"/>
        <v>0</v>
      </c>
      <c r="BK59" s="154">
        <f>IF(ISNA(VLOOKUP(A59,'Données projet'!$A$87:$I$107,3,0)),0,VLOOKUP(A59,'Données projet'!$A$87:$I$107,3,0))</f>
        <v>0</v>
      </c>
      <c r="BL59" s="154">
        <f>IF(ISNA(VLOOKUP(A59,'Données projet'!$A$87:$I$107,4,0)),0,VLOOKUP(A59,'Données projet'!$A$87:$I$107,4,0))</f>
        <v>0</v>
      </c>
      <c r="BM59" s="155">
        <f>IF(ISNA(VLOOKUP(A59,'Données projet'!$A$87:$I$107,5,0)),0%,VLOOKUP(A59,'Données projet'!$A$87:$I$107,5,0)*VLOOKUP('Données projet'!$B$11,'Paramètres'!$A$1:$I$88,7,0))</f>
        <v>0</v>
      </c>
      <c r="BN59" s="155">
        <f>IF(ISNA(VLOOKUP(A59,'Données projet'!$A$87:$I$107,6,0)),0%,VLOOKUP(A59,'Données projet'!$A$87:$I$107,6,0)*VLOOKUP('Données projet'!$B$11,'Paramètres'!$A$1:$I$88,7,0))</f>
        <v>0</v>
      </c>
      <c r="BO59" s="155">
        <f>IF(ISNA(VLOOKUP(A59,'Données projet'!$A$87:$I$107,7,0)),0%,VLOOKUP(A59,'Données projet'!$A$87:$I$107,7,0))</f>
        <v>0</v>
      </c>
      <c r="BP59" s="162">
        <f>EXP(-LN(2)/35)*BP58+(1-EXP(-LN(2)/35))/(LN(2)/35)*BL59*BM59*VLOOKUP('Données projet'!$B$11,'Paramètres'!$A$1:$I$88,3,0)*0.475*44/12</f>
        <v>0</v>
      </c>
      <c r="BQ59" s="162">
        <f>EXP(-LN(2)/25)*BQ58+(1-EXP(-LN(2)/25))/(LN(2)/25)*Calculateur!BL59*Calculateur!BN59*VLOOKUP('Données projet'!$B$11,'Paramètres'!$A$1:$I$88,3,0)*0.475*44/12</f>
        <v>0</v>
      </c>
      <c r="BR59" s="162">
        <f>EXP(-LN(2)/2)*BR58+(1-EXP(-LN(2)/2))/(LN(2)/2)*BL59*BO59*VLOOKUP('Données projet'!$B$11,'Paramètres'!$A$1:$I$88,3,0)*0.475*44/12</f>
        <v>0</v>
      </c>
      <c r="BS59" s="163">
        <f t="shared" si="10"/>
        <v>0</v>
      </c>
      <c r="BT59" s="159">
        <f>('Scénario référence'!$F$8+'Scénario référence'!$F$9+'Scénario référence'!$B$17+'Scénario référence'!$B$9+'Scénario référence'!$B$10)*70+IF((45+25*(1-EXP(-0.0175*A59)))&lt;70,'Scénario référence'!$B$16*(45+25*(1-EXP(-0.0175*A59))),70*'Scénario référence'!$B$16)+IF((32+38*(1-EXP(-0.0175*A59)))&lt;70,'Scénario référence'!$B$18*(32+38*(1-EXP(-0.0175*A59))),70*'Scénario référence'!$B$18)</f>
        <v>70</v>
      </c>
      <c r="BU59" s="151">
        <f>IF(A59&gt;30,10,('Scénario référence'!$B$16+'Scénario référence'!$B$17+'Scénario référence'!$B$18+'Scénario référence'!$B$9+'Scénario référence'!$B$10)*A59*10/30+('Scénario référence'!$F$8+'Scénario référence'!$F$9)*10)</f>
        <v>10</v>
      </c>
      <c r="BV59" s="151" t="str">
        <f>VLOOKUP(A59,'Données projet'!$A$113:$I$133,2,0)</f>
        <v>#N/A</v>
      </c>
      <c r="BW59" s="151" t="str">
        <f>VLOOKUP(A59,'Données projet'!$A$113:$I$133,9,0)</f>
        <v>#N/A</v>
      </c>
      <c r="BX59" s="150" t="str">
        <f t="array" ref="BX59">INDEX(BW:BW,MIN(IF(ISNUMBER(BW59:BW255),ROW(BW59:BW255),"")))</f>
        <v/>
      </c>
      <c r="BY59" s="150">
        <f>IF('Données projet'!$A$114&gt;35,BY58+BX59-CG58,IF(A59&lt;'Données projet'!$A$114,$BV$205^A59,IF(A59='Données projet'!$A$114,'Données projet'!$B$114,BY58+BX59-CG58)))</f>
        <v>0</v>
      </c>
      <c r="BZ59" s="150" t="str">
        <f>BY59*VLOOKUP('Données projet'!$B$12,'Paramètres'!$A$1:$I$88,3,0)*VLOOKUP('Données projet'!$B$12,'Paramètres'!$A$1:$I$88,5,0)</f>
        <v>#N/A</v>
      </c>
      <c r="CA59" s="150" t="str">
        <f t="shared" si="40"/>
        <v>#N/A</v>
      </c>
      <c r="CB59" s="161" t="str">
        <f t="shared" si="11"/>
        <v>#N/A</v>
      </c>
      <c r="CC59" s="153" t="str">
        <f t="shared" si="12"/>
        <v>#N/A</v>
      </c>
      <c r="CD59" s="153" t="str">
        <f>AVERAGE(OFFSET($CC$3,0,0,'Données projet'!$E$12+1,1))-AVERAGE(OFFSET($H$3,0,0,'Données projet'!$E$12+1,1))</f>
        <v>#N/A</v>
      </c>
      <c r="CE59" s="153" t="str">
        <f t="shared" si="41"/>
        <v>#N/A</v>
      </c>
      <c r="CF59" s="154">
        <f>IF(ISNA(VLOOKUP(A59,'Données projet'!$A$113:$I$133,3,0)),0,VLOOKUP(A59,'Données projet'!$A$113:$I$133,3,0))</f>
        <v>0</v>
      </c>
      <c r="CG59" s="154">
        <f>IF(ISNA(VLOOKUP(A59,'Données projet'!$A$113:$I$133,4,0)),0,VLOOKUP(A59,'Données projet'!$A$113:$I$133,4,0))</f>
        <v>0</v>
      </c>
      <c r="CH59" s="155">
        <f>IF(ISNA(VLOOKUP(A59,'Données projet'!$A$113:$I$133,5,0)),0%,VLOOKUP(A59,'Données projet'!$A$113:$I$133,5,0)*VLOOKUP('Données projet'!$B$12,'Paramètres'!$A$1:$I$88,7,0))</f>
        <v>0</v>
      </c>
      <c r="CI59" s="155">
        <f>IF(ISNA(VLOOKUP(A59,'Données projet'!$A$113:$I$133,6,0)),0%,VLOOKUP(A59,'Données projet'!$A$113:$I$133,6,0)*VLOOKUP('Données projet'!$B$12,'Paramètres'!$A$1:$I$88,7,0))</f>
        <v>0</v>
      </c>
      <c r="CJ59" s="155">
        <f>IF(ISNA(VLOOKUP(A59,'Données projet'!$A$113:$I$133,7,0)),0%,VLOOKUP(A59,'Données projet'!$A$113:$I$133,7,0))</f>
        <v>0</v>
      </c>
      <c r="CK59" s="162" t="str">
        <f>EXP(-LN(2)/35)*CK58+(1-EXP(-LN(2)/35))/(LN(2)/35)*CG59*CH59*VLOOKUP('Données projet'!$B$12,'Paramètres'!$A$1:$I$88,3,0)*0.475*44/12</f>
        <v>#N/A</v>
      </c>
      <c r="CL59" s="162" t="str">
        <f>EXP(-LN(2)/25)*CL58+(1-EXP(-LN(2)/25))/(LN(2)/25)*Calculateur!CG59*Calculateur!CI59*VLOOKUP('Données projet'!$B$12,'Paramètres'!$A$1:$I$88,3,0)*0.475*44/12</f>
        <v>#N/A</v>
      </c>
      <c r="CM59" s="162" t="str">
        <f>EXP(-LN(2)/2)*CM58+(1-EXP(-LN(2)/2))/(LN(2)/2)*CG59*CJ59*VLOOKUP('Données projet'!$B$12,'Paramètres'!$A$1:$I$88,3,0)*0.475*44/12</f>
        <v>#N/A</v>
      </c>
      <c r="CN59" s="163" t="str">
        <f t="shared" si="13"/>
        <v>#N/A</v>
      </c>
      <c r="CO59" s="159">
        <f>('Scénario référence'!$F$8+'Scénario référence'!$F$9+'Scénario référence'!$B$17+'Scénario référence'!$B$9+'Scénario référence'!$B$10)*70+IF((45+25*(1-EXP(-0.0175*A59)))&lt;70,'Scénario référence'!$B$16*(45+25*(1-EXP(-0.0175*A59))),70*'Scénario référence'!$B$16)+IF((32+38*(1-EXP(-0.0175*A59)))&lt;70,'Scénario référence'!$B$18*(32+38*(1-EXP(-0.0175*A59))),70*'Scénario référence'!$B$18)</f>
        <v>70</v>
      </c>
      <c r="CP59" s="151">
        <f>IF(A59&gt;30,10,('Scénario référence'!$B$16+'Scénario référence'!$B$17+'Scénario référence'!$B$18+'Scénario référence'!$B$9+'Scénario référence'!$B$10)*A59*10/30+('Scénario référence'!$F$8+'Scénario référence'!$F$9)*10)</f>
        <v>10</v>
      </c>
      <c r="CQ59" s="151" t="str">
        <f>VLOOKUP(A59,'Données projet'!$A$139:$I$159,2,0)</f>
        <v>#N/A</v>
      </c>
      <c r="CR59" s="151" t="str">
        <f>VLOOKUP(A59,'Données projet'!$A$139:$I$159,9,0)</f>
        <v>#N/A</v>
      </c>
      <c r="CS59" s="151" t="str">
        <f t="array" ref="CS59">INDEX(CR:CR,MIN(IF(ISNUMBER(CR59:CR255),ROW(CR59:CR255),"")))</f>
        <v/>
      </c>
      <c r="CT59" s="151">
        <f>IF('Données projet'!$A$140&gt;35,CT58+CS59-DB58,IF(A59&lt;'Données projet'!$A$140,$CQ$205^A59,IF(A59='Données projet'!$A$140,'Données projet'!$B$140,CT58+CS59-DB58)))</f>
        <v>0</v>
      </c>
      <c r="CU59" s="158" t="str">
        <f>CT59*VLOOKUP('Données projet'!$B$13,'Paramètres'!$A$1:$I$88,3,0)*VLOOKUP('Données projet'!$B$13,'Paramètres'!$A$1:$I$88,5,0)</f>
        <v>#N/A</v>
      </c>
      <c r="CV59" s="150" t="str">
        <f t="shared" si="42"/>
        <v>#N/A</v>
      </c>
      <c r="CW59" s="161" t="str">
        <f t="shared" si="14"/>
        <v>#N/A</v>
      </c>
      <c r="CX59" s="153" t="str">
        <f t="shared" si="15"/>
        <v>#N/A</v>
      </c>
      <c r="CY59" s="153" t="str">
        <f>AVERAGE(OFFSET($CX$3,0,0,'Données projet'!$E$13+1,1))-AVERAGE(OFFSET($H$3,0,0,'Données projet'!$E$13+1,1))</f>
        <v>#N/A</v>
      </c>
      <c r="CZ59" s="153" t="str">
        <f t="shared" si="43"/>
        <v>#N/A</v>
      </c>
      <c r="DA59" s="154">
        <f>IF(ISNA(VLOOKUP(A59,'Données projet'!$A$139:$I$159,3,0)),0,VLOOKUP(A59,'Données projet'!$A$139:$I$159,3,0))</f>
        <v>0</v>
      </c>
      <c r="DB59" s="154">
        <f>IF(ISNA(VLOOKUP(A59,'Données projet'!$A$139:$I$159,4,0)),0,VLOOKUP(A59,'Données projet'!$A$139:$I$159,4,0))</f>
        <v>0</v>
      </c>
      <c r="DC59" s="155">
        <f>IF(ISNA(VLOOKUP(A59,'Données projet'!$A$139:$I$159,5,0)),0%,VLOOKUP(A59,'Données projet'!$A$139:$I$159,5,0)*VLOOKUP('Données projet'!$B$13,'Paramètres'!$A$1:$I$88,7,0))</f>
        <v>0</v>
      </c>
      <c r="DD59" s="155">
        <f>IF(ISNA(VLOOKUP(A59,'Données projet'!$A$139:$I$159,6,0)),0%,VLOOKUP(A59,'Données projet'!$A$139:$I$159,6,0)*VLOOKUP('Données projet'!$B$13,'Paramètres'!$A$1:$I$88,7,0))</f>
        <v>0</v>
      </c>
      <c r="DE59" s="155">
        <f>IF(ISNA(VLOOKUP(A59,'Données projet'!$A$139:$I$159,7,0)),0%,VLOOKUP(A59,'Données projet'!$A$139:$I$159,7,0))</f>
        <v>0</v>
      </c>
      <c r="DF59" s="162" t="str">
        <f>EXP(-LN(2)/35)*DF58+(1-EXP(-LN(2)/35))/(LN(2)/35)*DB59*DC59*VLOOKUP('Données projet'!$B$13,'Paramètres'!$A$1:$I$88,3,0)*0.475*44/12</f>
        <v>#N/A</v>
      </c>
      <c r="DG59" s="162" t="str">
        <f>EXP(-LN(2)/25)*DG58+(1-EXP(-LN(2)/25))/(LN(2)/25)*Calculateur!DB59*Calculateur!DD59*VLOOKUP('Données projet'!$B$13,'Paramètres'!$A$1:$I$88,3,0)*0.475*44/12</f>
        <v>#N/A</v>
      </c>
      <c r="DH59" s="162" t="str">
        <f>EXP(-LN(2)/2)*DH58+(1-EXP(-LN(2)/2))/(LN(2)/2)*DB59*DE59*VLOOKUP('Données projet'!$B$13,'Paramètres'!$A$1:$I$88,3,0)*0.475*44/12</f>
        <v>#N/A</v>
      </c>
      <c r="DI59" s="163" t="str">
        <f t="shared" si="16"/>
        <v>#N/A</v>
      </c>
      <c r="DJ59" s="159">
        <f>('Scénario référence'!$F$8+'Scénario référence'!$F$9+'Scénario référence'!$B$17+'Scénario référence'!$B$9+'Scénario référence'!$B$10)*70+IF((45+25*(1-EXP(-0.0175*A59)))&lt;70,'Scénario référence'!$B$16*(45+25*(1-EXP(-0.0175*A59))),70*'Scénario référence'!$B$16)+IF((32+38*(1-EXP(-0.0175*A59)))&lt;70,'Scénario référence'!$B$18*(32+38*(1-EXP(-0.0175*A59))),70*'Scénario référence'!$B$18)</f>
        <v>70</v>
      </c>
      <c r="DK59" s="151">
        <f>IF(A59&gt;30,10,('Scénario référence'!$B$16+'Scénario référence'!$B$17+'Scénario référence'!$B$18+'Scénario référence'!$B$9+'Scénario référence'!$B$10)*A59*10/30+('Scénario référence'!$F$8+'Scénario référence'!$F$9)*10)</f>
        <v>10</v>
      </c>
      <c r="DL59" s="151" t="str">
        <f>VLOOKUP(A59,'Données projet'!$A$165:$I$185,2,0)</f>
        <v>#N/A</v>
      </c>
      <c r="DM59" s="151" t="str">
        <f>VLOOKUP(A59,'Données projet'!$A$165:$I$185,9,0)</f>
        <v>#N/A</v>
      </c>
      <c r="DN59" s="151" t="str">
        <f t="array" ref="DN59">INDEX(DM:DM,MIN(IF(ISNUMBER(DM59:DM255),ROW(DM59:DM255),"")))</f>
        <v/>
      </c>
      <c r="DO59" s="151">
        <f>IF('Données projet'!$A$166&gt;35,DO58+DN59-DW58,IF(A59&lt;'Données projet'!$A$166,$DL$205^A59,IF(A59='Données projet'!$A$166,'Données projet'!$B$166,DO58+DN59-DW58)))</f>
        <v>0</v>
      </c>
      <c r="DP59" s="158" t="str">
        <f>DO59*VLOOKUP('Données projet'!$B$14,'Paramètres'!$A$1:$I$88,3,0)*VLOOKUP('Données projet'!$B$14,'Paramètres'!$A$1:$I$88,5,0)</f>
        <v>#N/A</v>
      </c>
      <c r="DQ59" s="150" t="str">
        <f t="shared" si="44"/>
        <v>#N/A</v>
      </c>
      <c r="DR59" s="161" t="str">
        <f t="shared" si="17"/>
        <v>#N/A</v>
      </c>
      <c r="DS59" s="153" t="str">
        <f t="shared" si="18"/>
        <v>#N/A</v>
      </c>
      <c r="DT59" s="153" t="str">
        <f>AVERAGE(OFFSET($DS$3,0,0,'Données projet'!$E$14+1,1))-AVERAGE(OFFSET($H$3,0,0,'Données projet'!$E$14+1,1))</f>
        <v>#N/A</v>
      </c>
      <c r="DU59" s="153" t="str">
        <f t="shared" si="45"/>
        <v>#N/A</v>
      </c>
      <c r="DV59" s="154">
        <f>IF(ISNA(VLOOKUP(A59,'Données projet'!$A$165:$I$185,3,0)),0,VLOOKUP(A59,'Données projet'!$A$165:$I$185,3,0))</f>
        <v>0</v>
      </c>
      <c r="DW59" s="154">
        <f>IF(ISNA(VLOOKUP(A59,'Données projet'!$A$165:$I$185,4,0)),0,VLOOKUP(A59,'Données projet'!$A$165:$I$185,4,0))</f>
        <v>0</v>
      </c>
      <c r="DX59" s="155">
        <f>IF(ISNA(VLOOKUP(A59,'Données projet'!$A$165:$I$185,5,0)),0%,VLOOKUP(A59,'Données projet'!$A$165:$I$185,5,0)*VLOOKUP('Données projet'!$B$14,'Paramètres'!$A$1:$I$88,7,0))</f>
        <v>0</v>
      </c>
      <c r="DY59" s="155">
        <f>IF(ISNA(VLOOKUP(A59,'Données projet'!$A$165:$I$185,6,0)),0%,VLOOKUP(A59,'Données projet'!$A$165:$I$185,6,0)*VLOOKUP('Données projet'!$B$14,'Paramètres'!$A$1:$I$88,7,0))</f>
        <v>0</v>
      </c>
      <c r="DZ59" s="155">
        <f>IF(ISNA(VLOOKUP(A59,'Données projet'!$A$165:$I$185,7,0)),0%,VLOOKUP(A59,'Données projet'!$A$165:$I$185,7,0))</f>
        <v>0</v>
      </c>
      <c r="EA59" s="162" t="str">
        <f>EXP(-LN(2)/35)*EA58+(1-EXP(-LN(2)/35))/(LN(2)/35)*DW59*DX59*VLOOKUP('Données projet'!$B$14,'Paramètres'!$A$1:$I$88,3,0)*0.475*44/12</f>
        <v>#N/A</v>
      </c>
      <c r="EB59" s="162" t="str">
        <f>EXP(-LN(2)/25)*EB58+(1-EXP(-LN(2)/25))/(LN(2)/25)*Calculateur!DW59*Calculateur!DY59*VLOOKUP('Données projet'!$B$14,'Paramètres'!$A$1:$I$88,3,0)*0.475*44/12</f>
        <v>#N/A</v>
      </c>
      <c r="EC59" s="162" t="str">
        <f>EXP(-LN(2)/2)*EC58+(1-EXP(-LN(2)/2))/(LN(2)/2)*DW59*DZ59*VLOOKUP('Données projet'!$B$14,'Paramètres'!$A$1:$I$88,3,0)*0.475*44/12</f>
        <v>#N/A</v>
      </c>
      <c r="ED59" s="163" t="str">
        <f t="shared" si="19"/>
        <v>#N/A</v>
      </c>
      <c r="EE59" s="159">
        <f>('Scénario référence'!$F$8+'Scénario référence'!$F$9+'Scénario référence'!$B$17+'Scénario référence'!$B$9+'Scénario référence'!$B$10)*70+IF((45+25*(1-EXP(-0.0175*A59)))&lt;70,'Scénario référence'!$B$16*(45+25*(1-EXP(-0.0175*A59))),70*'Scénario référence'!$B$16)+IF((32+38*(1-EXP(-0.0175*A59)))&lt;70,'Scénario référence'!$B$18*(32+38*(1-EXP(-0.0175*A59))),70*'Scénario référence'!$B$18)</f>
        <v>70</v>
      </c>
      <c r="EF59" s="151">
        <f>IF(A59&gt;30,10,('Scénario référence'!$B$16+'Scénario référence'!$B$17+'Scénario référence'!$B$18+'Scénario référence'!$B$9+'Scénario référence'!$B$10)*A59*10/30+('Scénario référence'!$F$8+'Scénario référence'!$F$9)*10)</f>
        <v>10</v>
      </c>
      <c r="EG59" s="151" t="str">
        <f>VLOOKUP(A59,'Données projet'!$A$191:$I$211,2,0)</f>
        <v>#N/A</v>
      </c>
      <c r="EH59" s="151" t="str">
        <f>VLOOKUP(A59,'Données projet'!$A$191:$I$211,9,0)</f>
        <v>#N/A</v>
      </c>
      <c r="EI59" s="151" t="str">
        <f t="array" ref="EI59">INDEX(EH:EH,MIN(IF(ISNUMBER(EH59:EH255),ROW(EH59:EH255),"")))</f>
        <v/>
      </c>
      <c r="EJ59" s="151">
        <f>IF('Données projet'!$A$192&gt;35,EJ58+EI59-ER58,IF(A59&lt;'Données projet'!$A$192,$EG$205^A59,IF(A59='Données projet'!$A$192,'Données projet'!$B$192,EJ58+EI59-ER58)))</f>
        <v>0</v>
      </c>
      <c r="EK59" s="158" t="str">
        <f>EJ59*VLOOKUP('Données projet'!$B$15,'Paramètres'!$A$1:$I$88,3,0)*VLOOKUP('Données projet'!$B$15,'Paramètres'!$A$1:$I$88,5,0)</f>
        <v>#N/A</v>
      </c>
      <c r="EL59" s="150" t="str">
        <f t="shared" si="46"/>
        <v>#N/A</v>
      </c>
      <c r="EM59" s="161" t="str">
        <f t="shared" si="20"/>
        <v>#N/A</v>
      </c>
      <c r="EN59" s="153" t="str">
        <f t="shared" si="21"/>
        <v>#N/A</v>
      </c>
      <c r="EO59" s="153" t="str">
        <f>AVERAGE(OFFSET($EN$3,0,0,'Données projet'!$E$15+1,1))-AVERAGE(OFFSET($H$3,0,0,'Données projet'!$E$15+1,1))</f>
        <v>#N/A</v>
      </c>
      <c r="EP59" s="153" t="str">
        <f t="shared" si="47"/>
        <v>#N/A</v>
      </c>
      <c r="EQ59" s="154">
        <f>IF(ISNA(VLOOKUP(A59,'Données projet'!$A$191:$I$211,3,0)),0,VLOOKUP(A59,'Données projet'!$A$191:$I$211,3,0))</f>
        <v>0</v>
      </c>
      <c r="ER59" s="154">
        <f>IF(ISNA(VLOOKUP(A59,'Données projet'!$A$191:$I$211,4,0)),0,VLOOKUP(A59,'Données projet'!$A$191:$I$211,4,0))</f>
        <v>0</v>
      </c>
      <c r="ES59" s="155">
        <f>IF(ISNA(VLOOKUP(A59,'Données projet'!$A$191:$I$211,5,0)),0%,VLOOKUP(A59,'Données projet'!$A$191:$I$211,5,0)*VLOOKUP('Données projet'!$B$15,'Paramètres'!$A$1:$I$88,7,0))</f>
        <v>0</v>
      </c>
      <c r="ET59" s="155">
        <f>IF(ISNA(VLOOKUP(A59,'Données projet'!$A$191:$I$211,6,0)),0%,VLOOKUP(A59,'Données projet'!$A$191:$I$211,6,0)*VLOOKUP('Données projet'!$B$15,'Paramètres'!$A$1:$I$88,7,0))</f>
        <v>0</v>
      </c>
      <c r="EU59" s="155">
        <f>IF(ISNA(VLOOKUP(A59,'Données projet'!$A$191:$I$211,7,0)),0%,VLOOKUP(A59,'Données projet'!$A$191:$I$211,7,0))</f>
        <v>0</v>
      </c>
      <c r="EV59" s="162" t="str">
        <f>EXP(-LN(2)/35)*EV58+(1-EXP(-LN(2)/35))/(LN(2)/35)*ER59*ES59*VLOOKUP('Données projet'!$B$15,'Paramètres'!$A$1:$I$88,3,0)*0.475*44/12</f>
        <v>#N/A</v>
      </c>
      <c r="EW59" s="162" t="str">
        <f>EXP(-LN(2)/25)*EW58+(1-EXP(-LN(2)/25))/(LN(2)/25)*Calculateur!ER59*Calculateur!ET59*VLOOKUP('Données projet'!$B$15,'Paramètres'!$A$1:$I$88,3,0)*0.475*44/12</f>
        <v>#N/A</v>
      </c>
      <c r="EX59" s="162" t="str">
        <f>EXP(-LN(2)/2)*EX58+(1-EXP(-LN(2)/2))/(LN(2)/2)*ER59*EU59*VLOOKUP('Données projet'!$B$15,'Paramètres'!$A$1:$I$88,3,0)*0.475*44/12</f>
        <v>#N/A</v>
      </c>
      <c r="EY59" s="163" t="str">
        <f t="shared" si="22"/>
        <v>#N/A</v>
      </c>
      <c r="EZ59" s="159">
        <f>('Scénario référence'!$F$8+'Scénario référence'!$F$9+'Scénario référence'!$B$17+'Scénario référence'!$B$9+'Scénario référence'!$B$10)*70+IF((45+25*(1-EXP(-0.0175*A59)))&lt;70,'Scénario référence'!$B$16*(45+25*(1-EXP(-0.0175*A59))),70*'Scénario référence'!$B$16)+IF((32+38*(1-EXP(-0.0175*A59)))&lt;70,'Scénario référence'!$B$18*(32+38*(1-EXP(-0.0175*A59))),70*'Scénario référence'!$B$18)</f>
        <v>70</v>
      </c>
      <c r="FA59" s="151">
        <f>IF(A59&gt;30,10,('Scénario référence'!$B$16+'Scénario référence'!$B$17+'Scénario référence'!$B$18+'Scénario référence'!$B$9+'Scénario référence'!$B$10)*A59*10/30+('Scénario référence'!$F$8+'Scénario référence'!$F$9)*10)</f>
        <v>10</v>
      </c>
      <c r="FB59" s="151" t="str">
        <f>VLOOKUP(A59,'Données projet'!$A$217:$I$237,2,0)</f>
        <v>#N/A</v>
      </c>
      <c r="FC59" s="151" t="str">
        <f>VLOOKUP(A59,'Données projet'!$A$217:$I$237,9,0)</f>
        <v>#N/A</v>
      </c>
      <c r="FD59" s="151" t="str">
        <f t="array" ref="FD59">INDEX(FC:FC,MIN(IF(ISNUMBER(FC59:FC255),ROW(FC59:FC255),"")))</f>
        <v/>
      </c>
      <c r="FE59" s="151">
        <f>IF('Données projet'!$A$218&gt;35,FE58+FD59-FM58,IF(A59&lt;'Données projet'!$A$218,$FB$205^A59,IF(A59='Données projet'!$A$218,'Données projet'!$B$218,FE58+FD59-FM58)))</f>
        <v>0</v>
      </c>
      <c r="FF59" s="158" t="str">
        <f>FE59*VLOOKUP('Données projet'!$B$16,'Paramètres'!$A$1:$I$88,3,0)*VLOOKUP('Données projet'!$B$16,'Paramètres'!$A$1:$I$88,5,0)</f>
        <v>#N/A</v>
      </c>
      <c r="FG59" s="150" t="str">
        <f t="shared" si="48"/>
        <v>#N/A</v>
      </c>
      <c r="FH59" s="161" t="str">
        <f t="shared" si="23"/>
        <v>#N/A</v>
      </c>
      <c r="FI59" s="153" t="str">
        <f t="shared" si="24"/>
        <v>#N/A</v>
      </c>
      <c r="FJ59" s="153" t="str">
        <f>AVERAGE(OFFSET($FI$3,0,0,'Données projet'!$E$16+1,1))-AVERAGE(OFFSET($H$3,0,0,'Données projet'!$E$16+1,1))</f>
        <v>#N/A</v>
      </c>
      <c r="FK59" s="153" t="str">
        <f t="shared" si="49"/>
        <v>#N/A</v>
      </c>
      <c r="FL59" s="154">
        <f>IF(ISNA(VLOOKUP(A59,'Données projet'!$A$217:$I$237,3,0)),0,VLOOKUP(A59,'Données projet'!$A$217:$I$237,3,0))</f>
        <v>0</v>
      </c>
      <c r="FM59" s="154">
        <f>IF(ISNA(VLOOKUP(A59,'Données projet'!$A$217:$I$237,4,0)),0,VLOOKUP(A59,'Données projet'!$A$217:$I$237,4,0))</f>
        <v>0</v>
      </c>
      <c r="FN59" s="155">
        <f>IF(ISNA(VLOOKUP(A59,'Données projet'!$A$217:$I$237,5,0)),0%,VLOOKUP(A59,'Données projet'!$A$217:$I$237,5,0)*VLOOKUP('Données projet'!$B$16,'Paramètres'!$A$1:$I$88,7,0))</f>
        <v>0</v>
      </c>
      <c r="FO59" s="155">
        <f>IF(ISNA(VLOOKUP(A59,'Données projet'!$A$217:$I$237,6,0)),0%,VLOOKUP(A59,'Données projet'!$A$217:$I$237,6,0)*VLOOKUP('Données projet'!$B$16,'Paramètres'!$A$1:$I$88,7,0))</f>
        <v>0</v>
      </c>
      <c r="FP59" s="155">
        <f>IF(ISNA(VLOOKUP(A59,'Données projet'!$A$217:$I$237,7,0)),0%,VLOOKUP(A59,'Données projet'!$A$217:$I$237,7,0))</f>
        <v>0</v>
      </c>
      <c r="FQ59" s="162" t="str">
        <f>EXP(-LN(2)/35)*FQ58+(1-EXP(-LN(2)/35))/(LN(2)/35)*FM59*FN59*VLOOKUP('Données projet'!$B$16,'Paramètres'!$A$1:$I$88,3,0)*0.475*44/12</f>
        <v>#N/A</v>
      </c>
      <c r="FR59" s="162" t="str">
        <f>EXP(-LN(2)/25)*FR58+(1-EXP(-LN(2)/25))/(LN(2)/25)*Calculateur!FM59*Calculateur!FO59*VLOOKUP('Données projet'!$B$16,'Paramètres'!$A$1:$I$88,3,0)*0.475*44/12</f>
        <v>#N/A</v>
      </c>
      <c r="FS59" s="162" t="str">
        <f>EXP(-LN(2)/2)*FS58+(1-EXP(-LN(2)/2))/(LN(2)/2)*FM59*FP59*VLOOKUP('Données projet'!$B$16,'Paramètres'!$A$1:$I$88,3,0)*0.475*44/12</f>
        <v>#N/A</v>
      </c>
      <c r="FT59" s="163" t="str">
        <f t="shared" si="25"/>
        <v>#N/A</v>
      </c>
      <c r="FU59" s="159">
        <f>('Scénario référence'!$F$8+'Scénario référence'!$F$9+'Scénario référence'!$B$17+'Scénario référence'!$B$9+'Scénario référence'!$B$10)*70+IF((45+25*(1-EXP(-0.0175*A59)))&lt;70,'Scénario référence'!$B$16*(45+25*(1-EXP(-0.0175*A59))),70*'Scénario référence'!$B$16)+IF((32+38*(1-EXP(-0.0175*A59)))&lt;70,'Scénario référence'!$B$18*(32+38*(1-EXP(-0.0175*A59))),70*'Scénario référence'!$B$18)</f>
        <v>70</v>
      </c>
      <c r="FV59" s="151">
        <f>IF(A59&gt;30,10,('Scénario référence'!$B$16+'Scénario référence'!$B$17+'Scénario référence'!$B$18+'Scénario référence'!$B$9+'Scénario référence'!$B$10)*A59*10/30+('Scénario référence'!$F$8+'Scénario référence'!$F$9)*10)</f>
        <v>10</v>
      </c>
      <c r="FW59" s="151" t="str">
        <f>VLOOKUP(A59,'Données projet'!$A$243:$I$263,2,0)</f>
        <v>#N/A</v>
      </c>
      <c r="FX59" s="151" t="str">
        <f>VLOOKUP(A59,'Données projet'!$A$243:$I$263,9,0)</f>
        <v>#N/A</v>
      </c>
      <c r="FY59" s="151" t="str">
        <f t="array" ref="FY59">INDEX(FX:FX,MIN(IF(ISNUMBER(FX59:FX255),ROW(FX59:FX255),"")))</f>
        <v/>
      </c>
      <c r="FZ59" s="151">
        <f>IF('Données projet'!$A$244&gt;35,FZ58+FY59-GH58,IF(A59&lt;'Données projet'!$A$244,$FW$205^A59,IF(A59='Données projet'!$A$244,'Données projet'!$B$244,FZ58+FY59-GH58)))</f>
        <v>0</v>
      </c>
      <c r="GA59" s="158" t="str">
        <f>FZ59*VLOOKUP('Données projet'!$B$17,'Paramètres'!$A$1:$I$88,3,0)*VLOOKUP('Données projet'!$B$17,'Paramètres'!$A$1:$I$88,5,0)</f>
        <v>#N/A</v>
      </c>
      <c r="GB59" s="150" t="str">
        <f t="shared" si="50"/>
        <v>#N/A</v>
      </c>
      <c r="GC59" s="161" t="str">
        <f t="shared" si="26"/>
        <v>#N/A</v>
      </c>
      <c r="GD59" s="153" t="str">
        <f t="shared" si="27"/>
        <v>#N/A</v>
      </c>
      <c r="GE59" s="153" t="str">
        <f>AVERAGE(OFFSET($GD$3,0,0,'Données projet'!$E$17+1,1))-AVERAGE(OFFSET($H$3,0,0,'Données projet'!$E$17+1,1))</f>
        <v>#N/A</v>
      </c>
      <c r="GF59" s="153" t="str">
        <f t="shared" si="51"/>
        <v>#N/A</v>
      </c>
      <c r="GG59" s="154">
        <f>IF(ISNA(VLOOKUP(A59,'Données projet'!$A$243:$I$263,3,0)),0,VLOOKUP(A59,'Données projet'!$A$243:$I$263,3,0))</f>
        <v>0</v>
      </c>
      <c r="GH59" s="154">
        <f>IF(ISNA(VLOOKUP(A59,'Données projet'!$A$243:$I$263,4,0)),0,VLOOKUP(A59,'Données projet'!$A$243:$I$263,4,0))</f>
        <v>0</v>
      </c>
      <c r="GI59" s="155">
        <f>IF(ISNA(VLOOKUP(A59,'Données projet'!$A$243:$I$263,5,0)),0%,VLOOKUP(A59,'Données projet'!$A$243:$I$263,5,0)*VLOOKUP('Données projet'!$B$17,'Paramètres'!$A$1:$I$88,7,0))</f>
        <v>0</v>
      </c>
      <c r="GJ59" s="155">
        <f>IF(ISNA(VLOOKUP(A59,'Données projet'!$A$243:$I$263,6,0)),0%,VLOOKUP(A59,'Données projet'!$A$243:$I$263,6,0)*VLOOKUP('Données projet'!$B$17,'Paramètres'!$A$1:$I$88,7,0))</f>
        <v>0</v>
      </c>
      <c r="GK59" s="155">
        <f>IF(ISNA(VLOOKUP(A59,'Données projet'!$A$243:$I$263,7,0)),0%,VLOOKUP(A59,'Données projet'!$A$243:$I$263,7,0))</f>
        <v>0</v>
      </c>
      <c r="GL59" s="162" t="str">
        <f>EXP(-LN(2)/35)*GL58+(1-EXP(-LN(2)/35))/(LN(2)/35)*GH59*GI59*VLOOKUP('Données projet'!$B$17,'Paramètres'!$A$1:$I$88,3,0)*0.475*44/12</f>
        <v>#N/A</v>
      </c>
      <c r="GM59" s="162" t="str">
        <f>EXP(-LN(2)/25)*GM58+(1-EXP(-LN(2)/25))/(LN(2)/25)*Calculateur!GH59*Calculateur!GJ59*VLOOKUP('Données projet'!$B$17,'Paramètres'!$A$1:$I$88,3,0)*0.475*44/12</f>
        <v>#N/A</v>
      </c>
      <c r="GN59" s="162" t="str">
        <f>EXP(-LN(2)/2)*GN58+(1-EXP(-LN(2)/2))/(LN(2)/2)*GH59*GK59*VLOOKUP('Données projet'!$B$17,'Paramètres'!$A$1:$I$88,3,0)*0.475*44/12</f>
        <v>#N/A</v>
      </c>
      <c r="GO59" s="162" t="str">
        <f t="shared" si="28"/>
        <v>#N/A</v>
      </c>
      <c r="GP59" s="159">
        <f>('Scénario référence'!$F$8+'Scénario référence'!$F$9+'Scénario référence'!$B$17+'Scénario référence'!$B$9+'Scénario référence'!$B$10)*70+IF((45+25*(1-EXP(-0.0175*A59)))&lt;70,'Scénario référence'!$B$16*(45+25*(1-EXP(-0.0175*A59))),70*'Scénario référence'!$B$16)+IF((32+38*(1-EXP(-0.0175*A59)))&lt;70,'Scénario référence'!$B$18*(32+38*(1-EXP(-0.0175*A59))),70*'Scénario référence'!$B$18)</f>
        <v>70</v>
      </c>
      <c r="GQ59" s="151">
        <f>IF(A59&gt;30,10,('Scénario référence'!$B$16+'Scénario référence'!$B$17+'Scénario référence'!$B$18+'Scénario référence'!$B$9+'Scénario référence'!$B$10)*A59*10/30+('Scénario référence'!$F$8+'Scénario référence'!$F$9)*10)</f>
        <v>10</v>
      </c>
      <c r="GR59" s="151" t="str">
        <f>VLOOKUP(A59,'Données projet'!$A$269:$I$289,2,0)</f>
        <v>#N/A</v>
      </c>
      <c r="GS59" s="151" t="str">
        <f>VLOOKUP(A59,'Données projet'!$A$269:$I$289,9,0)</f>
        <v>#N/A</v>
      </c>
      <c r="GT59" s="151" t="str">
        <f t="array" ref="GT59">INDEX(GS:GS,MIN(IF(ISNUMBER(GS59:GS255),ROW(GS59:GS255),"")))</f>
        <v/>
      </c>
      <c r="GU59" s="151">
        <f>IF('Données projet'!$A$270&gt;35,GU58+GT59-HC58,IF(A59&lt;'Données projet'!$A$270,$GR$205^A59,IF(A59='Données projet'!$A$270,'Données projet'!$B$270,GU58+GT59-HC58)))</f>
        <v>0</v>
      </c>
      <c r="GV59" s="158" t="str">
        <f>GU59*VLOOKUP('Données projet'!$B$18,'Paramètres'!$A$1:$I$88,3,0)*VLOOKUP('Données projet'!$B$18,'Paramètres'!$A$1:$I$88,5,0)</f>
        <v>#N/A</v>
      </c>
      <c r="GW59" s="150" t="str">
        <f t="shared" si="52"/>
        <v>#N/A</v>
      </c>
      <c r="GX59" s="161" t="str">
        <f t="shared" si="29"/>
        <v>#N/A</v>
      </c>
      <c r="GY59" s="153" t="str">
        <f t="shared" si="30"/>
        <v>#N/A</v>
      </c>
      <c r="GZ59" s="153" t="str">
        <f>AVERAGE(OFFSET($GY$3,0,0,'Données projet'!$E$18+1,1))-AVERAGE(OFFSET($H$3,0,0,'Données projet'!$E$18+1,1))</f>
        <v>#N/A</v>
      </c>
      <c r="HA59" s="153" t="str">
        <f t="shared" si="53"/>
        <v>#N/A</v>
      </c>
      <c r="HB59" s="154">
        <f>IF(ISNA(VLOOKUP(A59,'Données projet'!$A$269:$I$289,3,0)),0,VLOOKUP(A59,'Données projet'!$A$269:$I$289,3,0))</f>
        <v>0</v>
      </c>
      <c r="HC59" s="154">
        <f>IF(ISNA(VLOOKUP(A59,'Données projet'!$A$269:$I$289,4,0)),0,VLOOKUP(A59,'Données projet'!$A$269:$I$289,4,0))</f>
        <v>0</v>
      </c>
      <c r="HD59" s="155">
        <f>IF(ISNA(VLOOKUP(A59,'Données projet'!$A$269:$I$289,5,0)),0%,VLOOKUP(A59,'Données projet'!$A$269:$I$289,5,0)*VLOOKUP('Données projet'!$B$18,'Paramètres'!$A$1:$I$88,7,0))</f>
        <v>0</v>
      </c>
      <c r="HE59" s="155">
        <f>IF(ISNA(VLOOKUP(A59,'Données projet'!$A$269:$I$289,6,0)),0%,VLOOKUP(A59,'Données projet'!$A$269:$I$289,6,0)*VLOOKUP('Données projet'!$B$18,'Paramètres'!$A$1:$I$88,7,0))</f>
        <v>0</v>
      </c>
      <c r="HF59" s="155">
        <f>IF(ISNA(VLOOKUP(A59,'Données projet'!$A$269:$I$289,7,0)),0%,VLOOKUP(A59,'Données projet'!$A$269:$I$289,7,0))</f>
        <v>0</v>
      </c>
      <c r="HG59" s="162" t="str">
        <f>EXP(-LN(2)/35)*HG58+(1-EXP(-LN(2)/35))/(LN(2)/35)*HC59*HD59*VLOOKUP('Données projet'!$B$18,'Paramètres'!$A$1:$I$88,3,0)*0.475*44/12</f>
        <v>#N/A</v>
      </c>
      <c r="HH59" s="162" t="str">
        <f>EXP(-LN(2)/25)*HH58+(1-EXP(-LN(2)/25))/(LN(2)/25)*Calculateur!HC59*Calculateur!HE59*VLOOKUP('Données projet'!$B$18,'Paramètres'!$A$1:$I$88,3,0)*0.475*44/12</f>
        <v>#N/A</v>
      </c>
      <c r="HI59" s="162" t="str">
        <f>EXP(-LN(2)/2)*HI58+(1-EXP(-LN(2)/2))/(LN(2)/2)*HC59*HF59*VLOOKUP('Données projet'!$B$18,'Paramètres'!$A$1:$I$88,3,0)*0.475*44/12</f>
        <v>#N/A</v>
      </c>
      <c r="HJ59" s="163" t="str">
        <f t="shared" si="31"/>
        <v>#N/A</v>
      </c>
    </row>
    <row r="60" ht="15.75" customHeight="1">
      <c r="A60" s="145">
        <f t="shared" si="32"/>
        <v>57</v>
      </c>
      <c r="B60" s="146">
        <f>'Scénario référence'!$B$16*5+'Scénario référence'!$B$17*0+'Scénario référence'!$B$18*5</f>
        <v>0</v>
      </c>
      <c r="C60" s="160">
        <f>Calculateur!C59+'Scénario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60" s="147">
        <f t="shared" si="33"/>
        <v>0</v>
      </c>
      <c r="E60" s="147">
        <f>'Scénario référence'!$B$16*45+('Scénario référence'!$B$17+'Scénario référence'!$F$8+'Scénario référence'!$F$9+'Scénario référence'!$B$10+'Scénario référence'!$B$9)*70+'Scénario référence'!$B$18*32</f>
        <v>70</v>
      </c>
      <c r="F60" s="147">
        <f>IF(OR('Scénario référence'!$F$8&gt;0,'Scénario référence'!$F$9&gt;0),('Scénario référence'!$F$8+'Scénario référence'!$F$9)*10,0)</f>
        <v>0</v>
      </c>
      <c r="G60" s="147">
        <f>'Scénario référence'!$B$8*B60*44/12+'Scénario référence'!$B$9*(C60+D60)/0.475*44/12+'Scénario référence'!$B$10*(C60+D60)/0.475*44/12+'Scénario référence'!$F$8*(C60+D60)/0.475*44/12+'Scénario référence'!$F$9*(C60+D60)/0.475*44/12</f>
        <v>0</v>
      </c>
      <c r="H60" s="148">
        <f t="shared" si="1"/>
        <v>256.6666667</v>
      </c>
      <c r="I60" s="149">
        <f>('Scénario référence'!$F$8+'Scénario référence'!$F$9+'Scénario référence'!$B$17+'Scénario référence'!$B$9+'Scénario référence'!$B$10)*70+IF((45+25*(1-EXP(-0.0175*A60)))&lt;70,'Scénario référence'!$B$16*(45+25*(1-EXP(-0.0175*A60))),70*'Scénario référence'!$B$16)+IF((32+38*(1-EXP(-0.0175*A60)))&lt;70,'Scénario référence'!$B$18*(32+38*(1-EXP(-0.0175*A60))),70*'Scénario référence'!$B$18)</f>
        <v>70</v>
      </c>
      <c r="J60" s="150">
        <f>IF(A60&gt;30,10,('Scénario référence'!$B$16+'Scénario référence'!$B$17+'Scénario référence'!$B$18+'Scénario référence'!$B$9+'Scénario référence'!$B$10)*A60*10/30+('Scénario référence'!$F$8+'Scénario référence'!$F$9)*10)</f>
        <v>10</v>
      </c>
      <c r="K60" s="151" t="str">
        <f>VLOOKUP(A60,'Données projet'!$A$35:$I$55,2,0)</f>
        <v>#N/A</v>
      </c>
      <c r="L60" s="151" t="str">
        <f>VLOOKUP(A60,'Données projet'!$A$35:$I$55,9,0)</f>
        <v>#N/A</v>
      </c>
      <c r="M60" s="150">
        <f t="array" ref="M60">INDEX(L:L,MIN(IF(ISNUMBER(L60:L256),ROW(L60:L256),"")))</f>
        <v>9.4</v>
      </c>
      <c r="N60" s="150">
        <f>IF('Données projet'!$A$36&gt;35,N59+M60-V59,IF(A60&lt;'Données projet'!$A$36,$K$205^A60,IF(A60='Données projet'!$A$36,'Données projet'!$B$36,N59+M60-V59)))</f>
        <v>244.8</v>
      </c>
      <c r="O60" s="150">
        <f>N60*VLOOKUP('Données projet'!$B$9,'Paramètres'!$A$1:$I$88,3,0)*VLOOKUP('Données projet'!$B$9,'Paramètres'!$A$1:$I$88,5,0)</f>
        <v>221.49504</v>
      </c>
      <c r="P60" s="150">
        <f t="shared" si="34"/>
        <v>54.43969709</v>
      </c>
      <c r="Q60" s="161">
        <f t="shared" si="2"/>
        <v>480.5863338</v>
      </c>
      <c r="R60" s="153">
        <f t="shared" si="3"/>
        <v>773.9196671</v>
      </c>
      <c r="S60" s="153">
        <f>AVERAGE(OFFSET($R$3,0,0,'Données projet'!$E$9+1,1))-AVERAGE(OFFSET($H$3,0,0,'Données projet'!$E$9+1,1))</f>
        <v>439.1985427</v>
      </c>
      <c r="T60" s="153">
        <f t="shared" si="35"/>
        <v>278.2174123</v>
      </c>
      <c r="U60" s="154">
        <f>IF(ISNA(VLOOKUP(A60,'Données projet'!$A$35:$I$55,3,0)),0,VLOOKUP(A60,'Données projet'!$A$35:$I$55,3,0))</f>
        <v>0</v>
      </c>
      <c r="V60" s="154">
        <f>IF(ISNA(VLOOKUP(A60,'Données projet'!$A$35:$I$55,4,0)),0,VLOOKUP(A60,'Données projet'!$A$35:$I$55,4,0))</f>
        <v>0</v>
      </c>
      <c r="W60" s="155">
        <f>IF(ISNA(VLOOKUP(A60,'Données projet'!$A$35:$I$55,5,0)),0%,VLOOKUP(A60,'Données projet'!$A$35:$I$55,5,0)*VLOOKUP('Données projet'!$B$9,'Paramètres'!$A$1:$I$88,7,0))</f>
        <v>0</v>
      </c>
      <c r="X60" s="155">
        <f>IF(ISNA(VLOOKUP(A60,'Données projet'!$A$35:$I$55,6,0)),0%,VLOOKUP(A60,'Données projet'!$A$35:$I$55,6,0)*VLOOKUP('Données projet'!$B$9,'Paramètres'!$A$1:$I$88,7,0))</f>
        <v>0</v>
      </c>
      <c r="Y60" s="155">
        <f>IF(ISNA(VLOOKUP(A60,'Données projet'!$A$35:$I$55,7,0)),0%,VLOOKUP(A60,'Données projet'!$A$35:$I$55,7,0))</f>
        <v>0</v>
      </c>
      <c r="Z60" s="162">
        <f>EXP(-LN(2)/35)*Z59+(1-EXP(-LN(2)/35))/(LN(2)/35)*V60*W60*VLOOKUP('Données projet'!$B$9,'Paramètres'!$A$1:$I$88,3,0)*0.475*44/12</f>
        <v>0</v>
      </c>
      <c r="AA60" s="162">
        <f>EXP(-LN(2)/25)*AA59+(1-EXP(-LN(2)/25))/(LN(2)/25)*Calculateur!V60*Calculateur!X60*VLOOKUP('Données projet'!$B$9,'Paramètres'!$A$1:$I$88,3,0)*0.475*44/12</f>
        <v>2.122755054</v>
      </c>
      <c r="AB60" s="162">
        <f>EXP(-LN(2)/2)*AB59+(1-EXP(-LN(2)/2))/(LN(2)/2)*V60*Y60*VLOOKUP('Données projet'!$B$9,'Paramètres'!$A$1:$I$88,3,0)*0.475*44/12</f>
        <v>0</v>
      </c>
      <c r="AC60" s="163">
        <f t="shared" si="4"/>
        <v>2.122755054</v>
      </c>
      <c r="AD60" s="150">
        <f>('Scénario référence'!$F$8+'Scénario référence'!$F$9+'Scénario référence'!$B$17+'Scénario référence'!$B$9+'Scénario référence'!$B$10)*70+IF((45+25*(1-EXP(-0.0175*A60)))&lt;70,'Scénario référence'!$B$16*(45+25*(1-EXP(-0.0175*A60))),70*'Scénario référence'!$B$16)+IF((32+38*(1-EXP(-0.0175*A60)))&lt;70,'Scénario référence'!$B$18*(32+38*(1-EXP(-0.0175*A60))),70*'Scénario référence'!$B$18)</f>
        <v>70</v>
      </c>
      <c r="AE60" s="150">
        <f>IF(A60&gt;30,10,('Scénario référence'!$B$16+'Scénario référence'!$B$17+'Scénario référence'!$B$18+'Scénario référence'!$B$9+'Scénario référence'!$B$10)*A60*10/30+('Scénario référence'!$F$8+'Scénario référence'!$F$9)*10)</f>
        <v>10</v>
      </c>
      <c r="AF60" s="151" t="str">
        <f>VLOOKUP(A60,'Données projet'!$A$61:$I$81,2,0)</f>
        <v>#N/A</v>
      </c>
      <c r="AG60" s="151" t="str">
        <f>VLOOKUP(A60,'Données projet'!$A$61:$I$81,9,0)</f>
        <v>#N/A</v>
      </c>
      <c r="AH60" s="150">
        <f t="array" ref="AH60">INDEX(AG:AG,MIN(IF(ISNUMBER(AG60:AG256),ROW(AG60:AG256),"")))</f>
        <v>7.4</v>
      </c>
      <c r="AI60" s="150">
        <f>IF('Données projet'!$A$62&gt;35,AI59+AH60-AQ59,IF(A60&lt;'Données projet'!$A$62,$AF$205^A60,IF(A60='Données projet'!$A$62,'Données projet'!$B$62,AI59+AH60-AQ59)))</f>
        <v>320.8</v>
      </c>
      <c r="AJ60" s="150">
        <f>AI60*VLOOKUP('Données projet'!$B$10,'Paramètres'!$A$1:$I$88,3,0)*VLOOKUP('Données projet'!$B$10,'Paramètres'!$A$1:$I$88,5,0)</f>
        <v>255.22848</v>
      </c>
      <c r="AK60" s="150">
        <f t="shared" si="36"/>
        <v>61.70418888</v>
      </c>
      <c r="AL60" s="161">
        <f t="shared" si="5"/>
        <v>551.991065</v>
      </c>
      <c r="AM60" s="153">
        <f t="shared" si="6"/>
        <v>845.3243983</v>
      </c>
      <c r="AN60" s="153">
        <f>AVERAGE(OFFSET($AM$3,0,0,'Données projet'!$E$10+1,1))-AVERAGE(OFFSET($H$3,0,0,'Données projet'!$E$10+1,1))</f>
        <v>405.6113614</v>
      </c>
      <c r="AO60" s="153">
        <f t="shared" si="37"/>
        <v>393.0787141</v>
      </c>
      <c r="AP60" s="154">
        <f>IF(ISNA(VLOOKUP(A60,'Données projet'!$A$61:$I$81,3,0)),0,VLOOKUP(A60,'Données projet'!$A$61:$I$81,3,0))</f>
        <v>0</v>
      </c>
      <c r="AQ60" s="154">
        <f>IF(ISNA(VLOOKUP(A60,'Données projet'!$A$61:$I$81,4,0)),0,VLOOKUP(A60,'Données projet'!$A$61:$I$81,4,0))</f>
        <v>0</v>
      </c>
      <c r="AR60" s="155">
        <f>IF(ISNA(VLOOKUP(A60,'Données projet'!$A$61:$I$81,5,0)),0%,VLOOKUP(A60,'Données projet'!$A$61:$I$81,5,0)*VLOOKUP('Données projet'!$B$10,'Paramètres'!$A$1:$I$88,7,0))</f>
        <v>0</v>
      </c>
      <c r="AS60" s="155">
        <f>IF(ISNA(VLOOKUP(A60,'Données projet'!$A$61:$I$81,6,0)),0%,VLOOKUP(A60,'Données projet'!$A$61:$I$81,6,0)*VLOOKUP('Données projet'!$B$10,'Paramètres'!$A$1:$I$88,7,0))</f>
        <v>0</v>
      </c>
      <c r="AT60" s="155">
        <f>IF(ISNA(VLOOKUP(A60,'Données projet'!$A$61:$I$81,7,0)),0%,VLOOKUP(A60,'Données projet'!$A$61:$I$81,7,0))</f>
        <v>0</v>
      </c>
      <c r="AU60" s="162">
        <f>EXP(-LN(2)/35)*AU59+(1-EXP(-LN(2)/35))/(LN(2)/35)*AQ60*AR60*VLOOKUP('Données projet'!$B$10,'Paramètres'!$A$1:$I$88,3,0)*0.475*44/12</f>
        <v>0</v>
      </c>
      <c r="AV60" s="162">
        <f>EXP(-LN(2)/25)*AV59+(1-EXP(-LN(2)/25))/(LN(2)/25)*Calculateur!AQ60*Calculateur!AS60*VLOOKUP('Données projet'!$B$10,'Paramètres'!$A$1:$I$88,3,0)*0.475*44/12</f>
        <v>8.627416167</v>
      </c>
      <c r="AW60" s="162">
        <f>EXP(-LN(2)/2)*AW59+(1-EXP(-LN(2)/2))/(LN(2)/2)*AQ60*AT60*VLOOKUP('Données projet'!$B$10,'Paramètres'!$A$1:$I$88,3,0)*0.475*44/12</f>
        <v>0.00005003887092</v>
      </c>
      <c r="AX60" s="162">
        <f t="shared" si="7"/>
        <v>8.627466206</v>
      </c>
      <c r="AY60" s="157">
        <f>('Scénario référence'!$F$8+'Scénario référence'!$F$9+'Scénario référence'!$B$17+'Scénario référence'!$B$9+'Scénario référence'!$B$10)*70+IF((45+25*(1-EXP(-0.0175*A60)))&lt;70,'Scénario référence'!$B$16*(45+25*(1-EXP(-0.0175*A60))),70*'Scénario référence'!$B$16)+IF((32+38*(1-EXP(-0.0175*A60)))&lt;70,'Scénario référence'!$B$18*(32+38*(1-EXP(-0.0175*A60))),70*'Scénario référence'!$B$18)</f>
        <v>70</v>
      </c>
      <c r="AZ60" s="151">
        <f>IF(A60&gt;30,10,('Scénario référence'!$B$16+'Scénario référence'!$B$17+'Scénario référence'!$B$18+'Scénario référence'!$B$9+'Scénario référence'!$B$10)*A60*10/30+('Scénario référence'!$F$8+'Scénario référence'!$F$9)*10)</f>
        <v>10</v>
      </c>
      <c r="BA60" s="151" t="str">
        <f>VLOOKUP(A60,'Données projet'!$A$87:$I$107,2,0)</f>
        <v>#N/A</v>
      </c>
      <c r="BB60" s="151" t="str">
        <f>VLOOKUP(A60,'Données projet'!$A$87:$I$107,9,0)</f>
        <v>#N/A</v>
      </c>
      <c r="BC60" s="150" t="str">
        <f t="array" ref="BC60">INDEX(BB:BB,MIN(IF(ISNUMBER(BB60:BB256),ROW(BB60:BB256),"")))</f>
        <v/>
      </c>
      <c r="BD60" s="150">
        <f>IF('Données projet'!$A$88&gt;35,BD59+BC60-BL59,IF(A60&lt;'Données projet'!$A$88,$BA$205^A60,IF(A60='Données projet'!$A$88,'Données projet'!$B$88,BD59+BC60-BL59)))</f>
        <v>0</v>
      </c>
      <c r="BE60" s="150">
        <f>BD60*VLOOKUP('Données projet'!$B$11,'Paramètres'!$A$1:$I$88,3,0)*VLOOKUP('Données projet'!$B$11,'Paramètres'!$A$1:$I$88,5,0)</f>
        <v>0</v>
      </c>
      <c r="BF60" s="150" t="str">
        <f t="shared" si="38"/>
        <v>#NUM!</v>
      </c>
      <c r="BG60" s="161" t="str">
        <f t="shared" si="8"/>
        <v>#NUM!</v>
      </c>
      <c r="BH60" s="153" t="str">
        <f t="shared" si="9"/>
        <v>#NUM!</v>
      </c>
      <c r="BI60" s="153">
        <f>AVERAGE(OFFSET($BH$3,0,0,'Données projet'!$E$11+1,1))-AVERAGE(OFFSET($H$3,0,0,'Données projet'!$E$11+1,1))</f>
        <v>0</v>
      </c>
      <c r="BJ60" s="153">
        <f t="shared" si="39"/>
        <v>0</v>
      </c>
      <c r="BK60" s="154">
        <f>IF(ISNA(VLOOKUP(A60,'Données projet'!$A$87:$I$107,3,0)),0,VLOOKUP(A60,'Données projet'!$A$87:$I$107,3,0))</f>
        <v>0</v>
      </c>
      <c r="BL60" s="154">
        <f>IF(ISNA(VLOOKUP(A60,'Données projet'!$A$87:$I$107,4,0)),0,VLOOKUP(A60,'Données projet'!$A$87:$I$107,4,0))</f>
        <v>0</v>
      </c>
      <c r="BM60" s="155">
        <f>IF(ISNA(VLOOKUP(A60,'Données projet'!$A$87:$I$107,5,0)),0%,VLOOKUP(A60,'Données projet'!$A$87:$I$107,5,0)*VLOOKUP('Données projet'!$B$11,'Paramètres'!$A$1:$I$88,7,0))</f>
        <v>0</v>
      </c>
      <c r="BN60" s="155">
        <f>IF(ISNA(VLOOKUP(A60,'Données projet'!$A$87:$I$107,6,0)),0%,VLOOKUP(A60,'Données projet'!$A$87:$I$107,6,0)*VLOOKUP('Données projet'!$B$11,'Paramètres'!$A$1:$I$88,7,0))</f>
        <v>0</v>
      </c>
      <c r="BO60" s="155">
        <f>IF(ISNA(VLOOKUP(A60,'Données projet'!$A$87:$I$107,7,0)),0%,VLOOKUP(A60,'Données projet'!$A$87:$I$107,7,0))</f>
        <v>0</v>
      </c>
      <c r="BP60" s="162">
        <f>EXP(-LN(2)/35)*BP59+(1-EXP(-LN(2)/35))/(LN(2)/35)*BL60*BM60*VLOOKUP('Données projet'!$B$11,'Paramètres'!$A$1:$I$88,3,0)*0.475*44/12</f>
        <v>0</v>
      </c>
      <c r="BQ60" s="162">
        <f>EXP(-LN(2)/25)*BQ59+(1-EXP(-LN(2)/25))/(LN(2)/25)*Calculateur!BL60*Calculateur!BN60*VLOOKUP('Données projet'!$B$11,'Paramètres'!$A$1:$I$88,3,0)*0.475*44/12</f>
        <v>0</v>
      </c>
      <c r="BR60" s="162">
        <f>EXP(-LN(2)/2)*BR59+(1-EXP(-LN(2)/2))/(LN(2)/2)*BL60*BO60*VLOOKUP('Données projet'!$B$11,'Paramètres'!$A$1:$I$88,3,0)*0.475*44/12</f>
        <v>0</v>
      </c>
      <c r="BS60" s="163">
        <f t="shared" si="10"/>
        <v>0</v>
      </c>
      <c r="BT60" s="159">
        <f>('Scénario référence'!$F$8+'Scénario référence'!$F$9+'Scénario référence'!$B$17+'Scénario référence'!$B$9+'Scénario référence'!$B$10)*70+IF((45+25*(1-EXP(-0.0175*A60)))&lt;70,'Scénario référence'!$B$16*(45+25*(1-EXP(-0.0175*A60))),70*'Scénario référence'!$B$16)+IF((32+38*(1-EXP(-0.0175*A60)))&lt;70,'Scénario référence'!$B$18*(32+38*(1-EXP(-0.0175*A60))),70*'Scénario référence'!$B$18)</f>
        <v>70</v>
      </c>
      <c r="BU60" s="151">
        <f>IF(A60&gt;30,10,('Scénario référence'!$B$16+'Scénario référence'!$B$17+'Scénario référence'!$B$18+'Scénario référence'!$B$9+'Scénario référence'!$B$10)*A60*10/30+('Scénario référence'!$F$8+'Scénario référence'!$F$9)*10)</f>
        <v>10</v>
      </c>
      <c r="BV60" s="151" t="str">
        <f>VLOOKUP(A60,'Données projet'!$A$113:$I$133,2,0)</f>
        <v>#N/A</v>
      </c>
      <c r="BW60" s="151" t="str">
        <f>VLOOKUP(A60,'Données projet'!$A$113:$I$133,9,0)</f>
        <v>#N/A</v>
      </c>
      <c r="BX60" s="150" t="str">
        <f t="array" ref="BX60">INDEX(BW:BW,MIN(IF(ISNUMBER(BW60:BW256),ROW(BW60:BW256),"")))</f>
        <v/>
      </c>
      <c r="BY60" s="150">
        <f>IF('Données projet'!$A$114&gt;35,BY59+BX60-CG59,IF(A60&lt;'Données projet'!$A$114,$BV$205^A60,IF(A60='Données projet'!$A$114,'Données projet'!$B$114,BY59+BX60-CG59)))</f>
        <v>0</v>
      </c>
      <c r="BZ60" s="150" t="str">
        <f>BY60*VLOOKUP('Données projet'!$B$12,'Paramètres'!$A$1:$I$88,3,0)*VLOOKUP('Données projet'!$B$12,'Paramètres'!$A$1:$I$88,5,0)</f>
        <v>#N/A</v>
      </c>
      <c r="CA60" s="150" t="str">
        <f t="shared" si="40"/>
        <v>#N/A</v>
      </c>
      <c r="CB60" s="161" t="str">
        <f t="shared" si="11"/>
        <v>#N/A</v>
      </c>
      <c r="CC60" s="153" t="str">
        <f t="shared" si="12"/>
        <v>#N/A</v>
      </c>
      <c r="CD60" s="153" t="str">
        <f>AVERAGE(OFFSET($CC$3,0,0,'Données projet'!$E$12+1,1))-AVERAGE(OFFSET($H$3,0,0,'Données projet'!$E$12+1,1))</f>
        <v>#N/A</v>
      </c>
      <c r="CE60" s="153" t="str">
        <f t="shared" si="41"/>
        <v>#N/A</v>
      </c>
      <c r="CF60" s="154">
        <f>IF(ISNA(VLOOKUP(A60,'Données projet'!$A$113:$I$133,3,0)),0,VLOOKUP(A60,'Données projet'!$A$113:$I$133,3,0))</f>
        <v>0</v>
      </c>
      <c r="CG60" s="154">
        <f>IF(ISNA(VLOOKUP(A60,'Données projet'!$A$113:$I$133,4,0)),0,VLOOKUP(A60,'Données projet'!$A$113:$I$133,4,0))</f>
        <v>0</v>
      </c>
      <c r="CH60" s="155">
        <f>IF(ISNA(VLOOKUP(A60,'Données projet'!$A$113:$I$133,5,0)),0%,VLOOKUP(A60,'Données projet'!$A$113:$I$133,5,0)*VLOOKUP('Données projet'!$B$12,'Paramètres'!$A$1:$I$88,7,0))</f>
        <v>0</v>
      </c>
      <c r="CI60" s="155">
        <f>IF(ISNA(VLOOKUP(A60,'Données projet'!$A$113:$I$133,6,0)),0%,VLOOKUP(A60,'Données projet'!$A$113:$I$133,6,0)*VLOOKUP('Données projet'!$B$12,'Paramètres'!$A$1:$I$88,7,0))</f>
        <v>0</v>
      </c>
      <c r="CJ60" s="155">
        <f>IF(ISNA(VLOOKUP(A60,'Données projet'!$A$113:$I$133,7,0)),0%,VLOOKUP(A60,'Données projet'!$A$113:$I$133,7,0))</f>
        <v>0</v>
      </c>
      <c r="CK60" s="162" t="str">
        <f>EXP(-LN(2)/35)*CK59+(1-EXP(-LN(2)/35))/(LN(2)/35)*CG60*CH60*VLOOKUP('Données projet'!$B$12,'Paramètres'!$A$1:$I$88,3,0)*0.475*44/12</f>
        <v>#N/A</v>
      </c>
      <c r="CL60" s="162" t="str">
        <f>EXP(-LN(2)/25)*CL59+(1-EXP(-LN(2)/25))/(LN(2)/25)*Calculateur!CG60*Calculateur!CI60*VLOOKUP('Données projet'!$B$12,'Paramètres'!$A$1:$I$88,3,0)*0.475*44/12</f>
        <v>#N/A</v>
      </c>
      <c r="CM60" s="162" t="str">
        <f>EXP(-LN(2)/2)*CM59+(1-EXP(-LN(2)/2))/(LN(2)/2)*CG60*CJ60*VLOOKUP('Données projet'!$B$12,'Paramètres'!$A$1:$I$88,3,0)*0.475*44/12</f>
        <v>#N/A</v>
      </c>
      <c r="CN60" s="163" t="str">
        <f t="shared" si="13"/>
        <v>#N/A</v>
      </c>
      <c r="CO60" s="159">
        <f>('Scénario référence'!$F$8+'Scénario référence'!$F$9+'Scénario référence'!$B$17+'Scénario référence'!$B$9+'Scénario référence'!$B$10)*70+IF((45+25*(1-EXP(-0.0175*A60)))&lt;70,'Scénario référence'!$B$16*(45+25*(1-EXP(-0.0175*A60))),70*'Scénario référence'!$B$16)+IF((32+38*(1-EXP(-0.0175*A60)))&lt;70,'Scénario référence'!$B$18*(32+38*(1-EXP(-0.0175*A60))),70*'Scénario référence'!$B$18)</f>
        <v>70</v>
      </c>
      <c r="CP60" s="151">
        <f>IF(A60&gt;30,10,('Scénario référence'!$B$16+'Scénario référence'!$B$17+'Scénario référence'!$B$18+'Scénario référence'!$B$9+'Scénario référence'!$B$10)*A60*10/30+('Scénario référence'!$F$8+'Scénario référence'!$F$9)*10)</f>
        <v>10</v>
      </c>
      <c r="CQ60" s="151" t="str">
        <f>VLOOKUP(A60,'Données projet'!$A$139:$I$159,2,0)</f>
        <v>#N/A</v>
      </c>
      <c r="CR60" s="151" t="str">
        <f>VLOOKUP(A60,'Données projet'!$A$139:$I$159,9,0)</f>
        <v>#N/A</v>
      </c>
      <c r="CS60" s="151" t="str">
        <f t="array" ref="CS60">INDEX(CR:CR,MIN(IF(ISNUMBER(CR60:CR256),ROW(CR60:CR256),"")))</f>
        <v/>
      </c>
      <c r="CT60" s="151">
        <f>IF('Données projet'!$A$140&gt;35,CT59+CS60-DB59,IF(A60&lt;'Données projet'!$A$140,$CQ$205^A60,IF(A60='Données projet'!$A$140,'Données projet'!$B$140,CT59+CS60-DB59)))</f>
        <v>0</v>
      </c>
      <c r="CU60" s="158" t="str">
        <f>CT60*VLOOKUP('Données projet'!$B$13,'Paramètres'!$A$1:$I$88,3,0)*VLOOKUP('Données projet'!$B$13,'Paramètres'!$A$1:$I$88,5,0)</f>
        <v>#N/A</v>
      </c>
      <c r="CV60" s="150" t="str">
        <f t="shared" si="42"/>
        <v>#N/A</v>
      </c>
      <c r="CW60" s="161" t="str">
        <f t="shared" si="14"/>
        <v>#N/A</v>
      </c>
      <c r="CX60" s="153" t="str">
        <f t="shared" si="15"/>
        <v>#N/A</v>
      </c>
      <c r="CY60" s="153" t="str">
        <f>AVERAGE(OFFSET($CX$3,0,0,'Données projet'!$E$13+1,1))-AVERAGE(OFFSET($H$3,0,0,'Données projet'!$E$13+1,1))</f>
        <v>#N/A</v>
      </c>
      <c r="CZ60" s="153" t="str">
        <f t="shared" si="43"/>
        <v>#N/A</v>
      </c>
      <c r="DA60" s="154">
        <f>IF(ISNA(VLOOKUP(A60,'Données projet'!$A$139:$I$159,3,0)),0,VLOOKUP(A60,'Données projet'!$A$139:$I$159,3,0))</f>
        <v>0</v>
      </c>
      <c r="DB60" s="154">
        <f>IF(ISNA(VLOOKUP(A60,'Données projet'!$A$139:$I$159,4,0)),0,VLOOKUP(A60,'Données projet'!$A$139:$I$159,4,0))</f>
        <v>0</v>
      </c>
      <c r="DC60" s="155">
        <f>IF(ISNA(VLOOKUP(A60,'Données projet'!$A$139:$I$159,5,0)),0%,VLOOKUP(A60,'Données projet'!$A$139:$I$159,5,0)*VLOOKUP('Données projet'!$B$13,'Paramètres'!$A$1:$I$88,7,0))</f>
        <v>0</v>
      </c>
      <c r="DD60" s="155">
        <f>IF(ISNA(VLOOKUP(A60,'Données projet'!$A$139:$I$159,6,0)),0%,VLOOKUP(A60,'Données projet'!$A$139:$I$159,6,0)*VLOOKUP('Données projet'!$B$13,'Paramètres'!$A$1:$I$88,7,0))</f>
        <v>0</v>
      </c>
      <c r="DE60" s="155">
        <f>IF(ISNA(VLOOKUP(A60,'Données projet'!$A$139:$I$159,7,0)),0%,VLOOKUP(A60,'Données projet'!$A$139:$I$159,7,0))</f>
        <v>0</v>
      </c>
      <c r="DF60" s="162" t="str">
        <f>EXP(-LN(2)/35)*DF59+(1-EXP(-LN(2)/35))/(LN(2)/35)*DB60*DC60*VLOOKUP('Données projet'!$B$13,'Paramètres'!$A$1:$I$88,3,0)*0.475*44/12</f>
        <v>#N/A</v>
      </c>
      <c r="DG60" s="162" t="str">
        <f>EXP(-LN(2)/25)*DG59+(1-EXP(-LN(2)/25))/(LN(2)/25)*Calculateur!DB60*Calculateur!DD60*VLOOKUP('Données projet'!$B$13,'Paramètres'!$A$1:$I$88,3,0)*0.475*44/12</f>
        <v>#N/A</v>
      </c>
      <c r="DH60" s="162" t="str">
        <f>EXP(-LN(2)/2)*DH59+(1-EXP(-LN(2)/2))/(LN(2)/2)*DB60*DE60*VLOOKUP('Données projet'!$B$13,'Paramètres'!$A$1:$I$88,3,0)*0.475*44/12</f>
        <v>#N/A</v>
      </c>
      <c r="DI60" s="163" t="str">
        <f t="shared" si="16"/>
        <v>#N/A</v>
      </c>
      <c r="DJ60" s="159">
        <f>('Scénario référence'!$F$8+'Scénario référence'!$F$9+'Scénario référence'!$B$17+'Scénario référence'!$B$9+'Scénario référence'!$B$10)*70+IF((45+25*(1-EXP(-0.0175*A60)))&lt;70,'Scénario référence'!$B$16*(45+25*(1-EXP(-0.0175*A60))),70*'Scénario référence'!$B$16)+IF((32+38*(1-EXP(-0.0175*A60)))&lt;70,'Scénario référence'!$B$18*(32+38*(1-EXP(-0.0175*A60))),70*'Scénario référence'!$B$18)</f>
        <v>70</v>
      </c>
      <c r="DK60" s="151">
        <f>IF(A60&gt;30,10,('Scénario référence'!$B$16+'Scénario référence'!$B$17+'Scénario référence'!$B$18+'Scénario référence'!$B$9+'Scénario référence'!$B$10)*A60*10/30+('Scénario référence'!$F$8+'Scénario référence'!$F$9)*10)</f>
        <v>10</v>
      </c>
      <c r="DL60" s="151" t="str">
        <f>VLOOKUP(A60,'Données projet'!$A$165:$I$185,2,0)</f>
        <v>#N/A</v>
      </c>
      <c r="DM60" s="151" t="str">
        <f>VLOOKUP(A60,'Données projet'!$A$165:$I$185,9,0)</f>
        <v>#N/A</v>
      </c>
      <c r="DN60" s="151" t="str">
        <f t="array" ref="DN60">INDEX(DM:DM,MIN(IF(ISNUMBER(DM60:DM256),ROW(DM60:DM256),"")))</f>
        <v/>
      </c>
      <c r="DO60" s="151">
        <f>IF('Données projet'!$A$166&gt;35,DO59+DN60-DW59,IF(A60&lt;'Données projet'!$A$166,$DL$205^A60,IF(A60='Données projet'!$A$166,'Données projet'!$B$166,DO59+DN60-DW59)))</f>
        <v>0</v>
      </c>
      <c r="DP60" s="158" t="str">
        <f>DO60*VLOOKUP('Données projet'!$B$14,'Paramètres'!$A$1:$I$88,3,0)*VLOOKUP('Données projet'!$B$14,'Paramètres'!$A$1:$I$88,5,0)</f>
        <v>#N/A</v>
      </c>
      <c r="DQ60" s="150" t="str">
        <f t="shared" si="44"/>
        <v>#N/A</v>
      </c>
      <c r="DR60" s="161" t="str">
        <f t="shared" si="17"/>
        <v>#N/A</v>
      </c>
      <c r="DS60" s="153" t="str">
        <f t="shared" si="18"/>
        <v>#N/A</v>
      </c>
      <c r="DT60" s="153" t="str">
        <f>AVERAGE(OFFSET($DS$3,0,0,'Données projet'!$E$14+1,1))-AVERAGE(OFFSET($H$3,0,0,'Données projet'!$E$14+1,1))</f>
        <v>#N/A</v>
      </c>
      <c r="DU60" s="153" t="str">
        <f t="shared" si="45"/>
        <v>#N/A</v>
      </c>
      <c r="DV60" s="154">
        <f>IF(ISNA(VLOOKUP(A60,'Données projet'!$A$165:$I$185,3,0)),0,VLOOKUP(A60,'Données projet'!$A$165:$I$185,3,0))</f>
        <v>0</v>
      </c>
      <c r="DW60" s="154">
        <f>IF(ISNA(VLOOKUP(A60,'Données projet'!$A$165:$I$185,4,0)),0,VLOOKUP(A60,'Données projet'!$A$165:$I$185,4,0))</f>
        <v>0</v>
      </c>
      <c r="DX60" s="155">
        <f>IF(ISNA(VLOOKUP(A60,'Données projet'!$A$165:$I$185,5,0)),0%,VLOOKUP(A60,'Données projet'!$A$165:$I$185,5,0)*VLOOKUP('Données projet'!$B$14,'Paramètres'!$A$1:$I$88,7,0))</f>
        <v>0</v>
      </c>
      <c r="DY60" s="155">
        <f>IF(ISNA(VLOOKUP(A60,'Données projet'!$A$165:$I$185,6,0)),0%,VLOOKUP(A60,'Données projet'!$A$165:$I$185,6,0)*VLOOKUP('Données projet'!$B$14,'Paramètres'!$A$1:$I$88,7,0))</f>
        <v>0</v>
      </c>
      <c r="DZ60" s="155">
        <f>IF(ISNA(VLOOKUP(A60,'Données projet'!$A$165:$I$185,7,0)),0%,VLOOKUP(A60,'Données projet'!$A$165:$I$185,7,0))</f>
        <v>0</v>
      </c>
      <c r="EA60" s="162" t="str">
        <f>EXP(-LN(2)/35)*EA59+(1-EXP(-LN(2)/35))/(LN(2)/35)*DW60*DX60*VLOOKUP('Données projet'!$B$14,'Paramètres'!$A$1:$I$88,3,0)*0.475*44/12</f>
        <v>#N/A</v>
      </c>
      <c r="EB60" s="162" t="str">
        <f>EXP(-LN(2)/25)*EB59+(1-EXP(-LN(2)/25))/(LN(2)/25)*Calculateur!DW60*Calculateur!DY60*VLOOKUP('Données projet'!$B$14,'Paramètres'!$A$1:$I$88,3,0)*0.475*44/12</f>
        <v>#N/A</v>
      </c>
      <c r="EC60" s="162" t="str">
        <f>EXP(-LN(2)/2)*EC59+(1-EXP(-LN(2)/2))/(LN(2)/2)*DW60*DZ60*VLOOKUP('Données projet'!$B$14,'Paramètres'!$A$1:$I$88,3,0)*0.475*44/12</f>
        <v>#N/A</v>
      </c>
      <c r="ED60" s="163" t="str">
        <f t="shared" si="19"/>
        <v>#N/A</v>
      </c>
      <c r="EE60" s="159">
        <f>('Scénario référence'!$F$8+'Scénario référence'!$F$9+'Scénario référence'!$B$17+'Scénario référence'!$B$9+'Scénario référence'!$B$10)*70+IF((45+25*(1-EXP(-0.0175*A60)))&lt;70,'Scénario référence'!$B$16*(45+25*(1-EXP(-0.0175*A60))),70*'Scénario référence'!$B$16)+IF((32+38*(1-EXP(-0.0175*A60)))&lt;70,'Scénario référence'!$B$18*(32+38*(1-EXP(-0.0175*A60))),70*'Scénario référence'!$B$18)</f>
        <v>70</v>
      </c>
      <c r="EF60" s="151">
        <f>IF(A60&gt;30,10,('Scénario référence'!$B$16+'Scénario référence'!$B$17+'Scénario référence'!$B$18+'Scénario référence'!$B$9+'Scénario référence'!$B$10)*A60*10/30+('Scénario référence'!$F$8+'Scénario référence'!$F$9)*10)</f>
        <v>10</v>
      </c>
      <c r="EG60" s="151" t="str">
        <f>VLOOKUP(A60,'Données projet'!$A$191:$I$211,2,0)</f>
        <v>#N/A</v>
      </c>
      <c r="EH60" s="151" t="str">
        <f>VLOOKUP(A60,'Données projet'!$A$191:$I$211,9,0)</f>
        <v>#N/A</v>
      </c>
      <c r="EI60" s="151" t="str">
        <f t="array" ref="EI60">INDEX(EH:EH,MIN(IF(ISNUMBER(EH60:EH256),ROW(EH60:EH256),"")))</f>
        <v/>
      </c>
      <c r="EJ60" s="151">
        <f>IF('Données projet'!$A$192&gt;35,EJ59+EI60-ER59,IF(A60&lt;'Données projet'!$A$192,$EG$205^A60,IF(A60='Données projet'!$A$192,'Données projet'!$B$192,EJ59+EI60-ER59)))</f>
        <v>0</v>
      </c>
      <c r="EK60" s="158" t="str">
        <f>EJ60*VLOOKUP('Données projet'!$B$15,'Paramètres'!$A$1:$I$88,3,0)*VLOOKUP('Données projet'!$B$15,'Paramètres'!$A$1:$I$88,5,0)</f>
        <v>#N/A</v>
      </c>
      <c r="EL60" s="150" t="str">
        <f t="shared" si="46"/>
        <v>#N/A</v>
      </c>
      <c r="EM60" s="161" t="str">
        <f t="shared" si="20"/>
        <v>#N/A</v>
      </c>
      <c r="EN60" s="153" t="str">
        <f t="shared" si="21"/>
        <v>#N/A</v>
      </c>
      <c r="EO60" s="153" t="str">
        <f>AVERAGE(OFFSET($EN$3,0,0,'Données projet'!$E$15+1,1))-AVERAGE(OFFSET($H$3,0,0,'Données projet'!$E$15+1,1))</f>
        <v>#N/A</v>
      </c>
      <c r="EP60" s="153" t="str">
        <f t="shared" si="47"/>
        <v>#N/A</v>
      </c>
      <c r="EQ60" s="154">
        <f>IF(ISNA(VLOOKUP(A60,'Données projet'!$A$191:$I$211,3,0)),0,VLOOKUP(A60,'Données projet'!$A$191:$I$211,3,0))</f>
        <v>0</v>
      </c>
      <c r="ER60" s="154">
        <f>IF(ISNA(VLOOKUP(A60,'Données projet'!$A$191:$I$211,4,0)),0,VLOOKUP(A60,'Données projet'!$A$191:$I$211,4,0))</f>
        <v>0</v>
      </c>
      <c r="ES60" s="155">
        <f>IF(ISNA(VLOOKUP(A60,'Données projet'!$A$191:$I$211,5,0)),0%,VLOOKUP(A60,'Données projet'!$A$191:$I$211,5,0)*VLOOKUP('Données projet'!$B$15,'Paramètres'!$A$1:$I$88,7,0))</f>
        <v>0</v>
      </c>
      <c r="ET60" s="155">
        <f>IF(ISNA(VLOOKUP(A60,'Données projet'!$A$191:$I$211,6,0)),0%,VLOOKUP(A60,'Données projet'!$A$191:$I$211,6,0)*VLOOKUP('Données projet'!$B$15,'Paramètres'!$A$1:$I$88,7,0))</f>
        <v>0</v>
      </c>
      <c r="EU60" s="155">
        <f>IF(ISNA(VLOOKUP(A60,'Données projet'!$A$191:$I$211,7,0)),0%,VLOOKUP(A60,'Données projet'!$A$191:$I$211,7,0))</f>
        <v>0</v>
      </c>
      <c r="EV60" s="162" t="str">
        <f>EXP(-LN(2)/35)*EV59+(1-EXP(-LN(2)/35))/(LN(2)/35)*ER60*ES60*VLOOKUP('Données projet'!$B$15,'Paramètres'!$A$1:$I$88,3,0)*0.475*44/12</f>
        <v>#N/A</v>
      </c>
      <c r="EW60" s="162" t="str">
        <f>EXP(-LN(2)/25)*EW59+(1-EXP(-LN(2)/25))/(LN(2)/25)*Calculateur!ER60*Calculateur!ET60*VLOOKUP('Données projet'!$B$15,'Paramètres'!$A$1:$I$88,3,0)*0.475*44/12</f>
        <v>#N/A</v>
      </c>
      <c r="EX60" s="162" t="str">
        <f>EXP(-LN(2)/2)*EX59+(1-EXP(-LN(2)/2))/(LN(2)/2)*ER60*EU60*VLOOKUP('Données projet'!$B$15,'Paramètres'!$A$1:$I$88,3,0)*0.475*44/12</f>
        <v>#N/A</v>
      </c>
      <c r="EY60" s="163" t="str">
        <f t="shared" si="22"/>
        <v>#N/A</v>
      </c>
      <c r="EZ60" s="159">
        <f>('Scénario référence'!$F$8+'Scénario référence'!$F$9+'Scénario référence'!$B$17+'Scénario référence'!$B$9+'Scénario référence'!$B$10)*70+IF((45+25*(1-EXP(-0.0175*A60)))&lt;70,'Scénario référence'!$B$16*(45+25*(1-EXP(-0.0175*A60))),70*'Scénario référence'!$B$16)+IF((32+38*(1-EXP(-0.0175*A60)))&lt;70,'Scénario référence'!$B$18*(32+38*(1-EXP(-0.0175*A60))),70*'Scénario référence'!$B$18)</f>
        <v>70</v>
      </c>
      <c r="FA60" s="151">
        <f>IF(A60&gt;30,10,('Scénario référence'!$B$16+'Scénario référence'!$B$17+'Scénario référence'!$B$18+'Scénario référence'!$B$9+'Scénario référence'!$B$10)*A60*10/30+('Scénario référence'!$F$8+'Scénario référence'!$F$9)*10)</f>
        <v>10</v>
      </c>
      <c r="FB60" s="151" t="str">
        <f>VLOOKUP(A60,'Données projet'!$A$217:$I$237,2,0)</f>
        <v>#N/A</v>
      </c>
      <c r="FC60" s="151" t="str">
        <f>VLOOKUP(A60,'Données projet'!$A$217:$I$237,9,0)</f>
        <v>#N/A</v>
      </c>
      <c r="FD60" s="151" t="str">
        <f t="array" ref="FD60">INDEX(FC:FC,MIN(IF(ISNUMBER(FC60:FC256),ROW(FC60:FC256),"")))</f>
        <v/>
      </c>
      <c r="FE60" s="151">
        <f>IF('Données projet'!$A$218&gt;35,FE59+FD60-FM59,IF(A60&lt;'Données projet'!$A$218,$FB$205^A60,IF(A60='Données projet'!$A$218,'Données projet'!$B$218,FE59+FD60-FM59)))</f>
        <v>0</v>
      </c>
      <c r="FF60" s="158" t="str">
        <f>FE60*VLOOKUP('Données projet'!$B$16,'Paramètres'!$A$1:$I$88,3,0)*VLOOKUP('Données projet'!$B$16,'Paramètres'!$A$1:$I$88,5,0)</f>
        <v>#N/A</v>
      </c>
      <c r="FG60" s="150" t="str">
        <f t="shared" si="48"/>
        <v>#N/A</v>
      </c>
      <c r="FH60" s="161" t="str">
        <f t="shared" si="23"/>
        <v>#N/A</v>
      </c>
      <c r="FI60" s="153" t="str">
        <f t="shared" si="24"/>
        <v>#N/A</v>
      </c>
      <c r="FJ60" s="153" t="str">
        <f>AVERAGE(OFFSET($FI$3,0,0,'Données projet'!$E$16+1,1))-AVERAGE(OFFSET($H$3,0,0,'Données projet'!$E$16+1,1))</f>
        <v>#N/A</v>
      </c>
      <c r="FK60" s="153" t="str">
        <f t="shared" si="49"/>
        <v>#N/A</v>
      </c>
      <c r="FL60" s="154">
        <f>IF(ISNA(VLOOKUP(A60,'Données projet'!$A$217:$I$237,3,0)),0,VLOOKUP(A60,'Données projet'!$A$217:$I$237,3,0))</f>
        <v>0</v>
      </c>
      <c r="FM60" s="154">
        <f>IF(ISNA(VLOOKUP(A60,'Données projet'!$A$217:$I$237,4,0)),0,VLOOKUP(A60,'Données projet'!$A$217:$I$237,4,0))</f>
        <v>0</v>
      </c>
      <c r="FN60" s="155">
        <f>IF(ISNA(VLOOKUP(A60,'Données projet'!$A$217:$I$237,5,0)),0%,VLOOKUP(A60,'Données projet'!$A$217:$I$237,5,0)*VLOOKUP('Données projet'!$B$16,'Paramètres'!$A$1:$I$88,7,0))</f>
        <v>0</v>
      </c>
      <c r="FO60" s="155">
        <f>IF(ISNA(VLOOKUP(A60,'Données projet'!$A$217:$I$237,6,0)),0%,VLOOKUP(A60,'Données projet'!$A$217:$I$237,6,0)*VLOOKUP('Données projet'!$B$16,'Paramètres'!$A$1:$I$88,7,0))</f>
        <v>0</v>
      </c>
      <c r="FP60" s="155">
        <f>IF(ISNA(VLOOKUP(A60,'Données projet'!$A$217:$I$237,7,0)),0%,VLOOKUP(A60,'Données projet'!$A$217:$I$237,7,0))</f>
        <v>0</v>
      </c>
      <c r="FQ60" s="162" t="str">
        <f>EXP(-LN(2)/35)*FQ59+(1-EXP(-LN(2)/35))/(LN(2)/35)*FM60*FN60*VLOOKUP('Données projet'!$B$16,'Paramètres'!$A$1:$I$88,3,0)*0.475*44/12</f>
        <v>#N/A</v>
      </c>
      <c r="FR60" s="162" t="str">
        <f>EXP(-LN(2)/25)*FR59+(1-EXP(-LN(2)/25))/(LN(2)/25)*Calculateur!FM60*Calculateur!FO60*VLOOKUP('Données projet'!$B$16,'Paramètres'!$A$1:$I$88,3,0)*0.475*44/12</f>
        <v>#N/A</v>
      </c>
      <c r="FS60" s="162" t="str">
        <f>EXP(-LN(2)/2)*FS59+(1-EXP(-LN(2)/2))/(LN(2)/2)*FM60*FP60*VLOOKUP('Données projet'!$B$16,'Paramètres'!$A$1:$I$88,3,0)*0.475*44/12</f>
        <v>#N/A</v>
      </c>
      <c r="FT60" s="163" t="str">
        <f t="shared" si="25"/>
        <v>#N/A</v>
      </c>
      <c r="FU60" s="159">
        <f>('Scénario référence'!$F$8+'Scénario référence'!$F$9+'Scénario référence'!$B$17+'Scénario référence'!$B$9+'Scénario référence'!$B$10)*70+IF((45+25*(1-EXP(-0.0175*A60)))&lt;70,'Scénario référence'!$B$16*(45+25*(1-EXP(-0.0175*A60))),70*'Scénario référence'!$B$16)+IF((32+38*(1-EXP(-0.0175*A60)))&lt;70,'Scénario référence'!$B$18*(32+38*(1-EXP(-0.0175*A60))),70*'Scénario référence'!$B$18)</f>
        <v>70</v>
      </c>
      <c r="FV60" s="151">
        <f>IF(A60&gt;30,10,('Scénario référence'!$B$16+'Scénario référence'!$B$17+'Scénario référence'!$B$18+'Scénario référence'!$B$9+'Scénario référence'!$B$10)*A60*10/30+('Scénario référence'!$F$8+'Scénario référence'!$F$9)*10)</f>
        <v>10</v>
      </c>
      <c r="FW60" s="151" t="str">
        <f>VLOOKUP(A60,'Données projet'!$A$243:$I$263,2,0)</f>
        <v>#N/A</v>
      </c>
      <c r="FX60" s="151" t="str">
        <f>VLOOKUP(A60,'Données projet'!$A$243:$I$263,9,0)</f>
        <v>#N/A</v>
      </c>
      <c r="FY60" s="151" t="str">
        <f t="array" ref="FY60">INDEX(FX:FX,MIN(IF(ISNUMBER(FX60:FX256),ROW(FX60:FX256),"")))</f>
        <v/>
      </c>
      <c r="FZ60" s="151">
        <f>IF('Données projet'!$A$244&gt;35,FZ59+FY60-GH59,IF(A60&lt;'Données projet'!$A$244,$FW$205^A60,IF(A60='Données projet'!$A$244,'Données projet'!$B$244,FZ59+FY60-GH59)))</f>
        <v>0</v>
      </c>
      <c r="GA60" s="158" t="str">
        <f>FZ60*VLOOKUP('Données projet'!$B$17,'Paramètres'!$A$1:$I$88,3,0)*VLOOKUP('Données projet'!$B$17,'Paramètres'!$A$1:$I$88,5,0)</f>
        <v>#N/A</v>
      </c>
      <c r="GB60" s="150" t="str">
        <f t="shared" si="50"/>
        <v>#N/A</v>
      </c>
      <c r="GC60" s="161" t="str">
        <f t="shared" si="26"/>
        <v>#N/A</v>
      </c>
      <c r="GD60" s="153" t="str">
        <f t="shared" si="27"/>
        <v>#N/A</v>
      </c>
      <c r="GE60" s="153" t="str">
        <f>AVERAGE(OFFSET($GD$3,0,0,'Données projet'!$E$17+1,1))-AVERAGE(OFFSET($H$3,0,0,'Données projet'!$E$17+1,1))</f>
        <v>#N/A</v>
      </c>
      <c r="GF60" s="153" t="str">
        <f t="shared" si="51"/>
        <v>#N/A</v>
      </c>
      <c r="GG60" s="154">
        <f>IF(ISNA(VLOOKUP(A60,'Données projet'!$A$243:$I$263,3,0)),0,VLOOKUP(A60,'Données projet'!$A$243:$I$263,3,0))</f>
        <v>0</v>
      </c>
      <c r="GH60" s="154">
        <f>IF(ISNA(VLOOKUP(A60,'Données projet'!$A$243:$I$263,4,0)),0,VLOOKUP(A60,'Données projet'!$A$243:$I$263,4,0))</f>
        <v>0</v>
      </c>
      <c r="GI60" s="155">
        <f>IF(ISNA(VLOOKUP(A60,'Données projet'!$A$243:$I$263,5,0)),0%,VLOOKUP(A60,'Données projet'!$A$243:$I$263,5,0)*VLOOKUP('Données projet'!$B$17,'Paramètres'!$A$1:$I$88,7,0))</f>
        <v>0</v>
      </c>
      <c r="GJ60" s="155">
        <f>IF(ISNA(VLOOKUP(A60,'Données projet'!$A$243:$I$263,6,0)),0%,VLOOKUP(A60,'Données projet'!$A$243:$I$263,6,0)*VLOOKUP('Données projet'!$B$17,'Paramètres'!$A$1:$I$88,7,0))</f>
        <v>0</v>
      </c>
      <c r="GK60" s="155">
        <f>IF(ISNA(VLOOKUP(A60,'Données projet'!$A$243:$I$263,7,0)),0%,VLOOKUP(A60,'Données projet'!$A$243:$I$263,7,0))</f>
        <v>0</v>
      </c>
      <c r="GL60" s="162" t="str">
        <f>EXP(-LN(2)/35)*GL59+(1-EXP(-LN(2)/35))/(LN(2)/35)*GH60*GI60*VLOOKUP('Données projet'!$B$17,'Paramètres'!$A$1:$I$88,3,0)*0.475*44/12</f>
        <v>#N/A</v>
      </c>
      <c r="GM60" s="162" t="str">
        <f>EXP(-LN(2)/25)*GM59+(1-EXP(-LN(2)/25))/(LN(2)/25)*Calculateur!GH60*Calculateur!GJ60*VLOOKUP('Données projet'!$B$17,'Paramètres'!$A$1:$I$88,3,0)*0.475*44/12</f>
        <v>#N/A</v>
      </c>
      <c r="GN60" s="162" t="str">
        <f>EXP(-LN(2)/2)*GN59+(1-EXP(-LN(2)/2))/(LN(2)/2)*GH60*GK60*VLOOKUP('Données projet'!$B$17,'Paramètres'!$A$1:$I$88,3,0)*0.475*44/12</f>
        <v>#N/A</v>
      </c>
      <c r="GO60" s="162" t="str">
        <f t="shared" si="28"/>
        <v>#N/A</v>
      </c>
      <c r="GP60" s="159">
        <f>('Scénario référence'!$F$8+'Scénario référence'!$F$9+'Scénario référence'!$B$17+'Scénario référence'!$B$9+'Scénario référence'!$B$10)*70+IF((45+25*(1-EXP(-0.0175*A60)))&lt;70,'Scénario référence'!$B$16*(45+25*(1-EXP(-0.0175*A60))),70*'Scénario référence'!$B$16)+IF((32+38*(1-EXP(-0.0175*A60)))&lt;70,'Scénario référence'!$B$18*(32+38*(1-EXP(-0.0175*A60))),70*'Scénario référence'!$B$18)</f>
        <v>70</v>
      </c>
      <c r="GQ60" s="151">
        <f>IF(A60&gt;30,10,('Scénario référence'!$B$16+'Scénario référence'!$B$17+'Scénario référence'!$B$18+'Scénario référence'!$B$9+'Scénario référence'!$B$10)*A60*10/30+('Scénario référence'!$F$8+'Scénario référence'!$F$9)*10)</f>
        <v>10</v>
      </c>
      <c r="GR60" s="151" t="str">
        <f>VLOOKUP(A60,'Données projet'!$A$269:$I$289,2,0)</f>
        <v>#N/A</v>
      </c>
      <c r="GS60" s="151" t="str">
        <f>VLOOKUP(A60,'Données projet'!$A$269:$I$289,9,0)</f>
        <v>#N/A</v>
      </c>
      <c r="GT60" s="151" t="str">
        <f t="array" ref="GT60">INDEX(GS:GS,MIN(IF(ISNUMBER(GS60:GS256),ROW(GS60:GS256),"")))</f>
        <v/>
      </c>
      <c r="GU60" s="151">
        <f>IF('Données projet'!$A$270&gt;35,GU59+GT60-HC59,IF(A60&lt;'Données projet'!$A$270,$GR$205^A60,IF(A60='Données projet'!$A$270,'Données projet'!$B$270,GU59+GT60-HC59)))</f>
        <v>0</v>
      </c>
      <c r="GV60" s="158" t="str">
        <f>GU60*VLOOKUP('Données projet'!$B$18,'Paramètres'!$A$1:$I$88,3,0)*VLOOKUP('Données projet'!$B$18,'Paramètres'!$A$1:$I$88,5,0)</f>
        <v>#N/A</v>
      </c>
      <c r="GW60" s="150" t="str">
        <f t="shared" si="52"/>
        <v>#N/A</v>
      </c>
      <c r="GX60" s="161" t="str">
        <f t="shared" si="29"/>
        <v>#N/A</v>
      </c>
      <c r="GY60" s="153" t="str">
        <f t="shared" si="30"/>
        <v>#N/A</v>
      </c>
      <c r="GZ60" s="153" t="str">
        <f>AVERAGE(OFFSET($GY$3,0,0,'Données projet'!$E$18+1,1))-AVERAGE(OFFSET($H$3,0,0,'Données projet'!$E$18+1,1))</f>
        <v>#N/A</v>
      </c>
      <c r="HA60" s="153" t="str">
        <f t="shared" si="53"/>
        <v>#N/A</v>
      </c>
      <c r="HB60" s="154">
        <f>IF(ISNA(VLOOKUP(A60,'Données projet'!$A$269:$I$289,3,0)),0,VLOOKUP(A60,'Données projet'!$A$269:$I$289,3,0))</f>
        <v>0</v>
      </c>
      <c r="HC60" s="154">
        <f>IF(ISNA(VLOOKUP(A60,'Données projet'!$A$269:$I$289,4,0)),0,VLOOKUP(A60,'Données projet'!$A$269:$I$289,4,0))</f>
        <v>0</v>
      </c>
      <c r="HD60" s="155">
        <f>IF(ISNA(VLOOKUP(A60,'Données projet'!$A$269:$I$289,5,0)),0%,VLOOKUP(A60,'Données projet'!$A$269:$I$289,5,0)*VLOOKUP('Données projet'!$B$18,'Paramètres'!$A$1:$I$88,7,0))</f>
        <v>0</v>
      </c>
      <c r="HE60" s="155">
        <f>IF(ISNA(VLOOKUP(A60,'Données projet'!$A$269:$I$289,6,0)),0%,VLOOKUP(A60,'Données projet'!$A$269:$I$289,6,0)*VLOOKUP('Données projet'!$B$18,'Paramètres'!$A$1:$I$88,7,0))</f>
        <v>0</v>
      </c>
      <c r="HF60" s="155">
        <f>IF(ISNA(VLOOKUP(A60,'Données projet'!$A$269:$I$289,7,0)),0%,VLOOKUP(A60,'Données projet'!$A$269:$I$289,7,0))</f>
        <v>0</v>
      </c>
      <c r="HG60" s="162" t="str">
        <f>EXP(-LN(2)/35)*HG59+(1-EXP(-LN(2)/35))/(LN(2)/35)*HC60*HD60*VLOOKUP('Données projet'!$B$18,'Paramètres'!$A$1:$I$88,3,0)*0.475*44/12</f>
        <v>#N/A</v>
      </c>
      <c r="HH60" s="162" t="str">
        <f>EXP(-LN(2)/25)*HH59+(1-EXP(-LN(2)/25))/(LN(2)/25)*Calculateur!HC60*Calculateur!HE60*VLOOKUP('Données projet'!$B$18,'Paramètres'!$A$1:$I$88,3,0)*0.475*44/12</f>
        <v>#N/A</v>
      </c>
      <c r="HI60" s="162" t="str">
        <f>EXP(-LN(2)/2)*HI59+(1-EXP(-LN(2)/2))/(LN(2)/2)*HC60*HF60*VLOOKUP('Données projet'!$B$18,'Paramètres'!$A$1:$I$88,3,0)*0.475*44/12</f>
        <v>#N/A</v>
      </c>
      <c r="HJ60" s="163" t="str">
        <f t="shared" si="31"/>
        <v>#N/A</v>
      </c>
    </row>
    <row r="61" ht="15.75" customHeight="1">
      <c r="A61" s="145">
        <f t="shared" si="32"/>
        <v>58</v>
      </c>
      <c r="B61" s="146">
        <f>'Scénario référence'!$B$16*5+'Scénario référence'!$B$17*0+'Scénario référence'!$B$18*5</f>
        <v>0</v>
      </c>
      <c r="C61" s="160">
        <f>Calculateur!C60+'Scénario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61" s="147">
        <f t="shared" si="33"/>
        <v>0</v>
      </c>
      <c r="E61" s="147">
        <f>'Scénario référence'!$B$16*45+('Scénario référence'!$B$17+'Scénario référence'!$F$8+'Scénario référence'!$F$9+'Scénario référence'!$B$10+'Scénario référence'!$B$9)*70+'Scénario référence'!$B$18*32</f>
        <v>70</v>
      </c>
      <c r="F61" s="147">
        <f>IF(OR('Scénario référence'!$F$8&gt;0,'Scénario référence'!$F$9&gt;0),('Scénario référence'!$F$8+'Scénario référence'!$F$9)*10,0)</f>
        <v>0</v>
      </c>
      <c r="G61" s="147">
        <f>'Scénario référence'!$B$8*B61*44/12+'Scénario référence'!$B$9*(C61+D61)/0.475*44/12+'Scénario référence'!$B$10*(C61+D61)/0.475*44/12+'Scénario référence'!$F$8*(C61+D61)/0.475*44/12+'Scénario référence'!$F$9*(C61+D61)/0.475*44/12</f>
        <v>0</v>
      </c>
      <c r="H61" s="148">
        <f t="shared" si="1"/>
        <v>256.6666667</v>
      </c>
      <c r="I61" s="149">
        <f>('Scénario référence'!$F$8+'Scénario référence'!$F$9+'Scénario référence'!$B$17+'Scénario référence'!$B$9+'Scénario référence'!$B$10)*70+IF((45+25*(1-EXP(-0.0175*A61)))&lt;70,'Scénario référence'!$B$16*(45+25*(1-EXP(-0.0175*A61))),70*'Scénario référence'!$B$16)+IF((32+38*(1-EXP(-0.0175*A61)))&lt;70,'Scénario référence'!$B$18*(32+38*(1-EXP(-0.0175*A61))),70*'Scénario référence'!$B$18)</f>
        <v>70</v>
      </c>
      <c r="J61" s="150">
        <f>IF(A61&gt;30,10,('Scénario référence'!$B$16+'Scénario référence'!$B$17+'Scénario référence'!$B$18+'Scénario référence'!$B$9+'Scénario référence'!$B$10)*A61*10/30+('Scénario référence'!$F$8+'Scénario référence'!$F$9)*10)</f>
        <v>10</v>
      </c>
      <c r="K61" s="151" t="str">
        <f>VLOOKUP(A61,'Données projet'!$A$35:$I$55,2,0)</f>
        <v>#N/A</v>
      </c>
      <c r="L61" s="151" t="str">
        <f>VLOOKUP(A61,'Données projet'!$A$35:$I$55,9,0)</f>
        <v>#N/A</v>
      </c>
      <c r="M61" s="150">
        <f t="array" ref="M61">INDEX(L:L,MIN(IF(ISNUMBER(L61:L257),ROW(L61:L257),"")))</f>
        <v>9.4</v>
      </c>
      <c r="N61" s="150">
        <f>IF('Données projet'!$A$36&gt;35,N60+M61-V60,IF(A61&lt;'Données projet'!$A$36,$K$205^A61,IF(A61='Données projet'!$A$36,'Données projet'!$B$36,N60+M61-V60)))</f>
        <v>254.2</v>
      </c>
      <c r="O61" s="150">
        <f>N61*VLOOKUP('Données projet'!$B$9,'Paramètres'!$A$1:$I$88,3,0)*VLOOKUP('Données projet'!$B$9,'Paramètres'!$A$1:$I$88,5,0)</f>
        <v>230.00016</v>
      </c>
      <c r="P61" s="150">
        <f t="shared" si="34"/>
        <v>56.28271613</v>
      </c>
      <c r="Q61" s="161">
        <f t="shared" si="2"/>
        <v>498.6093426</v>
      </c>
      <c r="R61" s="153">
        <f t="shared" si="3"/>
        <v>791.9426759</v>
      </c>
      <c r="S61" s="153">
        <f>AVERAGE(OFFSET($R$3,0,0,'Données projet'!$E$9+1,1))-AVERAGE(OFFSET($H$3,0,0,'Données projet'!$E$9+1,1))</f>
        <v>439.1985427</v>
      </c>
      <c r="T61" s="153">
        <f t="shared" si="35"/>
        <v>278.2174123</v>
      </c>
      <c r="U61" s="154">
        <f>IF(ISNA(VLOOKUP(A61,'Données projet'!$A$35:$I$55,3,0)),0,VLOOKUP(A61,'Données projet'!$A$35:$I$55,3,0))</f>
        <v>0</v>
      </c>
      <c r="V61" s="154">
        <f>IF(ISNA(VLOOKUP(A61,'Données projet'!$A$35:$I$55,4,0)),0,VLOOKUP(A61,'Données projet'!$A$35:$I$55,4,0))</f>
        <v>0</v>
      </c>
      <c r="W61" s="155">
        <f>IF(ISNA(VLOOKUP(A61,'Données projet'!$A$35:$I$55,5,0)),0%,VLOOKUP(A61,'Données projet'!$A$35:$I$55,5,0)*VLOOKUP('Données projet'!$B$9,'Paramètres'!$A$1:$I$88,7,0))</f>
        <v>0</v>
      </c>
      <c r="X61" s="155">
        <f>IF(ISNA(VLOOKUP(A61,'Données projet'!$A$35:$I$55,6,0)),0%,VLOOKUP(A61,'Données projet'!$A$35:$I$55,6,0)*VLOOKUP('Données projet'!$B$9,'Paramètres'!$A$1:$I$88,7,0))</f>
        <v>0</v>
      </c>
      <c r="Y61" s="155">
        <f>IF(ISNA(VLOOKUP(A61,'Données projet'!$A$35:$I$55,7,0)),0%,VLOOKUP(A61,'Données projet'!$A$35:$I$55,7,0))</f>
        <v>0</v>
      </c>
      <c r="Z61" s="162">
        <f>EXP(-LN(2)/35)*Z60+(1-EXP(-LN(2)/35))/(LN(2)/35)*V61*W61*VLOOKUP('Données projet'!$B$9,'Paramètres'!$A$1:$I$88,3,0)*0.475*44/12</f>
        <v>0</v>
      </c>
      <c r="AA61" s="162">
        <f>EXP(-LN(2)/25)*AA60+(1-EXP(-LN(2)/25))/(LN(2)/25)*Calculateur!V61*Calculateur!X61*VLOOKUP('Données projet'!$B$9,'Paramètres'!$A$1:$I$88,3,0)*0.475*44/12</f>
        <v>2.064708206</v>
      </c>
      <c r="AB61" s="162">
        <f>EXP(-LN(2)/2)*AB60+(1-EXP(-LN(2)/2))/(LN(2)/2)*V61*Y61*VLOOKUP('Données projet'!$B$9,'Paramètres'!$A$1:$I$88,3,0)*0.475*44/12</f>
        <v>0</v>
      </c>
      <c r="AC61" s="163">
        <f t="shared" si="4"/>
        <v>2.064708206</v>
      </c>
      <c r="AD61" s="150">
        <f>('Scénario référence'!$F$8+'Scénario référence'!$F$9+'Scénario référence'!$B$17+'Scénario référence'!$B$9+'Scénario référence'!$B$10)*70+IF((45+25*(1-EXP(-0.0175*A61)))&lt;70,'Scénario référence'!$B$16*(45+25*(1-EXP(-0.0175*A61))),70*'Scénario référence'!$B$16)+IF((32+38*(1-EXP(-0.0175*A61)))&lt;70,'Scénario référence'!$B$18*(32+38*(1-EXP(-0.0175*A61))),70*'Scénario référence'!$B$18)</f>
        <v>70</v>
      </c>
      <c r="AE61" s="150">
        <f>IF(A61&gt;30,10,('Scénario référence'!$B$16+'Scénario référence'!$B$17+'Scénario référence'!$B$18+'Scénario référence'!$B$9+'Scénario référence'!$B$10)*A61*10/30+('Scénario référence'!$F$8+'Scénario référence'!$F$9)*10)</f>
        <v>10</v>
      </c>
      <c r="AF61" s="151" t="str">
        <f>VLOOKUP(A61,'Données projet'!$A$61:$I$81,2,0)</f>
        <v>#N/A</v>
      </c>
      <c r="AG61" s="151" t="str">
        <f>VLOOKUP(A61,'Données projet'!$A$61:$I$81,9,0)</f>
        <v>#N/A</v>
      </c>
      <c r="AH61" s="150">
        <f t="array" ref="AH61">INDEX(AG:AG,MIN(IF(ISNUMBER(AG61:AG257),ROW(AG61:AG257),"")))</f>
        <v>7.4</v>
      </c>
      <c r="AI61" s="150">
        <f>IF('Données projet'!$A$62&gt;35,AI60+AH61-AQ60,IF(A61&lt;'Données projet'!$A$62,$AF$205^A61,IF(A61='Données projet'!$A$62,'Données projet'!$B$62,AI60+AH61-AQ60)))</f>
        <v>328.2</v>
      </c>
      <c r="AJ61" s="150">
        <f>AI61*VLOOKUP('Données projet'!$B$10,'Paramètres'!$A$1:$I$88,3,0)*VLOOKUP('Données projet'!$B$10,'Paramètres'!$A$1:$I$88,5,0)</f>
        <v>261.11592</v>
      </c>
      <c r="AK61" s="150">
        <f t="shared" si="36"/>
        <v>62.96018768</v>
      </c>
      <c r="AL61" s="161">
        <f t="shared" si="5"/>
        <v>564.4325542</v>
      </c>
      <c r="AM61" s="153">
        <f t="shared" si="6"/>
        <v>857.7658875</v>
      </c>
      <c r="AN61" s="153">
        <f>AVERAGE(OFFSET($AM$3,0,0,'Données projet'!$E$10+1,1))-AVERAGE(OFFSET($H$3,0,0,'Données projet'!$E$10+1,1))</f>
        <v>405.6113614</v>
      </c>
      <c r="AO61" s="153">
        <f t="shared" si="37"/>
        <v>393.0787141</v>
      </c>
      <c r="AP61" s="154">
        <f>IF(ISNA(VLOOKUP(A61,'Données projet'!$A$61:$I$81,3,0)),0,VLOOKUP(A61,'Données projet'!$A$61:$I$81,3,0))</f>
        <v>0</v>
      </c>
      <c r="AQ61" s="154">
        <f>IF(ISNA(VLOOKUP(A61,'Données projet'!$A$61:$I$81,4,0)),0,VLOOKUP(A61,'Données projet'!$A$61:$I$81,4,0))</f>
        <v>0</v>
      </c>
      <c r="AR61" s="155">
        <f>IF(ISNA(VLOOKUP(A61,'Données projet'!$A$61:$I$81,5,0)),0%,VLOOKUP(A61,'Données projet'!$A$61:$I$81,5,0)*VLOOKUP('Données projet'!$B$10,'Paramètres'!$A$1:$I$88,7,0))</f>
        <v>0</v>
      </c>
      <c r="AS61" s="155">
        <f>IF(ISNA(VLOOKUP(A61,'Données projet'!$A$61:$I$81,6,0)),0%,VLOOKUP(A61,'Données projet'!$A$61:$I$81,6,0)*VLOOKUP('Données projet'!$B$10,'Paramètres'!$A$1:$I$88,7,0))</f>
        <v>0</v>
      </c>
      <c r="AT61" s="155">
        <f>IF(ISNA(VLOOKUP(A61,'Données projet'!$A$61:$I$81,7,0)),0%,VLOOKUP(A61,'Données projet'!$A$61:$I$81,7,0))</f>
        <v>0</v>
      </c>
      <c r="AU61" s="162">
        <f>EXP(-LN(2)/35)*AU60+(1-EXP(-LN(2)/35))/(LN(2)/35)*AQ61*AR61*VLOOKUP('Données projet'!$B$10,'Paramètres'!$A$1:$I$88,3,0)*0.475*44/12</f>
        <v>0</v>
      </c>
      <c r="AV61" s="162">
        <f>EXP(-LN(2)/25)*AV60+(1-EXP(-LN(2)/25))/(LN(2)/25)*Calculateur!AQ61*Calculateur!AS61*VLOOKUP('Données projet'!$B$10,'Paramètres'!$A$1:$I$88,3,0)*0.475*44/12</f>
        <v>8.391499018</v>
      </c>
      <c r="AW61" s="162">
        <f>EXP(-LN(2)/2)*AW60+(1-EXP(-LN(2)/2))/(LN(2)/2)*AQ61*AT61*VLOOKUP('Données projet'!$B$10,'Paramètres'!$A$1:$I$88,3,0)*0.475*44/12</f>
        <v>0.00003538282495</v>
      </c>
      <c r="AX61" s="162">
        <f t="shared" si="7"/>
        <v>8.391534401</v>
      </c>
      <c r="AY61" s="157">
        <f>('Scénario référence'!$F$8+'Scénario référence'!$F$9+'Scénario référence'!$B$17+'Scénario référence'!$B$9+'Scénario référence'!$B$10)*70+IF((45+25*(1-EXP(-0.0175*A61)))&lt;70,'Scénario référence'!$B$16*(45+25*(1-EXP(-0.0175*A61))),70*'Scénario référence'!$B$16)+IF((32+38*(1-EXP(-0.0175*A61)))&lt;70,'Scénario référence'!$B$18*(32+38*(1-EXP(-0.0175*A61))),70*'Scénario référence'!$B$18)</f>
        <v>70</v>
      </c>
      <c r="AZ61" s="151">
        <f>IF(A61&gt;30,10,('Scénario référence'!$B$16+'Scénario référence'!$B$17+'Scénario référence'!$B$18+'Scénario référence'!$B$9+'Scénario référence'!$B$10)*A61*10/30+('Scénario référence'!$F$8+'Scénario référence'!$F$9)*10)</f>
        <v>10</v>
      </c>
      <c r="BA61" s="151" t="str">
        <f>VLOOKUP(A61,'Données projet'!$A$87:$I$107,2,0)</f>
        <v>#N/A</v>
      </c>
      <c r="BB61" s="151" t="str">
        <f>VLOOKUP(A61,'Données projet'!$A$87:$I$107,9,0)</f>
        <v>#N/A</v>
      </c>
      <c r="BC61" s="150" t="str">
        <f t="array" ref="BC61">INDEX(BB:BB,MIN(IF(ISNUMBER(BB61:BB257),ROW(BB61:BB257),"")))</f>
        <v/>
      </c>
      <c r="BD61" s="150">
        <f>IF('Données projet'!$A$88&gt;35,BD60+BC61-BL60,IF(A61&lt;'Données projet'!$A$88,$BA$205^A61,IF(A61='Données projet'!$A$88,'Données projet'!$B$88,BD60+BC61-BL60)))</f>
        <v>0</v>
      </c>
      <c r="BE61" s="150">
        <f>BD61*VLOOKUP('Données projet'!$B$11,'Paramètres'!$A$1:$I$88,3,0)*VLOOKUP('Données projet'!$B$11,'Paramètres'!$A$1:$I$88,5,0)</f>
        <v>0</v>
      </c>
      <c r="BF61" s="150" t="str">
        <f t="shared" si="38"/>
        <v>#NUM!</v>
      </c>
      <c r="BG61" s="161" t="str">
        <f t="shared" si="8"/>
        <v>#NUM!</v>
      </c>
      <c r="BH61" s="153" t="str">
        <f t="shared" si="9"/>
        <v>#NUM!</v>
      </c>
      <c r="BI61" s="153">
        <f>AVERAGE(OFFSET($BH$3,0,0,'Données projet'!$E$11+1,1))-AVERAGE(OFFSET($H$3,0,0,'Données projet'!$E$11+1,1))</f>
        <v>0</v>
      </c>
      <c r="BJ61" s="153">
        <f t="shared" si="39"/>
        <v>0</v>
      </c>
      <c r="BK61" s="154">
        <f>IF(ISNA(VLOOKUP(A61,'Données projet'!$A$87:$I$107,3,0)),0,VLOOKUP(A61,'Données projet'!$A$87:$I$107,3,0))</f>
        <v>0</v>
      </c>
      <c r="BL61" s="154">
        <f>IF(ISNA(VLOOKUP(A61,'Données projet'!$A$87:$I$107,4,0)),0,VLOOKUP(A61,'Données projet'!$A$87:$I$107,4,0))</f>
        <v>0</v>
      </c>
      <c r="BM61" s="155">
        <f>IF(ISNA(VLOOKUP(A61,'Données projet'!$A$87:$I$107,5,0)),0%,VLOOKUP(A61,'Données projet'!$A$87:$I$107,5,0)*VLOOKUP('Données projet'!$B$11,'Paramètres'!$A$1:$I$88,7,0))</f>
        <v>0</v>
      </c>
      <c r="BN61" s="155">
        <f>IF(ISNA(VLOOKUP(A61,'Données projet'!$A$87:$I$107,6,0)),0%,VLOOKUP(A61,'Données projet'!$A$87:$I$107,6,0)*VLOOKUP('Données projet'!$B$11,'Paramètres'!$A$1:$I$88,7,0))</f>
        <v>0</v>
      </c>
      <c r="BO61" s="155">
        <f>IF(ISNA(VLOOKUP(A61,'Données projet'!$A$87:$I$107,7,0)),0%,VLOOKUP(A61,'Données projet'!$A$87:$I$107,7,0))</f>
        <v>0</v>
      </c>
      <c r="BP61" s="162">
        <f>EXP(-LN(2)/35)*BP60+(1-EXP(-LN(2)/35))/(LN(2)/35)*BL61*BM61*VLOOKUP('Données projet'!$B$11,'Paramètres'!$A$1:$I$88,3,0)*0.475*44/12</f>
        <v>0</v>
      </c>
      <c r="BQ61" s="162">
        <f>EXP(-LN(2)/25)*BQ60+(1-EXP(-LN(2)/25))/(LN(2)/25)*Calculateur!BL61*Calculateur!BN61*VLOOKUP('Données projet'!$B$11,'Paramètres'!$A$1:$I$88,3,0)*0.475*44/12</f>
        <v>0</v>
      </c>
      <c r="BR61" s="162">
        <f>EXP(-LN(2)/2)*BR60+(1-EXP(-LN(2)/2))/(LN(2)/2)*BL61*BO61*VLOOKUP('Données projet'!$B$11,'Paramètres'!$A$1:$I$88,3,0)*0.475*44/12</f>
        <v>0</v>
      </c>
      <c r="BS61" s="163">
        <f t="shared" si="10"/>
        <v>0</v>
      </c>
      <c r="BT61" s="159">
        <f>('Scénario référence'!$F$8+'Scénario référence'!$F$9+'Scénario référence'!$B$17+'Scénario référence'!$B$9+'Scénario référence'!$B$10)*70+IF((45+25*(1-EXP(-0.0175*A61)))&lt;70,'Scénario référence'!$B$16*(45+25*(1-EXP(-0.0175*A61))),70*'Scénario référence'!$B$16)+IF((32+38*(1-EXP(-0.0175*A61)))&lt;70,'Scénario référence'!$B$18*(32+38*(1-EXP(-0.0175*A61))),70*'Scénario référence'!$B$18)</f>
        <v>70</v>
      </c>
      <c r="BU61" s="151">
        <f>IF(A61&gt;30,10,('Scénario référence'!$B$16+'Scénario référence'!$B$17+'Scénario référence'!$B$18+'Scénario référence'!$B$9+'Scénario référence'!$B$10)*A61*10/30+('Scénario référence'!$F$8+'Scénario référence'!$F$9)*10)</f>
        <v>10</v>
      </c>
      <c r="BV61" s="151" t="str">
        <f>VLOOKUP(A61,'Données projet'!$A$113:$I$133,2,0)</f>
        <v>#N/A</v>
      </c>
      <c r="BW61" s="151" t="str">
        <f>VLOOKUP(A61,'Données projet'!$A$113:$I$133,9,0)</f>
        <v>#N/A</v>
      </c>
      <c r="BX61" s="150" t="str">
        <f t="array" ref="BX61">INDEX(BW:BW,MIN(IF(ISNUMBER(BW61:BW257),ROW(BW61:BW257),"")))</f>
        <v/>
      </c>
      <c r="BY61" s="150">
        <f>IF('Données projet'!$A$114&gt;35,BY60+BX61-CG60,IF(A61&lt;'Données projet'!$A$114,$BV$205^A61,IF(A61='Données projet'!$A$114,'Données projet'!$B$114,BY60+BX61-CG60)))</f>
        <v>0</v>
      </c>
      <c r="BZ61" s="150" t="str">
        <f>BY61*VLOOKUP('Données projet'!$B$12,'Paramètres'!$A$1:$I$88,3,0)*VLOOKUP('Données projet'!$B$12,'Paramètres'!$A$1:$I$88,5,0)</f>
        <v>#N/A</v>
      </c>
      <c r="CA61" s="150" t="str">
        <f t="shared" si="40"/>
        <v>#N/A</v>
      </c>
      <c r="CB61" s="161" t="str">
        <f t="shared" si="11"/>
        <v>#N/A</v>
      </c>
      <c r="CC61" s="153" t="str">
        <f t="shared" si="12"/>
        <v>#N/A</v>
      </c>
      <c r="CD61" s="153" t="str">
        <f>AVERAGE(OFFSET($CC$3,0,0,'Données projet'!$E$12+1,1))-AVERAGE(OFFSET($H$3,0,0,'Données projet'!$E$12+1,1))</f>
        <v>#N/A</v>
      </c>
      <c r="CE61" s="153" t="str">
        <f t="shared" si="41"/>
        <v>#N/A</v>
      </c>
      <c r="CF61" s="154">
        <f>IF(ISNA(VLOOKUP(A61,'Données projet'!$A$113:$I$133,3,0)),0,VLOOKUP(A61,'Données projet'!$A$113:$I$133,3,0))</f>
        <v>0</v>
      </c>
      <c r="CG61" s="154">
        <f>IF(ISNA(VLOOKUP(A61,'Données projet'!$A$113:$I$133,4,0)),0,VLOOKUP(A61,'Données projet'!$A$113:$I$133,4,0))</f>
        <v>0</v>
      </c>
      <c r="CH61" s="155">
        <f>IF(ISNA(VLOOKUP(A61,'Données projet'!$A$113:$I$133,5,0)),0%,VLOOKUP(A61,'Données projet'!$A$113:$I$133,5,0)*VLOOKUP('Données projet'!$B$12,'Paramètres'!$A$1:$I$88,7,0))</f>
        <v>0</v>
      </c>
      <c r="CI61" s="155">
        <f>IF(ISNA(VLOOKUP(A61,'Données projet'!$A$113:$I$133,6,0)),0%,VLOOKUP(A61,'Données projet'!$A$113:$I$133,6,0)*VLOOKUP('Données projet'!$B$12,'Paramètres'!$A$1:$I$88,7,0))</f>
        <v>0</v>
      </c>
      <c r="CJ61" s="155">
        <f>IF(ISNA(VLOOKUP(A61,'Données projet'!$A$113:$I$133,7,0)),0%,VLOOKUP(A61,'Données projet'!$A$113:$I$133,7,0))</f>
        <v>0</v>
      </c>
      <c r="CK61" s="162" t="str">
        <f>EXP(-LN(2)/35)*CK60+(1-EXP(-LN(2)/35))/(LN(2)/35)*CG61*CH61*VLOOKUP('Données projet'!$B$12,'Paramètres'!$A$1:$I$88,3,0)*0.475*44/12</f>
        <v>#N/A</v>
      </c>
      <c r="CL61" s="162" t="str">
        <f>EXP(-LN(2)/25)*CL60+(1-EXP(-LN(2)/25))/(LN(2)/25)*Calculateur!CG61*Calculateur!CI61*VLOOKUP('Données projet'!$B$12,'Paramètres'!$A$1:$I$88,3,0)*0.475*44/12</f>
        <v>#N/A</v>
      </c>
      <c r="CM61" s="162" t="str">
        <f>EXP(-LN(2)/2)*CM60+(1-EXP(-LN(2)/2))/(LN(2)/2)*CG61*CJ61*VLOOKUP('Données projet'!$B$12,'Paramètres'!$A$1:$I$88,3,0)*0.475*44/12</f>
        <v>#N/A</v>
      </c>
      <c r="CN61" s="163" t="str">
        <f t="shared" si="13"/>
        <v>#N/A</v>
      </c>
      <c r="CO61" s="159">
        <f>('Scénario référence'!$F$8+'Scénario référence'!$F$9+'Scénario référence'!$B$17+'Scénario référence'!$B$9+'Scénario référence'!$B$10)*70+IF((45+25*(1-EXP(-0.0175*A61)))&lt;70,'Scénario référence'!$B$16*(45+25*(1-EXP(-0.0175*A61))),70*'Scénario référence'!$B$16)+IF((32+38*(1-EXP(-0.0175*A61)))&lt;70,'Scénario référence'!$B$18*(32+38*(1-EXP(-0.0175*A61))),70*'Scénario référence'!$B$18)</f>
        <v>70</v>
      </c>
      <c r="CP61" s="151">
        <f>IF(A61&gt;30,10,('Scénario référence'!$B$16+'Scénario référence'!$B$17+'Scénario référence'!$B$18+'Scénario référence'!$B$9+'Scénario référence'!$B$10)*A61*10/30+('Scénario référence'!$F$8+'Scénario référence'!$F$9)*10)</f>
        <v>10</v>
      </c>
      <c r="CQ61" s="151" t="str">
        <f>VLOOKUP(A61,'Données projet'!$A$139:$I$159,2,0)</f>
        <v>#N/A</v>
      </c>
      <c r="CR61" s="151" t="str">
        <f>VLOOKUP(A61,'Données projet'!$A$139:$I$159,9,0)</f>
        <v>#N/A</v>
      </c>
      <c r="CS61" s="151" t="str">
        <f t="array" ref="CS61">INDEX(CR:CR,MIN(IF(ISNUMBER(CR61:CR257),ROW(CR61:CR257),"")))</f>
        <v/>
      </c>
      <c r="CT61" s="151">
        <f>IF('Données projet'!$A$140&gt;35,CT60+CS61-DB60,IF(A61&lt;'Données projet'!$A$140,$CQ$205^A61,IF(A61='Données projet'!$A$140,'Données projet'!$B$140,CT60+CS61-DB60)))</f>
        <v>0</v>
      </c>
      <c r="CU61" s="158" t="str">
        <f>CT61*VLOOKUP('Données projet'!$B$13,'Paramètres'!$A$1:$I$88,3,0)*VLOOKUP('Données projet'!$B$13,'Paramètres'!$A$1:$I$88,5,0)</f>
        <v>#N/A</v>
      </c>
      <c r="CV61" s="150" t="str">
        <f t="shared" si="42"/>
        <v>#N/A</v>
      </c>
      <c r="CW61" s="161" t="str">
        <f t="shared" si="14"/>
        <v>#N/A</v>
      </c>
      <c r="CX61" s="153" t="str">
        <f t="shared" si="15"/>
        <v>#N/A</v>
      </c>
      <c r="CY61" s="153" t="str">
        <f>AVERAGE(OFFSET($CX$3,0,0,'Données projet'!$E$13+1,1))-AVERAGE(OFFSET($H$3,0,0,'Données projet'!$E$13+1,1))</f>
        <v>#N/A</v>
      </c>
      <c r="CZ61" s="153" t="str">
        <f t="shared" si="43"/>
        <v>#N/A</v>
      </c>
      <c r="DA61" s="154">
        <f>IF(ISNA(VLOOKUP(A61,'Données projet'!$A$139:$I$159,3,0)),0,VLOOKUP(A61,'Données projet'!$A$139:$I$159,3,0))</f>
        <v>0</v>
      </c>
      <c r="DB61" s="154">
        <f>IF(ISNA(VLOOKUP(A61,'Données projet'!$A$139:$I$159,4,0)),0,VLOOKUP(A61,'Données projet'!$A$139:$I$159,4,0))</f>
        <v>0</v>
      </c>
      <c r="DC61" s="155">
        <f>IF(ISNA(VLOOKUP(A61,'Données projet'!$A$139:$I$159,5,0)),0%,VLOOKUP(A61,'Données projet'!$A$139:$I$159,5,0)*VLOOKUP('Données projet'!$B$13,'Paramètres'!$A$1:$I$88,7,0))</f>
        <v>0</v>
      </c>
      <c r="DD61" s="155">
        <f>IF(ISNA(VLOOKUP(A61,'Données projet'!$A$139:$I$159,6,0)),0%,VLOOKUP(A61,'Données projet'!$A$139:$I$159,6,0)*VLOOKUP('Données projet'!$B$13,'Paramètres'!$A$1:$I$88,7,0))</f>
        <v>0</v>
      </c>
      <c r="DE61" s="155">
        <f>IF(ISNA(VLOOKUP(A61,'Données projet'!$A$139:$I$159,7,0)),0%,VLOOKUP(A61,'Données projet'!$A$139:$I$159,7,0))</f>
        <v>0</v>
      </c>
      <c r="DF61" s="162" t="str">
        <f>EXP(-LN(2)/35)*DF60+(1-EXP(-LN(2)/35))/(LN(2)/35)*DB61*DC61*VLOOKUP('Données projet'!$B$13,'Paramètres'!$A$1:$I$88,3,0)*0.475*44/12</f>
        <v>#N/A</v>
      </c>
      <c r="DG61" s="162" t="str">
        <f>EXP(-LN(2)/25)*DG60+(1-EXP(-LN(2)/25))/(LN(2)/25)*Calculateur!DB61*Calculateur!DD61*VLOOKUP('Données projet'!$B$13,'Paramètres'!$A$1:$I$88,3,0)*0.475*44/12</f>
        <v>#N/A</v>
      </c>
      <c r="DH61" s="162" t="str">
        <f>EXP(-LN(2)/2)*DH60+(1-EXP(-LN(2)/2))/(LN(2)/2)*DB61*DE61*VLOOKUP('Données projet'!$B$13,'Paramètres'!$A$1:$I$88,3,0)*0.475*44/12</f>
        <v>#N/A</v>
      </c>
      <c r="DI61" s="163" t="str">
        <f t="shared" si="16"/>
        <v>#N/A</v>
      </c>
      <c r="DJ61" s="159">
        <f>('Scénario référence'!$F$8+'Scénario référence'!$F$9+'Scénario référence'!$B$17+'Scénario référence'!$B$9+'Scénario référence'!$B$10)*70+IF((45+25*(1-EXP(-0.0175*A61)))&lt;70,'Scénario référence'!$B$16*(45+25*(1-EXP(-0.0175*A61))),70*'Scénario référence'!$B$16)+IF((32+38*(1-EXP(-0.0175*A61)))&lt;70,'Scénario référence'!$B$18*(32+38*(1-EXP(-0.0175*A61))),70*'Scénario référence'!$B$18)</f>
        <v>70</v>
      </c>
      <c r="DK61" s="151">
        <f>IF(A61&gt;30,10,('Scénario référence'!$B$16+'Scénario référence'!$B$17+'Scénario référence'!$B$18+'Scénario référence'!$B$9+'Scénario référence'!$B$10)*A61*10/30+('Scénario référence'!$F$8+'Scénario référence'!$F$9)*10)</f>
        <v>10</v>
      </c>
      <c r="DL61" s="151" t="str">
        <f>VLOOKUP(A61,'Données projet'!$A$165:$I$185,2,0)</f>
        <v>#N/A</v>
      </c>
      <c r="DM61" s="151" t="str">
        <f>VLOOKUP(A61,'Données projet'!$A$165:$I$185,9,0)</f>
        <v>#N/A</v>
      </c>
      <c r="DN61" s="151" t="str">
        <f t="array" ref="DN61">INDEX(DM:DM,MIN(IF(ISNUMBER(DM61:DM257),ROW(DM61:DM257),"")))</f>
        <v/>
      </c>
      <c r="DO61" s="151">
        <f>IF('Données projet'!$A$166&gt;35,DO60+DN61-DW60,IF(A61&lt;'Données projet'!$A$166,$DL$205^A61,IF(A61='Données projet'!$A$166,'Données projet'!$B$166,DO60+DN61-DW60)))</f>
        <v>0</v>
      </c>
      <c r="DP61" s="158" t="str">
        <f>DO61*VLOOKUP('Données projet'!$B$14,'Paramètres'!$A$1:$I$88,3,0)*VLOOKUP('Données projet'!$B$14,'Paramètres'!$A$1:$I$88,5,0)</f>
        <v>#N/A</v>
      </c>
      <c r="DQ61" s="150" t="str">
        <f t="shared" si="44"/>
        <v>#N/A</v>
      </c>
      <c r="DR61" s="161" t="str">
        <f t="shared" si="17"/>
        <v>#N/A</v>
      </c>
      <c r="DS61" s="153" t="str">
        <f t="shared" si="18"/>
        <v>#N/A</v>
      </c>
      <c r="DT61" s="153" t="str">
        <f>AVERAGE(OFFSET($DS$3,0,0,'Données projet'!$E$14+1,1))-AVERAGE(OFFSET($H$3,0,0,'Données projet'!$E$14+1,1))</f>
        <v>#N/A</v>
      </c>
      <c r="DU61" s="153" t="str">
        <f t="shared" si="45"/>
        <v>#N/A</v>
      </c>
      <c r="DV61" s="154">
        <f>IF(ISNA(VLOOKUP(A61,'Données projet'!$A$165:$I$185,3,0)),0,VLOOKUP(A61,'Données projet'!$A$165:$I$185,3,0))</f>
        <v>0</v>
      </c>
      <c r="DW61" s="154">
        <f>IF(ISNA(VLOOKUP(A61,'Données projet'!$A$165:$I$185,4,0)),0,VLOOKUP(A61,'Données projet'!$A$165:$I$185,4,0))</f>
        <v>0</v>
      </c>
      <c r="DX61" s="155">
        <f>IF(ISNA(VLOOKUP(A61,'Données projet'!$A$165:$I$185,5,0)),0%,VLOOKUP(A61,'Données projet'!$A$165:$I$185,5,0)*VLOOKUP('Données projet'!$B$14,'Paramètres'!$A$1:$I$88,7,0))</f>
        <v>0</v>
      </c>
      <c r="DY61" s="155">
        <f>IF(ISNA(VLOOKUP(A61,'Données projet'!$A$165:$I$185,6,0)),0%,VLOOKUP(A61,'Données projet'!$A$165:$I$185,6,0)*VLOOKUP('Données projet'!$B$14,'Paramètres'!$A$1:$I$88,7,0))</f>
        <v>0</v>
      </c>
      <c r="DZ61" s="155">
        <f>IF(ISNA(VLOOKUP(A61,'Données projet'!$A$165:$I$185,7,0)),0%,VLOOKUP(A61,'Données projet'!$A$165:$I$185,7,0))</f>
        <v>0</v>
      </c>
      <c r="EA61" s="162" t="str">
        <f>EXP(-LN(2)/35)*EA60+(1-EXP(-LN(2)/35))/(LN(2)/35)*DW61*DX61*VLOOKUP('Données projet'!$B$14,'Paramètres'!$A$1:$I$88,3,0)*0.475*44/12</f>
        <v>#N/A</v>
      </c>
      <c r="EB61" s="162" t="str">
        <f>EXP(-LN(2)/25)*EB60+(1-EXP(-LN(2)/25))/(LN(2)/25)*Calculateur!DW61*Calculateur!DY61*VLOOKUP('Données projet'!$B$14,'Paramètres'!$A$1:$I$88,3,0)*0.475*44/12</f>
        <v>#N/A</v>
      </c>
      <c r="EC61" s="162" t="str">
        <f>EXP(-LN(2)/2)*EC60+(1-EXP(-LN(2)/2))/(LN(2)/2)*DW61*DZ61*VLOOKUP('Données projet'!$B$14,'Paramètres'!$A$1:$I$88,3,0)*0.475*44/12</f>
        <v>#N/A</v>
      </c>
      <c r="ED61" s="163" t="str">
        <f t="shared" si="19"/>
        <v>#N/A</v>
      </c>
      <c r="EE61" s="159">
        <f>('Scénario référence'!$F$8+'Scénario référence'!$F$9+'Scénario référence'!$B$17+'Scénario référence'!$B$9+'Scénario référence'!$B$10)*70+IF((45+25*(1-EXP(-0.0175*A61)))&lt;70,'Scénario référence'!$B$16*(45+25*(1-EXP(-0.0175*A61))),70*'Scénario référence'!$B$16)+IF((32+38*(1-EXP(-0.0175*A61)))&lt;70,'Scénario référence'!$B$18*(32+38*(1-EXP(-0.0175*A61))),70*'Scénario référence'!$B$18)</f>
        <v>70</v>
      </c>
      <c r="EF61" s="151">
        <f>IF(A61&gt;30,10,('Scénario référence'!$B$16+'Scénario référence'!$B$17+'Scénario référence'!$B$18+'Scénario référence'!$B$9+'Scénario référence'!$B$10)*A61*10/30+('Scénario référence'!$F$8+'Scénario référence'!$F$9)*10)</f>
        <v>10</v>
      </c>
      <c r="EG61" s="151" t="str">
        <f>VLOOKUP(A61,'Données projet'!$A$191:$I$211,2,0)</f>
        <v>#N/A</v>
      </c>
      <c r="EH61" s="151" t="str">
        <f>VLOOKUP(A61,'Données projet'!$A$191:$I$211,9,0)</f>
        <v>#N/A</v>
      </c>
      <c r="EI61" s="151" t="str">
        <f t="array" ref="EI61">INDEX(EH:EH,MIN(IF(ISNUMBER(EH61:EH257),ROW(EH61:EH257),"")))</f>
        <v/>
      </c>
      <c r="EJ61" s="151">
        <f>IF('Données projet'!$A$192&gt;35,EJ60+EI61-ER60,IF(A61&lt;'Données projet'!$A$192,$EG$205^A61,IF(A61='Données projet'!$A$192,'Données projet'!$B$192,EJ60+EI61-ER60)))</f>
        <v>0</v>
      </c>
      <c r="EK61" s="158" t="str">
        <f>EJ61*VLOOKUP('Données projet'!$B$15,'Paramètres'!$A$1:$I$88,3,0)*VLOOKUP('Données projet'!$B$15,'Paramètres'!$A$1:$I$88,5,0)</f>
        <v>#N/A</v>
      </c>
      <c r="EL61" s="150" t="str">
        <f t="shared" si="46"/>
        <v>#N/A</v>
      </c>
      <c r="EM61" s="161" t="str">
        <f t="shared" si="20"/>
        <v>#N/A</v>
      </c>
      <c r="EN61" s="153" t="str">
        <f t="shared" si="21"/>
        <v>#N/A</v>
      </c>
      <c r="EO61" s="153" t="str">
        <f>AVERAGE(OFFSET($EN$3,0,0,'Données projet'!$E$15+1,1))-AVERAGE(OFFSET($H$3,0,0,'Données projet'!$E$15+1,1))</f>
        <v>#N/A</v>
      </c>
      <c r="EP61" s="153" t="str">
        <f t="shared" si="47"/>
        <v>#N/A</v>
      </c>
      <c r="EQ61" s="154">
        <f>IF(ISNA(VLOOKUP(A61,'Données projet'!$A$191:$I$211,3,0)),0,VLOOKUP(A61,'Données projet'!$A$191:$I$211,3,0))</f>
        <v>0</v>
      </c>
      <c r="ER61" s="154">
        <f>IF(ISNA(VLOOKUP(A61,'Données projet'!$A$191:$I$211,4,0)),0,VLOOKUP(A61,'Données projet'!$A$191:$I$211,4,0))</f>
        <v>0</v>
      </c>
      <c r="ES61" s="155">
        <f>IF(ISNA(VLOOKUP(A61,'Données projet'!$A$191:$I$211,5,0)),0%,VLOOKUP(A61,'Données projet'!$A$191:$I$211,5,0)*VLOOKUP('Données projet'!$B$15,'Paramètres'!$A$1:$I$88,7,0))</f>
        <v>0</v>
      </c>
      <c r="ET61" s="155">
        <f>IF(ISNA(VLOOKUP(A61,'Données projet'!$A$191:$I$211,6,0)),0%,VLOOKUP(A61,'Données projet'!$A$191:$I$211,6,0)*VLOOKUP('Données projet'!$B$15,'Paramètres'!$A$1:$I$88,7,0))</f>
        <v>0</v>
      </c>
      <c r="EU61" s="155">
        <f>IF(ISNA(VLOOKUP(A61,'Données projet'!$A$191:$I$211,7,0)),0%,VLOOKUP(A61,'Données projet'!$A$191:$I$211,7,0))</f>
        <v>0</v>
      </c>
      <c r="EV61" s="162" t="str">
        <f>EXP(-LN(2)/35)*EV60+(1-EXP(-LN(2)/35))/(LN(2)/35)*ER61*ES61*VLOOKUP('Données projet'!$B$15,'Paramètres'!$A$1:$I$88,3,0)*0.475*44/12</f>
        <v>#N/A</v>
      </c>
      <c r="EW61" s="162" t="str">
        <f>EXP(-LN(2)/25)*EW60+(1-EXP(-LN(2)/25))/(LN(2)/25)*Calculateur!ER61*Calculateur!ET61*VLOOKUP('Données projet'!$B$15,'Paramètres'!$A$1:$I$88,3,0)*0.475*44/12</f>
        <v>#N/A</v>
      </c>
      <c r="EX61" s="162" t="str">
        <f>EXP(-LN(2)/2)*EX60+(1-EXP(-LN(2)/2))/(LN(2)/2)*ER61*EU61*VLOOKUP('Données projet'!$B$15,'Paramètres'!$A$1:$I$88,3,0)*0.475*44/12</f>
        <v>#N/A</v>
      </c>
      <c r="EY61" s="163" t="str">
        <f t="shared" si="22"/>
        <v>#N/A</v>
      </c>
      <c r="EZ61" s="159">
        <f>('Scénario référence'!$F$8+'Scénario référence'!$F$9+'Scénario référence'!$B$17+'Scénario référence'!$B$9+'Scénario référence'!$B$10)*70+IF((45+25*(1-EXP(-0.0175*A61)))&lt;70,'Scénario référence'!$B$16*(45+25*(1-EXP(-0.0175*A61))),70*'Scénario référence'!$B$16)+IF((32+38*(1-EXP(-0.0175*A61)))&lt;70,'Scénario référence'!$B$18*(32+38*(1-EXP(-0.0175*A61))),70*'Scénario référence'!$B$18)</f>
        <v>70</v>
      </c>
      <c r="FA61" s="151">
        <f>IF(A61&gt;30,10,('Scénario référence'!$B$16+'Scénario référence'!$B$17+'Scénario référence'!$B$18+'Scénario référence'!$B$9+'Scénario référence'!$B$10)*A61*10/30+('Scénario référence'!$F$8+'Scénario référence'!$F$9)*10)</f>
        <v>10</v>
      </c>
      <c r="FB61" s="151" t="str">
        <f>VLOOKUP(A61,'Données projet'!$A$217:$I$237,2,0)</f>
        <v>#N/A</v>
      </c>
      <c r="FC61" s="151" t="str">
        <f>VLOOKUP(A61,'Données projet'!$A$217:$I$237,9,0)</f>
        <v>#N/A</v>
      </c>
      <c r="FD61" s="151" t="str">
        <f t="array" ref="FD61">INDEX(FC:FC,MIN(IF(ISNUMBER(FC61:FC257),ROW(FC61:FC257),"")))</f>
        <v/>
      </c>
      <c r="FE61" s="151">
        <f>IF('Données projet'!$A$218&gt;35,FE60+FD61-FM60,IF(A61&lt;'Données projet'!$A$218,$FB$205^A61,IF(A61='Données projet'!$A$218,'Données projet'!$B$218,FE60+FD61-FM60)))</f>
        <v>0</v>
      </c>
      <c r="FF61" s="158" t="str">
        <f>FE61*VLOOKUP('Données projet'!$B$16,'Paramètres'!$A$1:$I$88,3,0)*VLOOKUP('Données projet'!$B$16,'Paramètres'!$A$1:$I$88,5,0)</f>
        <v>#N/A</v>
      </c>
      <c r="FG61" s="150" t="str">
        <f t="shared" si="48"/>
        <v>#N/A</v>
      </c>
      <c r="FH61" s="161" t="str">
        <f t="shared" si="23"/>
        <v>#N/A</v>
      </c>
      <c r="FI61" s="153" t="str">
        <f t="shared" si="24"/>
        <v>#N/A</v>
      </c>
      <c r="FJ61" s="153" t="str">
        <f>AVERAGE(OFFSET($FI$3,0,0,'Données projet'!$E$16+1,1))-AVERAGE(OFFSET($H$3,0,0,'Données projet'!$E$16+1,1))</f>
        <v>#N/A</v>
      </c>
      <c r="FK61" s="153" t="str">
        <f t="shared" si="49"/>
        <v>#N/A</v>
      </c>
      <c r="FL61" s="154">
        <f>IF(ISNA(VLOOKUP(A61,'Données projet'!$A$217:$I$237,3,0)),0,VLOOKUP(A61,'Données projet'!$A$217:$I$237,3,0))</f>
        <v>0</v>
      </c>
      <c r="FM61" s="154">
        <f>IF(ISNA(VLOOKUP(A61,'Données projet'!$A$217:$I$237,4,0)),0,VLOOKUP(A61,'Données projet'!$A$217:$I$237,4,0))</f>
        <v>0</v>
      </c>
      <c r="FN61" s="155">
        <f>IF(ISNA(VLOOKUP(A61,'Données projet'!$A$217:$I$237,5,0)),0%,VLOOKUP(A61,'Données projet'!$A$217:$I$237,5,0)*VLOOKUP('Données projet'!$B$16,'Paramètres'!$A$1:$I$88,7,0))</f>
        <v>0</v>
      </c>
      <c r="FO61" s="155">
        <f>IF(ISNA(VLOOKUP(A61,'Données projet'!$A$217:$I$237,6,0)),0%,VLOOKUP(A61,'Données projet'!$A$217:$I$237,6,0)*VLOOKUP('Données projet'!$B$16,'Paramètres'!$A$1:$I$88,7,0))</f>
        <v>0</v>
      </c>
      <c r="FP61" s="155">
        <f>IF(ISNA(VLOOKUP(A61,'Données projet'!$A$217:$I$237,7,0)),0%,VLOOKUP(A61,'Données projet'!$A$217:$I$237,7,0))</f>
        <v>0</v>
      </c>
      <c r="FQ61" s="162" t="str">
        <f>EXP(-LN(2)/35)*FQ60+(1-EXP(-LN(2)/35))/(LN(2)/35)*FM61*FN61*VLOOKUP('Données projet'!$B$16,'Paramètres'!$A$1:$I$88,3,0)*0.475*44/12</f>
        <v>#N/A</v>
      </c>
      <c r="FR61" s="162" t="str">
        <f>EXP(-LN(2)/25)*FR60+(1-EXP(-LN(2)/25))/(LN(2)/25)*Calculateur!FM61*Calculateur!FO61*VLOOKUP('Données projet'!$B$16,'Paramètres'!$A$1:$I$88,3,0)*0.475*44/12</f>
        <v>#N/A</v>
      </c>
      <c r="FS61" s="162" t="str">
        <f>EXP(-LN(2)/2)*FS60+(1-EXP(-LN(2)/2))/(LN(2)/2)*FM61*FP61*VLOOKUP('Données projet'!$B$16,'Paramètres'!$A$1:$I$88,3,0)*0.475*44/12</f>
        <v>#N/A</v>
      </c>
      <c r="FT61" s="163" t="str">
        <f t="shared" si="25"/>
        <v>#N/A</v>
      </c>
      <c r="FU61" s="159">
        <f>('Scénario référence'!$F$8+'Scénario référence'!$F$9+'Scénario référence'!$B$17+'Scénario référence'!$B$9+'Scénario référence'!$B$10)*70+IF((45+25*(1-EXP(-0.0175*A61)))&lt;70,'Scénario référence'!$B$16*(45+25*(1-EXP(-0.0175*A61))),70*'Scénario référence'!$B$16)+IF((32+38*(1-EXP(-0.0175*A61)))&lt;70,'Scénario référence'!$B$18*(32+38*(1-EXP(-0.0175*A61))),70*'Scénario référence'!$B$18)</f>
        <v>70</v>
      </c>
      <c r="FV61" s="151">
        <f>IF(A61&gt;30,10,('Scénario référence'!$B$16+'Scénario référence'!$B$17+'Scénario référence'!$B$18+'Scénario référence'!$B$9+'Scénario référence'!$B$10)*A61*10/30+('Scénario référence'!$F$8+'Scénario référence'!$F$9)*10)</f>
        <v>10</v>
      </c>
      <c r="FW61" s="151" t="str">
        <f>VLOOKUP(A61,'Données projet'!$A$243:$I$263,2,0)</f>
        <v>#N/A</v>
      </c>
      <c r="FX61" s="151" t="str">
        <f>VLOOKUP(A61,'Données projet'!$A$243:$I$263,9,0)</f>
        <v>#N/A</v>
      </c>
      <c r="FY61" s="151" t="str">
        <f t="array" ref="FY61">INDEX(FX:FX,MIN(IF(ISNUMBER(FX61:FX257),ROW(FX61:FX257),"")))</f>
        <v/>
      </c>
      <c r="FZ61" s="151">
        <f>IF('Données projet'!$A$244&gt;35,FZ60+FY61-GH60,IF(A61&lt;'Données projet'!$A$244,$FW$205^A61,IF(A61='Données projet'!$A$244,'Données projet'!$B$244,FZ60+FY61-GH60)))</f>
        <v>0</v>
      </c>
      <c r="GA61" s="158" t="str">
        <f>FZ61*VLOOKUP('Données projet'!$B$17,'Paramètres'!$A$1:$I$88,3,0)*VLOOKUP('Données projet'!$B$17,'Paramètres'!$A$1:$I$88,5,0)</f>
        <v>#N/A</v>
      </c>
      <c r="GB61" s="150" t="str">
        <f t="shared" si="50"/>
        <v>#N/A</v>
      </c>
      <c r="GC61" s="161" t="str">
        <f t="shared" si="26"/>
        <v>#N/A</v>
      </c>
      <c r="GD61" s="153" t="str">
        <f t="shared" si="27"/>
        <v>#N/A</v>
      </c>
      <c r="GE61" s="153" t="str">
        <f>AVERAGE(OFFSET($GD$3,0,0,'Données projet'!$E$17+1,1))-AVERAGE(OFFSET($H$3,0,0,'Données projet'!$E$17+1,1))</f>
        <v>#N/A</v>
      </c>
      <c r="GF61" s="153" t="str">
        <f t="shared" si="51"/>
        <v>#N/A</v>
      </c>
      <c r="GG61" s="154">
        <f>IF(ISNA(VLOOKUP(A61,'Données projet'!$A$243:$I$263,3,0)),0,VLOOKUP(A61,'Données projet'!$A$243:$I$263,3,0))</f>
        <v>0</v>
      </c>
      <c r="GH61" s="154">
        <f>IF(ISNA(VLOOKUP(A61,'Données projet'!$A$243:$I$263,4,0)),0,VLOOKUP(A61,'Données projet'!$A$243:$I$263,4,0))</f>
        <v>0</v>
      </c>
      <c r="GI61" s="155">
        <f>IF(ISNA(VLOOKUP(A61,'Données projet'!$A$243:$I$263,5,0)),0%,VLOOKUP(A61,'Données projet'!$A$243:$I$263,5,0)*VLOOKUP('Données projet'!$B$17,'Paramètres'!$A$1:$I$88,7,0))</f>
        <v>0</v>
      </c>
      <c r="GJ61" s="155">
        <f>IF(ISNA(VLOOKUP(A61,'Données projet'!$A$243:$I$263,6,0)),0%,VLOOKUP(A61,'Données projet'!$A$243:$I$263,6,0)*VLOOKUP('Données projet'!$B$17,'Paramètres'!$A$1:$I$88,7,0))</f>
        <v>0</v>
      </c>
      <c r="GK61" s="155">
        <f>IF(ISNA(VLOOKUP(A61,'Données projet'!$A$243:$I$263,7,0)),0%,VLOOKUP(A61,'Données projet'!$A$243:$I$263,7,0))</f>
        <v>0</v>
      </c>
      <c r="GL61" s="162" t="str">
        <f>EXP(-LN(2)/35)*GL60+(1-EXP(-LN(2)/35))/(LN(2)/35)*GH61*GI61*VLOOKUP('Données projet'!$B$17,'Paramètres'!$A$1:$I$88,3,0)*0.475*44/12</f>
        <v>#N/A</v>
      </c>
      <c r="GM61" s="162" t="str">
        <f>EXP(-LN(2)/25)*GM60+(1-EXP(-LN(2)/25))/(LN(2)/25)*Calculateur!GH61*Calculateur!GJ61*VLOOKUP('Données projet'!$B$17,'Paramètres'!$A$1:$I$88,3,0)*0.475*44/12</f>
        <v>#N/A</v>
      </c>
      <c r="GN61" s="162" t="str">
        <f>EXP(-LN(2)/2)*GN60+(1-EXP(-LN(2)/2))/(LN(2)/2)*GH61*GK61*VLOOKUP('Données projet'!$B$17,'Paramètres'!$A$1:$I$88,3,0)*0.475*44/12</f>
        <v>#N/A</v>
      </c>
      <c r="GO61" s="162" t="str">
        <f t="shared" si="28"/>
        <v>#N/A</v>
      </c>
      <c r="GP61" s="159">
        <f>('Scénario référence'!$F$8+'Scénario référence'!$F$9+'Scénario référence'!$B$17+'Scénario référence'!$B$9+'Scénario référence'!$B$10)*70+IF((45+25*(1-EXP(-0.0175*A61)))&lt;70,'Scénario référence'!$B$16*(45+25*(1-EXP(-0.0175*A61))),70*'Scénario référence'!$B$16)+IF((32+38*(1-EXP(-0.0175*A61)))&lt;70,'Scénario référence'!$B$18*(32+38*(1-EXP(-0.0175*A61))),70*'Scénario référence'!$B$18)</f>
        <v>70</v>
      </c>
      <c r="GQ61" s="151">
        <f>IF(A61&gt;30,10,('Scénario référence'!$B$16+'Scénario référence'!$B$17+'Scénario référence'!$B$18+'Scénario référence'!$B$9+'Scénario référence'!$B$10)*A61*10/30+('Scénario référence'!$F$8+'Scénario référence'!$F$9)*10)</f>
        <v>10</v>
      </c>
      <c r="GR61" s="151" t="str">
        <f>VLOOKUP(A61,'Données projet'!$A$269:$I$289,2,0)</f>
        <v>#N/A</v>
      </c>
      <c r="GS61" s="151" t="str">
        <f>VLOOKUP(A61,'Données projet'!$A$269:$I$289,9,0)</f>
        <v>#N/A</v>
      </c>
      <c r="GT61" s="151" t="str">
        <f t="array" ref="GT61">INDEX(GS:GS,MIN(IF(ISNUMBER(GS61:GS257),ROW(GS61:GS257),"")))</f>
        <v/>
      </c>
      <c r="GU61" s="151">
        <f>IF('Données projet'!$A$270&gt;35,GU60+GT61-HC60,IF(A61&lt;'Données projet'!$A$270,$GR$205^A61,IF(A61='Données projet'!$A$270,'Données projet'!$B$270,GU60+GT61-HC60)))</f>
        <v>0</v>
      </c>
      <c r="GV61" s="158" t="str">
        <f>GU61*VLOOKUP('Données projet'!$B$18,'Paramètres'!$A$1:$I$88,3,0)*VLOOKUP('Données projet'!$B$18,'Paramètres'!$A$1:$I$88,5,0)</f>
        <v>#N/A</v>
      </c>
      <c r="GW61" s="150" t="str">
        <f t="shared" si="52"/>
        <v>#N/A</v>
      </c>
      <c r="GX61" s="161" t="str">
        <f t="shared" si="29"/>
        <v>#N/A</v>
      </c>
      <c r="GY61" s="153" t="str">
        <f t="shared" si="30"/>
        <v>#N/A</v>
      </c>
      <c r="GZ61" s="153" t="str">
        <f>AVERAGE(OFFSET($GY$3,0,0,'Données projet'!$E$18+1,1))-AVERAGE(OFFSET($H$3,0,0,'Données projet'!$E$18+1,1))</f>
        <v>#N/A</v>
      </c>
      <c r="HA61" s="153" t="str">
        <f t="shared" si="53"/>
        <v>#N/A</v>
      </c>
      <c r="HB61" s="154">
        <f>IF(ISNA(VLOOKUP(A61,'Données projet'!$A$269:$I$289,3,0)),0,VLOOKUP(A61,'Données projet'!$A$269:$I$289,3,0))</f>
        <v>0</v>
      </c>
      <c r="HC61" s="154">
        <f>IF(ISNA(VLOOKUP(A61,'Données projet'!$A$269:$I$289,4,0)),0,VLOOKUP(A61,'Données projet'!$A$269:$I$289,4,0))</f>
        <v>0</v>
      </c>
      <c r="HD61" s="155">
        <f>IF(ISNA(VLOOKUP(A61,'Données projet'!$A$269:$I$289,5,0)),0%,VLOOKUP(A61,'Données projet'!$A$269:$I$289,5,0)*VLOOKUP('Données projet'!$B$18,'Paramètres'!$A$1:$I$88,7,0))</f>
        <v>0</v>
      </c>
      <c r="HE61" s="155">
        <f>IF(ISNA(VLOOKUP(A61,'Données projet'!$A$269:$I$289,6,0)),0%,VLOOKUP(A61,'Données projet'!$A$269:$I$289,6,0)*VLOOKUP('Données projet'!$B$18,'Paramètres'!$A$1:$I$88,7,0))</f>
        <v>0</v>
      </c>
      <c r="HF61" s="155">
        <f>IF(ISNA(VLOOKUP(A61,'Données projet'!$A$269:$I$289,7,0)),0%,VLOOKUP(A61,'Données projet'!$A$269:$I$289,7,0))</f>
        <v>0</v>
      </c>
      <c r="HG61" s="162" t="str">
        <f>EXP(-LN(2)/35)*HG60+(1-EXP(-LN(2)/35))/(LN(2)/35)*HC61*HD61*VLOOKUP('Données projet'!$B$18,'Paramètres'!$A$1:$I$88,3,0)*0.475*44/12</f>
        <v>#N/A</v>
      </c>
      <c r="HH61" s="162" t="str">
        <f>EXP(-LN(2)/25)*HH60+(1-EXP(-LN(2)/25))/(LN(2)/25)*Calculateur!HC61*Calculateur!HE61*VLOOKUP('Données projet'!$B$18,'Paramètres'!$A$1:$I$88,3,0)*0.475*44/12</f>
        <v>#N/A</v>
      </c>
      <c r="HI61" s="162" t="str">
        <f>EXP(-LN(2)/2)*HI60+(1-EXP(-LN(2)/2))/(LN(2)/2)*HC61*HF61*VLOOKUP('Données projet'!$B$18,'Paramètres'!$A$1:$I$88,3,0)*0.475*44/12</f>
        <v>#N/A</v>
      </c>
      <c r="HJ61" s="163" t="str">
        <f t="shared" si="31"/>
        <v>#N/A</v>
      </c>
    </row>
    <row r="62" ht="15.75" customHeight="1">
      <c r="A62" s="145">
        <f t="shared" si="32"/>
        <v>59</v>
      </c>
      <c r="B62" s="146">
        <f>'Scénario référence'!$B$16*5+'Scénario référence'!$B$17*0+'Scénario référence'!$B$18*5</f>
        <v>0</v>
      </c>
      <c r="C62" s="160">
        <f>Calculateur!C61+'Scénario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62" s="147">
        <f t="shared" si="33"/>
        <v>0</v>
      </c>
      <c r="E62" s="147">
        <f>'Scénario référence'!$B$16*45+('Scénario référence'!$B$17+'Scénario référence'!$F$8+'Scénario référence'!$F$9+'Scénario référence'!$B$10+'Scénario référence'!$B$9)*70+'Scénario référence'!$B$18*32</f>
        <v>70</v>
      </c>
      <c r="F62" s="147">
        <f>IF(OR('Scénario référence'!$F$8&gt;0,'Scénario référence'!$F$9&gt;0),('Scénario référence'!$F$8+'Scénario référence'!$F$9)*10,0)</f>
        <v>0</v>
      </c>
      <c r="G62" s="147">
        <f>'Scénario référence'!$B$8*B62*44/12+'Scénario référence'!$B$9*(C62+D62)/0.475*44/12+'Scénario référence'!$B$10*(C62+D62)/0.475*44/12+'Scénario référence'!$F$8*(C62+D62)/0.475*44/12+'Scénario référence'!$F$9*(C62+D62)/0.475*44/12</f>
        <v>0</v>
      </c>
      <c r="H62" s="148">
        <f t="shared" si="1"/>
        <v>256.6666667</v>
      </c>
      <c r="I62" s="149">
        <f>('Scénario référence'!$F$8+'Scénario référence'!$F$9+'Scénario référence'!$B$17+'Scénario référence'!$B$9+'Scénario référence'!$B$10)*70+IF((45+25*(1-EXP(-0.0175*A62)))&lt;70,'Scénario référence'!$B$16*(45+25*(1-EXP(-0.0175*A62))),70*'Scénario référence'!$B$16)+IF((32+38*(1-EXP(-0.0175*A62)))&lt;70,'Scénario référence'!$B$18*(32+38*(1-EXP(-0.0175*A62))),70*'Scénario référence'!$B$18)</f>
        <v>70</v>
      </c>
      <c r="J62" s="150">
        <f>IF(A62&gt;30,10,('Scénario référence'!$B$16+'Scénario référence'!$B$17+'Scénario référence'!$B$18+'Scénario référence'!$B$9+'Scénario référence'!$B$10)*A62*10/30+('Scénario référence'!$F$8+'Scénario référence'!$F$9)*10)</f>
        <v>10</v>
      </c>
      <c r="K62" s="151" t="str">
        <f>VLOOKUP(A62,'Données projet'!$A$35:$I$55,2,0)</f>
        <v>#N/A</v>
      </c>
      <c r="L62" s="151" t="str">
        <f>VLOOKUP(A62,'Données projet'!$A$35:$I$55,9,0)</f>
        <v>#N/A</v>
      </c>
      <c r="M62" s="150">
        <f t="array" ref="M62">INDEX(L:L,MIN(IF(ISNUMBER(L62:L258),ROW(L62:L258),"")))</f>
        <v>9.4</v>
      </c>
      <c r="N62" s="150">
        <f>IF('Données projet'!$A$36&gt;35,N61+M62-V61,IF(A62&lt;'Données projet'!$A$36,$K$205^A62,IF(A62='Données projet'!$A$36,'Données projet'!$B$36,N61+M62-V61)))</f>
        <v>263.6</v>
      </c>
      <c r="O62" s="150">
        <f>N62*VLOOKUP('Données projet'!$B$9,'Paramètres'!$A$1:$I$88,3,0)*VLOOKUP('Données projet'!$B$9,'Paramètres'!$A$1:$I$88,5,0)</f>
        <v>238.50528</v>
      </c>
      <c r="P62" s="150">
        <f t="shared" si="34"/>
        <v>58.11781735</v>
      </c>
      <c r="Q62" s="161">
        <f t="shared" si="2"/>
        <v>516.6185612</v>
      </c>
      <c r="R62" s="153">
        <f t="shared" si="3"/>
        <v>809.9518946</v>
      </c>
      <c r="S62" s="153">
        <f>AVERAGE(OFFSET($R$3,0,0,'Données projet'!$E$9+1,1))-AVERAGE(OFFSET($H$3,0,0,'Données projet'!$E$9+1,1))</f>
        <v>439.1985427</v>
      </c>
      <c r="T62" s="153">
        <f t="shared" si="35"/>
        <v>278.2174123</v>
      </c>
      <c r="U62" s="154">
        <f>IF(ISNA(VLOOKUP(A62,'Données projet'!$A$35:$I$55,3,0)),0,VLOOKUP(A62,'Données projet'!$A$35:$I$55,3,0))</f>
        <v>0</v>
      </c>
      <c r="V62" s="154">
        <f>IF(ISNA(VLOOKUP(A62,'Données projet'!$A$35:$I$55,4,0)),0,VLOOKUP(A62,'Données projet'!$A$35:$I$55,4,0))</f>
        <v>0</v>
      </c>
      <c r="W62" s="155">
        <f>IF(ISNA(VLOOKUP(A62,'Données projet'!$A$35:$I$55,5,0)),0%,VLOOKUP(A62,'Données projet'!$A$35:$I$55,5,0)*VLOOKUP('Données projet'!$B$9,'Paramètres'!$A$1:$I$88,7,0))</f>
        <v>0</v>
      </c>
      <c r="X62" s="155">
        <f>IF(ISNA(VLOOKUP(A62,'Données projet'!$A$35:$I$55,6,0)),0%,VLOOKUP(A62,'Données projet'!$A$35:$I$55,6,0)*VLOOKUP('Données projet'!$B$9,'Paramètres'!$A$1:$I$88,7,0))</f>
        <v>0</v>
      </c>
      <c r="Y62" s="155">
        <f>IF(ISNA(VLOOKUP(A62,'Données projet'!$A$35:$I$55,7,0)),0%,VLOOKUP(A62,'Données projet'!$A$35:$I$55,7,0))</f>
        <v>0</v>
      </c>
      <c r="Z62" s="162">
        <f>EXP(-LN(2)/35)*Z61+(1-EXP(-LN(2)/35))/(LN(2)/35)*V62*W62*VLOOKUP('Données projet'!$B$9,'Paramètres'!$A$1:$I$88,3,0)*0.475*44/12</f>
        <v>0</v>
      </c>
      <c r="AA62" s="162">
        <f>EXP(-LN(2)/25)*AA61+(1-EXP(-LN(2)/25))/(LN(2)/25)*Calculateur!V62*Calculateur!X62*VLOOKUP('Données projet'!$B$9,'Paramètres'!$A$1:$I$88,3,0)*0.475*44/12</f>
        <v>2.008248651</v>
      </c>
      <c r="AB62" s="162">
        <f>EXP(-LN(2)/2)*AB61+(1-EXP(-LN(2)/2))/(LN(2)/2)*V62*Y62*VLOOKUP('Données projet'!$B$9,'Paramètres'!$A$1:$I$88,3,0)*0.475*44/12</f>
        <v>0</v>
      </c>
      <c r="AC62" s="163">
        <f t="shared" si="4"/>
        <v>2.008248651</v>
      </c>
      <c r="AD62" s="150">
        <f>('Scénario référence'!$F$8+'Scénario référence'!$F$9+'Scénario référence'!$B$17+'Scénario référence'!$B$9+'Scénario référence'!$B$10)*70+IF((45+25*(1-EXP(-0.0175*A62)))&lt;70,'Scénario référence'!$B$16*(45+25*(1-EXP(-0.0175*A62))),70*'Scénario référence'!$B$16)+IF((32+38*(1-EXP(-0.0175*A62)))&lt;70,'Scénario référence'!$B$18*(32+38*(1-EXP(-0.0175*A62))),70*'Scénario référence'!$B$18)</f>
        <v>70</v>
      </c>
      <c r="AE62" s="150">
        <f>IF(A62&gt;30,10,('Scénario référence'!$B$16+'Scénario référence'!$B$17+'Scénario référence'!$B$18+'Scénario référence'!$B$9+'Scénario référence'!$B$10)*A62*10/30+('Scénario référence'!$F$8+'Scénario référence'!$F$9)*10)</f>
        <v>10</v>
      </c>
      <c r="AF62" s="151" t="str">
        <f>VLOOKUP(A62,'Données projet'!$A$61:$I$81,2,0)</f>
        <v>#N/A</v>
      </c>
      <c r="AG62" s="151" t="str">
        <f>VLOOKUP(A62,'Données projet'!$A$61:$I$81,9,0)</f>
        <v>#N/A</v>
      </c>
      <c r="AH62" s="150">
        <f t="array" ref="AH62">INDEX(AG:AG,MIN(IF(ISNUMBER(AG62:AG258),ROW(AG62:AG258),"")))</f>
        <v>7.4</v>
      </c>
      <c r="AI62" s="150">
        <f>IF('Données projet'!$A$62&gt;35,AI61+AH62-AQ61,IF(A62&lt;'Données projet'!$A$62,$AF$205^A62,IF(A62='Données projet'!$A$62,'Données projet'!$B$62,AI61+AH62-AQ61)))</f>
        <v>335.6</v>
      </c>
      <c r="AJ62" s="150">
        <f>AI62*VLOOKUP('Données projet'!$B$10,'Paramètres'!$A$1:$I$88,3,0)*VLOOKUP('Données projet'!$B$10,'Paramètres'!$A$1:$I$88,5,0)</f>
        <v>267.00336</v>
      </c>
      <c r="AK62" s="150">
        <f t="shared" si="36"/>
        <v>64.21289415</v>
      </c>
      <c r="AL62" s="161">
        <f t="shared" si="5"/>
        <v>576.8683093</v>
      </c>
      <c r="AM62" s="153">
        <f t="shared" si="6"/>
        <v>870.2016426</v>
      </c>
      <c r="AN62" s="153">
        <f>AVERAGE(OFFSET($AM$3,0,0,'Données projet'!$E$10+1,1))-AVERAGE(OFFSET($H$3,0,0,'Données projet'!$E$10+1,1))</f>
        <v>405.6113614</v>
      </c>
      <c r="AO62" s="153">
        <f t="shared" si="37"/>
        <v>393.0787141</v>
      </c>
      <c r="AP62" s="154">
        <f>IF(ISNA(VLOOKUP(A62,'Données projet'!$A$61:$I$81,3,0)),0,VLOOKUP(A62,'Données projet'!$A$61:$I$81,3,0))</f>
        <v>0</v>
      </c>
      <c r="AQ62" s="154">
        <f>IF(ISNA(VLOOKUP(A62,'Données projet'!$A$61:$I$81,4,0)),0,VLOOKUP(A62,'Données projet'!$A$61:$I$81,4,0))</f>
        <v>0</v>
      </c>
      <c r="AR62" s="155">
        <f>IF(ISNA(VLOOKUP(A62,'Données projet'!$A$61:$I$81,5,0)),0%,VLOOKUP(A62,'Données projet'!$A$61:$I$81,5,0)*VLOOKUP('Données projet'!$B$10,'Paramètres'!$A$1:$I$88,7,0))</f>
        <v>0</v>
      </c>
      <c r="AS62" s="155">
        <f>IF(ISNA(VLOOKUP(A62,'Données projet'!$A$61:$I$81,6,0)),0%,VLOOKUP(A62,'Données projet'!$A$61:$I$81,6,0)*VLOOKUP('Données projet'!$B$10,'Paramètres'!$A$1:$I$88,7,0))</f>
        <v>0</v>
      </c>
      <c r="AT62" s="155">
        <f>IF(ISNA(VLOOKUP(A62,'Données projet'!$A$61:$I$81,7,0)),0%,VLOOKUP(A62,'Données projet'!$A$61:$I$81,7,0))</f>
        <v>0</v>
      </c>
      <c r="AU62" s="162">
        <f>EXP(-LN(2)/35)*AU61+(1-EXP(-LN(2)/35))/(LN(2)/35)*AQ62*AR62*VLOOKUP('Données projet'!$B$10,'Paramètres'!$A$1:$I$88,3,0)*0.475*44/12</f>
        <v>0</v>
      </c>
      <c r="AV62" s="162">
        <f>EXP(-LN(2)/25)*AV61+(1-EXP(-LN(2)/25))/(LN(2)/25)*Calculateur!AQ62*Calculateur!AS62*VLOOKUP('Données projet'!$B$10,'Paramètres'!$A$1:$I$88,3,0)*0.475*44/12</f>
        <v>8.162033036</v>
      </c>
      <c r="AW62" s="162">
        <f>EXP(-LN(2)/2)*AW61+(1-EXP(-LN(2)/2))/(LN(2)/2)*AQ62*AT62*VLOOKUP('Données projet'!$B$10,'Paramètres'!$A$1:$I$88,3,0)*0.475*44/12</f>
        <v>0.00002501943546</v>
      </c>
      <c r="AX62" s="162">
        <f t="shared" si="7"/>
        <v>8.162058056</v>
      </c>
      <c r="AY62" s="157">
        <f>('Scénario référence'!$F$8+'Scénario référence'!$F$9+'Scénario référence'!$B$17+'Scénario référence'!$B$9+'Scénario référence'!$B$10)*70+IF((45+25*(1-EXP(-0.0175*A62)))&lt;70,'Scénario référence'!$B$16*(45+25*(1-EXP(-0.0175*A62))),70*'Scénario référence'!$B$16)+IF((32+38*(1-EXP(-0.0175*A62)))&lt;70,'Scénario référence'!$B$18*(32+38*(1-EXP(-0.0175*A62))),70*'Scénario référence'!$B$18)</f>
        <v>70</v>
      </c>
      <c r="AZ62" s="151">
        <f>IF(A62&gt;30,10,('Scénario référence'!$B$16+'Scénario référence'!$B$17+'Scénario référence'!$B$18+'Scénario référence'!$B$9+'Scénario référence'!$B$10)*A62*10/30+('Scénario référence'!$F$8+'Scénario référence'!$F$9)*10)</f>
        <v>10</v>
      </c>
      <c r="BA62" s="151" t="str">
        <f>VLOOKUP(A62,'Données projet'!$A$87:$I$107,2,0)</f>
        <v>#N/A</v>
      </c>
      <c r="BB62" s="151" t="str">
        <f>VLOOKUP(A62,'Données projet'!$A$87:$I$107,9,0)</f>
        <v>#N/A</v>
      </c>
      <c r="BC62" s="150" t="str">
        <f t="array" ref="BC62">INDEX(BB:BB,MIN(IF(ISNUMBER(BB62:BB258),ROW(BB62:BB258),"")))</f>
        <v/>
      </c>
      <c r="BD62" s="150">
        <f>IF('Données projet'!$A$88&gt;35,BD61+BC62-BL61,IF(A62&lt;'Données projet'!$A$88,$BA$205^A62,IF(A62='Données projet'!$A$88,'Données projet'!$B$88,BD61+BC62-BL61)))</f>
        <v>0</v>
      </c>
      <c r="BE62" s="150">
        <f>BD62*VLOOKUP('Données projet'!$B$11,'Paramètres'!$A$1:$I$88,3,0)*VLOOKUP('Données projet'!$B$11,'Paramètres'!$A$1:$I$88,5,0)</f>
        <v>0</v>
      </c>
      <c r="BF62" s="150" t="str">
        <f t="shared" si="38"/>
        <v>#NUM!</v>
      </c>
      <c r="BG62" s="161" t="str">
        <f t="shared" si="8"/>
        <v>#NUM!</v>
      </c>
      <c r="BH62" s="153" t="str">
        <f t="shared" si="9"/>
        <v>#NUM!</v>
      </c>
      <c r="BI62" s="153">
        <f>AVERAGE(OFFSET($BH$3,0,0,'Données projet'!$E$11+1,1))-AVERAGE(OFFSET($H$3,0,0,'Données projet'!$E$11+1,1))</f>
        <v>0</v>
      </c>
      <c r="BJ62" s="153">
        <f t="shared" si="39"/>
        <v>0</v>
      </c>
      <c r="BK62" s="154">
        <f>IF(ISNA(VLOOKUP(A62,'Données projet'!$A$87:$I$107,3,0)),0,VLOOKUP(A62,'Données projet'!$A$87:$I$107,3,0))</f>
        <v>0</v>
      </c>
      <c r="BL62" s="154">
        <f>IF(ISNA(VLOOKUP(A62,'Données projet'!$A$87:$I$107,4,0)),0,VLOOKUP(A62,'Données projet'!$A$87:$I$107,4,0))</f>
        <v>0</v>
      </c>
      <c r="BM62" s="155">
        <f>IF(ISNA(VLOOKUP(A62,'Données projet'!$A$87:$I$107,5,0)),0%,VLOOKUP(A62,'Données projet'!$A$87:$I$107,5,0)*VLOOKUP('Données projet'!$B$11,'Paramètres'!$A$1:$I$88,7,0))</f>
        <v>0</v>
      </c>
      <c r="BN62" s="155">
        <f>IF(ISNA(VLOOKUP(A62,'Données projet'!$A$87:$I$107,6,0)),0%,VLOOKUP(A62,'Données projet'!$A$87:$I$107,6,0)*VLOOKUP('Données projet'!$B$11,'Paramètres'!$A$1:$I$88,7,0))</f>
        <v>0</v>
      </c>
      <c r="BO62" s="155">
        <f>IF(ISNA(VLOOKUP(A62,'Données projet'!$A$87:$I$107,7,0)),0%,VLOOKUP(A62,'Données projet'!$A$87:$I$107,7,0))</f>
        <v>0</v>
      </c>
      <c r="BP62" s="162">
        <f>EXP(-LN(2)/35)*BP61+(1-EXP(-LN(2)/35))/(LN(2)/35)*BL62*BM62*VLOOKUP('Données projet'!$B$11,'Paramètres'!$A$1:$I$88,3,0)*0.475*44/12</f>
        <v>0</v>
      </c>
      <c r="BQ62" s="162">
        <f>EXP(-LN(2)/25)*BQ61+(1-EXP(-LN(2)/25))/(LN(2)/25)*Calculateur!BL62*Calculateur!BN62*VLOOKUP('Données projet'!$B$11,'Paramètres'!$A$1:$I$88,3,0)*0.475*44/12</f>
        <v>0</v>
      </c>
      <c r="BR62" s="162">
        <f>EXP(-LN(2)/2)*BR61+(1-EXP(-LN(2)/2))/(LN(2)/2)*BL62*BO62*VLOOKUP('Données projet'!$B$11,'Paramètres'!$A$1:$I$88,3,0)*0.475*44/12</f>
        <v>0</v>
      </c>
      <c r="BS62" s="163">
        <f t="shared" si="10"/>
        <v>0</v>
      </c>
      <c r="BT62" s="159">
        <f>('Scénario référence'!$F$8+'Scénario référence'!$F$9+'Scénario référence'!$B$17+'Scénario référence'!$B$9+'Scénario référence'!$B$10)*70+IF((45+25*(1-EXP(-0.0175*A62)))&lt;70,'Scénario référence'!$B$16*(45+25*(1-EXP(-0.0175*A62))),70*'Scénario référence'!$B$16)+IF((32+38*(1-EXP(-0.0175*A62)))&lt;70,'Scénario référence'!$B$18*(32+38*(1-EXP(-0.0175*A62))),70*'Scénario référence'!$B$18)</f>
        <v>70</v>
      </c>
      <c r="BU62" s="151">
        <f>IF(A62&gt;30,10,('Scénario référence'!$B$16+'Scénario référence'!$B$17+'Scénario référence'!$B$18+'Scénario référence'!$B$9+'Scénario référence'!$B$10)*A62*10/30+('Scénario référence'!$F$8+'Scénario référence'!$F$9)*10)</f>
        <v>10</v>
      </c>
      <c r="BV62" s="151" t="str">
        <f>VLOOKUP(A62,'Données projet'!$A$113:$I$133,2,0)</f>
        <v>#N/A</v>
      </c>
      <c r="BW62" s="151" t="str">
        <f>VLOOKUP(A62,'Données projet'!$A$113:$I$133,9,0)</f>
        <v>#N/A</v>
      </c>
      <c r="BX62" s="150" t="str">
        <f t="array" ref="BX62">INDEX(BW:BW,MIN(IF(ISNUMBER(BW62:BW258),ROW(BW62:BW258),"")))</f>
        <v/>
      </c>
      <c r="BY62" s="150">
        <f>IF('Données projet'!$A$114&gt;35,BY61+BX62-CG61,IF(A62&lt;'Données projet'!$A$114,$BV$205^A62,IF(A62='Données projet'!$A$114,'Données projet'!$B$114,BY61+BX62-CG61)))</f>
        <v>0</v>
      </c>
      <c r="BZ62" s="150" t="str">
        <f>BY62*VLOOKUP('Données projet'!$B$12,'Paramètres'!$A$1:$I$88,3,0)*VLOOKUP('Données projet'!$B$12,'Paramètres'!$A$1:$I$88,5,0)</f>
        <v>#N/A</v>
      </c>
      <c r="CA62" s="150" t="str">
        <f t="shared" si="40"/>
        <v>#N/A</v>
      </c>
      <c r="CB62" s="161" t="str">
        <f t="shared" si="11"/>
        <v>#N/A</v>
      </c>
      <c r="CC62" s="153" t="str">
        <f t="shared" si="12"/>
        <v>#N/A</v>
      </c>
      <c r="CD62" s="153" t="str">
        <f>AVERAGE(OFFSET($CC$3,0,0,'Données projet'!$E$12+1,1))-AVERAGE(OFFSET($H$3,0,0,'Données projet'!$E$12+1,1))</f>
        <v>#N/A</v>
      </c>
      <c r="CE62" s="153" t="str">
        <f t="shared" si="41"/>
        <v>#N/A</v>
      </c>
      <c r="CF62" s="154">
        <f>IF(ISNA(VLOOKUP(A62,'Données projet'!$A$113:$I$133,3,0)),0,VLOOKUP(A62,'Données projet'!$A$113:$I$133,3,0))</f>
        <v>0</v>
      </c>
      <c r="CG62" s="154">
        <f>IF(ISNA(VLOOKUP(A62,'Données projet'!$A$113:$I$133,4,0)),0,VLOOKUP(A62,'Données projet'!$A$113:$I$133,4,0))</f>
        <v>0</v>
      </c>
      <c r="CH62" s="155">
        <f>IF(ISNA(VLOOKUP(A62,'Données projet'!$A$113:$I$133,5,0)),0%,VLOOKUP(A62,'Données projet'!$A$113:$I$133,5,0)*VLOOKUP('Données projet'!$B$12,'Paramètres'!$A$1:$I$88,7,0))</f>
        <v>0</v>
      </c>
      <c r="CI62" s="155">
        <f>IF(ISNA(VLOOKUP(A62,'Données projet'!$A$113:$I$133,6,0)),0%,VLOOKUP(A62,'Données projet'!$A$113:$I$133,6,0)*VLOOKUP('Données projet'!$B$12,'Paramètres'!$A$1:$I$88,7,0))</f>
        <v>0</v>
      </c>
      <c r="CJ62" s="155">
        <f>IF(ISNA(VLOOKUP(A62,'Données projet'!$A$113:$I$133,7,0)),0%,VLOOKUP(A62,'Données projet'!$A$113:$I$133,7,0))</f>
        <v>0</v>
      </c>
      <c r="CK62" s="162" t="str">
        <f>EXP(-LN(2)/35)*CK61+(1-EXP(-LN(2)/35))/(LN(2)/35)*CG62*CH62*VLOOKUP('Données projet'!$B$12,'Paramètres'!$A$1:$I$88,3,0)*0.475*44/12</f>
        <v>#N/A</v>
      </c>
      <c r="CL62" s="162" t="str">
        <f>EXP(-LN(2)/25)*CL61+(1-EXP(-LN(2)/25))/(LN(2)/25)*Calculateur!CG62*Calculateur!CI62*VLOOKUP('Données projet'!$B$12,'Paramètres'!$A$1:$I$88,3,0)*0.475*44/12</f>
        <v>#N/A</v>
      </c>
      <c r="CM62" s="162" t="str">
        <f>EXP(-LN(2)/2)*CM61+(1-EXP(-LN(2)/2))/(LN(2)/2)*CG62*CJ62*VLOOKUP('Données projet'!$B$12,'Paramètres'!$A$1:$I$88,3,0)*0.475*44/12</f>
        <v>#N/A</v>
      </c>
      <c r="CN62" s="163" t="str">
        <f t="shared" si="13"/>
        <v>#N/A</v>
      </c>
      <c r="CO62" s="159">
        <f>('Scénario référence'!$F$8+'Scénario référence'!$F$9+'Scénario référence'!$B$17+'Scénario référence'!$B$9+'Scénario référence'!$B$10)*70+IF((45+25*(1-EXP(-0.0175*A62)))&lt;70,'Scénario référence'!$B$16*(45+25*(1-EXP(-0.0175*A62))),70*'Scénario référence'!$B$16)+IF((32+38*(1-EXP(-0.0175*A62)))&lt;70,'Scénario référence'!$B$18*(32+38*(1-EXP(-0.0175*A62))),70*'Scénario référence'!$B$18)</f>
        <v>70</v>
      </c>
      <c r="CP62" s="151">
        <f>IF(A62&gt;30,10,('Scénario référence'!$B$16+'Scénario référence'!$B$17+'Scénario référence'!$B$18+'Scénario référence'!$B$9+'Scénario référence'!$B$10)*A62*10/30+('Scénario référence'!$F$8+'Scénario référence'!$F$9)*10)</f>
        <v>10</v>
      </c>
      <c r="CQ62" s="151" t="str">
        <f>VLOOKUP(A62,'Données projet'!$A$139:$I$159,2,0)</f>
        <v>#N/A</v>
      </c>
      <c r="CR62" s="151" t="str">
        <f>VLOOKUP(A62,'Données projet'!$A$139:$I$159,9,0)</f>
        <v>#N/A</v>
      </c>
      <c r="CS62" s="151" t="str">
        <f t="array" ref="CS62">INDEX(CR:CR,MIN(IF(ISNUMBER(CR62:CR258),ROW(CR62:CR258),"")))</f>
        <v/>
      </c>
      <c r="CT62" s="151">
        <f>IF('Données projet'!$A$140&gt;35,CT61+CS62-DB61,IF(A62&lt;'Données projet'!$A$140,$CQ$205^A62,IF(A62='Données projet'!$A$140,'Données projet'!$B$140,CT61+CS62-DB61)))</f>
        <v>0</v>
      </c>
      <c r="CU62" s="158" t="str">
        <f>CT62*VLOOKUP('Données projet'!$B$13,'Paramètres'!$A$1:$I$88,3,0)*VLOOKUP('Données projet'!$B$13,'Paramètres'!$A$1:$I$88,5,0)</f>
        <v>#N/A</v>
      </c>
      <c r="CV62" s="150" t="str">
        <f t="shared" si="42"/>
        <v>#N/A</v>
      </c>
      <c r="CW62" s="161" t="str">
        <f t="shared" si="14"/>
        <v>#N/A</v>
      </c>
      <c r="CX62" s="153" t="str">
        <f t="shared" si="15"/>
        <v>#N/A</v>
      </c>
      <c r="CY62" s="153" t="str">
        <f>AVERAGE(OFFSET($CX$3,0,0,'Données projet'!$E$13+1,1))-AVERAGE(OFFSET($H$3,0,0,'Données projet'!$E$13+1,1))</f>
        <v>#N/A</v>
      </c>
      <c r="CZ62" s="153" t="str">
        <f t="shared" si="43"/>
        <v>#N/A</v>
      </c>
      <c r="DA62" s="154">
        <f>IF(ISNA(VLOOKUP(A62,'Données projet'!$A$139:$I$159,3,0)),0,VLOOKUP(A62,'Données projet'!$A$139:$I$159,3,0))</f>
        <v>0</v>
      </c>
      <c r="DB62" s="154">
        <f>IF(ISNA(VLOOKUP(A62,'Données projet'!$A$139:$I$159,4,0)),0,VLOOKUP(A62,'Données projet'!$A$139:$I$159,4,0))</f>
        <v>0</v>
      </c>
      <c r="DC62" s="155">
        <f>IF(ISNA(VLOOKUP(A62,'Données projet'!$A$139:$I$159,5,0)),0%,VLOOKUP(A62,'Données projet'!$A$139:$I$159,5,0)*VLOOKUP('Données projet'!$B$13,'Paramètres'!$A$1:$I$88,7,0))</f>
        <v>0</v>
      </c>
      <c r="DD62" s="155">
        <f>IF(ISNA(VLOOKUP(A62,'Données projet'!$A$139:$I$159,6,0)),0%,VLOOKUP(A62,'Données projet'!$A$139:$I$159,6,0)*VLOOKUP('Données projet'!$B$13,'Paramètres'!$A$1:$I$88,7,0))</f>
        <v>0</v>
      </c>
      <c r="DE62" s="155">
        <f>IF(ISNA(VLOOKUP(A62,'Données projet'!$A$139:$I$159,7,0)),0%,VLOOKUP(A62,'Données projet'!$A$139:$I$159,7,0))</f>
        <v>0</v>
      </c>
      <c r="DF62" s="162" t="str">
        <f>EXP(-LN(2)/35)*DF61+(1-EXP(-LN(2)/35))/(LN(2)/35)*DB62*DC62*VLOOKUP('Données projet'!$B$13,'Paramètres'!$A$1:$I$88,3,0)*0.475*44/12</f>
        <v>#N/A</v>
      </c>
      <c r="DG62" s="162" t="str">
        <f>EXP(-LN(2)/25)*DG61+(1-EXP(-LN(2)/25))/(LN(2)/25)*Calculateur!DB62*Calculateur!DD62*VLOOKUP('Données projet'!$B$13,'Paramètres'!$A$1:$I$88,3,0)*0.475*44/12</f>
        <v>#N/A</v>
      </c>
      <c r="DH62" s="162" t="str">
        <f>EXP(-LN(2)/2)*DH61+(1-EXP(-LN(2)/2))/(LN(2)/2)*DB62*DE62*VLOOKUP('Données projet'!$B$13,'Paramètres'!$A$1:$I$88,3,0)*0.475*44/12</f>
        <v>#N/A</v>
      </c>
      <c r="DI62" s="163" t="str">
        <f t="shared" si="16"/>
        <v>#N/A</v>
      </c>
      <c r="DJ62" s="159">
        <f>('Scénario référence'!$F$8+'Scénario référence'!$F$9+'Scénario référence'!$B$17+'Scénario référence'!$B$9+'Scénario référence'!$B$10)*70+IF((45+25*(1-EXP(-0.0175*A62)))&lt;70,'Scénario référence'!$B$16*(45+25*(1-EXP(-0.0175*A62))),70*'Scénario référence'!$B$16)+IF((32+38*(1-EXP(-0.0175*A62)))&lt;70,'Scénario référence'!$B$18*(32+38*(1-EXP(-0.0175*A62))),70*'Scénario référence'!$B$18)</f>
        <v>70</v>
      </c>
      <c r="DK62" s="151">
        <f>IF(A62&gt;30,10,('Scénario référence'!$B$16+'Scénario référence'!$B$17+'Scénario référence'!$B$18+'Scénario référence'!$B$9+'Scénario référence'!$B$10)*A62*10/30+('Scénario référence'!$F$8+'Scénario référence'!$F$9)*10)</f>
        <v>10</v>
      </c>
      <c r="DL62" s="151" t="str">
        <f>VLOOKUP(A62,'Données projet'!$A$165:$I$185,2,0)</f>
        <v>#N/A</v>
      </c>
      <c r="DM62" s="151" t="str">
        <f>VLOOKUP(A62,'Données projet'!$A$165:$I$185,9,0)</f>
        <v>#N/A</v>
      </c>
      <c r="DN62" s="151" t="str">
        <f t="array" ref="DN62">INDEX(DM:DM,MIN(IF(ISNUMBER(DM62:DM258),ROW(DM62:DM258),"")))</f>
        <v/>
      </c>
      <c r="DO62" s="151">
        <f>IF('Données projet'!$A$166&gt;35,DO61+DN62-DW61,IF(A62&lt;'Données projet'!$A$166,$DL$205^A62,IF(A62='Données projet'!$A$166,'Données projet'!$B$166,DO61+DN62-DW61)))</f>
        <v>0</v>
      </c>
      <c r="DP62" s="158" t="str">
        <f>DO62*VLOOKUP('Données projet'!$B$14,'Paramètres'!$A$1:$I$88,3,0)*VLOOKUP('Données projet'!$B$14,'Paramètres'!$A$1:$I$88,5,0)</f>
        <v>#N/A</v>
      </c>
      <c r="DQ62" s="150" t="str">
        <f t="shared" si="44"/>
        <v>#N/A</v>
      </c>
      <c r="DR62" s="161" t="str">
        <f t="shared" si="17"/>
        <v>#N/A</v>
      </c>
      <c r="DS62" s="153" t="str">
        <f t="shared" si="18"/>
        <v>#N/A</v>
      </c>
      <c r="DT62" s="153" t="str">
        <f>AVERAGE(OFFSET($DS$3,0,0,'Données projet'!$E$14+1,1))-AVERAGE(OFFSET($H$3,0,0,'Données projet'!$E$14+1,1))</f>
        <v>#N/A</v>
      </c>
      <c r="DU62" s="153" t="str">
        <f t="shared" si="45"/>
        <v>#N/A</v>
      </c>
      <c r="DV62" s="154">
        <f>IF(ISNA(VLOOKUP(A62,'Données projet'!$A$165:$I$185,3,0)),0,VLOOKUP(A62,'Données projet'!$A$165:$I$185,3,0))</f>
        <v>0</v>
      </c>
      <c r="DW62" s="154">
        <f>IF(ISNA(VLOOKUP(A62,'Données projet'!$A$165:$I$185,4,0)),0,VLOOKUP(A62,'Données projet'!$A$165:$I$185,4,0))</f>
        <v>0</v>
      </c>
      <c r="DX62" s="155">
        <f>IF(ISNA(VLOOKUP(A62,'Données projet'!$A$165:$I$185,5,0)),0%,VLOOKUP(A62,'Données projet'!$A$165:$I$185,5,0)*VLOOKUP('Données projet'!$B$14,'Paramètres'!$A$1:$I$88,7,0))</f>
        <v>0</v>
      </c>
      <c r="DY62" s="155">
        <f>IF(ISNA(VLOOKUP(A62,'Données projet'!$A$165:$I$185,6,0)),0%,VLOOKUP(A62,'Données projet'!$A$165:$I$185,6,0)*VLOOKUP('Données projet'!$B$14,'Paramètres'!$A$1:$I$88,7,0))</f>
        <v>0</v>
      </c>
      <c r="DZ62" s="155">
        <f>IF(ISNA(VLOOKUP(A62,'Données projet'!$A$165:$I$185,7,0)),0%,VLOOKUP(A62,'Données projet'!$A$165:$I$185,7,0))</f>
        <v>0</v>
      </c>
      <c r="EA62" s="162" t="str">
        <f>EXP(-LN(2)/35)*EA61+(1-EXP(-LN(2)/35))/(LN(2)/35)*DW62*DX62*VLOOKUP('Données projet'!$B$14,'Paramètres'!$A$1:$I$88,3,0)*0.475*44/12</f>
        <v>#N/A</v>
      </c>
      <c r="EB62" s="162" t="str">
        <f>EXP(-LN(2)/25)*EB61+(1-EXP(-LN(2)/25))/(LN(2)/25)*Calculateur!DW62*Calculateur!DY62*VLOOKUP('Données projet'!$B$14,'Paramètres'!$A$1:$I$88,3,0)*0.475*44/12</f>
        <v>#N/A</v>
      </c>
      <c r="EC62" s="162" t="str">
        <f>EXP(-LN(2)/2)*EC61+(1-EXP(-LN(2)/2))/(LN(2)/2)*DW62*DZ62*VLOOKUP('Données projet'!$B$14,'Paramètres'!$A$1:$I$88,3,0)*0.475*44/12</f>
        <v>#N/A</v>
      </c>
      <c r="ED62" s="163" t="str">
        <f t="shared" si="19"/>
        <v>#N/A</v>
      </c>
      <c r="EE62" s="159">
        <f>('Scénario référence'!$F$8+'Scénario référence'!$F$9+'Scénario référence'!$B$17+'Scénario référence'!$B$9+'Scénario référence'!$B$10)*70+IF((45+25*(1-EXP(-0.0175*A62)))&lt;70,'Scénario référence'!$B$16*(45+25*(1-EXP(-0.0175*A62))),70*'Scénario référence'!$B$16)+IF((32+38*(1-EXP(-0.0175*A62)))&lt;70,'Scénario référence'!$B$18*(32+38*(1-EXP(-0.0175*A62))),70*'Scénario référence'!$B$18)</f>
        <v>70</v>
      </c>
      <c r="EF62" s="151">
        <f>IF(A62&gt;30,10,('Scénario référence'!$B$16+'Scénario référence'!$B$17+'Scénario référence'!$B$18+'Scénario référence'!$B$9+'Scénario référence'!$B$10)*A62*10/30+('Scénario référence'!$F$8+'Scénario référence'!$F$9)*10)</f>
        <v>10</v>
      </c>
      <c r="EG62" s="151" t="str">
        <f>VLOOKUP(A62,'Données projet'!$A$191:$I$211,2,0)</f>
        <v>#N/A</v>
      </c>
      <c r="EH62" s="151" t="str">
        <f>VLOOKUP(A62,'Données projet'!$A$191:$I$211,9,0)</f>
        <v>#N/A</v>
      </c>
      <c r="EI62" s="151" t="str">
        <f t="array" ref="EI62">INDEX(EH:EH,MIN(IF(ISNUMBER(EH62:EH258),ROW(EH62:EH258),"")))</f>
        <v/>
      </c>
      <c r="EJ62" s="151">
        <f>IF('Données projet'!$A$192&gt;35,EJ61+EI62-ER61,IF(A62&lt;'Données projet'!$A$192,$EG$205^A62,IF(A62='Données projet'!$A$192,'Données projet'!$B$192,EJ61+EI62-ER61)))</f>
        <v>0</v>
      </c>
      <c r="EK62" s="158" t="str">
        <f>EJ62*VLOOKUP('Données projet'!$B$15,'Paramètres'!$A$1:$I$88,3,0)*VLOOKUP('Données projet'!$B$15,'Paramètres'!$A$1:$I$88,5,0)</f>
        <v>#N/A</v>
      </c>
      <c r="EL62" s="150" t="str">
        <f t="shared" si="46"/>
        <v>#N/A</v>
      </c>
      <c r="EM62" s="161" t="str">
        <f t="shared" si="20"/>
        <v>#N/A</v>
      </c>
      <c r="EN62" s="153" t="str">
        <f t="shared" si="21"/>
        <v>#N/A</v>
      </c>
      <c r="EO62" s="153" t="str">
        <f>AVERAGE(OFFSET($EN$3,0,0,'Données projet'!$E$15+1,1))-AVERAGE(OFFSET($H$3,0,0,'Données projet'!$E$15+1,1))</f>
        <v>#N/A</v>
      </c>
      <c r="EP62" s="153" t="str">
        <f t="shared" si="47"/>
        <v>#N/A</v>
      </c>
      <c r="EQ62" s="154">
        <f>IF(ISNA(VLOOKUP(A62,'Données projet'!$A$191:$I$211,3,0)),0,VLOOKUP(A62,'Données projet'!$A$191:$I$211,3,0))</f>
        <v>0</v>
      </c>
      <c r="ER62" s="154">
        <f>IF(ISNA(VLOOKUP(A62,'Données projet'!$A$191:$I$211,4,0)),0,VLOOKUP(A62,'Données projet'!$A$191:$I$211,4,0))</f>
        <v>0</v>
      </c>
      <c r="ES62" s="155">
        <f>IF(ISNA(VLOOKUP(A62,'Données projet'!$A$191:$I$211,5,0)),0%,VLOOKUP(A62,'Données projet'!$A$191:$I$211,5,0)*VLOOKUP('Données projet'!$B$15,'Paramètres'!$A$1:$I$88,7,0))</f>
        <v>0</v>
      </c>
      <c r="ET62" s="155">
        <f>IF(ISNA(VLOOKUP(A62,'Données projet'!$A$191:$I$211,6,0)),0%,VLOOKUP(A62,'Données projet'!$A$191:$I$211,6,0)*VLOOKUP('Données projet'!$B$15,'Paramètres'!$A$1:$I$88,7,0))</f>
        <v>0</v>
      </c>
      <c r="EU62" s="155">
        <f>IF(ISNA(VLOOKUP(A62,'Données projet'!$A$191:$I$211,7,0)),0%,VLOOKUP(A62,'Données projet'!$A$191:$I$211,7,0))</f>
        <v>0</v>
      </c>
      <c r="EV62" s="162" t="str">
        <f>EXP(-LN(2)/35)*EV61+(1-EXP(-LN(2)/35))/(LN(2)/35)*ER62*ES62*VLOOKUP('Données projet'!$B$15,'Paramètres'!$A$1:$I$88,3,0)*0.475*44/12</f>
        <v>#N/A</v>
      </c>
      <c r="EW62" s="162" t="str">
        <f>EXP(-LN(2)/25)*EW61+(1-EXP(-LN(2)/25))/(LN(2)/25)*Calculateur!ER62*Calculateur!ET62*VLOOKUP('Données projet'!$B$15,'Paramètres'!$A$1:$I$88,3,0)*0.475*44/12</f>
        <v>#N/A</v>
      </c>
      <c r="EX62" s="162" t="str">
        <f>EXP(-LN(2)/2)*EX61+(1-EXP(-LN(2)/2))/(LN(2)/2)*ER62*EU62*VLOOKUP('Données projet'!$B$15,'Paramètres'!$A$1:$I$88,3,0)*0.475*44/12</f>
        <v>#N/A</v>
      </c>
      <c r="EY62" s="163" t="str">
        <f t="shared" si="22"/>
        <v>#N/A</v>
      </c>
      <c r="EZ62" s="159">
        <f>('Scénario référence'!$F$8+'Scénario référence'!$F$9+'Scénario référence'!$B$17+'Scénario référence'!$B$9+'Scénario référence'!$B$10)*70+IF((45+25*(1-EXP(-0.0175*A62)))&lt;70,'Scénario référence'!$B$16*(45+25*(1-EXP(-0.0175*A62))),70*'Scénario référence'!$B$16)+IF((32+38*(1-EXP(-0.0175*A62)))&lt;70,'Scénario référence'!$B$18*(32+38*(1-EXP(-0.0175*A62))),70*'Scénario référence'!$B$18)</f>
        <v>70</v>
      </c>
      <c r="FA62" s="151">
        <f>IF(A62&gt;30,10,('Scénario référence'!$B$16+'Scénario référence'!$B$17+'Scénario référence'!$B$18+'Scénario référence'!$B$9+'Scénario référence'!$B$10)*A62*10/30+('Scénario référence'!$F$8+'Scénario référence'!$F$9)*10)</f>
        <v>10</v>
      </c>
      <c r="FB62" s="151" t="str">
        <f>VLOOKUP(A62,'Données projet'!$A$217:$I$237,2,0)</f>
        <v>#N/A</v>
      </c>
      <c r="FC62" s="151" t="str">
        <f>VLOOKUP(A62,'Données projet'!$A$217:$I$237,9,0)</f>
        <v>#N/A</v>
      </c>
      <c r="FD62" s="151" t="str">
        <f t="array" ref="FD62">INDEX(FC:FC,MIN(IF(ISNUMBER(FC62:FC258),ROW(FC62:FC258),"")))</f>
        <v/>
      </c>
      <c r="FE62" s="151">
        <f>IF('Données projet'!$A$218&gt;35,FE61+FD62-FM61,IF(A62&lt;'Données projet'!$A$218,$FB$205^A62,IF(A62='Données projet'!$A$218,'Données projet'!$B$218,FE61+FD62-FM61)))</f>
        <v>0</v>
      </c>
      <c r="FF62" s="158" t="str">
        <f>FE62*VLOOKUP('Données projet'!$B$16,'Paramètres'!$A$1:$I$88,3,0)*VLOOKUP('Données projet'!$B$16,'Paramètres'!$A$1:$I$88,5,0)</f>
        <v>#N/A</v>
      </c>
      <c r="FG62" s="150" t="str">
        <f t="shared" si="48"/>
        <v>#N/A</v>
      </c>
      <c r="FH62" s="161" t="str">
        <f t="shared" si="23"/>
        <v>#N/A</v>
      </c>
      <c r="FI62" s="153" t="str">
        <f t="shared" si="24"/>
        <v>#N/A</v>
      </c>
      <c r="FJ62" s="153" t="str">
        <f>AVERAGE(OFFSET($FI$3,0,0,'Données projet'!$E$16+1,1))-AVERAGE(OFFSET($H$3,0,0,'Données projet'!$E$16+1,1))</f>
        <v>#N/A</v>
      </c>
      <c r="FK62" s="153" t="str">
        <f t="shared" si="49"/>
        <v>#N/A</v>
      </c>
      <c r="FL62" s="154">
        <f>IF(ISNA(VLOOKUP(A62,'Données projet'!$A$217:$I$237,3,0)),0,VLOOKUP(A62,'Données projet'!$A$217:$I$237,3,0))</f>
        <v>0</v>
      </c>
      <c r="FM62" s="154">
        <f>IF(ISNA(VLOOKUP(A62,'Données projet'!$A$217:$I$237,4,0)),0,VLOOKUP(A62,'Données projet'!$A$217:$I$237,4,0))</f>
        <v>0</v>
      </c>
      <c r="FN62" s="155">
        <f>IF(ISNA(VLOOKUP(A62,'Données projet'!$A$217:$I$237,5,0)),0%,VLOOKUP(A62,'Données projet'!$A$217:$I$237,5,0)*VLOOKUP('Données projet'!$B$16,'Paramètres'!$A$1:$I$88,7,0))</f>
        <v>0</v>
      </c>
      <c r="FO62" s="155">
        <f>IF(ISNA(VLOOKUP(A62,'Données projet'!$A$217:$I$237,6,0)),0%,VLOOKUP(A62,'Données projet'!$A$217:$I$237,6,0)*VLOOKUP('Données projet'!$B$16,'Paramètres'!$A$1:$I$88,7,0))</f>
        <v>0</v>
      </c>
      <c r="FP62" s="155">
        <f>IF(ISNA(VLOOKUP(A62,'Données projet'!$A$217:$I$237,7,0)),0%,VLOOKUP(A62,'Données projet'!$A$217:$I$237,7,0))</f>
        <v>0</v>
      </c>
      <c r="FQ62" s="162" t="str">
        <f>EXP(-LN(2)/35)*FQ61+(1-EXP(-LN(2)/35))/(LN(2)/35)*FM62*FN62*VLOOKUP('Données projet'!$B$16,'Paramètres'!$A$1:$I$88,3,0)*0.475*44/12</f>
        <v>#N/A</v>
      </c>
      <c r="FR62" s="162" t="str">
        <f>EXP(-LN(2)/25)*FR61+(1-EXP(-LN(2)/25))/(LN(2)/25)*Calculateur!FM62*Calculateur!FO62*VLOOKUP('Données projet'!$B$16,'Paramètres'!$A$1:$I$88,3,0)*0.475*44/12</f>
        <v>#N/A</v>
      </c>
      <c r="FS62" s="162" t="str">
        <f>EXP(-LN(2)/2)*FS61+(1-EXP(-LN(2)/2))/(LN(2)/2)*FM62*FP62*VLOOKUP('Données projet'!$B$16,'Paramètres'!$A$1:$I$88,3,0)*0.475*44/12</f>
        <v>#N/A</v>
      </c>
      <c r="FT62" s="163" t="str">
        <f t="shared" si="25"/>
        <v>#N/A</v>
      </c>
      <c r="FU62" s="159">
        <f>('Scénario référence'!$F$8+'Scénario référence'!$F$9+'Scénario référence'!$B$17+'Scénario référence'!$B$9+'Scénario référence'!$B$10)*70+IF((45+25*(1-EXP(-0.0175*A62)))&lt;70,'Scénario référence'!$B$16*(45+25*(1-EXP(-0.0175*A62))),70*'Scénario référence'!$B$16)+IF((32+38*(1-EXP(-0.0175*A62)))&lt;70,'Scénario référence'!$B$18*(32+38*(1-EXP(-0.0175*A62))),70*'Scénario référence'!$B$18)</f>
        <v>70</v>
      </c>
      <c r="FV62" s="151">
        <f>IF(A62&gt;30,10,('Scénario référence'!$B$16+'Scénario référence'!$B$17+'Scénario référence'!$B$18+'Scénario référence'!$B$9+'Scénario référence'!$B$10)*A62*10/30+('Scénario référence'!$F$8+'Scénario référence'!$F$9)*10)</f>
        <v>10</v>
      </c>
      <c r="FW62" s="151" t="str">
        <f>VLOOKUP(A62,'Données projet'!$A$243:$I$263,2,0)</f>
        <v>#N/A</v>
      </c>
      <c r="FX62" s="151" t="str">
        <f>VLOOKUP(A62,'Données projet'!$A$243:$I$263,9,0)</f>
        <v>#N/A</v>
      </c>
      <c r="FY62" s="151" t="str">
        <f t="array" ref="FY62">INDEX(FX:FX,MIN(IF(ISNUMBER(FX62:FX258),ROW(FX62:FX258),"")))</f>
        <v/>
      </c>
      <c r="FZ62" s="151">
        <f>IF('Données projet'!$A$244&gt;35,FZ61+FY62-GH61,IF(A62&lt;'Données projet'!$A$244,$FW$205^A62,IF(A62='Données projet'!$A$244,'Données projet'!$B$244,FZ61+FY62-GH61)))</f>
        <v>0</v>
      </c>
      <c r="GA62" s="158" t="str">
        <f>FZ62*VLOOKUP('Données projet'!$B$17,'Paramètres'!$A$1:$I$88,3,0)*VLOOKUP('Données projet'!$B$17,'Paramètres'!$A$1:$I$88,5,0)</f>
        <v>#N/A</v>
      </c>
      <c r="GB62" s="150" t="str">
        <f t="shared" si="50"/>
        <v>#N/A</v>
      </c>
      <c r="GC62" s="161" t="str">
        <f t="shared" si="26"/>
        <v>#N/A</v>
      </c>
      <c r="GD62" s="153" t="str">
        <f t="shared" si="27"/>
        <v>#N/A</v>
      </c>
      <c r="GE62" s="153" t="str">
        <f>AVERAGE(OFFSET($GD$3,0,0,'Données projet'!$E$17+1,1))-AVERAGE(OFFSET($H$3,0,0,'Données projet'!$E$17+1,1))</f>
        <v>#N/A</v>
      </c>
      <c r="GF62" s="153" t="str">
        <f t="shared" si="51"/>
        <v>#N/A</v>
      </c>
      <c r="GG62" s="154">
        <f>IF(ISNA(VLOOKUP(A62,'Données projet'!$A$243:$I$263,3,0)),0,VLOOKUP(A62,'Données projet'!$A$243:$I$263,3,0))</f>
        <v>0</v>
      </c>
      <c r="GH62" s="154">
        <f>IF(ISNA(VLOOKUP(A62,'Données projet'!$A$243:$I$263,4,0)),0,VLOOKUP(A62,'Données projet'!$A$243:$I$263,4,0))</f>
        <v>0</v>
      </c>
      <c r="GI62" s="155">
        <f>IF(ISNA(VLOOKUP(A62,'Données projet'!$A$243:$I$263,5,0)),0%,VLOOKUP(A62,'Données projet'!$A$243:$I$263,5,0)*VLOOKUP('Données projet'!$B$17,'Paramètres'!$A$1:$I$88,7,0))</f>
        <v>0</v>
      </c>
      <c r="GJ62" s="155">
        <f>IF(ISNA(VLOOKUP(A62,'Données projet'!$A$243:$I$263,6,0)),0%,VLOOKUP(A62,'Données projet'!$A$243:$I$263,6,0)*VLOOKUP('Données projet'!$B$17,'Paramètres'!$A$1:$I$88,7,0))</f>
        <v>0</v>
      </c>
      <c r="GK62" s="155">
        <f>IF(ISNA(VLOOKUP(A62,'Données projet'!$A$243:$I$263,7,0)),0%,VLOOKUP(A62,'Données projet'!$A$243:$I$263,7,0))</f>
        <v>0</v>
      </c>
      <c r="GL62" s="162" t="str">
        <f>EXP(-LN(2)/35)*GL61+(1-EXP(-LN(2)/35))/(LN(2)/35)*GH62*GI62*VLOOKUP('Données projet'!$B$17,'Paramètres'!$A$1:$I$88,3,0)*0.475*44/12</f>
        <v>#N/A</v>
      </c>
      <c r="GM62" s="162" t="str">
        <f>EXP(-LN(2)/25)*GM61+(1-EXP(-LN(2)/25))/(LN(2)/25)*Calculateur!GH62*Calculateur!GJ62*VLOOKUP('Données projet'!$B$17,'Paramètres'!$A$1:$I$88,3,0)*0.475*44/12</f>
        <v>#N/A</v>
      </c>
      <c r="GN62" s="162" t="str">
        <f>EXP(-LN(2)/2)*GN61+(1-EXP(-LN(2)/2))/(LN(2)/2)*GH62*GK62*VLOOKUP('Données projet'!$B$17,'Paramètres'!$A$1:$I$88,3,0)*0.475*44/12</f>
        <v>#N/A</v>
      </c>
      <c r="GO62" s="162" t="str">
        <f t="shared" si="28"/>
        <v>#N/A</v>
      </c>
      <c r="GP62" s="159">
        <f>('Scénario référence'!$F$8+'Scénario référence'!$F$9+'Scénario référence'!$B$17+'Scénario référence'!$B$9+'Scénario référence'!$B$10)*70+IF((45+25*(1-EXP(-0.0175*A62)))&lt;70,'Scénario référence'!$B$16*(45+25*(1-EXP(-0.0175*A62))),70*'Scénario référence'!$B$16)+IF((32+38*(1-EXP(-0.0175*A62)))&lt;70,'Scénario référence'!$B$18*(32+38*(1-EXP(-0.0175*A62))),70*'Scénario référence'!$B$18)</f>
        <v>70</v>
      </c>
      <c r="GQ62" s="151">
        <f>IF(A62&gt;30,10,('Scénario référence'!$B$16+'Scénario référence'!$B$17+'Scénario référence'!$B$18+'Scénario référence'!$B$9+'Scénario référence'!$B$10)*A62*10/30+('Scénario référence'!$F$8+'Scénario référence'!$F$9)*10)</f>
        <v>10</v>
      </c>
      <c r="GR62" s="151" t="str">
        <f>VLOOKUP(A62,'Données projet'!$A$269:$I$289,2,0)</f>
        <v>#N/A</v>
      </c>
      <c r="GS62" s="151" t="str">
        <f>VLOOKUP(A62,'Données projet'!$A$269:$I$289,9,0)</f>
        <v>#N/A</v>
      </c>
      <c r="GT62" s="151" t="str">
        <f t="array" ref="GT62">INDEX(GS:GS,MIN(IF(ISNUMBER(GS62:GS258),ROW(GS62:GS258),"")))</f>
        <v/>
      </c>
      <c r="GU62" s="151">
        <f>IF('Données projet'!$A$270&gt;35,GU61+GT62-HC61,IF(A62&lt;'Données projet'!$A$270,$GR$205^A62,IF(A62='Données projet'!$A$270,'Données projet'!$B$270,GU61+GT62-HC61)))</f>
        <v>0</v>
      </c>
      <c r="GV62" s="158" t="str">
        <f>GU62*VLOOKUP('Données projet'!$B$18,'Paramètres'!$A$1:$I$88,3,0)*VLOOKUP('Données projet'!$B$18,'Paramètres'!$A$1:$I$88,5,0)</f>
        <v>#N/A</v>
      </c>
      <c r="GW62" s="150" t="str">
        <f t="shared" si="52"/>
        <v>#N/A</v>
      </c>
      <c r="GX62" s="161" t="str">
        <f t="shared" si="29"/>
        <v>#N/A</v>
      </c>
      <c r="GY62" s="153" t="str">
        <f t="shared" si="30"/>
        <v>#N/A</v>
      </c>
      <c r="GZ62" s="153" t="str">
        <f>AVERAGE(OFFSET($GY$3,0,0,'Données projet'!$E$18+1,1))-AVERAGE(OFFSET($H$3,0,0,'Données projet'!$E$18+1,1))</f>
        <v>#N/A</v>
      </c>
      <c r="HA62" s="153" t="str">
        <f t="shared" si="53"/>
        <v>#N/A</v>
      </c>
      <c r="HB62" s="154">
        <f>IF(ISNA(VLOOKUP(A62,'Données projet'!$A$269:$I$289,3,0)),0,VLOOKUP(A62,'Données projet'!$A$269:$I$289,3,0))</f>
        <v>0</v>
      </c>
      <c r="HC62" s="154">
        <f>IF(ISNA(VLOOKUP(A62,'Données projet'!$A$269:$I$289,4,0)),0,VLOOKUP(A62,'Données projet'!$A$269:$I$289,4,0))</f>
        <v>0</v>
      </c>
      <c r="HD62" s="155">
        <f>IF(ISNA(VLOOKUP(A62,'Données projet'!$A$269:$I$289,5,0)),0%,VLOOKUP(A62,'Données projet'!$A$269:$I$289,5,0)*VLOOKUP('Données projet'!$B$18,'Paramètres'!$A$1:$I$88,7,0))</f>
        <v>0</v>
      </c>
      <c r="HE62" s="155">
        <f>IF(ISNA(VLOOKUP(A62,'Données projet'!$A$269:$I$289,6,0)),0%,VLOOKUP(A62,'Données projet'!$A$269:$I$289,6,0)*VLOOKUP('Données projet'!$B$18,'Paramètres'!$A$1:$I$88,7,0))</f>
        <v>0</v>
      </c>
      <c r="HF62" s="155">
        <f>IF(ISNA(VLOOKUP(A62,'Données projet'!$A$269:$I$289,7,0)),0%,VLOOKUP(A62,'Données projet'!$A$269:$I$289,7,0))</f>
        <v>0</v>
      </c>
      <c r="HG62" s="162" t="str">
        <f>EXP(-LN(2)/35)*HG61+(1-EXP(-LN(2)/35))/(LN(2)/35)*HC62*HD62*VLOOKUP('Données projet'!$B$18,'Paramètres'!$A$1:$I$88,3,0)*0.475*44/12</f>
        <v>#N/A</v>
      </c>
      <c r="HH62" s="162" t="str">
        <f>EXP(-LN(2)/25)*HH61+(1-EXP(-LN(2)/25))/(LN(2)/25)*Calculateur!HC62*Calculateur!HE62*VLOOKUP('Données projet'!$B$18,'Paramètres'!$A$1:$I$88,3,0)*0.475*44/12</f>
        <v>#N/A</v>
      </c>
      <c r="HI62" s="162" t="str">
        <f>EXP(-LN(2)/2)*HI61+(1-EXP(-LN(2)/2))/(LN(2)/2)*HC62*HF62*VLOOKUP('Données projet'!$B$18,'Paramètres'!$A$1:$I$88,3,0)*0.475*44/12</f>
        <v>#N/A</v>
      </c>
      <c r="HJ62" s="163" t="str">
        <f t="shared" si="31"/>
        <v>#N/A</v>
      </c>
    </row>
    <row r="63" ht="15.75" customHeight="1">
      <c r="A63" s="145">
        <f t="shared" si="32"/>
        <v>60</v>
      </c>
      <c r="B63" s="146">
        <f>'Scénario référence'!$B$16*5+'Scénario référence'!$B$17*0+'Scénario référence'!$B$18*5</f>
        <v>0</v>
      </c>
      <c r="C63" s="160">
        <f>Calculateur!C62+'Scénario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63" s="147">
        <f t="shared" si="33"/>
        <v>0</v>
      </c>
      <c r="E63" s="147">
        <f>'Scénario référence'!$B$16*45+('Scénario référence'!$B$17+'Scénario référence'!$F$8+'Scénario référence'!$F$9+'Scénario référence'!$B$10+'Scénario référence'!$B$9)*70+'Scénario référence'!$B$18*32</f>
        <v>70</v>
      </c>
      <c r="F63" s="147">
        <f>IF(OR('Scénario référence'!$F$8&gt;0,'Scénario référence'!$F$9&gt;0),('Scénario référence'!$F$8+'Scénario référence'!$F$9)*10,0)</f>
        <v>0</v>
      </c>
      <c r="G63" s="147">
        <f>'Scénario référence'!$B$8*B63*44/12+'Scénario référence'!$B$9*(C63+D63)/0.475*44/12+'Scénario référence'!$B$10*(C63+D63)/0.475*44/12+'Scénario référence'!$F$8*(C63+D63)/0.475*44/12+'Scénario référence'!$F$9*(C63+D63)/0.475*44/12</f>
        <v>0</v>
      </c>
      <c r="H63" s="148">
        <f t="shared" si="1"/>
        <v>256.6666667</v>
      </c>
      <c r="I63" s="149">
        <f>('Scénario référence'!$F$8+'Scénario référence'!$F$9+'Scénario référence'!$B$17+'Scénario référence'!$B$9+'Scénario référence'!$B$10)*70+IF((45+25*(1-EXP(-0.0175*A63)))&lt;70,'Scénario référence'!$B$16*(45+25*(1-EXP(-0.0175*A63))),70*'Scénario référence'!$B$16)+IF((32+38*(1-EXP(-0.0175*A63)))&lt;70,'Scénario référence'!$B$18*(32+38*(1-EXP(-0.0175*A63))),70*'Scénario référence'!$B$18)</f>
        <v>70</v>
      </c>
      <c r="J63" s="150">
        <f>IF(A63&gt;30,10,('Scénario référence'!$B$16+'Scénario référence'!$B$17+'Scénario référence'!$B$18+'Scénario référence'!$B$9+'Scénario référence'!$B$10)*A63*10/30+('Scénario référence'!$F$8+'Scénario référence'!$F$9)*10)</f>
        <v>10</v>
      </c>
      <c r="K63" s="165">
        <f>VLOOKUP(A63,'Données projet'!$A$35:$I$55,2,0)</f>
        <v>273</v>
      </c>
      <c r="L63" s="151">
        <f>VLOOKUP(A63,'Données projet'!$A$35:$I$55,9,0)</f>
        <v>9.4</v>
      </c>
      <c r="M63" s="150">
        <f t="array" ref="M63">INDEX(L:L,MIN(IF(ISNUMBER(L63:L259),ROW(L63:L259),"")))</f>
        <v>9.4</v>
      </c>
      <c r="N63" s="150">
        <f>IF('Données projet'!$A$36&gt;35,N62+M63-V62,IF(A63&lt;'Données projet'!$A$36,$K$205^A63,IF(A63='Données projet'!$A$36,'Données projet'!$B$36,N62+M63-V62)))</f>
        <v>273</v>
      </c>
      <c r="O63" s="150">
        <f>N63*VLOOKUP('Données projet'!$B$9,'Paramètres'!$A$1:$I$88,3,0)*VLOOKUP('Données projet'!$B$9,'Paramètres'!$A$1:$I$88,5,0)</f>
        <v>247.0104</v>
      </c>
      <c r="P63" s="150">
        <f t="shared" si="34"/>
        <v>59.94531546</v>
      </c>
      <c r="Q63" s="161">
        <f t="shared" si="2"/>
        <v>534.6145378</v>
      </c>
      <c r="R63" s="153">
        <f t="shared" si="3"/>
        <v>827.9478711</v>
      </c>
      <c r="S63" s="153">
        <f>AVERAGE(OFFSET($R$3,0,0,'Données projet'!$E$9+1,1))-AVERAGE(OFFSET($H$3,0,0,'Données projet'!$E$9+1,1))</f>
        <v>439.1985427</v>
      </c>
      <c r="T63" s="153">
        <f t="shared" si="35"/>
        <v>278.2174123</v>
      </c>
      <c r="U63" s="154">
        <f>IF(ISNA(VLOOKUP(A63,'Données projet'!$A$35:$I$55,3,0)),0,VLOOKUP(A63,'Données projet'!$A$35:$I$55,3,0))</f>
        <v>9</v>
      </c>
      <c r="V63" s="164">
        <f>IF(ISNA(VLOOKUP(A63,'Données projet'!$A$35:$I$55,4,0)),0,VLOOKUP(A63,'Données projet'!$A$35:$I$55,4,0))</f>
        <v>28</v>
      </c>
      <c r="W63" s="155">
        <f>IF(ISNA(VLOOKUP(A63,'Données projet'!$A$35:$I$55,5,0)),0%,VLOOKUP(A63,'Données projet'!$A$35:$I$55,5,0)*VLOOKUP('Données projet'!$B$9,'Paramètres'!$A$1:$I$88,7,0))</f>
        <v>0</v>
      </c>
      <c r="X63" s="155">
        <f>IF(ISNA(VLOOKUP(A63,'Données projet'!$A$35:$I$55,6,0)),0%,VLOOKUP(A63,'Données projet'!$A$35:$I$55,6,0)*VLOOKUP('Données projet'!$B$9,'Paramètres'!$A$1:$I$88,7,0))</f>
        <v>0</v>
      </c>
      <c r="Y63" s="155" t="str">
        <f>IF(ISNA(VLOOKUP(A63,'Données projet'!$A$35:$I$55,7,0)),0%,VLOOKUP(A63,'Données projet'!$A$35:$I$55,7,0))</f>
        <v/>
      </c>
      <c r="Z63" s="162">
        <f>EXP(-LN(2)/35)*Z62+(1-EXP(-LN(2)/35))/(LN(2)/35)*V63*W63*VLOOKUP('Données projet'!$B$9,'Paramètres'!$A$1:$I$88,3,0)*0.475*44/12</f>
        <v>0</v>
      </c>
      <c r="AA63" s="162">
        <f>EXP(-LN(2)/25)*AA62+(1-EXP(-LN(2)/25))/(LN(2)/25)*Calculateur!V63*Calculateur!X63*VLOOKUP('Données projet'!$B$9,'Paramètres'!$A$1:$I$88,3,0)*0.475*44/12</f>
        <v>1.953332986</v>
      </c>
      <c r="AB63" s="162">
        <f>EXP(-LN(2)/2)*AB62+(1-EXP(-LN(2)/2))/(LN(2)/2)*V63*Y63*VLOOKUP('Données projet'!$B$9,'Paramètres'!$A$1:$I$88,3,0)*0.475*44/12</f>
        <v>0</v>
      </c>
      <c r="AC63" s="163">
        <f t="shared" si="4"/>
        <v>1.953332986</v>
      </c>
      <c r="AD63" s="150">
        <f>('Scénario référence'!$F$8+'Scénario référence'!$F$9+'Scénario référence'!$B$17+'Scénario référence'!$B$9+'Scénario référence'!$B$10)*70+IF((45+25*(1-EXP(-0.0175*A63)))&lt;70,'Scénario référence'!$B$16*(45+25*(1-EXP(-0.0175*A63))),70*'Scénario référence'!$B$16)+IF((32+38*(1-EXP(-0.0175*A63)))&lt;70,'Scénario référence'!$B$18*(32+38*(1-EXP(-0.0175*A63))),70*'Scénario référence'!$B$18)</f>
        <v>70</v>
      </c>
      <c r="AE63" s="150">
        <f>IF(A63&gt;30,10,('Scénario référence'!$B$16+'Scénario référence'!$B$17+'Scénario référence'!$B$18+'Scénario référence'!$B$9+'Scénario référence'!$B$10)*A63*10/30+('Scénario référence'!$F$8+'Scénario référence'!$F$9)*10)</f>
        <v>10</v>
      </c>
      <c r="AF63" s="151">
        <f>VLOOKUP(A63,'Données projet'!$A$61:$I$81,2,0)</f>
        <v>343</v>
      </c>
      <c r="AG63" s="150">
        <f>VLOOKUP(A63,'Données projet'!$A$61:$I$81,9,0)</f>
        <v>7.4</v>
      </c>
      <c r="AH63" s="150">
        <f t="array" ref="AH63">INDEX(AG:AG,MIN(IF(ISNUMBER(AG63:AG259),ROW(AG63:AG259),"")))</f>
        <v>7.4</v>
      </c>
      <c r="AI63" s="150">
        <f>IF('Données projet'!$A$62&gt;35,AI62+AH63-AQ62,IF(A63&lt;'Données projet'!$A$62,$AF$205^A63,IF(A63='Données projet'!$A$62,'Données projet'!$B$62,AI62+AH63-AQ62)))</f>
        <v>343</v>
      </c>
      <c r="AJ63" s="150">
        <f>AI63*VLOOKUP('Données projet'!$B$10,'Paramètres'!$A$1:$I$88,3,0)*VLOOKUP('Données projet'!$B$10,'Paramètres'!$A$1:$I$88,5,0)</f>
        <v>272.8908</v>
      </c>
      <c r="AK63" s="150">
        <f t="shared" si="36"/>
        <v>65.46238923</v>
      </c>
      <c r="AL63" s="161">
        <f t="shared" si="5"/>
        <v>589.2984712</v>
      </c>
      <c r="AM63" s="153">
        <f t="shared" si="6"/>
        <v>882.6318046</v>
      </c>
      <c r="AN63" s="153">
        <f>AVERAGE(OFFSET($AM$3,0,0,'Données projet'!$E$10+1,1))-AVERAGE(OFFSET($H$3,0,0,'Données projet'!$E$10+1,1))</f>
        <v>405.6113614</v>
      </c>
      <c r="AO63" s="153">
        <f t="shared" si="37"/>
        <v>393.0787141</v>
      </c>
      <c r="AP63" s="154">
        <f>IF(ISNA(VLOOKUP(A63,'Données projet'!$A$61:$I$81,3,0)),0,VLOOKUP(A63,'Données projet'!$A$61:$I$81,3,0))</f>
        <v>11</v>
      </c>
      <c r="AQ63" s="164">
        <f>IF(ISNA(VLOOKUP(A63,'Données projet'!$A$61:$I$81,4,0)),0,VLOOKUP(A63,'Données projet'!$A$61:$I$81,4,0))</f>
        <v>17</v>
      </c>
      <c r="AR63" s="155">
        <f>IF(ISNA(VLOOKUP(A63,'Données projet'!$A$61:$I$81,5,0)),0%,VLOOKUP(A63,'Données projet'!$A$61:$I$81,5,0)*VLOOKUP('Données projet'!$B$10,'Paramètres'!$A$1:$I$88,7,0))</f>
        <v>0</v>
      </c>
      <c r="AS63" s="155">
        <f>IF(ISNA(VLOOKUP(A63,'Données projet'!$A$61:$I$81,6,0)),0%,VLOOKUP(A63,'Données projet'!$A$61:$I$81,6,0)*VLOOKUP('Données projet'!$B$10,'Paramètres'!$A$1:$I$88,7,0))</f>
        <v>0</v>
      </c>
      <c r="AT63" s="155" t="str">
        <f>IF(ISNA(VLOOKUP(A63,'Données projet'!$A$61:$I$81,7,0)),0%,VLOOKUP(A63,'Données projet'!$A$61:$I$81,7,0))</f>
        <v/>
      </c>
      <c r="AU63" s="162">
        <f>EXP(-LN(2)/35)*AU62+(1-EXP(-LN(2)/35))/(LN(2)/35)*AQ63*AR63*VLOOKUP('Données projet'!$B$10,'Paramètres'!$A$1:$I$88,3,0)*0.475*44/12</f>
        <v>0</v>
      </c>
      <c r="AV63" s="162">
        <f>EXP(-LN(2)/25)*AV62+(1-EXP(-LN(2)/25))/(LN(2)/25)*Calculateur!AQ63*Calculateur!AS63*VLOOKUP('Données projet'!$B$10,'Paramètres'!$A$1:$I$88,3,0)*0.475*44/12</f>
        <v>7.938841814</v>
      </c>
      <c r="AW63" s="162">
        <f>EXP(-LN(2)/2)*AW62+(1-EXP(-LN(2)/2))/(LN(2)/2)*AQ63*AT63*VLOOKUP('Données projet'!$B$10,'Paramètres'!$A$1:$I$88,3,0)*0.475*44/12</f>
        <v>0.00001769141247</v>
      </c>
      <c r="AX63" s="162">
        <f t="shared" si="7"/>
        <v>7.938859505</v>
      </c>
      <c r="AY63" s="157">
        <f>('Scénario référence'!$F$8+'Scénario référence'!$F$9+'Scénario référence'!$B$17+'Scénario référence'!$B$9+'Scénario référence'!$B$10)*70+IF((45+25*(1-EXP(-0.0175*A63)))&lt;70,'Scénario référence'!$B$16*(45+25*(1-EXP(-0.0175*A63))),70*'Scénario référence'!$B$16)+IF((32+38*(1-EXP(-0.0175*A63)))&lt;70,'Scénario référence'!$B$18*(32+38*(1-EXP(-0.0175*A63))),70*'Scénario référence'!$B$18)</f>
        <v>70</v>
      </c>
      <c r="AZ63" s="151">
        <f>IF(A63&gt;30,10,('Scénario référence'!$B$16+'Scénario référence'!$B$17+'Scénario référence'!$B$18+'Scénario référence'!$B$9+'Scénario référence'!$B$10)*A63*10/30+('Scénario référence'!$F$8+'Scénario référence'!$F$9)*10)</f>
        <v>10</v>
      </c>
      <c r="BA63" s="151" t="str">
        <f>VLOOKUP(A63,'Données projet'!$A$87:$I$107,2,0)</f>
        <v>#N/A</v>
      </c>
      <c r="BB63" s="151" t="str">
        <f>VLOOKUP(A63,'Données projet'!$A$87:$I$107,9,0)</f>
        <v>#N/A</v>
      </c>
      <c r="BC63" s="150" t="str">
        <f t="array" ref="BC63">INDEX(BB:BB,MIN(IF(ISNUMBER(BB63:BB259),ROW(BB63:BB259),"")))</f>
        <v/>
      </c>
      <c r="BD63" s="150">
        <f>IF('Données projet'!$A$88&gt;35,BD62+BC63-BL62,IF(A63&lt;'Données projet'!$A$88,$BA$205^A63,IF(A63='Données projet'!$A$88,'Données projet'!$B$88,BD62+BC63-BL62)))</f>
        <v>0</v>
      </c>
      <c r="BE63" s="150">
        <f>BD63*VLOOKUP('Données projet'!$B$11,'Paramètres'!$A$1:$I$88,3,0)*VLOOKUP('Données projet'!$B$11,'Paramètres'!$A$1:$I$88,5,0)</f>
        <v>0</v>
      </c>
      <c r="BF63" s="150" t="str">
        <f t="shared" si="38"/>
        <v>#NUM!</v>
      </c>
      <c r="BG63" s="161" t="str">
        <f t="shared" si="8"/>
        <v>#NUM!</v>
      </c>
      <c r="BH63" s="153" t="str">
        <f t="shared" si="9"/>
        <v>#NUM!</v>
      </c>
      <c r="BI63" s="153">
        <f>AVERAGE(OFFSET($BH$3,0,0,'Données projet'!$E$11+1,1))-AVERAGE(OFFSET($H$3,0,0,'Données projet'!$E$11+1,1))</f>
        <v>0</v>
      </c>
      <c r="BJ63" s="153">
        <f t="shared" si="39"/>
        <v>0</v>
      </c>
      <c r="BK63" s="154">
        <f>IF(ISNA(VLOOKUP(A63,'Données projet'!$A$87:$I$107,3,0)),0,VLOOKUP(A63,'Données projet'!$A$87:$I$107,3,0))</f>
        <v>0</v>
      </c>
      <c r="BL63" s="154">
        <f>IF(ISNA(VLOOKUP(A63,'Données projet'!$A$87:$I$107,4,0)),0,VLOOKUP(A63,'Données projet'!$A$87:$I$107,4,0))</f>
        <v>0</v>
      </c>
      <c r="BM63" s="155">
        <f>IF(ISNA(VLOOKUP(A63,'Données projet'!$A$87:$I$107,5,0)),0%,VLOOKUP(A63,'Données projet'!$A$87:$I$107,5,0)*VLOOKUP('Données projet'!$B$11,'Paramètres'!$A$1:$I$88,7,0))</f>
        <v>0</v>
      </c>
      <c r="BN63" s="155">
        <f>IF(ISNA(VLOOKUP(A63,'Données projet'!$A$87:$I$107,6,0)),0%,VLOOKUP(A63,'Données projet'!$A$87:$I$107,6,0)*VLOOKUP('Données projet'!$B$11,'Paramètres'!$A$1:$I$88,7,0))</f>
        <v>0</v>
      </c>
      <c r="BO63" s="155">
        <f>IF(ISNA(VLOOKUP(A63,'Données projet'!$A$87:$I$107,7,0)),0%,VLOOKUP(A63,'Données projet'!$A$87:$I$107,7,0))</f>
        <v>0</v>
      </c>
      <c r="BP63" s="162">
        <f>EXP(-LN(2)/35)*BP62+(1-EXP(-LN(2)/35))/(LN(2)/35)*BL63*BM63*VLOOKUP('Données projet'!$B$11,'Paramètres'!$A$1:$I$88,3,0)*0.475*44/12</f>
        <v>0</v>
      </c>
      <c r="BQ63" s="162">
        <f>EXP(-LN(2)/25)*BQ62+(1-EXP(-LN(2)/25))/(LN(2)/25)*Calculateur!BL63*Calculateur!BN63*VLOOKUP('Données projet'!$B$11,'Paramètres'!$A$1:$I$88,3,0)*0.475*44/12</f>
        <v>0</v>
      </c>
      <c r="BR63" s="162">
        <f>EXP(-LN(2)/2)*BR62+(1-EXP(-LN(2)/2))/(LN(2)/2)*BL63*BO63*VLOOKUP('Données projet'!$B$11,'Paramètres'!$A$1:$I$88,3,0)*0.475*44/12</f>
        <v>0</v>
      </c>
      <c r="BS63" s="163">
        <f t="shared" si="10"/>
        <v>0</v>
      </c>
      <c r="BT63" s="159">
        <f>('Scénario référence'!$F$8+'Scénario référence'!$F$9+'Scénario référence'!$B$17+'Scénario référence'!$B$9+'Scénario référence'!$B$10)*70+IF((45+25*(1-EXP(-0.0175*A63)))&lt;70,'Scénario référence'!$B$16*(45+25*(1-EXP(-0.0175*A63))),70*'Scénario référence'!$B$16)+IF((32+38*(1-EXP(-0.0175*A63)))&lt;70,'Scénario référence'!$B$18*(32+38*(1-EXP(-0.0175*A63))),70*'Scénario référence'!$B$18)</f>
        <v>70</v>
      </c>
      <c r="BU63" s="151">
        <f>IF(A63&gt;30,10,('Scénario référence'!$B$16+'Scénario référence'!$B$17+'Scénario référence'!$B$18+'Scénario référence'!$B$9+'Scénario référence'!$B$10)*A63*10/30+('Scénario référence'!$F$8+'Scénario référence'!$F$9)*10)</f>
        <v>10</v>
      </c>
      <c r="BV63" s="151" t="str">
        <f>VLOOKUP(A63,'Données projet'!$A$113:$I$133,2,0)</f>
        <v>#N/A</v>
      </c>
      <c r="BW63" s="151" t="str">
        <f>VLOOKUP(A63,'Données projet'!$A$113:$I$133,9,0)</f>
        <v>#N/A</v>
      </c>
      <c r="BX63" s="150" t="str">
        <f t="array" ref="BX63">INDEX(BW:BW,MIN(IF(ISNUMBER(BW63:BW259),ROW(BW63:BW259),"")))</f>
        <v/>
      </c>
      <c r="BY63" s="150">
        <f>IF('Données projet'!$A$114&gt;35,BY62+BX63-CG62,IF(A63&lt;'Données projet'!$A$114,$BV$205^A63,IF(A63='Données projet'!$A$114,'Données projet'!$B$114,BY62+BX63-CG62)))</f>
        <v>0</v>
      </c>
      <c r="BZ63" s="150" t="str">
        <f>BY63*VLOOKUP('Données projet'!$B$12,'Paramètres'!$A$1:$I$88,3,0)*VLOOKUP('Données projet'!$B$12,'Paramètres'!$A$1:$I$88,5,0)</f>
        <v>#N/A</v>
      </c>
      <c r="CA63" s="150" t="str">
        <f t="shared" si="40"/>
        <v>#N/A</v>
      </c>
      <c r="CB63" s="161" t="str">
        <f t="shared" si="11"/>
        <v>#N/A</v>
      </c>
      <c r="CC63" s="153" t="str">
        <f t="shared" si="12"/>
        <v>#N/A</v>
      </c>
      <c r="CD63" s="153" t="str">
        <f>AVERAGE(OFFSET($CC$3,0,0,'Données projet'!$E$12+1,1))-AVERAGE(OFFSET($H$3,0,0,'Données projet'!$E$12+1,1))</f>
        <v>#N/A</v>
      </c>
      <c r="CE63" s="153" t="str">
        <f t="shared" si="41"/>
        <v>#N/A</v>
      </c>
      <c r="CF63" s="154">
        <f>IF(ISNA(VLOOKUP(A63,'Données projet'!$A$113:$I$133,3,0)),0,VLOOKUP(A63,'Données projet'!$A$113:$I$133,3,0))</f>
        <v>0</v>
      </c>
      <c r="CG63" s="154">
        <f>IF(ISNA(VLOOKUP(A63,'Données projet'!$A$113:$I$133,4,0)),0,VLOOKUP(A63,'Données projet'!$A$113:$I$133,4,0))</f>
        <v>0</v>
      </c>
      <c r="CH63" s="155">
        <f>IF(ISNA(VLOOKUP(A63,'Données projet'!$A$113:$I$133,5,0)),0%,VLOOKUP(A63,'Données projet'!$A$113:$I$133,5,0)*VLOOKUP('Données projet'!$B$12,'Paramètres'!$A$1:$I$88,7,0))</f>
        <v>0</v>
      </c>
      <c r="CI63" s="155">
        <f>IF(ISNA(VLOOKUP(A63,'Données projet'!$A$113:$I$133,6,0)),0%,VLOOKUP(A63,'Données projet'!$A$113:$I$133,6,0)*VLOOKUP('Données projet'!$B$12,'Paramètres'!$A$1:$I$88,7,0))</f>
        <v>0</v>
      </c>
      <c r="CJ63" s="155">
        <f>IF(ISNA(VLOOKUP(A63,'Données projet'!$A$113:$I$133,7,0)),0%,VLOOKUP(A63,'Données projet'!$A$113:$I$133,7,0))</f>
        <v>0</v>
      </c>
      <c r="CK63" s="162" t="str">
        <f>EXP(-LN(2)/35)*CK62+(1-EXP(-LN(2)/35))/(LN(2)/35)*CG63*CH63*VLOOKUP('Données projet'!$B$12,'Paramètres'!$A$1:$I$88,3,0)*0.475*44/12</f>
        <v>#N/A</v>
      </c>
      <c r="CL63" s="162" t="str">
        <f>EXP(-LN(2)/25)*CL62+(1-EXP(-LN(2)/25))/(LN(2)/25)*Calculateur!CG63*Calculateur!CI63*VLOOKUP('Données projet'!$B$12,'Paramètres'!$A$1:$I$88,3,0)*0.475*44/12</f>
        <v>#N/A</v>
      </c>
      <c r="CM63" s="162" t="str">
        <f>EXP(-LN(2)/2)*CM62+(1-EXP(-LN(2)/2))/(LN(2)/2)*CG63*CJ63*VLOOKUP('Données projet'!$B$12,'Paramètres'!$A$1:$I$88,3,0)*0.475*44/12</f>
        <v>#N/A</v>
      </c>
      <c r="CN63" s="163" t="str">
        <f t="shared" si="13"/>
        <v>#N/A</v>
      </c>
      <c r="CO63" s="159">
        <f>('Scénario référence'!$F$8+'Scénario référence'!$F$9+'Scénario référence'!$B$17+'Scénario référence'!$B$9+'Scénario référence'!$B$10)*70+IF((45+25*(1-EXP(-0.0175*A63)))&lt;70,'Scénario référence'!$B$16*(45+25*(1-EXP(-0.0175*A63))),70*'Scénario référence'!$B$16)+IF((32+38*(1-EXP(-0.0175*A63)))&lt;70,'Scénario référence'!$B$18*(32+38*(1-EXP(-0.0175*A63))),70*'Scénario référence'!$B$18)</f>
        <v>70</v>
      </c>
      <c r="CP63" s="151">
        <f>IF(A63&gt;30,10,('Scénario référence'!$B$16+'Scénario référence'!$B$17+'Scénario référence'!$B$18+'Scénario référence'!$B$9+'Scénario référence'!$B$10)*A63*10/30+('Scénario référence'!$F$8+'Scénario référence'!$F$9)*10)</f>
        <v>10</v>
      </c>
      <c r="CQ63" s="151" t="str">
        <f>VLOOKUP(A63,'Données projet'!$A$139:$I$159,2,0)</f>
        <v>#N/A</v>
      </c>
      <c r="CR63" s="151" t="str">
        <f>VLOOKUP(A63,'Données projet'!$A$139:$I$159,9,0)</f>
        <v>#N/A</v>
      </c>
      <c r="CS63" s="151" t="str">
        <f t="array" ref="CS63">INDEX(CR:CR,MIN(IF(ISNUMBER(CR63:CR259),ROW(CR63:CR259),"")))</f>
        <v/>
      </c>
      <c r="CT63" s="151">
        <f>IF('Données projet'!$A$140&gt;35,CT62+CS63-DB62,IF(A63&lt;'Données projet'!$A$140,$CQ$205^A63,IF(A63='Données projet'!$A$140,'Données projet'!$B$140,CT62+CS63-DB62)))</f>
        <v>0</v>
      </c>
      <c r="CU63" s="158" t="str">
        <f>CT63*VLOOKUP('Données projet'!$B$13,'Paramètres'!$A$1:$I$88,3,0)*VLOOKUP('Données projet'!$B$13,'Paramètres'!$A$1:$I$88,5,0)</f>
        <v>#N/A</v>
      </c>
      <c r="CV63" s="150" t="str">
        <f t="shared" si="42"/>
        <v>#N/A</v>
      </c>
      <c r="CW63" s="161" t="str">
        <f t="shared" si="14"/>
        <v>#N/A</v>
      </c>
      <c r="CX63" s="153" t="str">
        <f t="shared" si="15"/>
        <v>#N/A</v>
      </c>
      <c r="CY63" s="153" t="str">
        <f>AVERAGE(OFFSET($CX$3,0,0,'Données projet'!$E$13+1,1))-AVERAGE(OFFSET($H$3,0,0,'Données projet'!$E$13+1,1))</f>
        <v>#N/A</v>
      </c>
      <c r="CZ63" s="153" t="str">
        <f t="shared" si="43"/>
        <v>#N/A</v>
      </c>
      <c r="DA63" s="154">
        <f>IF(ISNA(VLOOKUP(A63,'Données projet'!$A$139:$I$159,3,0)),0,VLOOKUP(A63,'Données projet'!$A$139:$I$159,3,0))</f>
        <v>0</v>
      </c>
      <c r="DB63" s="154">
        <f>IF(ISNA(VLOOKUP(A63,'Données projet'!$A$139:$I$159,4,0)),0,VLOOKUP(A63,'Données projet'!$A$139:$I$159,4,0))</f>
        <v>0</v>
      </c>
      <c r="DC63" s="155">
        <f>IF(ISNA(VLOOKUP(A63,'Données projet'!$A$139:$I$159,5,0)),0%,VLOOKUP(A63,'Données projet'!$A$139:$I$159,5,0)*VLOOKUP('Données projet'!$B$13,'Paramètres'!$A$1:$I$88,7,0))</f>
        <v>0</v>
      </c>
      <c r="DD63" s="155">
        <f>IF(ISNA(VLOOKUP(A63,'Données projet'!$A$139:$I$159,6,0)),0%,VLOOKUP(A63,'Données projet'!$A$139:$I$159,6,0)*VLOOKUP('Données projet'!$B$13,'Paramètres'!$A$1:$I$88,7,0))</f>
        <v>0</v>
      </c>
      <c r="DE63" s="155">
        <f>IF(ISNA(VLOOKUP(A63,'Données projet'!$A$139:$I$159,7,0)),0%,VLOOKUP(A63,'Données projet'!$A$139:$I$159,7,0))</f>
        <v>0</v>
      </c>
      <c r="DF63" s="162" t="str">
        <f>EXP(-LN(2)/35)*DF62+(1-EXP(-LN(2)/35))/(LN(2)/35)*DB63*DC63*VLOOKUP('Données projet'!$B$13,'Paramètres'!$A$1:$I$88,3,0)*0.475*44/12</f>
        <v>#N/A</v>
      </c>
      <c r="DG63" s="162" t="str">
        <f>EXP(-LN(2)/25)*DG62+(1-EXP(-LN(2)/25))/(LN(2)/25)*Calculateur!DB63*Calculateur!DD63*VLOOKUP('Données projet'!$B$13,'Paramètres'!$A$1:$I$88,3,0)*0.475*44/12</f>
        <v>#N/A</v>
      </c>
      <c r="DH63" s="162" t="str">
        <f>EXP(-LN(2)/2)*DH62+(1-EXP(-LN(2)/2))/(LN(2)/2)*DB63*DE63*VLOOKUP('Données projet'!$B$13,'Paramètres'!$A$1:$I$88,3,0)*0.475*44/12</f>
        <v>#N/A</v>
      </c>
      <c r="DI63" s="163" t="str">
        <f t="shared" si="16"/>
        <v>#N/A</v>
      </c>
      <c r="DJ63" s="159">
        <f>('Scénario référence'!$F$8+'Scénario référence'!$F$9+'Scénario référence'!$B$17+'Scénario référence'!$B$9+'Scénario référence'!$B$10)*70+IF((45+25*(1-EXP(-0.0175*A63)))&lt;70,'Scénario référence'!$B$16*(45+25*(1-EXP(-0.0175*A63))),70*'Scénario référence'!$B$16)+IF((32+38*(1-EXP(-0.0175*A63)))&lt;70,'Scénario référence'!$B$18*(32+38*(1-EXP(-0.0175*A63))),70*'Scénario référence'!$B$18)</f>
        <v>70</v>
      </c>
      <c r="DK63" s="151">
        <f>IF(A63&gt;30,10,('Scénario référence'!$B$16+'Scénario référence'!$B$17+'Scénario référence'!$B$18+'Scénario référence'!$B$9+'Scénario référence'!$B$10)*A63*10/30+('Scénario référence'!$F$8+'Scénario référence'!$F$9)*10)</f>
        <v>10</v>
      </c>
      <c r="DL63" s="151" t="str">
        <f>VLOOKUP(A63,'Données projet'!$A$165:$I$185,2,0)</f>
        <v>#N/A</v>
      </c>
      <c r="DM63" s="151" t="str">
        <f>VLOOKUP(A63,'Données projet'!$A$165:$I$185,9,0)</f>
        <v>#N/A</v>
      </c>
      <c r="DN63" s="151" t="str">
        <f t="array" ref="DN63">INDEX(DM:DM,MIN(IF(ISNUMBER(DM63:DM259),ROW(DM63:DM259),"")))</f>
        <v/>
      </c>
      <c r="DO63" s="151">
        <f>IF('Données projet'!$A$166&gt;35,DO62+DN63-DW62,IF(A63&lt;'Données projet'!$A$166,$DL$205^A63,IF(A63='Données projet'!$A$166,'Données projet'!$B$166,DO62+DN63-DW62)))</f>
        <v>0</v>
      </c>
      <c r="DP63" s="158" t="str">
        <f>DO63*VLOOKUP('Données projet'!$B$14,'Paramètres'!$A$1:$I$88,3,0)*VLOOKUP('Données projet'!$B$14,'Paramètres'!$A$1:$I$88,5,0)</f>
        <v>#N/A</v>
      </c>
      <c r="DQ63" s="150" t="str">
        <f t="shared" si="44"/>
        <v>#N/A</v>
      </c>
      <c r="DR63" s="161" t="str">
        <f t="shared" si="17"/>
        <v>#N/A</v>
      </c>
      <c r="DS63" s="153" t="str">
        <f t="shared" si="18"/>
        <v>#N/A</v>
      </c>
      <c r="DT63" s="153" t="str">
        <f>AVERAGE(OFFSET($DS$3,0,0,'Données projet'!$E$14+1,1))-AVERAGE(OFFSET($H$3,0,0,'Données projet'!$E$14+1,1))</f>
        <v>#N/A</v>
      </c>
      <c r="DU63" s="153" t="str">
        <f t="shared" si="45"/>
        <v>#N/A</v>
      </c>
      <c r="DV63" s="154">
        <f>IF(ISNA(VLOOKUP(A63,'Données projet'!$A$165:$I$185,3,0)),0,VLOOKUP(A63,'Données projet'!$A$165:$I$185,3,0))</f>
        <v>0</v>
      </c>
      <c r="DW63" s="154">
        <f>IF(ISNA(VLOOKUP(A63,'Données projet'!$A$165:$I$185,4,0)),0,VLOOKUP(A63,'Données projet'!$A$165:$I$185,4,0))</f>
        <v>0</v>
      </c>
      <c r="DX63" s="155">
        <f>IF(ISNA(VLOOKUP(A63,'Données projet'!$A$165:$I$185,5,0)),0%,VLOOKUP(A63,'Données projet'!$A$165:$I$185,5,0)*VLOOKUP('Données projet'!$B$14,'Paramètres'!$A$1:$I$88,7,0))</f>
        <v>0</v>
      </c>
      <c r="DY63" s="155">
        <f>IF(ISNA(VLOOKUP(A63,'Données projet'!$A$165:$I$185,6,0)),0%,VLOOKUP(A63,'Données projet'!$A$165:$I$185,6,0)*VLOOKUP('Données projet'!$B$14,'Paramètres'!$A$1:$I$88,7,0))</f>
        <v>0</v>
      </c>
      <c r="DZ63" s="155">
        <f>IF(ISNA(VLOOKUP(A63,'Données projet'!$A$165:$I$185,7,0)),0%,VLOOKUP(A63,'Données projet'!$A$165:$I$185,7,0))</f>
        <v>0</v>
      </c>
      <c r="EA63" s="162" t="str">
        <f>EXP(-LN(2)/35)*EA62+(1-EXP(-LN(2)/35))/(LN(2)/35)*DW63*DX63*VLOOKUP('Données projet'!$B$14,'Paramètres'!$A$1:$I$88,3,0)*0.475*44/12</f>
        <v>#N/A</v>
      </c>
      <c r="EB63" s="162" t="str">
        <f>EXP(-LN(2)/25)*EB62+(1-EXP(-LN(2)/25))/(LN(2)/25)*Calculateur!DW63*Calculateur!DY63*VLOOKUP('Données projet'!$B$14,'Paramètres'!$A$1:$I$88,3,0)*0.475*44/12</f>
        <v>#N/A</v>
      </c>
      <c r="EC63" s="162" t="str">
        <f>EXP(-LN(2)/2)*EC62+(1-EXP(-LN(2)/2))/(LN(2)/2)*DW63*DZ63*VLOOKUP('Données projet'!$B$14,'Paramètres'!$A$1:$I$88,3,0)*0.475*44/12</f>
        <v>#N/A</v>
      </c>
      <c r="ED63" s="163" t="str">
        <f t="shared" si="19"/>
        <v>#N/A</v>
      </c>
      <c r="EE63" s="159">
        <f>('Scénario référence'!$F$8+'Scénario référence'!$F$9+'Scénario référence'!$B$17+'Scénario référence'!$B$9+'Scénario référence'!$B$10)*70+IF((45+25*(1-EXP(-0.0175*A63)))&lt;70,'Scénario référence'!$B$16*(45+25*(1-EXP(-0.0175*A63))),70*'Scénario référence'!$B$16)+IF((32+38*(1-EXP(-0.0175*A63)))&lt;70,'Scénario référence'!$B$18*(32+38*(1-EXP(-0.0175*A63))),70*'Scénario référence'!$B$18)</f>
        <v>70</v>
      </c>
      <c r="EF63" s="151">
        <f>IF(A63&gt;30,10,('Scénario référence'!$B$16+'Scénario référence'!$B$17+'Scénario référence'!$B$18+'Scénario référence'!$B$9+'Scénario référence'!$B$10)*A63*10/30+('Scénario référence'!$F$8+'Scénario référence'!$F$9)*10)</f>
        <v>10</v>
      </c>
      <c r="EG63" s="151" t="str">
        <f>VLOOKUP(A63,'Données projet'!$A$191:$I$211,2,0)</f>
        <v>#N/A</v>
      </c>
      <c r="EH63" s="151" t="str">
        <f>VLOOKUP(A63,'Données projet'!$A$191:$I$211,9,0)</f>
        <v>#N/A</v>
      </c>
      <c r="EI63" s="151" t="str">
        <f t="array" ref="EI63">INDEX(EH:EH,MIN(IF(ISNUMBER(EH63:EH259),ROW(EH63:EH259),"")))</f>
        <v/>
      </c>
      <c r="EJ63" s="151">
        <f>IF('Données projet'!$A$192&gt;35,EJ62+EI63-ER62,IF(A63&lt;'Données projet'!$A$192,$EG$205^A63,IF(A63='Données projet'!$A$192,'Données projet'!$B$192,EJ62+EI63-ER62)))</f>
        <v>0</v>
      </c>
      <c r="EK63" s="158" t="str">
        <f>EJ63*VLOOKUP('Données projet'!$B$15,'Paramètres'!$A$1:$I$88,3,0)*VLOOKUP('Données projet'!$B$15,'Paramètres'!$A$1:$I$88,5,0)</f>
        <v>#N/A</v>
      </c>
      <c r="EL63" s="150" t="str">
        <f t="shared" si="46"/>
        <v>#N/A</v>
      </c>
      <c r="EM63" s="161" t="str">
        <f t="shared" si="20"/>
        <v>#N/A</v>
      </c>
      <c r="EN63" s="153" t="str">
        <f t="shared" si="21"/>
        <v>#N/A</v>
      </c>
      <c r="EO63" s="153" t="str">
        <f>AVERAGE(OFFSET($EN$3,0,0,'Données projet'!$E$15+1,1))-AVERAGE(OFFSET($H$3,0,0,'Données projet'!$E$15+1,1))</f>
        <v>#N/A</v>
      </c>
      <c r="EP63" s="153" t="str">
        <f t="shared" si="47"/>
        <v>#N/A</v>
      </c>
      <c r="EQ63" s="154">
        <f>IF(ISNA(VLOOKUP(A63,'Données projet'!$A$191:$I$211,3,0)),0,VLOOKUP(A63,'Données projet'!$A$191:$I$211,3,0))</f>
        <v>0</v>
      </c>
      <c r="ER63" s="154">
        <f>IF(ISNA(VLOOKUP(A63,'Données projet'!$A$191:$I$211,4,0)),0,VLOOKUP(A63,'Données projet'!$A$191:$I$211,4,0))</f>
        <v>0</v>
      </c>
      <c r="ES63" s="155">
        <f>IF(ISNA(VLOOKUP(A63,'Données projet'!$A$191:$I$211,5,0)),0%,VLOOKUP(A63,'Données projet'!$A$191:$I$211,5,0)*VLOOKUP('Données projet'!$B$15,'Paramètres'!$A$1:$I$88,7,0))</f>
        <v>0</v>
      </c>
      <c r="ET63" s="155">
        <f>IF(ISNA(VLOOKUP(A63,'Données projet'!$A$191:$I$211,6,0)),0%,VLOOKUP(A63,'Données projet'!$A$191:$I$211,6,0)*VLOOKUP('Données projet'!$B$15,'Paramètres'!$A$1:$I$88,7,0))</f>
        <v>0</v>
      </c>
      <c r="EU63" s="155">
        <f>IF(ISNA(VLOOKUP(A63,'Données projet'!$A$191:$I$211,7,0)),0%,VLOOKUP(A63,'Données projet'!$A$191:$I$211,7,0))</f>
        <v>0</v>
      </c>
      <c r="EV63" s="162" t="str">
        <f>EXP(-LN(2)/35)*EV62+(1-EXP(-LN(2)/35))/(LN(2)/35)*ER63*ES63*VLOOKUP('Données projet'!$B$15,'Paramètres'!$A$1:$I$88,3,0)*0.475*44/12</f>
        <v>#N/A</v>
      </c>
      <c r="EW63" s="162" t="str">
        <f>EXP(-LN(2)/25)*EW62+(1-EXP(-LN(2)/25))/(LN(2)/25)*Calculateur!ER63*Calculateur!ET63*VLOOKUP('Données projet'!$B$15,'Paramètres'!$A$1:$I$88,3,0)*0.475*44/12</f>
        <v>#N/A</v>
      </c>
      <c r="EX63" s="162" t="str">
        <f>EXP(-LN(2)/2)*EX62+(1-EXP(-LN(2)/2))/(LN(2)/2)*ER63*EU63*VLOOKUP('Données projet'!$B$15,'Paramètres'!$A$1:$I$88,3,0)*0.475*44/12</f>
        <v>#N/A</v>
      </c>
      <c r="EY63" s="163" t="str">
        <f t="shared" si="22"/>
        <v>#N/A</v>
      </c>
      <c r="EZ63" s="159">
        <f>('Scénario référence'!$F$8+'Scénario référence'!$F$9+'Scénario référence'!$B$17+'Scénario référence'!$B$9+'Scénario référence'!$B$10)*70+IF((45+25*(1-EXP(-0.0175*A63)))&lt;70,'Scénario référence'!$B$16*(45+25*(1-EXP(-0.0175*A63))),70*'Scénario référence'!$B$16)+IF((32+38*(1-EXP(-0.0175*A63)))&lt;70,'Scénario référence'!$B$18*(32+38*(1-EXP(-0.0175*A63))),70*'Scénario référence'!$B$18)</f>
        <v>70</v>
      </c>
      <c r="FA63" s="151">
        <f>IF(A63&gt;30,10,('Scénario référence'!$B$16+'Scénario référence'!$B$17+'Scénario référence'!$B$18+'Scénario référence'!$B$9+'Scénario référence'!$B$10)*A63*10/30+('Scénario référence'!$F$8+'Scénario référence'!$F$9)*10)</f>
        <v>10</v>
      </c>
      <c r="FB63" s="151" t="str">
        <f>VLOOKUP(A63,'Données projet'!$A$217:$I$237,2,0)</f>
        <v>#N/A</v>
      </c>
      <c r="FC63" s="151" t="str">
        <f>VLOOKUP(A63,'Données projet'!$A$217:$I$237,9,0)</f>
        <v>#N/A</v>
      </c>
      <c r="FD63" s="151" t="str">
        <f t="array" ref="FD63">INDEX(FC:FC,MIN(IF(ISNUMBER(FC63:FC259),ROW(FC63:FC259),"")))</f>
        <v/>
      </c>
      <c r="FE63" s="151">
        <f>IF('Données projet'!$A$218&gt;35,FE62+FD63-FM62,IF(A63&lt;'Données projet'!$A$218,$FB$205^A63,IF(A63='Données projet'!$A$218,'Données projet'!$B$218,FE62+FD63-FM62)))</f>
        <v>0</v>
      </c>
      <c r="FF63" s="158" t="str">
        <f>FE63*VLOOKUP('Données projet'!$B$16,'Paramètres'!$A$1:$I$88,3,0)*VLOOKUP('Données projet'!$B$16,'Paramètres'!$A$1:$I$88,5,0)</f>
        <v>#N/A</v>
      </c>
      <c r="FG63" s="150" t="str">
        <f t="shared" si="48"/>
        <v>#N/A</v>
      </c>
      <c r="FH63" s="161" t="str">
        <f t="shared" si="23"/>
        <v>#N/A</v>
      </c>
      <c r="FI63" s="153" t="str">
        <f t="shared" si="24"/>
        <v>#N/A</v>
      </c>
      <c r="FJ63" s="153" t="str">
        <f>AVERAGE(OFFSET($FI$3,0,0,'Données projet'!$E$16+1,1))-AVERAGE(OFFSET($H$3,0,0,'Données projet'!$E$16+1,1))</f>
        <v>#N/A</v>
      </c>
      <c r="FK63" s="153" t="str">
        <f t="shared" si="49"/>
        <v>#N/A</v>
      </c>
      <c r="FL63" s="154">
        <f>IF(ISNA(VLOOKUP(A63,'Données projet'!$A$217:$I$237,3,0)),0,VLOOKUP(A63,'Données projet'!$A$217:$I$237,3,0))</f>
        <v>0</v>
      </c>
      <c r="FM63" s="154">
        <f>IF(ISNA(VLOOKUP(A63,'Données projet'!$A$217:$I$237,4,0)),0,VLOOKUP(A63,'Données projet'!$A$217:$I$237,4,0))</f>
        <v>0</v>
      </c>
      <c r="FN63" s="155">
        <f>IF(ISNA(VLOOKUP(A63,'Données projet'!$A$217:$I$237,5,0)),0%,VLOOKUP(A63,'Données projet'!$A$217:$I$237,5,0)*VLOOKUP('Données projet'!$B$16,'Paramètres'!$A$1:$I$88,7,0))</f>
        <v>0</v>
      </c>
      <c r="FO63" s="155">
        <f>IF(ISNA(VLOOKUP(A63,'Données projet'!$A$217:$I$237,6,0)),0%,VLOOKUP(A63,'Données projet'!$A$217:$I$237,6,0)*VLOOKUP('Données projet'!$B$16,'Paramètres'!$A$1:$I$88,7,0))</f>
        <v>0</v>
      </c>
      <c r="FP63" s="155">
        <f>IF(ISNA(VLOOKUP(A63,'Données projet'!$A$217:$I$237,7,0)),0%,VLOOKUP(A63,'Données projet'!$A$217:$I$237,7,0))</f>
        <v>0</v>
      </c>
      <c r="FQ63" s="162" t="str">
        <f>EXP(-LN(2)/35)*FQ62+(1-EXP(-LN(2)/35))/(LN(2)/35)*FM63*FN63*VLOOKUP('Données projet'!$B$16,'Paramètres'!$A$1:$I$88,3,0)*0.475*44/12</f>
        <v>#N/A</v>
      </c>
      <c r="FR63" s="162" t="str">
        <f>EXP(-LN(2)/25)*FR62+(1-EXP(-LN(2)/25))/(LN(2)/25)*Calculateur!FM63*Calculateur!FO63*VLOOKUP('Données projet'!$B$16,'Paramètres'!$A$1:$I$88,3,0)*0.475*44/12</f>
        <v>#N/A</v>
      </c>
      <c r="FS63" s="162" t="str">
        <f>EXP(-LN(2)/2)*FS62+(1-EXP(-LN(2)/2))/(LN(2)/2)*FM63*FP63*VLOOKUP('Données projet'!$B$16,'Paramètres'!$A$1:$I$88,3,0)*0.475*44/12</f>
        <v>#N/A</v>
      </c>
      <c r="FT63" s="163" t="str">
        <f t="shared" si="25"/>
        <v>#N/A</v>
      </c>
      <c r="FU63" s="159">
        <f>('Scénario référence'!$F$8+'Scénario référence'!$F$9+'Scénario référence'!$B$17+'Scénario référence'!$B$9+'Scénario référence'!$B$10)*70+IF((45+25*(1-EXP(-0.0175*A63)))&lt;70,'Scénario référence'!$B$16*(45+25*(1-EXP(-0.0175*A63))),70*'Scénario référence'!$B$16)+IF((32+38*(1-EXP(-0.0175*A63)))&lt;70,'Scénario référence'!$B$18*(32+38*(1-EXP(-0.0175*A63))),70*'Scénario référence'!$B$18)</f>
        <v>70</v>
      </c>
      <c r="FV63" s="151">
        <f>IF(A63&gt;30,10,('Scénario référence'!$B$16+'Scénario référence'!$B$17+'Scénario référence'!$B$18+'Scénario référence'!$B$9+'Scénario référence'!$B$10)*A63*10/30+('Scénario référence'!$F$8+'Scénario référence'!$F$9)*10)</f>
        <v>10</v>
      </c>
      <c r="FW63" s="151" t="str">
        <f>VLOOKUP(A63,'Données projet'!$A$243:$I$263,2,0)</f>
        <v>#N/A</v>
      </c>
      <c r="FX63" s="151" t="str">
        <f>VLOOKUP(A63,'Données projet'!$A$243:$I$263,9,0)</f>
        <v>#N/A</v>
      </c>
      <c r="FY63" s="151" t="str">
        <f t="array" ref="FY63">INDEX(FX:FX,MIN(IF(ISNUMBER(FX63:FX259),ROW(FX63:FX259),"")))</f>
        <v/>
      </c>
      <c r="FZ63" s="151">
        <f>IF('Données projet'!$A$244&gt;35,FZ62+FY63-GH62,IF(A63&lt;'Données projet'!$A$244,$FW$205^A63,IF(A63='Données projet'!$A$244,'Données projet'!$B$244,FZ62+FY63-GH62)))</f>
        <v>0</v>
      </c>
      <c r="GA63" s="158" t="str">
        <f>FZ63*VLOOKUP('Données projet'!$B$17,'Paramètres'!$A$1:$I$88,3,0)*VLOOKUP('Données projet'!$B$17,'Paramètres'!$A$1:$I$88,5,0)</f>
        <v>#N/A</v>
      </c>
      <c r="GB63" s="150" t="str">
        <f t="shared" si="50"/>
        <v>#N/A</v>
      </c>
      <c r="GC63" s="161" t="str">
        <f t="shared" si="26"/>
        <v>#N/A</v>
      </c>
      <c r="GD63" s="153" t="str">
        <f t="shared" si="27"/>
        <v>#N/A</v>
      </c>
      <c r="GE63" s="153" t="str">
        <f>AVERAGE(OFFSET($GD$3,0,0,'Données projet'!$E$17+1,1))-AVERAGE(OFFSET($H$3,0,0,'Données projet'!$E$17+1,1))</f>
        <v>#N/A</v>
      </c>
      <c r="GF63" s="153" t="str">
        <f t="shared" si="51"/>
        <v>#N/A</v>
      </c>
      <c r="GG63" s="154">
        <f>IF(ISNA(VLOOKUP(A63,'Données projet'!$A$243:$I$263,3,0)),0,VLOOKUP(A63,'Données projet'!$A$243:$I$263,3,0))</f>
        <v>0</v>
      </c>
      <c r="GH63" s="154">
        <f>IF(ISNA(VLOOKUP(A63,'Données projet'!$A$243:$I$263,4,0)),0,VLOOKUP(A63,'Données projet'!$A$243:$I$263,4,0))</f>
        <v>0</v>
      </c>
      <c r="GI63" s="155">
        <f>IF(ISNA(VLOOKUP(A63,'Données projet'!$A$243:$I$263,5,0)),0%,VLOOKUP(A63,'Données projet'!$A$243:$I$263,5,0)*VLOOKUP('Données projet'!$B$17,'Paramètres'!$A$1:$I$88,7,0))</f>
        <v>0</v>
      </c>
      <c r="GJ63" s="155">
        <f>IF(ISNA(VLOOKUP(A63,'Données projet'!$A$243:$I$263,6,0)),0%,VLOOKUP(A63,'Données projet'!$A$243:$I$263,6,0)*VLOOKUP('Données projet'!$B$17,'Paramètres'!$A$1:$I$88,7,0))</f>
        <v>0</v>
      </c>
      <c r="GK63" s="155">
        <f>IF(ISNA(VLOOKUP(A63,'Données projet'!$A$243:$I$263,7,0)),0%,VLOOKUP(A63,'Données projet'!$A$243:$I$263,7,0))</f>
        <v>0</v>
      </c>
      <c r="GL63" s="162" t="str">
        <f>EXP(-LN(2)/35)*GL62+(1-EXP(-LN(2)/35))/(LN(2)/35)*GH63*GI63*VLOOKUP('Données projet'!$B$17,'Paramètres'!$A$1:$I$88,3,0)*0.475*44/12</f>
        <v>#N/A</v>
      </c>
      <c r="GM63" s="162" t="str">
        <f>EXP(-LN(2)/25)*GM62+(1-EXP(-LN(2)/25))/(LN(2)/25)*Calculateur!GH63*Calculateur!GJ63*VLOOKUP('Données projet'!$B$17,'Paramètres'!$A$1:$I$88,3,0)*0.475*44/12</f>
        <v>#N/A</v>
      </c>
      <c r="GN63" s="162" t="str">
        <f>EXP(-LN(2)/2)*GN62+(1-EXP(-LN(2)/2))/(LN(2)/2)*GH63*GK63*VLOOKUP('Données projet'!$B$17,'Paramètres'!$A$1:$I$88,3,0)*0.475*44/12</f>
        <v>#N/A</v>
      </c>
      <c r="GO63" s="162" t="str">
        <f t="shared" si="28"/>
        <v>#N/A</v>
      </c>
      <c r="GP63" s="159">
        <f>('Scénario référence'!$F$8+'Scénario référence'!$F$9+'Scénario référence'!$B$17+'Scénario référence'!$B$9+'Scénario référence'!$B$10)*70+IF((45+25*(1-EXP(-0.0175*A63)))&lt;70,'Scénario référence'!$B$16*(45+25*(1-EXP(-0.0175*A63))),70*'Scénario référence'!$B$16)+IF((32+38*(1-EXP(-0.0175*A63)))&lt;70,'Scénario référence'!$B$18*(32+38*(1-EXP(-0.0175*A63))),70*'Scénario référence'!$B$18)</f>
        <v>70</v>
      </c>
      <c r="GQ63" s="151">
        <f>IF(A63&gt;30,10,('Scénario référence'!$B$16+'Scénario référence'!$B$17+'Scénario référence'!$B$18+'Scénario référence'!$B$9+'Scénario référence'!$B$10)*A63*10/30+('Scénario référence'!$F$8+'Scénario référence'!$F$9)*10)</f>
        <v>10</v>
      </c>
      <c r="GR63" s="151" t="str">
        <f>VLOOKUP(A63,'Données projet'!$A$269:$I$289,2,0)</f>
        <v>#N/A</v>
      </c>
      <c r="GS63" s="151" t="str">
        <f>VLOOKUP(A63,'Données projet'!$A$269:$I$289,9,0)</f>
        <v>#N/A</v>
      </c>
      <c r="GT63" s="151" t="str">
        <f t="array" ref="GT63">INDEX(GS:GS,MIN(IF(ISNUMBER(GS63:GS259),ROW(GS63:GS259),"")))</f>
        <v/>
      </c>
      <c r="GU63" s="151">
        <f>IF('Données projet'!$A$270&gt;35,GU62+GT63-HC62,IF(A63&lt;'Données projet'!$A$270,$GR$205^A63,IF(A63='Données projet'!$A$270,'Données projet'!$B$270,GU62+GT63-HC62)))</f>
        <v>0</v>
      </c>
      <c r="GV63" s="158" t="str">
        <f>GU63*VLOOKUP('Données projet'!$B$18,'Paramètres'!$A$1:$I$88,3,0)*VLOOKUP('Données projet'!$B$18,'Paramètres'!$A$1:$I$88,5,0)</f>
        <v>#N/A</v>
      </c>
      <c r="GW63" s="150" t="str">
        <f t="shared" si="52"/>
        <v>#N/A</v>
      </c>
      <c r="GX63" s="161" t="str">
        <f t="shared" si="29"/>
        <v>#N/A</v>
      </c>
      <c r="GY63" s="153" t="str">
        <f t="shared" si="30"/>
        <v>#N/A</v>
      </c>
      <c r="GZ63" s="153" t="str">
        <f>AVERAGE(OFFSET($GY$3,0,0,'Données projet'!$E$18+1,1))-AVERAGE(OFFSET($H$3,0,0,'Données projet'!$E$18+1,1))</f>
        <v>#N/A</v>
      </c>
      <c r="HA63" s="153" t="str">
        <f t="shared" si="53"/>
        <v>#N/A</v>
      </c>
      <c r="HB63" s="154">
        <f>IF(ISNA(VLOOKUP(A63,'Données projet'!$A$269:$I$289,3,0)),0,VLOOKUP(A63,'Données projet'!$A$269:$I$289,3,0))</f>
        <v>0</v>
      </c>
      <c r="HC63" s="154">
        <f>IF(ISNA(VLOOKUP(A63,'Données projet'!$A$269:$I$289,4,0)),0,VLOOKUP(A63,'Données projet'!$A$269:$I$289,4,0))</f>
        <v>0</v>
      </c>
      <c r="HD63" s="155">
        <f>IF(ISNA(VLOOKUP(A63,'Données projet'!$A$269:$I$289,5,0)),0%,VLOOKUP(A63,'Données projet'!$A$269:$I$289,5,0)*VLOOKUP('Données projet'!$B$18,'Paramètres'!$A$1:$I$88,7,0))</f>
        <v>0</v>
      </c>
      <c r="HE63" s="155">
        <f>IF(ISNA(VLOOKUP(A63,'Données projet'!$A$269:$I$289,6,0)),0%,VLOOKUP(A63,'Données projet'!$A$269:$I$289,6,0)*VLOOKUP('Données projet'!$B$18,'Paramètres'!$A$1:$I$88,7,0))</f>
        <v>0</v>
      </c>
      <c r="HF63" s="155">
        <f>IF(ISNA(VLOOKUP(A63,'Données projet'!$A$269:$I$289,7,0)),0%,VLOOKUP(A63,'Données projet'!$A$269:$I$289,7,0))</f>
        <v>0</v>
      </c>
      <c r="HG63" s="162" t="str">
        <f>EXP(-LN(2)/35)*HG62+(1-EXP(-LN(2)/35))/(LN(2)/35)*HC63*HD63*VLOOKUP('Données projet'!$B$18,'Paramètres'!$A$1:$I$88,3,0)*0.475*44/12</f>
        <v>#N/A</v>
      </c>
      <c r="HH63" s="162" t="str">
        <f>EXP(-LN(2)/25)*HH62+(1-EXP(-LN(2)/25))/(LN(2)/25)*Calculateur!HC63*Calculateur!HE63*VLOOKUP('Données projet'!$B$18,'Paramètres'!$A$1:$I$88,3,0)*0.475*44/12</f>
        <v>#N/A</v>
      </c>
      <c r="HI63" s="162" t="str">
        <f>EXP(-LN(2)/2)*HI62+(1-EXP(-LN(2)/2))/(LN(2)/2)*HC63*HF63*VLOOKUP('Données projet'!$B$18,'Paramètres'!$A$1:$I$88,3,0)*0.475*44/12</f>
        <v>#N/A</v>
      </c>
      <c r="HJ63" s="163" t="str">
        <f t="shared" si="31"/>
        <v>#N/A</v>
      </c>
    </row>
    <row r="64" ht="15.75" customHeight="1">
      <c r="A64" s="145">
        <f t="shared" si="32"/>
        <v>61</v>
      </c>
      <c r="B64" s="146">
        <f>'Scénario référence'!$B$16*5+'Scénario référence'!$B$17*0+'Scénario référence'!$B$18*5</f>
        <v>0</v>
      </c>
      <c r="C64" s="160">
        <f>Calculateur!C63+'Scénario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64" s="147">
        <f t="shared" si="33"/>
        <v>0</v>
      </c>
      <c r="E64" s="147">
        <f>'Scénario référence'!$B$16*45+('Scénario référence'!$B$17+'Scénario référence'!$F$8+'Scénario référence'!$F$9+'Scénario référence'!$B$10+'Scénario référence'!$B$9)*70+'Scénario référence'!$B$18*32</f>
        <v>70</v>
      </c>
      <c r="F64" s="147">
        <f>IF(OR('Scénario référence'!$F$8&gt;0,'Scénario référence'!$F$9&gt;0),('Scénario référence'!$F$8+'Scénario référence'!$F$9)*10,0)</f>
        <v>0</v>
      </c>
      <c r="G64" s="147">
        <f>'Scénario référence'!$B$8*B64*44/12+'Scénario référence'!$B$9*(C64+D64)/0.475*44/12+'Scénario référence'!$B$10*(C64+D64)/0.475*44/12+'Scénario référence'!$F$8*(C64+D64)/0.475*44/12+'Scénario référence'!$F$9*(C64+D64)/0.475*44/12</f>
        <v>0</v>
      </c>
      <c r="H64" s="148">
        <f t="shared" si="1"/>
        <v>256.6666667</v>
      </c>
      <c r="I64" s="149">
        <f>('Scénario référence'!$F$8+'Scénario référence'!$F$9+'Scénario référence'!$B$17+'Scénario référence'!$B$9+'Scénario référence'!$B$10)*70+IF((45+25*(1-EXP(-0.0175*A64)))&lt;70,'Scénario référence'!$B$16*(45+25*(1-EXP(-0.0175*A64))),70*'Scénario référence'!$B$16)+IF((32+38*(1-EXP(-0.0175*A64)))&lt;70,'Scénario référence'!$B$18*(32+38*(1-EXP(-0.0175*A64))),70*'Scénario référence'!$B$18)</f>
        <v>70</v>
      </c>
      <c r="J64" s="150">
        <f>IF(A64&gt;30,10,('Scénario référence'!$B$16+'Scénario référence'!$B$17+'Scénario référence'!$B$18+'Scénario référence'!$B$9+'Scénario référence'!$B$10)*A64*10/30+('Scénario référence'!$F$8+'Scénario référence'!$F$9)*10)</f>
        <v>10</v>
      </c>
      <c r="K64" s="151" t="str">
        <f>VLOOKUP(A64,'Données projet'!$A$35:$I$55,2,0)</f>
        <v>#N/A</v>
      </c>
      <c r="L64" s="151" t="str">
        <f>VLOOKUP(A64,'Données projet'!$A$35:$I$55,9,0)</f>
        <v>#N/A</v>
      </c>
      <c r="M64" s="150">
        <f t="array" ref="M64">INDEX(L:L,MIN(IF(ISNUMBER(L64:L260),ROW(L64:L260),"")))</f>
        <v>8.8</v>
      </c>
      <c r="N64" s="150">
        <f>IF('Données projet'!$A$36&gt;35,N63+M64-V63,IF(A64&lt;'Données projet'!$A$36,$K$205^A64,IF(A64='Données projet'!$A$36,'Données projet'!$B$36,N63+M64-V63)))</f>
        <v>253.8</v>
      </c>
      <c r="O64" s="150">
        <f>N64*VLOOKUP('Données projet'!$B$9,'Paramètres'!$A$1:$I$88,3,0)*VLOOKUP('Données projet'!$B$9,'Paramètres'!$A$1:$I$88,5,0)</f>
        <v>229.63824</v>
      </c>
      <c r="P64" s="150">
        <f t="shared" si="34"/>
        <v>56.2044534</v>
      </c>
      <c r="Q64" s="161">
        <f t="shared" si="2"/>
        <v>497.842691</v>
      </c>
      <c r="R64" s="153">
        <f t="shared" si="3"/>
        <v>791.1760243</v>
      </c>
      <c r="S64" s="153">
        <f>AVERAGE(OFFSET($R$3,0,0,'Données projet'!$E$9+1,1))-AVERAGE(OFFSET($H$3,0,0,'Données projet'!$E$9+1,1))</f>
        <v>439.1985427</v>
      </c>
      <c r="T64" s="153">
        <f t="shared" si="35"/>
        <v>278.2174123</v>
      </c>
      <c r="U64" s="154">
        <f>IF(ISNA(VLOOKUP(A64,'Données projet'!$A$35:$I$55,3,0)),0,VLOOKUP(A64,'Données projet'!$A$35:$I$55,3,0))</f>
        <v>0</v>
      </c>
      <c r="V64" s="154">
        <f>IF(ISNA(VLOOKUP(A64,'Données projet'!$A$35:$I$55,4,0)),0,VLOOKUP(A64,'Données projet'!$A$35:$I$55,4,0))</f>
        <v>0</v>
      </c>
      <c r="W64" s="155">
        <f>IF(ISNA(VLOOKUP(A64,'Données projet'!$A$35:$I$55,5,0)),0%,VLOOKUP(A64,'Données projet'!$A$35:$I$55,5,0)*VLOOKUP('Données projet'!$B$9,'Paramètres'!$A$1:$I$88,7,0))</f>
        <v>0</v>
      </c>
      <c r="X64" s="155">
        <f>IF(ISNA(VLOOKUP(A64,'Données projet'!$A$35:$I$55,6,0)),0%,VLOOKUP(A64,'Données projet'!$A$35:$I$55,6,0)*VLOOKUP('Données projet'!$B$9,'Paramètres'!$A$1:$I$88,7,0))</f>
        <v>0</v>
      </c>
      <c r="Y64" s="155">
        <f>IF(ISNA(VLOOKUP(A64,'Données projet'!$A$35:$I$55,7,0)),0%,VLOOKUP(A64,'Données projet'!$A$35:$I$55,7,0))</f>
        <v>0</v>
      </c>
      <c r="Z64" s="162">
        <f>EXP(-LN(2)/35)*Z63+(1-EXP(-LN(2)/35))/(LN(2)/35)*V64*W64*VLOOKUP('Données projet'!$B$9,'Paramètres'!$A$1:$I$88,3,0)*0.475*44/12</f>
        <v>0</v>
      </c>
      <c r="AA64" s="162">
        <f>EXP(-LN(2)/25)*AA63+(1-EXP(-LN(2)/25))/(LN(2)/25)*Calculateur!V64*Calculateur!X64*VLOOKUP('Données projet'!$B$9,'Paramètres'!$A$1:$I$88,3,0)*0.475*44/12</f>
        <v>1.899918993</v>
      </c>
      <c r="AB64" s="162">
        <f>EXP(-LN(2)/2)*AB63+(1-EXP(-LN(2)/2))/(LN(2)/2)*V64*Y64*VLOOKUP('Données projet'!$B$9,'Paramètres'!$A$1:$I$88,3,0)*0.475*44/12</f>
        <v>0</v>
      </c>
      <c r="AC64" s="163">
        <f t="shared" si="4"/>
        <v>1.899918993</v>
      </c>
      <c r="AD64" s="150">
        <f>('Scénario référence'!$F$8+'Scénario référence'!$F$9+'Scénario référence'!$B$17+'Scénario référence'!$B$9+'Scénario référence'!$B$10)*70+IF((45+25*(1-EXP(-0.0175*A64)))&lt;70,'Scénario référence'!$B$16*(45+25*(1-EXP(-0.0175*A64))),70*'Scénario référence'!$B$16)+IF((32+38*(1-EXP(-0.0175*A64)))&lt;70,'Scénario référence'!$B$18*(32+38*(1-EXP(-0.0175*A64))),70*'Scénario référence'!$B$18)</f>
        <v>70</v>
      </c>
      <c r="AE64" s="150">
        <f>IF(A64&gt;30,10,('Scénario référence'!$B$16+'Scénario référence'!$B$17+'Scénario référence'!$B$18+'Scénario référence'!$B$9+'Scénario référence'!$B$10)*A64*10/30+('Scénario référence'!$F$8+'Scénario référence'!$F$9)*10)</f>
        <v>10</v>
      </c>
      <c r="AF64" s="151" t="str">
        <f>VLOOKUP(A64,'Données projet'!$A$61:$I$81,2,0)</f>
        <v>#N/A</v>
      </c>
      <c r="AG64" s="151" t="str">
        <f>VLOOKUP(A64,'Données projet'!$A$61:$I$81,9,0)</f>
        <v>#N/A</v>
      </c>
      <c r="AH64" s="150">
        <f t="array" ref="AH64">INDEX(AG:AG,MIN(IF(ISNUMBER(AG64:AG260),ROW(AG64:AG260),"")))</f>
        <v>6</v>
      </c>
      <c r="AI64" s="150">
        <f>IF('Données projet'!$A$62&gt;35,AI63+AH64-AQ63,IF(A64&lt;'Données projet'!$A$62,$AF$205^A64,IF(A64='Données projet'!$A$62,'Données projet'!$B$62,AI63+AH64-AQ63)))</f>
        <v>332</v>
      </c>
      <c r="AJ64" s="150">
        <f>AI64*VLOOKUP('Données projet'!$B$10,'Paramètres'!$A$1:$I$88,3,0)*VLOOKUP('Données projet'!$B$10,'Paramètres'!$A$1:$I$88,5,0)</f>
        <v>264.1392</v>
      </c>
      <c r="AK64" s="150">
        <f t="shared" si="36"/>
        <v>63.60387543</v>
      </c>
      <c r="AL64" s="161">
        <f t="shared" si="5"/>
        <v>570.8191897</v>
      </c>
      <c r="AM64" s="153">
        <f t="shared" si="6"/>
        <v>864.152523</v>
      </c>
      <c r="AN64" s="153">
        <f>AVERAGE(OFFSET($AM$3,0,0,'Données projet'!$E$10+1,1))-AVERAGE(OFFSET($H$3,0,0,'Données projet'!$E$10+1,1))</f>
        <v>405.6113614</v>
      </c>
      <c r="AO64" s="153">
        <f t="shared" si="37"/>
        <v>393.0787141</v>
      </c>
      <c r="AP64" s="154">
        <f>IF(ISNA(VLOOKUP(A64,'Données projet'!$A$61:$I$81,3,0)),0,VLOOKUP(A64,'Données projet'!$A$61:$I$81,3,0))</f>
        <v>0</v>
      </c>
      <c r="AQ64" s="154">
        <f>IF(ISNA(VLOOKUP(A64,'Données projet'!$A$61:$I$81,4,0)),0,VLOOKUP(A64,'Données projet'!$A$61:$I$81,4,0))</f>
        <v>0</v>
      </c>
      <c r="AR64" s="155">
        <f>IF(ISNA(VLOOKUP(A64,'Données projet'!$A$61:$I$81,5,0)),0%,VLOOKUP(A64,'Données projet'!$A$61:$I$81,5,0)*VLOOKUP('Données projet'!$B$10,'Paramètres'!$A$1:$I$88,7,0))</f>
        <v>0</v>
      </c>
      <c r="AS64" s="155">
        <f>IF(ISNA(VLOOKUP(A64,'Données projet'!$A$61:$I$81,6,0)),0%,VLOOKUP(A64,'Données projet'!$A$61:$I$81,6,0)*VLOOKUP('Données projet'!$B$10,'Paramètres'!$A$1:$I$88,7,0))</f>
        <v>0</v>
      </c>
      <c r="AT64" s="155">
        <f>IF(ISNA(VLOOKUP(A64,'Données projet'!$A$61:$I$81,7,0)),0%,VLOOKUP(A64,'Données projet'!$A$61:$I$81,7,0))</f>
        <v>0</v>
      </c>
      <c r="AU64" s="162">
        <f>EXP(-LN(2)/35)*AU63+(1-EXP(-LN(2)/35))/(LN(2)/35)*AQ64*AR64*VLOOKUP('Données projet'!$B$10,'Paramètres'!$A$1:$I$88,3,0)*0.475*44/12</f>
        <v>0</v>
      </c>
      <c r="AV64" s="162">
        <f>EXP(-LN(2)/25)*AV63+(1-EXP(-LN(2)/25))/(LN(2)/25)*Calculateur!AQ64*Calculateur!AS64*VLOOKUP('Données projet'!$B$10,'Paramètres'!$A$1:$I$88,3,0)*0.475*44/12</f>
        <v>7.721753767</v>
      </c>
      <c r="AW64" s="162">
        <f>EXP(-LN(2)/2)*AW63+(1-EXP(-LN(2)/2))/(LN(2)/2)*AQ64*AT64*VLOOKUP('Données projet'!$B$10,'Paramètres'!$A$1:$I$88,3,0)*0.475*44/12</f>
        <v>0.00001250971773</v>
      </c>
      <c r="AX64" s="162">
        <f t="shared" si="7"/>
        <v>7.721766277</v>
      </c>
      <c r="AY64" s="157">
        <f>('Scénario référence'!$F$8+'Scénario référence'!$F$9+'Scénario référence'!$B$17+'Scénario référence'!$B$9+'Scénario référence'!$B$10)*70+IF((45+25*(1-EXP(-0.0175*A64)))&lt;70,'Scénario référence'!$B$16*(45+25*(1-EXP(-0.0175*A64))),70*'Scénario référence'!$B$16)+IF((32+38*(1-EXP(-0.0175*A64)))&lt;70,'Scénario référence'!$B$18*(32+38*(1-EXP(-0.0175*A64))),70*'Scénario référence'!$B$18)</f>
        <v>70</v>
      </c>
      <c r="AZ64" s="151">
        <f>IF(A64&gt;30,10,('Scénario référence'!$B$16+'Scénario référence'!$B$17+'Scénario référence'!$B$18+'Scénario référence'!$B$9+'Scénario référence'!$B$10)*A64*10/30+('Scénario référence'!$F$8+'Scénario référence'!$F$9)*10)</f>
        <v>10</v>
      </c>
      <c r="BA64" s="151" t="str">
        <f>VLOOKUP(A64,'Données projet'!$A$87:$I$107,2,0)</f>
        <v>#N/A</v>
      </c>
      <c r="BB64" s="151" t="str">
        <f>VLOOKUP(A64,'Données projet'!$A$87:$I$107,9,0)</f>
        <v>#N/A</v>
      </c>
      <c r="BC64" s="150" t="str">
        <f t="array" ref="BC64">INDEX(BB:BB,MIN(IF(ISNUMBER(BB64:BB260),ROW(BB64:BB260),"")))</f>
        <v/>
      </c>
      <c r="BD64" s="150">
        <f>IF('Données projet'!$A$88&gt;35,BD63+BC64-BL63,IF(A64&lt;'Données projet'!$A$88,$BA$205^A64,IF(A64='Données projet'!$A$88,'Données projet'!$B$88,BD63+BC64-BL63)))</f>
        <v>0</v>
      </c>
      <c r="BE64" s="150">
        <f>BD64*VLOOKUP('Données projet'!$B$11,'Paramètres'!$A$1:$I$88,3,0)*VLOOKUP('Données projet'!$B$11,'Paramètres'!$A$1:$I$88,5,0)</f>
        <v>0</v>
      </c>
      <c r="BF64" s="150" t="str">
        <f t="shared" si="38"/>
        <v>#NUM!</v>
      </c>
      <c r="BG64" s="161" t="str">
        <f t="shared" si="8"/>
        <v>#NUM!</v>
      </c>
      <c r="BH64" s="153" t="str">
        <f t="shared" si="9"/>
        <v>#NUM!</v>
      </c>
      <c r="BI64" s="153">
        <f>AVERAGE(OFFSET($BH$3,0,0,'Données projet'!$E$11+1,1))-AVERAGE(OFFSET($H$3,0,0,'Données projet'!$E$11+1,1))</f>
        <v>0</v>
      </c>
      <c r="BJ64" s="153">
        <f t="shared" si="39"/>
        <v>0</v>
      </c>
      <c r="BK64" s="154">
        <f>IF(ISNA(VLOOKUP(A64,'Données projet'!$A$87:$I$107,3,0)),0,VLOOKUP(A64,'Données projet'!$A$87:$I$107,3,0))</f>
        <v>0</v>
      </c>
      <c r="BL64" s="154">
        <f>IF(ISNA(VLOOKUP(A64,'Données projet'!$A$87:$I$107,4,0)),0,VLOOKUP(A64,'Données projet'!$A$87:$I$107,4,0))</f>
        <v>0</v>
      </c>
      <c r="BM64" s="155">
        <f>IF(ISNA(VLOOKUP(A64,'Données projet'!$A$87:$I$107,5,0)),0%,VLOOKUP(A64,'Données projet'!$A$87:$I$107,5,0)*VLOOKUP('Données projet'!$B$11,'Paramètres'!$A$1:$I$88,7,0))</f>
        <v>0</v>
      </c>
      <c r="BN64" s="155">
        <f>IF(ISNA(VLOOKUP(A64,'Données projet'!$A$87:$I$107,6,0)),0%,VLOOKUP(A64,'Données projet'!$A$87:$I$107,6,0)*VLOOKUP('Données projet'!$B$11,'Paramètres'!$A$1:$I$88,7,0))</f>
        <v>0</v>
      </c>
      <c r="BO64" s="155">
        <f>IF(ISNA(VLOOKUP(A64,'Données projet'!$A$87:$I$107,7,0)),0%,VLOOKUP(A64,'Données projet'!$A$87:$I$107,7,0))</f>
        <v>0</v>
      </c>
      <c r="BP64" s="162">
        <f>EXP(-LN(2)/35)*BP63+(1-EXP(-LN(2)/35))/(LN(2)/35)*BL64*BM64*VLOOKUP('Données projet'!$B$11,'Paramètres'!$A$1:$I$88,3,0)*0.475*44/12</f>
        <v>0</v>
      </c>
      <c r="BQ64" s="162">
        <f>EXP(-LN(2)/25)*BQ63+(1-EXP(-LN(2)/25))/(LN(2)/25)*Calculateur!BL64*Calculateur!BN64*VLOOKUP('Données projet'!$B$11,'Paramètres'!$A$1:$I$88,3,0)*0.475*44/12</f>
        <v>0</v>
      </c>
      <c r="BR64" s="162">
        <f>EXP(-LN(2)/2)*BR63+(1-EXP(-LN(2)/2))/(LN(2)/2)*BL64*BO64*VLOOKUP('Données projet'!$B$11,'Paramètres'!$A$1:$I$88,3,0)*0.475*44/12</f>
        <v>0</v>
      </c>
      <c r="BS64" s="163">
        <f t="shared" si="10"/>
        <v>0</v>
      </c>
      <c r="BT64" s="159">
        <f>('Scénario référence'!$F$8+'Scénario référence'!$F$9+'Scénario référence'!$B$17+'Scénario référence'!$B$9+'Scénario référence'!$B$10)*70+IF((45+25*(1-EXP(-0.0175*A64)))&lt;70,'Scénario référence'!$B$16*(45+25*(1-EXP(-0.0175*A64))),70*'Scénario référence'!$B$16)+IF((32+38*(1-EXP(-0.0175*A64)))&lt;70,'Scénario référence'!$B$18*(32+38*(1-EXP(-0.0175*A64))),70*'Scénario référence'!$B$18)</f>
        <v>70</v>
      </c>
      <c r="BU64" s="151">
        <f>IF(A64&gt;30,10,('Scénario référence'!$B$16+'Scénario référence'!$B$17+'Scénario référence'!$B$18+'Scénario référence'!$B$9+'Scénario référence'!$B$10)*A64*10/30+('Scénario référence'!$F$8+'Scénario référence'!$F$9)*10)</f>
        <v>10</v>
      </c>
      <c r="BV64" s="151" t="str">
        <f>VLOOKUP(A64,'Données projet'!$A$113:$I$133,2,0)</f>
        <v>#N/A</v>
      </c>
      <c r="BW64" s="151" t="str">
        <f>VLOOKUP(A64,'Données projet'!$A$113:$I$133,9,0)</f>
        <v>#N/A</v>
      </c>
      <c r="BX64" s="150" t="str">
        <f t="array" ref="BX64">INDEX(BW:BW,MIN(IF(ISNUMBER(BW64:BW260),ROW(BW64:BW260),"")))</f>
        <v/>
      </c>
      <c r="BY64" s="150">
        <f>IF('Données projet'!$A$114&gt;35,BY63+BX64-CG63,IF(A64&lt;'Données projet'!$A$114,$BV$205^A64,IF(A64='Données projet'!$A$114,'Données projet'!$B$114,BY63+BX64-CG63)))</f>
        <v>0</v>
      </c>
      <c r="BZ64" s="150" t="str">
        <f>BY64*VLOOKUP('Données projet'!$B$12,'Paramètres'!$A$1:$I$88,3,0)*VLOOKUP('Données projet'!$B$12,'Paramètres'!$A$1:$I$88,5,0)</f>
        <v>#N/A</v>
      </c>
      <c r="CA64" s="150" t="str">
        <f t="shared" si="40"/>
        <v>#N/A</v>
      </c>
      <c r="CB64" s="161" t="str">
        <f t="shared" si="11"/>
        <v>#N/A</v>
      </c>
      <c r="CC64" s="153" t="str">
        <f t="shared" si="12"/>
        <v>#N/A</v>
      </c>
      <c r="CD64" s="153" t="str">
        <f>AVERAGE(OFFSET($CC$3,0,0,'Données projet'!$E$12+1,1))-AVERAGE(OFFSET($H$3,0,0,'Données projet'!$E$12+1,1))</f>
        <v>#N/A</v>
      </c>
      <c r="CE64" s="153" t="str">
        <f t="shared" si="41"/>
        <v>#N/A</v>
      </c>
      <c r="CF64" s="154">
        <f>IF(ISNA(VLOOKUP(A64,'Données projet'!$A$113:$I$133,3,0)),0,VLOOKUP(A64,'Données projet'!$A$113:$I$133,3,0))</f>
        <v>0</v>
      </c>
      <c r="CG64" s="154">
        <f>IF(ISNA(VLOOKUP(A64,'Données projet'!$A$113:$I$133,4,0)),0,VLOOKUP(A64,'Données projet'!$A$113:$I$133,4,0))</f>
        <v>0</v>
      </c>
      <c r="CH64" s="155">
        <f>IF(ISNA(VLOOKUP(A64,'Données projet'!$A$113:$I$133,5,0)),0%,VLOOKUP(A64,'Données projet'!$A$113:$I$133,5,0)*VLOOKUP('Données projet'!$B$12,'Paramètres'!$A$1:$I$88,7,0))</f>
        <v>0</v>
      </c>
      <c r="CI64" s="155">
        <f>IF(ISNA(VLOOKUP(A64,'Données projet'!$A$113:$I$133,6,0)),0%,VLOOKUP(A64,'Données projet'!$A$113:$I$133,6,0)*VLOOKUP('Données projet'!$B$12,'Paramètres'!$A$1:$I$88,7,0))</f>
        <v>0</v>
      </c>
      <c r="CJ64" s="155">
        <f>IF(ISNA(VLOOKUP(A64,'Données projet'!$A$113:$I$133,7,0)),0%,VLOOKUP(A64,'Données projet'!$A$113:$I$133,7,0))</f>
        <v>0</v>
      </c>
      <c r="CK64" s="162" t="str">
        <f>EXP(-LN(2)/35)*CK63+(1-EXP(-LN(2)/35))/(LN(2)/35)*CG64*CH64*VLOOKUP('Données projet'!$B$12,'Paramètres'!$A$1:$I$88,3,0)*0.475*44/12</f>
        <v>#N/A</v>
      </c>
      <c r="CL64" s="162" t="str">
        <f>EXP(-LN(2)/25)*CL63+(1-EXP(-LN(2)/25))/(LN(2)/25)*Calculateur!CG64*Calculateur!CI64*VLOOKUP('Données projet'!$B$12,'Paramètres'!$A$1:$I$88,3,0)*0.475*44/12</f>
        <v>#N/A</v>
      </c>
      <c r="CM64" s="162" t="str">
        <f>EXP(-LN(2)/2)*CM63+(1-EXP(-LN(2)/2))/(LN(2)/2)*CG64*CJ64*VLOOKUP('Données projet'!$B$12,'Paramètres'!$A$1:$I$88,3,0)*0.475*44/12</f>
        <v>#N/A</v>
      </c>
      <c r="CN64" s="163" t="str">
        <f t="shared" si="13"/>
        <v>#N/A</v>
      </c>
      <c r="CO64" s="159">
        <f>('Scénario référence'!$F$8+'Scénario référence'!$F$9+'Scénario référence'!$B$17+'Scénario référence'!$B$9+'Scénario référence'!$B$10)*70+IF((45+25*(1-EXP(-0.0175*A64)))&lt;70,'Scénario référence'!$B$16*(45+25*(1-EXP(-0.0175*A64))),70*'Scénario référence'!$B$16)+IF((32+38*(1-EXP(-0.0175*A64)))&lt;70,'Scénario référence'!$B$18*(32+38*(1-EXP(-0.0175*A64))),70*'Scénario référence'!$B$18)</f>
        <v>70</v>
      </c>
      <c r="CP64" s="151">
        <f>IF(A64&gt;30,10,('Scénario référence'!$B$16+'Scénario référence'!$B$17+'Scénario référence'!$B$18+'Scénario référence'!$B$9+'Scénario référence'!$B$10)*A64*10/30+('Scénario référence'!$F$8+'Scénario référence'!$F$9)*10)</f>
        <v>10</v>
      </c>
      <c r="CQ64" s="151" t="str">
        <f>VLOOKUP(A64,'Données projet'!$A$139:$I$159,2,0)</f>
        <v>#N/A</v>
      </c>
      <c r="CR64" s="151" t="str">
        <f>VLOOKUP(A64,'Données projet'!$A$139:$I$159,9,0)</f>
        <v>#N/A</v>
      </c>
      <c r="CS64" s="151" t="str">
        <f t="array" ref="CS64">INDEX(CR:CR,MIN(IF(ISNUMBER(CR64:CR260),ROW(CR64:CR260),"")))</f>
        <v/>
      </c>
      <c r="CT64" s="151">
        <f>IF('Données projet'!$A$140&gt;35,CT63+CS64-DB63,IF(A64&lt;'Données projet'!$A$140,$CQ$205^A64,IF(A64='Données projet'!$A$140,'Données projet'!$B$140,CT63+CS64-DB63)))</f>
        <v>0</v>
      </c>
      <c r="CU64" s="158" t="str">
        <f>CT64*VLOOKUP('Données projet'!$B$13,'Paramètres'!$A$1:$I$88,3,0)*VLOOKUP('Données projet'!$B$13,'Paramètres'!$A$1:$I$88,5,0)</f>
        <v>#N/A</v>
      </c>
      <c r="CV64" s="150" t="str">
        <f t="shared" si="42"/>
        <v>#N/A</v>
      </c>
      <c r="CW64" s="161" t="str">
        <f t="shared" si="14"/>
        <v>#N/A</v>
      </c>
      <c r="CX64" s="153" t="str">
        <f t="shared" si="15"/>
        <v>#N/A</v>
      </c>
      <c r="CY64" s="153" t="str">
        <f>AVERAGE(OFFSET($CX$3,0,0,'Données projet'!$E$13+1,1))-AVERAGE(OFFSET($H$3,0,0,'Données projet'!$E$13+1,1))</f>
        <v>#N/A</v>
      </c>
      <c r="CZ64" s="153" t="str">
        <f t="shared" si="43"/>
        <v>#N/A</v>
      </c>
      <c r="DA64" s="154">
        <f>IF(ISNA(VLOOKUP(A64,'Données projet'!$A$139:$I$159,3,0)),0,VLOOKUP(A64,'Données projet'!$A$139:$I$159,3,0))</f>
        <v>0</v>
      </c>
      <c r="DB64" s="154">
        <f>IF(ISNA(VLOOKUP(A64,'Données projet'!$A$139:$I$159,4,0)),0,VLOOKUP(A64,'Données projet'!$A$139:$I$159,4,0))</f>
        <v>0</v>
      </c>
      <c r="DC64" s="155">
        <f>IF(ISNA(VLOOKUP(A64,'Données projet'!$A$139:$I$159,5,0)),0%,VLOOKUP(A64,'Données projet'!$A$139:$I$159,5,0)*VLOOKUP('Données projet'!$B$13,'Paramètres'!$A$1:$I$88,7,0))</f>
        <v>0</v>
      </c>
      <c r="DD64" s="155">
        <f>IF(ISNA(VLOOKUP(A64,'Données projet'!$A$139:$I$159,6,0)),0%,VLOOKUP(A64,'Données projet'!$A$139:$I$159,6,0)*VLOOKUP('Données projet'!$B$13,'Paramètres'!$A$1:$I$88,7,0))</f>
        <v>0</v>
      </c>
      <c r="DE64" s="155">
        <f>IF(ISNA(VLOOKUP(A64,'Données projet'!$A$139:$I$159,7,0)),0%,VLOOKUP(A64,'Données projet'!$A$139:$I$159,7,0))</f>
        <v>0</v>
      </c>
      <c r="DF64" s="162" t="str">
        <f>EXP(-LN(2)/35)*DF63+(1-EXP(-LN(2)/35))/(LN(2)/35)*DB64*DC64*VLOOKUP('Données projet'!$B$13,'Paramètres'!$A$1:$I$88,3,0)*0.475*44/12</f>
        <v>#N/A</v>
      </c>
      <c r="DG64" s="162" t="str">
        <f>EXP(-LN(2)/25)*DG63+(1-EXP(-LN(2)/25))/(LN(2)/25)*Calculateur!DB64*Calculateur!DD64*VLOOKUP('Données projet'!$B$13,'Paramètres'!$A$1:$I$88,3,0)*0.475*44/12</f>
        <v>#N/A</v>
      </c>
      <c r="DH64" s="162" t="str">
        <f>EXP(-LN(2)/2)*DH63+(1-EXP(-LN(2)/2))/(LN(2)/2)*DB64*DE64*VLOOKUP('Données projet'!$B$13,'Paramètres'!$A$1:$I$88,3,0)*0.475*44/12</f>
        <v>#N/A</v>
      </c>
      <c r="DI64" s="163" t="str">
        <f t="shared" si="16"/>
        <v>#N/A</v>
      </c>
      <c r="DJ64" s="159">
        <f>('Scénario référence'!$F$8+'Scénario référence'!$F$9+'Scénario référence'!$B$17+'Scénario référence'!$B$9+'Scénario référence'!$B$10)*70+IF((45+25*(1-EXP(-0.0175*A64)))&lt;70,'Scénario référence'!$B$16*(45+25*(1-EXP(-0.0175*A64))),70*'Scénario référence'!$B$16)+IF((32+38*(1-EXP(-0.0175*A64)))&lt;70,'Scénario référence'!$B$18*(32+38*(1-EXP(-0.0175*A64))),70*'Scénario référence'!$B$18)</f>
        <v>70</v>
      </c>
      <c r="DK64" s="151">
        <f>IF(A64&gt;30,10,('Scénario référence'!$B$16+'Scénario référence'!$B$17+'Scénario référence'!$B$18+'Scénario référence'!$B$9+'Scénario référence'!$B$10)*A64*10/30+('Scénario référence'!$F$8+'Scénario référence'!$F$9)*10)</f>
        <v>10</v>
      </c>
      <c r="DL64" s="151" t="str">
        <f>VLOOKUP(A64,'Données projet'!$A$165:$I$185,2,0)</f>
        <v>#N/A</v>
      </c>
      <c r="DM64" s="151" t="str">
        <f>VLOOKUP(A64,'Données projet'!$A$165:$I$185,9,0)</f>
        <v>#N/A</v>
      </c>
      <c r="DN64" s="151" t="str">
        <f t="array" ref="DN64">INDEX(DM:DM,MIN(IF(ISNUMBER(DM64:DM260),ROW(DM64:DM260),"")))</f>
        <v/>
      </c>
      <c r="DO64" s="151">
        <f>IF('Données projet'!$A$166&gt;35,DO63+DN64-DW63,IF(A64&lt;'Données projet'!$A$166,$DL$205^A64,IF(A64='Données projet'!$A$166,'Données projet'!$B$166,DO63+DN64-DW63)))</f>
        <v>0</v>
      </c>
      <c r="DP64" s="158" t="str">
        <f>DO64*VLOOKUP('Données projet'!$B$14,'Paramètres'!$A$1:$I$88,3,0)*VLOOKUP('Données projet'!$B$14,'Paramètres'!$A$1:$I$88,5,0)</f>
        <v>#N/A</v>
      </c>
      <c r="DQ64" s="150" t="str">
        <f t="shared" si="44"/>
        <v>#N/A</v>
      </c>
      <c r="DR64" s="161" t="str">
        <f t="shared" si="17"/>
        <v>#N/A</v>
      </c>
      <c r="DS64" s="153" t="str">
        <f t="shared" si="18"/>
        <v>#N/A</v>
      </c>
      <c r="DT64" s="153" t="str">
        <f>AVERAGE(OFFSET($DS$3,0,0,'Données projet'!$E$14+1,1))-AVERAGE(OFFSET($H$3,0,0,'Données projet'!$E$14+1,1))</f>
        <v>#N/A</v>
      </c>
      <c r="DU64" s="153" t="str">
        <f t="shared" si="45"/>
        <v>#N/A</v>
      </c>
      <c r="DV64" s="154">
        <f>IF(ISNA(VLOOKUP(A64,'Données projet'!$A$165:$I$185,3,0)),0,VLOOKUP(A64,'Données projet'!$A$165:$I$185,3,0))</f>
        <v>0</v>
      </c>
      <c r="DW64" s="154">
        <f>IF(ISNA(VLOOKUP(A64,'Données projet'!$A$165:$I$185,4,0)),0,VLOOKUP(A64,'Données projet'!$A$165:$I$185,4,0))</f>
        <v>0</v>
      </c>
      <c r="DX64" s="155">
        <f>IF(ISNA(VLOOKUP(A64,'Données projet'!$A$165:$I$185,5,0)),0%,VLOOKUP(A64,'Données projet'!$A$165:$I$185,5,0)*VLOOKUP('Données projet'!$B$14,'Paramètres'!$A$1:$I$88,7,0))</f>
        <v>0</v>
      </c>
      <c r="DY64" s="155">
        <f>IF(ISNA(VLOOKUP(A64,'Données projet'!$A$165:$I$185,6,0)),0%,VLOOKUP(A64,'Données projet'!$A$165:$I$185,6,0)*VLOOKUP('Données projet'!$B$14,'Paramètres'!$A$1:$I$88,7,0))</f>
        <v>0</v>
      </c>
      <c r="DZ64" s="155">
        <f>IF(ISNA(VLOOKUP(A64,'Données projet'!$A$165:$I$185,7,0)),0%,VLOOKUP(A64,'Données projet'!$A$165:$I$185,7,0))</f>
        <v>0</v>
      </c>
      <c r="EA64" s="162" t="str">
        <f>EXP(-LN(2)/35)*EA63+(1-EXP(-LN(2)/35))/(LN(2)/35)*DW64*DX64*VLOOKUP('Données projet'!$B$14,'Paramètres'!$A$1:$I$88,3,0)*0.475*44/12</f>
        <v>#N/A</v>
      </c>
      <c r="EB64" s="162" t="str">
        <f>EXP(-LN(2)/25)*EB63+(1-EXP(-LN(2)/25))/(LN(2)/25)*Calculateur!DW64*Calculateur!DY64*VLOOKUP('Données projet'!$B$14,'Paramètres'!$A$1:$I$88,3,0)*0.475*44/12</f>
        <v>#N/A</v>
      </c>
      <c r="EC64" s="162" t="str">
        <f>EXP(-LN(2)/2)*EC63+(1-EXP(-LN(2)/2))/(LN(2)/2)*DW64*DZ64*VLOOKUP('Données projet'!$B$14,'Paramètres'!$A$1:$I$88,3,0)*0.475*44/12</f>
        <v>#N/A</v>
      </c>
      <c r="ED64" s="163" t="str">
        <f t="shared" si="19"/>
        <v>#N/A</v>
      </c>
      <c r="EE64" s="159">
        <f>('Scénario référence'!$F$8+'Scénario référence'!$F$9+'Scénario référence'!$B$17+'Scénario référence'!$B$9+'Scénario référence'!$B$10)*70+IF((45+25*(1-EXP(-0.0175*A64)))&lt;70,'Scénario référence'!$B$16*(45+25*(1-EXP(-0.0175*A64))),70*'Scénario référence'!$B$16)+IF((32+38*(1-EXP(-0.0175*A64)))&lt;70,'Scénario référence'!$B$18*(32+38*(1-EXP(-0.0175*A64))),70*'Scénario référence'!$B$18)</f>
        <v>70</v>
      </c>
      <c r="EF64" s="151">
        <f>IF(A64&gt;30,10,('Scénario référence'!$B$16+'Scénario référence'!$B$17+'Scénario référence'!$B$18+'Scénario référence'!$B$9+'Scénario référence'!$B$10)*A64*10/30+('Scénario référence'!$F$8+'Scénario référence'!$F$9)*10)</f>
        <v>10</v>
      </c>
      <c r="EG64" s="151" t="str">
        <f>VLOOKUP(A64,'Données projet'!$A$191:$I$211,2,0)</f>
        <v>#N/A</v>
      </c>
      <c r="EH64" s="151" t="str">
        <f>VLOOKUP(A64,'Données projet'!$A$191:$I$211,9,0)</f>
        <v>#N/A</v>
      </c>
      <c r="EI64" s="151" t="str">
        <f t="array" ref="EI64">INDEX(EH:EH,MIN(IF(ISNUMBER(EH64:EH260),ROW(EH64:EH260),"")))</f>
        <v/>
      </c>
      <c r="EJ64" s="151">
        <f>IF('Données projet'!$A$192&gt;35,EJ63+EI64-ER63,IF(A64&lt;'Données projet'!$A$192,$EG$205^A64,IF(A64='Données projet'!$A$192,'Données projet'!$B$192,EJ63+EI64-ER63)))</f>
        <v>0</v>
      </c>
      <c r="EK64" s="158" t="str">
        <f>EJ64*VLOOKUP('Données projet'!$B$15,'Paramètres'!$A$1:$I$88,3,0)*VLOOKUP('Données projet'!$B$15,'Paramètres'!$A$1:$I$88,5,0)</f>
        <v>#N/A</v>
      </c>
      <c r="EL64" s="150" t="str">
        <f t="shared" si="46"/>
        <v>#N/A</v>
      </c>
      <c r="EM64" s="161" t="str">
        <f t="shared" si="20"/>
        <v>#N/A</v>
      </c>
      <c r="EN64" s="153" t="str">
        <f t="shared" si="21"/>
        <v>#N/A</v>
      </c>
      <c r="EO64" s="153" t="str">
        <f>AVERAGE(OFFSET($EN$3,0,0,'Données projet'!$E$15+1,1))-AVERAGE(OFFSET($H$3,0,0,'Données projet'!$E$15+1,1))</f>
        <v>#N/A</v>
      </c>
      <c r="EP64" s="153" t="str">
        <f t="shared" si="47"/>
        <v>#N/A</v>
      </c>
      <c r="EQ64" s="154">
        <f>IF(ISNA(VLOOKUP(A64,'Données projet'!$A$191:$I$211,3,0)),0,VLOOKUP(A64,'Données projet'!$A$191:$I$211,3,0))</f>
        <v>0</v>
      </c>
      <c r="ER64" s="154">
        <f>IF(ISNA(VLOOKUP(A64,'Données projet'!$A$191:$I$211,4,0)),0,VLOOKUP(A64,'Données projet'!$A$191:$I$211,4,0))</f>
        <v>0</v>
      </c>
      <c r="ES64" s="155">
        <f>IF(ISNA(VLOOKUP(A64,'Données projet'!$A$191:$I$211,5,0)),0%,VLOOKUP(A64,'Données projet'!$A$191:$I$211,5,0)*VLOOKUP('Données projet'!$B$15,'Paramètres'!$A$1:$I$88,7,0))</f>
        <v>0</v>
      </c>
      <c r="ET64" s="155">
        <f>IF(ISNA(VLOOKUP(A64,'Données projet'!$A$191:$I$211,6,0)),0%,VLOOKUP(A64,'Données projet'!$A$191:$I$211,6,0)*VLOOKUP('Données projet'!$B$15,'Paramètres'!$A$1:$I$88,7,0))</f>
        <v>0</v>
      </c>
      <c r="EU64" s="155">
        <f>IF(ISNA(VLOOKUP(A64,'Données projet'!$A$191:$I$211,7,0)),0%,VLOOKUP(A64,'Données projet'!$A$191:$I$211,7,0))</f>
        <v>0</v>
      </c>
      <c r="EV64" s="162" t="str">
        <f>EXP(-LN(2)/35)*EV63+(1-EXP(-LN(2)/35))/(LN(2)/35)*ER64*ES64*VLOOKUP('Données projet'!$B$15,'Paramètres'!$A$1:$I$88,3,0)*0.475*44/12</f>
        <v>#N/A</v>
      </c>
      <c r="EW64" s="162" t="str">
        <f>EXP(-LN(2)/25)*EW63+(1-EXP(-LN(2)/25))/(LN(2)/25)*Calculateur!ER64*Calculateur!ET64*VLOOKUP('Données projet'!$B$15,'Paramètres'!$A$1:$I$88,3,0)*0.475*44/12</f>
        <v>#N/A</v>
      </c>
      <c r="EX64" s="162" t="str">
        <f>EXP(-LN(2)/2)*EX63+(1-EXP(-LN(2)/2))/(LN(2)/2)*ER64*EU64*VLOOKUP('Données projet'!$B$15,'Paramètres'!$A$1:$I$88,3,0)*0.475*44/12</f>
        <v>#N/A</v>
      </c>
      <c r="EY64" s="163" t="str">
        <f t="shared" si="22"/>
        <v>#N/A</v>
      </c>
      <c r="EZ64" s="159">
        <f>('Scénario référence'!$F$8+'Scénario référence'!$F$9+'Scénario référence'!$B$17+'Scénario référence'!$B$9+'Scénario référence'!$B$10)*70+IF((45+25*(1-EXP(-0.0175*A64)))&lt;70,'Scénario référence'!$B$16*(45+25*(1-EXP(-0.0175*A64))),70*'Scénario référence'!$B$16)+IF((32+38*(1-EXP(-0.0175*A64)))&lt;70,'Scénario référence'!$B$18*(32+38*(1-EXP(-0.0175*A64))),70*'Scénario référence'!$B$18)</f>
        <v>70</v>
      </c>
      <c r="FA64" s="151">
        <f>IF(A64&gt;30,10,('Scénario référence'!$B$16+'Scénario référence'!$B$17+'Scénario référence'!$B$18+'Scénario référence'!$B$9+'Scénario référence'!$B$10)*A64*10/30+('Scénario référence'!$F$8+'Scénario référence'!$F$9)*10)</f>
        <v>10</v>
      </c>
      <c r="FB64" s="151" t="str">
        <f>VLOOKUP(A64,'Données projet'!$A$217:$I$237,2,0)</f>
        <v>#N/A</v>
      </c>
      <c r="FC64" s="151" t="str">
        <f>VLOOKUP(A64,'Données projet'!$A$217:$I$237,9,0)</f>
        <v>#N/A</v>
      </c>
      <c r="FD64" s="151" t="str">
        <f t="array" ref="FD64">INDEX(FC:FC,MIN(IF(ISNUMBER(FC64:FC260),ROW(FC64:FC260),"")))</f>
        <v/>
      </c>
      <c r="FE64" s="151">
        <f>IF('Données projet'!$A$218&gt;35,FE63+FD64-FM63,IF(A64&lt;'Données projet'!$A$218,$FB$205^A64,IF(A64='Données projet'!$A$218,'Données projet'!$B$218,FE63+FD64-FM63)))</f>
        <v>0</v>
      </c>
      <c r="FF64" s="158" t="str">
        <f>FE64*VLOOKUP('Données projet'!$B$16,'Paramètres'!$A$1:$I$88,3,0)*VLOOKUP('Données projet'!$B$16,'Paramètres'!$A$1:$I$88,5,0)</f>
        <v>#N/A</v>
      </c>
      <c r="FG64" s="150" t="str">
        <f t="shared" si="48"/>
        <v>#N/A</v>
      </c>
      <c r="FH64" s="161" t="str">
        <f t="shared" si="23"/>
        <v>#N/A</v>
      </c>
      <c r="FI64" s="153" t="str">
        <f t="shared" si="24"/>
        <v>#N/A</v>
      </c>
      <c r="FJ64" s="153" t="str">
        <f>AVERAGE(OFFSET($FI$3,0,0,'Données projet'!$E$16+1,1))-AVERAGE(OFFSET($H$3,0,0,'Données projet'!$E$16+1,1))</f>
        <v>#N/A</v>
      </c>
      <c r="FK64" s="153" t="str">
        <f t="shared" si="49"/>
        <v>#N/A</v>
      </c>
      <c r="FL64" s="154">
        <f>IF(ISNA(VLOOKUP(A64,'Données projet'!$A$217:$I$237,3,0)),0,VLOOKUP(A64,'Données projet'!$A$217:$I$237,3,0))</f>
        <v>0</v>
      </c>
      <c r="FM64" s="154">
        <f>IF(ISNA(VLOOKUP(A64,'Données projet'!$A$217:$I$237,4,0)),0,VLOOKUP(A64,'Données projet'!$A$217:$I$237,4,0))</f>
        <v>0</v>
      </c>
      <c r="FN64" s="155">
        <f>IF(ISNA(VLOOKUP(A64,'Données projet'!$A$217:$I$237,5,0)),0%,VLOOKUP(A64,'Données projet'!$A$217:$I$237,5,0)*VLOOKUP('Données projet'!$B$16,'Paramètres'!$A$1:$I$88,7,0))</f>
        <v>0</v>
      </c>
      <c r="FO64" s="155">
        <f>IF(ISNA(VLOOKUP(A64,'Données projet'!$A$217:$I$237,6,0)),0%,VLOOKUP(A64,'Données projet'!$A$217:$I$237,6,0)*VLOOKUP('Données projet'!$B$16,'Paramètres'!$A$1:$I$88,7,0))</f>
        <v>0</v>
      </c>
      <c r="FP64" s="155">
        <f>IF(ISNA(VLOOKUP(A64,'Données projet'!$A$217:$I$237,7,0)),0%,VLOOKUP(A64,'Données projet'!$A$217:$I$237,7,0))</f>
        <v>0</v>
      </c>
      <c r="FQ64" s="162" t="str">
        <f>EXP(-LN(2)/35)*FQ63+(1-EXP(-LN(2)/35))/(LN(2)/35)*FM64*FN64*VLOOKUP('Données projet'!$B$16,'Paramètres'!$A$1:$I$88,3,0)*0.475*44/12</f>
        <v>#N/A</v>
      </c>
      <c r="FR64" s="162" t="str">
        <f>EXP(-LN(2)/25)*FR63+(1-EXP(-LN(2)/25))/(LN(2)/25)*Calculateur!FM64*Calculateur!FO64*VLOOKUP('Données projet'!$B$16,'Paramètres'!$A$1:$I$88,3,0)*0.475*44/12</f>
        <v>#N/A</v>
      </c>
      <c r="FS64" s="162" t="str">
        <f>EXP(-LN(2)/2)*FS63+(1-EXP(-LN(2)/2))/(LN(2)/2)*FM64*FP64*VLOOKUP('Données projet'!$B$16,'Paramètres'!$A$1:$I$88,3,0)*0.475*44/12</f>
        <v>#N/A</v>
      </c>
      <c r="FT64" s="163" t="str">
        <f t="shared" si="25"/>
        <v>#N/A</v>
      </c>
      <c r="FU64" s="159">
        <f>('Scénario référence'!$F$8+'Scénario référence'!$F$9+'Scénario référence'!$B$17+'Scénario référence'!$B$9+'Scénario référence'!$B$10)*70+IF((45+25*(1-EXP(-0.0175*A64)))&lt;70,'Scénario référence'!$B$16*(45+25*(1-EXP(-0.0175*A64))),70*'Scénario référence'!$B$16)+IF((32+38*(1-EXP(-0.0175*A64)))&lt;70,'Scénario référence'!$B$18*(32+38*(1-EXP(-0.0175*A64))),70*'Scénario référence'!$B$18)</f>
        <v>70</v>
      </c>
      <c r="FV64" s="151">
        <f>IF(A64&gt;30,10,('Scénario référence'!$B$16+'Scénario référence'!$B$17+'Scénario référence'!$B$18+'Scénario référence'!$B$9+'Scénario référence'!$B$10)*A64*10/30+('Scénario référence'!$F$8+'Scénario référence'!$F$9)*10)</f>
        <v>10</v>
      </c>
      <c r="FW64" s="151" t="str">
        <f>VLOOKUP(A64,'Données projet'!$A$243:$I$263,2,0)</f>
        <v>#N/A</v>
      </c>
      <c r="FX64" s="151" t="str">
        <f>VLOOKUP(A64,'Données projet'!$A$243:$I$263,9,0)</f>
        <v>#N/A</v>
      </c>
      <c r="FY64" s="151" t="str">
        <f t="array" ref="FY64">INDEX(FX:FX,MIN(IF(ISNUMBER(FX64:FX260),ROW(FX64:FX260),"")))</f>
        <v/>
      </c>
      <c r="FZ64" s="151">
        <f>IF('Données projet'!$A$244&gt;35,FZ63+FY64-GH63,IF(A64&lt;'Données projet'!$A$244,$FW$205^A64,IF(A64='Données projet'!$A$244,'Données projet'!$B$244,FZ63+FY64-GH63)))</f>
        <v>0</v>
      </c>
      <c r="GA64" s="158" t="str">
        <f>FZ64*VLOOKUP('Données projet'!$B$17,'Paramètres'!$A$1:$I$88,3,0)*VLOOKUP('Données projet'!$B$17,'Paramètres'!$A$1:$I$88,5,0)</f>
        <v>#N/A</v>
      </c>
      <c r="GB64" s="150" t="str">
        <f t="shared" si="50"/>
        <v>#N/A</v>
      </c>
      <c r="GC64" s="161" t="str">
        <f t="shared" si="26"/>
        <v>#N/A</v>
      </c>
      <c r="GD64" s="153" t="str">
        <f t="shared" si="27"/>
        <v>#N/A</v>
      </c>
      <c r="GE64" s="153" t="str">
        <f>AVERAGE(OFFSET($GD$3,0,0,'Données projet'!$E$17+1,1))-AVERAGE(OFFSET($H$3,0,0,'Données projet'!$E$17+1,1))</f>
        <v>#N/A</v>
      </c>
      <c r="GF64" s="153" t="str">
        <f t="shared" si="51"/>
        <v>#N/A</v>
      </c>
      <c r="GG64" s="154">
        <f>IF(ISNA(VLOOKUP(A64,'Données projet'!$A$243:$I$263,3,0)),0,VLOOKUP(A64,'Données projet'!$A$243:$I$263,3,0))</f>
        <v>0</v>
      </c>
      <c r="GH64" s="154">
        <f>IF(ISNA(VLOOKUP(A64,'Données projet'!$A$243:$I$263,4,0)),0,VLOOKUP(A64,'Données projet'!$A$243:$I$263,4,0))</f>
        <v>0</v>
      </c>
      <c r="GI64" s="155">
        <f>IF(ISNA(VLOOKUP(A64,'Données projet'!$A$243:$I$263,5,0)),0%,VLOOKUP(A64,'Données projet'!$A$243:$I$263,5,0)*VLOOKUP('Données projet'!$B$17,'Paramètres'!$A$1:$I$88,7,0))</f>
        <v>0</v>
      </c>
      <c r="GJ64" s="155">
        <f>IF(ISNA(VLOOKUP(A64,'Données projet'!$A$243:$I$263,6,0)),0%,VLOOKUP(A64,'Données projet'!$A$243:$I$263,6,0)*VLOOKUP('Données projet'!$B$17,'Paramètres'!$A$1:$I$88,7,0))</f>
        <v>0</v>
      </c>
      <c r="GK64" s="155">
        <f>IF(ISNA(VLOOKUP(A64,'Données projet'!$A$243:$I$263,7,0)),0%,VLOOKUP(A64,'Données projet'!$A$243:$I$263,7,0))</f>
        <v>0</v>
      </c>
      <c r="GL64" s="162" t="str">
        <f>EXP(-LN(2)/35)*GL63+(1-EXP(-LN(2)/35))/(LN(2)/35)*GH64*GI64*VLOOKUP('Données projet'!$B$17,'Paramètres'!$A$1:$I$88,3,0)*0.475*44/12</f>
        <v>#N/A</v>
      </c>
      <c r="GM64" s="162" t="str">
        <f>EXP(-LN(2)/25)*GM63+(1-EXP(-LN(2)/25))/(LN(2)/25)*Calculateur!GH64*Calculateur!GJ64*VLOOKUP('Données projet'!$B$17,'Paramètres'!$A$1:$I$88,3,0)*0.475*44/12</f>
        <v>#N/A</v>
      </c>
      <c r="GN64" s="162" t="str">
        <f>EXP(-LN(2)/2)*GN63+(1-EXP(-LN(2)/2))/(LN(2)/2)*GH64*GK64*VLOOKUP('Données projet'!$B$17,'Paramètres'!$A$1:$I$88,3,0)*0.475*44/12</f>
        <v>#N/A</v>
      </c>
      <c r="GO64" s="162" t="str">
        <f t="shared" si="28"/>
        <v>#N/A</v>
      </c>
      <c r="GP64" s="159">
        <f>('Scénario référence'!$F$8+'Scénario référence'!$F$9+'Scénario référence'!$B$17+'Scénario référence'!$B$9+'Scénario référence'!$B$10)*70+IF((45+25*(1-EXP(-0.0175*A64)))&lt;70,'Scénario référence'!$B$16*(45+25*(1-EXP(-0.0175*A64))),70*'Scénario référence'!$B$16)+IF((32+38*(1-EXP(-0.0175*A64)))&lt;70,'Scénario référence'!$B$18*(32+38*(1-EXP(-0.0175*A64))),70*'Scénario référence'!$B$18)</f>
        <v>70</v>
      </c>
      <c r="GQ64" s="151">
        <f>IF(A64&gt;30,10,('Scénario référence'!$B$16+'Scénario référence'!$B$17+'Scénario référence'!$B$18+'Scénario référence'!$B$9+'Scénario référence'!$B$10)*A64*10/30+('Scénario référence'!$F$8+'Scénario référence'!$F$9)*10)</f>
        <v>10</v>
      </c>
      <c r="GR64" s="151" t="str">
        <f>VLOOKUP(A64,'Données projet'!$A$269:$I$289,2,0)</f>
        <v>#N/A</v>
      </c>
      <c r="GS64" s="151" t="str">
        <f>VLOOKUP(A64,'Données projet'!$A$269:$I$289,9,0)</f>
        <v>#N/A</v>
      </c>
      <c r="GT64" s="151" t="str">
        <f t="array" ref="GT64">INDEX(GS:GS,MIN(IF(ISNUMBER(GS64:GS260),ROW(GS64:GS260),"")))</f>
        <v/>
      </c>
      <c r="GU64" s="151">
        <f>IF('Données projet'!$A$270&gt;35,GU63+GT64-HC63,IF(A64&lt;'Données projet'!$A$270,$GR$205^A64,IF(A64='Données projet'!$A$270,'Données projet'!$B$270,GU63+GT64-HC63)))</f>
        <v>0</v>
      </c>
      <c r="GV64" s="158" t="str">
        <f>GU64*VLOOKUP('Données projet'!$B$18,'Paramètres'!$A$1:$I$88,3,0)*VLOOKUP('Données projet'!$B$18,'Paramètres'!$A$1:$I$88,5,0)</f>
        <v>#N/A</v>
      </c>
      <c r="GW64" s="150" t="str">
        <f t="shared" si="52"/>
        <v>#N/A</v>
      </c>
      <c r="GX64" s="161" t="str">
        <f t="shared" si="29"/>
        <v>#N/A</v>
      </c>
      <c r="GY64" s="153" t="str">
        <f t="shared" si="30"/>
        <v>#N/A</v>
      </c>
      <c r="GZ64" s="153" t="str">
        <f>AVERAGE(OFFSET($GY$3,0,0,'Données projet'!$E$18+1,1))-AVERAGE(OFFSET($H$3,0,0,'Données projet'!$E$18+1,1))</f>
        <v>#N/A</v>
      </c>
      <c r="HA64" s="153" t="str">
        <f t="shared" si="53"/>
        <v>#N/A</v>
      </c>
      <c r="HB64" s="154">
        <f>IF(ISNA(VLOOKUP(A64,'Données projet'!$A$269:$I$289,3,0)),0,VLOOKUP(A64,'Données projet'!$A$269:$I$289,3,0))</f>
        <v>0</v>
      </c>
      <c r="HC64" s="154">
        <f>IF(ISNA(VLOOKUP(A64,'Données projet'!$A$269:$I$289,4,0)),0,VLOOKUP(A64,'Données projet'!$A$269:$I$289,4,0))</f>
        <v>0</v>
      </c>
      <c r="HD64" s="155">
        <f>IF(ISNA(VLOOKUP(A64,'Données projet'!$A$269:$I$289,5,0)),0%,VLOOKUP(A64,'Données projet'!$A$269:$I$289,5,0)*VLOOKUP('Données projet'!$B$18,'Paramètres'!$A$1:$I$88,7,0))</f>
        <v>0</v>
      </c>
      <c r="HE64" s="155">
        <f>IF(ISNA(VLOOKUP(A64,'Données projet'!$A$269:$I$289,6,0)),0%,VLOOKUP(A64,'Données projet'!$A$269:$I$289,6,0)*VLOOKUP('Données projet'!$B$18,'Paramètres'!$A$1:$I$88,7,0))</f>
        <v>0</v>
      </c>
      <c r="HF64" s="155">
        <f>IF(ISNA(VLOOKUP(A64,'Données projet'!$A$269:$I$289,7,0)),0%,VLOOKUP(A64,'Données projet'!$A$269:$I$289,7,0))</f>
        <v>0</v>
      </c>
      <c r="HG64" s="162" t="str">
        <f>EXP(-LN(2)/35)*HG63+(1-EXP(-LN(2)/35))/(LN(2)/35)*HC64*HD64*VLOOKUP('Données projet'!$B$18,'Paramètres'!$A$1:$I$88,3,0)*0.475*44/12</f>
        <v>#N/A</v>
      </c>
      <c r="HH64" s="162" t="str">
        <f>EXP(-LN(2)/25)*HH63+(1-EXP(-LN(2)/25))/(LN(2)/25)*Calculateur!HC64*Calculateur!HE64*VLOOKUP('Données projet'!$B$18,'Paramètres'!$A$1:$I$88,3,0)*0.475*44/12</f>
        <v>#N/A</v>
      </c>
      <c r="HI64" s="162" t="str">
        <f>EXP(-LN(2)/2)*HI63+(1-EXP(-LN(2)/2))/(LN(2)/2)*HC64*HF64*VLOOKUP('Données projet'!$B$18,'Paramètres'!$A$1:$I$88,3,0)*0.475*44/12</f>
        <v>#N/A</v>
      </c>
      <c r="HJ64" s="163" t="str">
        <f t="shared" si="31"/>
        <v>#N/A</v>
      </c>
    </row>
    <row r="65" ht="15.75" customHeight="1">
      <c r="A65" s="145">
        <f t="shared" si="32"/>
        <v>62</v>
      </c>
      <c r="B65" s="146">
        <f>'Scénario référence'!$B$16*5+'Scénario référence'!$B$17*0+'Scénario référence'!$B$18*5</f>
        <v>0</v>
      </c>
      <c r="C65" s="160">
        <f>Calculateur!C64+'Scénario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65" s="147">
        <f t="shared" si="33"/>
        <v>0</v>
      </c>
      <c r="E65" s="147">
        <f>'Scénario référence'!$B$16*45+('Scénario référence'!$B$17+'Scénario référence'!$F$8+'Scénario référence'!$F$9+'Scénario référence'!$B$10+'Scénario référence'!$B$9)*70+'Scénario référence'!$B$18*32</f>
        <v>70</v>
      </c>
      <c r="F65" s="147">
        <f>IF(OR('Scénario référence'!$F$8&gt;0,'Scénario référence'!$F$9&gt;0),('Scénario référence'!$F$8+'Scénario référence'!$F$9)*10,0)</f>
        <v>0</v>
      </c>
      <c r="G65" s="147">
        <f>'Scénario référence'!$B$8*B65*44/12+'Scénario référence'!$B$9*(C65+D65)/0.475*44/12+'Scénario référence'!$B$10*(C65+D65)/0.475*44/12+'Scénario référence'!$F$8*(C65+D65)/0.475*44/12+'Scénario référence'!$F$9*(C65+D65)/0.475*44/12</f>
        <v>0</v>
      </c>
      <c r="H65" s="148">
        <f t="shared" si="1"/>
        <v>256.6666667</v>
      </c>
      <c r="I65" s="149">
        <f>('Scénario référence'!$F$8+'Scénario référence'!$F$9+'Scénario référence'!$B$17+'Scénario référence'!$B$9+'Scénario référence'!$B$10)*70+IF((45+25*(1-EXP(-0.0175*A65)))&lt;70,'Scénario référence'!$B$16*(45+25*(1-EXP(-0.0175*A65))),70*'Scénario référence'!$B$16)+IF((32+38*(1-EXP(-0.0175*A65)))&lt;70,'Scénario référence'!$B$18*(32+38*(1-EXP(-0.0175*A65))),70*'Scénario référence'!$B$18)</f>
        <v>70</v>
      </c>
      <c r="J65" s="150">
        <f>IF(A65&gt;30,10,('Scénario référence'!$B$16+'Scénario référence'!$B$17+'Scénario référence'!$B$18+'Scénario référence'!$B$9+'Scénario référence'!$B$10)*A65*10/30+('Scénario référence'!$F$8+'Scénario référence'!$F$9)*10)</f>
        <v>10</v>
      </c>
      <c r="K65" s="151" t="str">
        <f>VLOOKUP(A65,'Données projet'!$A$35:$I$55,2,0)</f>
        <v>#N/A</v>
      </c>
      <c r="L65" s="151" t="str">
        <f>VLOOKUP(A65,'Données projet'!$A$35:$I$55,9,0)</f>
        <v>#N/A</v>
      </c>
      <c r="M65" s="150">
        <f t="array" ref="M65">INDEX(L:L,MIN(IF(ISNUMBER(L65:L261),ROW(L65:L261),"")))</f>
        <v>8.8</v>
      </c>
      <c r="N65" s="150">
        <f>IF('Données projet'!$A$36&gt;35,N64+M65-V64,IF(A65&lt;'Données projet'!$A$36,$K$205^A65,IF(A65='Données projet'!$A$36,'Données projet'!$B$36,N64+M65-V64)))</f>
        <v>262.6</v>
      </c>
      <c r="O65" s="150">
        <f>N65*VLOOKUP('Données projet'!$B$9,'Paramètres'!$A$1:$I$88,3,0)*VLOOKUP('Données projet'!$B$9,'Paramètres'!$A$1:$I$88,5,0)</f>
        <v>237.60048</v>
      </c>
      <c r="P65" s="150">
        <f t="shared" si="34"/>
        <v>57.92296053</v>
      </c>
      <c r="Q65" s="161">
        <f t="shared" si="2"/>
        <v>514.7033256</v>
      </c>
      <c r="R65" s="153">
        <f t="shared" si="3"/>
        <v>808.0366589</v>
      </c>
      <c r="S65" s="153">
        <f>AVERAGE(OFFSET($R$3,0,0,'Données projet'!$E$9+1,1))-AVERAGE(OFFSET($H$3,0,0,'Données projet'!$E$9+1,1))</f>
        <v>439.1985427</v>
      </c>
      <c r="T65" s="153">
        <f t="shared" si="35"/>
        <v>278.2174123</v>
      </c>
      <c r="U65" s="154">
        <f>IF(ISNA(VLOOKUP(A65,'Données projet'!$A$35:$I$55,3,0)),0,VLOOKUP(A65,'Données projet'!$A$35:$I$55,3,0))</f>
        <v>0</v>
      </c>
      <c r="V65" s="154">
        <f>IF(ISNA(VLOOKUP(A65,'Données projet'!$A$35:$I$55,4,0)),0,VLOOKUP(A65,'Données projet'!$A$35:$I$55,4,0))</f>
        <v>0</v>
      </c>
      <c r="W65" s="155">
        <f>IF(ISNA(VLOOKUP(A65,'Données projet'!$A$35:$I$55,5,0)),0%,VLOOKUP(A65,'Données projet'!$A$35:$I$55,5,0)*VLOOKUP('Données projet'!$B$9,'Paramètres'!$A$1:$I$88,7,0))</f>
        <v>0</v>
      </c>
      <c r="X65" s="155">
        <f>IF(ISNA(VLOOKUP(A65,'Données projet'!$A$35:$I$55,6,0)),0%,VLOOKUP(A65,'Données projet'!$A$35:$I$55,6,0)*VLOOKUP('Données projet'!$B$9,'Paramètres'!$A$1:$I$88,7,0))</f>
        <v>0</v>
      </c>
      <c r="Y65" s="155">
        <f>IF(ISNA(VLOOKUP(A65,'Données projet'!$A$35:$I$55,7,0)),0%,VLOOKUP(A65,'Données projet'!$A$35:$I$55,7,0))</f>
        <v>0</v>
      </c>
      <c r="Z65" s="162">
        <f>EXP(-LN(2)/35)*Z64+(1-EXP(-LN(2)/35))/(LN(2)/35)*V65*W65*VLOOKUP('Données projet'!$B$9,'Paramètres'!$A$1:$I$88,3,0)*0.475*44/12</f>
        <v>0</v>
      </c>
      <c r="AA65" s="162">
        <f>EXP(-LN(2)/25)*AA64+(1-EXP(-LN(2)/25))/(LN(2)/25)*Calculateur!V65*Calculateur!X65*VLOOKUP('Données projet'!$B$9,'Paramètres'!$A$1:$I$88,3,0)*0.475*44/12</f>
        <v>1.847965608</v>
      </c>
      <c r="AB65" s="162">
        <f>EXP(-LN(2)/2)*AB64+(1-EXP(-LN(2)/2))/(LN(2)/2)*V65*Y65*VLOOKUP('Données projet'!$B$9,'Paramètres'!$A$1:$I$88,3,0)*0.475*44/12</f>
        <v>0</v>
      </c>
      <c r="AC65" s="163">
        <f t="shared" si="4"/>
        <v>1.847965608</v>
      </c>
      <c r="AD65" s="150">
        <f>('Scénario référence'!$F$8+'Scénario référence'!$F$9+'Scénario référence'!$B$17+'Scénario référence'!$B$9+'Scénario référence'!$B$10)*70+IF((45+25*(1-EXP(-0.0175*A65)))&lt;70,'Scénario référence'!$B$16*(45+25*(1-EXP(-0.0175*A65))),70*'Scénario référence'!$B$16)+IF((32+38*(1-EXP(-0.0175*A65)))&lt;70,'Scénario référence'!$B$18*(32+38*(1-EXP(-0.0175*A65))),70*'Scénario référence'!$B$18)</f>
        <v>70</v>
      </c>
      <c r="AE65" s="150">
        <f>IF(A65&gt;30,10,('Scénario référence'!$B$16+'Scénario référence'!$B$17+'Scénario référence'!$B$18+'Scénario référence'!$B$9+'Scénario référence'!$B$10)*A65*10/30+('Scénario référence'!$F$8+'Scénario référence'!$F$9)*10)</f>
        <v>10</v>
      </c>
      <c r="AF65" s="151" t="str">
        <f>VLOOKUP(A65,'Données projet'!$A$61:$I$81,2,0)</f>
        <v>#N/A</v>
      </c>
      <c r="AG65" s="151" t="str">
        <f>VLOOKUP(A65,'Données projet'!$A$61:$I$81,9,0)</f>
        <v>#N/A</v>
      </c>
      <c r="AH65" s="150">
        <f t="array" ref="AH65">INDEX(AG:AG,MIN(IF(ISNUMBER(AG65:AG261),ROW(AG65:AG261),"")))</f>
        <v>6</v>
      </c>
      <c r="AI65" s="150">
        <f>IF('Données projet'!$A$62&gt;35,AI64+AH65-AQ64,IF(A65&lt;'Données projet'!$A$62,$AF$205^A65,IF(A65='Données projet'!$A$62,'Données projet'!$B$62,AI64+AH65-AQ64)))</f>
        <v>338</v>
      </c>
      <c r="AJ65" s="150">
        <f>AI65*VLOOKUP('Données projet'!$B$10,'Paramètres'!$A$1:$I$88,3,0)*VLOOKUP('Données projet'!$B$10,'Paramètres'!$A$1:$I$88,5,0)</f>
        <v>268.9128</v>
      </c>
      <c r="AK65" s="150">
        <f t="shared" si="36"/>
        <v>64.61848386</v>
      </c>
      <c r="AL65" s="161">
        <f t="shared" si="5"/>
        <v>580.9003194</v>
      </c>
      <c r="AM65" s="153">
        <f t="shared" si="6"/>
        <v>874.2336527</v>
      </c>
      <c r="AN65" s="153">
        <f>AVERAGE(OFFSET($AM$3,0,0,'Données projet'!$E$10+1,1))-AVERAGE(OFFSET($H$3,0,0,'Données projet'!$E$10+1,1))</f>
        <v>405.6113614</v>
      </c>
      <c r="AO65" s="153">
        <f t="shared" si="37"/>
        <v>393.0787141</v>
      </c>
      <c r="AP65" s="154">
        <f>IF(ISNA(VLOOKUP(A65,'Données projet'!$A$61:$I$81,3,0)),0,VLOOKUP(A65,'Données projet'!$A$61:$I$81,3,0))</f>
        <v>0</v>
      </c>
      <c r="AQ65" s="154">
        <f>IF(ISNA(VLOOKUP(A65,'Données projet'!$A$61:$I$81,4,0)),0,VLOOKUP(A65,'Données projet'!$A$61:$I$81,4,0))</f>
        <v>0</v>
      </c>
      <c r="AR65" s="155">
        <f>IF(ISNA(VLOOKUP(A65,'Données projet'!$A$61:$I$81,5,0)),0%,VLOOKUP(A65,'Données projet'!$A$61:$I$81,5,0)*VLOOKUP('Données projet'!$B$10,'Paramètres'!$A$1:$I$88,7,0))</f>
        <v>0</v>
      </c>
      <c r="AS65" s="155">
        <f>IF(ISNA(VLOOKUP(A65,'Données projet'!$A$61:$I$81,6,0)),0%,VLOOKUP(A65,'Données projet'!$A$61:$I$81,6,0)*VLOOKUP('Données projet'!$B$10,'Paramètres'!$A$1:$I$88,7,0))</f>
        <v>0</v>
      </c>
      <c r="AT65" s="155">
        <f>IF(ISNA(VLOOKUP(A65,'Données projet'!$A$61:$I$81,7,0)),0%,VLOOKUP(A65,'Données projet'!$A$61:$I$81,7,0))</f>
        <v>0</v>
      </c>
      <c r="AU65" s="162">
        <f>EXP(-LN(2)/35)*AU64+(1-EXP(-LN(2)/35))/(LN(2)/35)*AQ65*AR65*VLOOKUP('Données projet'!$B$10,'Paramètres'!$A$1:$I$88,3,0)*0.475*44/12</f>
        <v>0</v>
      </c>
      <c r="AV65" s="162">
        <f>EXP(-LN(2)/25)*AV64+(1-EXP(-LN(2)/25))/(LN(2)/25)*Calculateur!AQ65*Calculateur!AS65*VLOOKUP('Données projet'!$B$10,'Paramètres'!$A$1:$I$88,3,0)*0.475*44/12</f>
        <v>7.510602004</v>
      </c>
      <c r="AW65" s="162">
        <f>EXP(-LN(2)/2)*AW64+(1-EXP(-LN(2)/2))/(LN(2)/2)*AQ65*AT65*VLOOKUP('Données projet'!$B$10,'Paramètres'!$A$1:$I$88,3,0)*0.475*44/12</f>
        <v>0.000008845706237</v>
      </c>
      <c r="AX65" s="162">
        <f t="shared" si="7"/>
        <v>7.51061085</v>
      </c>
      <c r="AY65" s="157">
        <f>('Scénario référence'!$F$8+'Scénario référence'!$F$9+'Scénario référence'!$B$17+'Scénario référence'!$B$9+'Scénario référence'!$B$10)*70+IF((45+25*(1-EXP(-0.0175*A65)))&lt;70,'Scénario référence'!$B$16*(45+25*(1-EXP(-0.0175*A65))),70*'Scénario référence'!$B$16)+IF((32+38*(1-EXP(-0.0175*A65)))&lt;70,'Scénario référence'!$B$18*(32+38*(1-EXP(-0.0175*A65))),70*'Scénario référence'!$B$18)</f>
        <v>70</v>
      </c>
      <c r="AZ65" s="151">
        <f>IF(A65&gt;30,10,('Scénario référence'!$B$16+'Scénario référence'!$B$17+'Scénario référence'!$B$18+'Scénario référence'!$B$9+'Scénario référence'!$B$10)*A65*10/30+('Scénario référence'!$F$8+'Scénario référence'!$F$9)*10)</f>
        <v>10</v>
      </c>
      <c r="BA65" s="151" t="str">
        <f>VLOOKUP(A65,'Données projet'!$A$87:$I$107,2,0)</f>
        <v>#N/A</v>
      </c>
      <c r="BB65" s="151" t="str">
        <f>VLOOKUP(A65,'Données projet'!$A$87:$I$107,9,0)</f>
        <v>#N/A</v>
      </c>
      <c r="BC65" s="150" t="str">
        <f t="array" ref="BC65">INDEX(BB:BB,MIN(IF(ISNUMBER(BB65:BB261),ROW(BB65:BB261),"")))</f>
        <v/>
      </c>
      <c r="BD65" s="150">
        <f>IF('Données projet'!$A$88&gt;35,BD64+BC65-BL64,IF(A65&lt;'Données projet'!$A$88,$BA$205^A65,IF(A65='Données projet'!$A$88,'Données projet'!$B$88,BD64+BC65-BL64)))</f>
        <v>0</v>
      </c>
      <c r="BE65" s="150">
        <f>BD65*VLOOKUP('Données projet'!$B$11,'Paramètres'!$A$1:$I$88,3,0)*VLOOKUP('Données projet'!$B$11,'Paramètres'!$A$1:$I$88,5,0)</f>
        <v>0</v>
      </c>
      <c r="BF65" s="150" t="str">
        <f t="shared" si="38"/>
        <v>#NUM!</v>
      </c>
      <c r="BG65" s="161" t="str">
        <f t="shared" si="8"/>
        <v>#NUM!</v>
      </c>
      <c r="BH65" s="153" t="str">
        <f t="shared" si="9"/>
        <v>#NUM!</v>
      </c>
      <c r="BI65" s="153">
        <f>AVERAGE(OFFSET($BH$3,0,0,'Données projet'!$E$11+1,1))-AVERAGE(OFFSET($H$3,0,0,'Données projet'!$E$11+1,1))</f>
        <v>0</v>
      </c>
      <c r="BJ65" s="153">
        <f t="shared" si="39"/>
        <v>0</v>
      </c>
      <c r="BK65" s="154">
        <f>IF(ISNA(VLOOKUP(A65,'Données projet'!$A$87:$I$107,3,0)),0,VLOOKUP(A65,'Données projet'!$A$87:$I$107,3,0))</f>
        <v>0</v>
      </c>
      <c r="BL65" s="154">
        <f>IF(ISNA(VLOOKUP(A65,'Données projet'!$A$87:$I$107,4,0)),0,VLOOKUP(A65,'Données projet'!$A$87:$I$107,4,0))</f>
        <v>0</v>
      </c>
      <c r="BM65" s="155">
        <f>IF(ISNA(VLOOKUP(A65,'Données projet'!$A$87:$I$107,5,0)),0%,VLOOKUP(A65,'Données projet'!$A$87:$I$107,5,0)*VLOOKUP('Données projet'!$B$11,'Paramètres'!$A$1:$I$88,7,0))</f>
        <v>0</v>
      </c>
      <c r="BN65" s="155">
        <f>IF(ISNA(VLOOKUP(A65,'Données projet'!$A$87:$I$107,6,0)),0%,VLOOKUP(A65,'Données projet'!$A$87:$I$107,6,0)*VLOOKUP('Données projet'!$B$11,'Paramètres'!$A$1:$I$88,7,0))</f>
        <v>0</v>
      </c>
      <c r="BO65" s="155">
        <f>IF(ISNA(VLOOKUP(A65,'Données projet'!$A$87:$I$107,7,0)),0%,VLOOKUP(A65,'Données projet'!$A$87:$I$107,7,0))</f>
        <v>0</v>
      </c>
      <c r="BP65" s="162">
        <f>EXP(-LN(2)/35)*BP64+(1-EXP(-LN(2)/35))/(LN(2)/35)*BL65*BM65*VLOOKUP('Données projet'!$B$11,'Paramètres'!$A$1:$I$88,3,0)*0.475*44/12</f>
        <v>0</v>
      </c>
      <c r="BQ65" s="162">
        <f>EXP(-LN(2)/25)*BQ64+(1-EXP(-LN(2)/25))/(LN(2)/25)*Calculateur!BL65*Calculateur!BN65*VLOOKUP('Données projet'!$B$11,'Paramètres'!$A$1:$I$88,3,0)*0.475*44/12</f>
        <v>0</v>
      </c>
      <c r="BR65" s="162">
        <f>EXP(-LN(2)/2)*BR64+(1-EXP(-LN(2)/2))/(LN(2)/2)*BL65*BO65*VLOOKUP('Données projet'!$B$11,'Paramètres'!$A$1:$I$88,3,0)*0.475*44/12</f>
        <v>0</v>
      </c>
      <c r="BS65" s="163">
        <f t="shared" si="10"/>
        <v>0</v>
      </c>
      <c r="BT65" s="159">
        <f>('Scénario référence'!$F$8+'Scénario référence'!$F$9+'Scénario référence'!$B$17+'Scénario référence'!$B$9+'Scénario référence'!$B$10)*70+IF((45+25*(1-EXP(-0.0175*A65)))&lt;70,'Scénario référence'!$B$16*(45+25*(1-EXP(-0.0175*A65))),70*'Scénario référence'!$B$16)+IF((32+38*(1-EXP(-0.0175*A65)))&lt;70,'Scénario référence'!$B$18*(32+38*(1-EXP(-0.0175*A65))),70*'Scénario référence'!$B$18)</f>
        <v>70</v>
      </c>
      <c r="BU65" s="151">
        <f>IF(A65&gt;30,10,('Scénario référence'!$B$16+'Scénario référence'!$B$17+'Scénario référence'!$B$18+'Scénario référence'!$B$9+'Scénario référence'!$B$10)*A65*10/30+('Scénario référence'!$F$8+'Scénario référence'!$F$9)*10)</f>
        <v>10</v>
      </c>
      <c r="BV65" s="151" t="str">
        <f>VLOOKUP(A65,'Données projet'!$A$113:$I$133,2,0)</f>
        <v>#N/A</v>
      </c>
      <c r="BW65" s="151" t="str">
        <f>VLOOKUP(A65,'Données projet'!$A$113:$I$133,9,0)</f>
        <v>#N/A</v>
      </c>
      <c r="BX65" s="150" t="str">
        <f t="array" ref="BX65">INDEX(BW:BW,MIN(IF(ISNUMBER(BW65:BW261),ROW(BW65:BW261),"")))</f>
        <v/>
      </c>
      <c r="BY65" s="150">
        <f>IF('Données projet'!$A$114&gt;35,BY64+BX65-CG64,IF(A65&lt;'Données projet'!$A$114,$BV$205^A65,IF(A65='Données projet'!$A$114,'Données projet'!$B$114,BY64+BX65-CG64)))</f>
        <v>0</v>
      </c>
      <c r="BZ65" s="150" t="str">
        <f>BY65*VLOOKUP('Données projet'!$B$12,'Paramètres'!$A$1:$I$88,3,0)*VLOOKUP('Données projet'!$B$12,'Paramètres'!$A$1:$I$88,5,0)</f>
        <v>#N/A</v>
      </c>
      <c r="CA65" s="150" t="str">
        <f t="shared" si="40"/>
        <v>#N/A</v>
      </c>
      <c r="CB65" s="161" t="str">
        <f t="shared" si="11"/>
        <v>#N/A</v>
      </c>
      <c r="CC65" s="153" t="str">
        <f t="shared" si="12"/>
        <v>#N/A</v>
      </c>
      <c r="CD65" s="153" t="str">
        <f>AVERAGE(OFFSET($CC$3,0,0,'Données projet'!$E$12+1,1))-AVERAGE(OFFSET($H$3,0,0,'Données projet'!$E$12+1,1))</f>
        <v>#N/A</v>
      </c>
      <c r="CE65" s="153" t="str">
        <f t="shared" si="41"/>
        <v>#N/A</v>
      </c>
      <c r="CF65" s="154">
        <f>IF(ISNA(VLOOKUP(A65,'Données projet'!$A$113:$I$133,3,0)),0,VLOOKUP(A65,'Données projet'!$A$113:$I$133,3,0))</f>
        <v>0</v>
      </c>
      <c r="CG65" s="154">
        <f>IF(ISNA(VLOOKUP(A65,'Données projet'!$A$113:$I$133,4,0)),0,VLOOKUP(A65,'Données projet'!$A$113:$I$133,4,0))</f>
        <v>0</v>
      </c>
      <c r="CH65" s="155">
        <f>IF(ISNA(VLOOKUP(A65,'Données projet'!$A$113:$I$133,5,0)),0%,VLOOKUP(A65,'Données projet'!$A$113:$I$133,5,0)*VLOOKUP('Données projet'!$B$12,'Paramètres'!$A$1:$I$88,7,0))</f>
        <v>0</v>
      </c>
      <c r="CI65" s="155">
        <f>IF(ISNA(VLOOKUP(A65,'Données projet'!$A$113:$I$133,6,0)),0%,VLOOKUP(A65,'Données projet'!$A$113:$I$133,6,0)*VLOOKUP('Données projet'!$B$12,'Paramètres'!$A$1:$I$88,7,0))</f>
        <v>0</v>
      </c>
      <c r="CJ65" s="155">
        <f>IF(ISNA(VLOOKUP(A65,'Données projet'!$A$113:$I$133,7,0)),0%,VLOOKUP(A65,'Données projet'!$A$113:$I$133,7,0))</f>
        <v>0</v>
      </c>
      <c r="CK65" s="162" t="str">
        <f>EXP(-LN(2)/35)*CK64+(1-EXP(-LN(2)/35))/(LN(2)/35)*CG65*CH65*VLOOKUP('Données projet'!$B$12,'Paramètres'!$A$1:$I$88,3,0)*0.475*44/12</f>
        <v>#N/A</v>
      </c>
      <c r="CL65" s="162" t="str">
        <f>EXP(-LN(2)/25)*CL64+(1-EXP(-LN(2)/25))/(LN(2)/25)*Calculateur!CG65*Calculateur!CI65*VLOOKUP('Données projet'!$B$12,'Paramètres'!$A$1:$I$88,3,0)*0.475*44/12</f>
        <v>#N/A</v>
      </c>
      <c r="CM65" s="162" t="str">
        <f>EXP(-LN(2)/2)*CM64+(1-EXP(-LN(2)/2))/(LN(2)/2)*CG65*CJ65*VLOOKUP('Données projet'!$B$12,'Paramètres'!$A$1:$I$88,3,0)*0.475*44/12</f>
        <v>#N/A</v>
      </c>
      <c r="CN65" s="163" t="str">
        <f t="shared" si="13"/>
        <v>#N/A</v>
      </c>
      <c r="CO65" s="159">
        <f>('Scénario référence'!$F$8+'Scénario référence'!$F$9+'Scénario référence'!$B$17+'Scénario référence'!$B$9+'Scénario référence'!$B$10)*70+IF((45+25*(1-EXP(-0.0175*A65)))&lt;70,'Scénario référence'!$B$16*(45+25*(1-EXP(-0.0175*A65))),70*'Scénario référence'!$B$16)+IF((32+38*(1-EXP(-0.0175*A65)))&lt;70,'Scénario référence'!$B$18*(32+38*(1-EXP(-0.0175*A65))),70*'Scénario référence'!$B$18)</f>
        <v>70</v>
      </c>
      <c r="CP65" s="151">
        <f>IF(A65&gt;30,10,('Scénario référence'!$B$16+'Scénario référence'!$B$17+'Scénario référence'!$B$18+'Scénario référence'!$B$9+'Scénario référence'!$B$10)*A65*10/30+('Scénario référence'!$F$8+'Scénario référence'!$F$9)*10)</f>
        <v>10</v>
      </c>
      <c r="CQ65" s="151" t="str">
        <f>VLOOKUP(A65,'Données projet'!$A$139:$I$159,2,0)</f>
        <v>#N/A</v>
      </c>
      <c r="CR65" s="151" t="str">
        <f>VLOOKUP(A65,'Données projet'!$A$139:$I$159,9,0)</f>
        <v>#N/A</v>
      </c>
      <c r="CS65" s="151" t="str">
        <f t="array" ref="CS65">INDEX(CR:CR,MIN(IF(ISNUMBER(CR65:CR261),ROW(CR65:CR261),"")))</f>
        <v/>
      </c>
      <c r="CT65" s="151">
        <f>IF('Données projet'!$A$140&gt;35,CT64+CS65-DB64,IF(A65&lt;'Données projet'!$A$140,$CQ$205^A65,IF(A65='Données projet'!$A$140,'Données projet'!$B$140,CT64+CS65-DB64)))</f>
        <v>0</v>
      </c>
      <c r="CU65" s="158" t="str">
        <f>CT65*VLOOKUP('Données projet'!$B$13,'Paramètres'!$A$1:$I$88,3,0)*VLOOKUP('Données projet'!$B$13,'Paramètres'!$A$1:$I$88,5,0)</f>
        <v>#N/A</v>
      </c>
      <c r="CV65" s="150" t="str">
        <f t="shared" si="42"/>
        <v>#N/A</v>
      </c>
      <c r="CW65" s="161" t="str">
        <f t="shared" si="14"/>
        <v>#N/A</v>
      </c>
      <c r="CX65" s="153" t="str">
        <f t="shared" si="15"/>
        <v>#N/A</v>
      </c>
      <c r="CY65" s="153" t="str">
        <f>AVERAGE(OFFSET($CX$3,0,0,'Données projet'!$E$13+1,1))-AVERAGE(OFFSET($H$3,0,0,'Données projet'!$E$13+1,1))</f>
        <v>#N/A</v>
      </c>
      <c r="CZ65" s="153" t="str">
        <f t="shared" si="43"/>
        <v>#N/A</v>
      </c>
      <c r="DA65" s="154">
        <f>IF(ISNA(VLOOKUP(A65,'Données projet'!$A$139:$I$159,3,0)),0,VLOOKUP(A65,'Données projet'!$A$139:$I$159,3,0))</f>
        <v>0</v>
      </c>
      <c r="DB65" s="154">
        <f>IF(ISNA(VLOOKUP(A65,'Données projet'!$A$139:$I$159,4,0)),0,VLOOKUP(A65,'Données projet'!$A$139:$I$159,4,0))</f>
        <v>0</v>
      </c>
      <c r="DC65" s="155">
        <f>IF(ISNA(VLOOKUP(A65,'Données projet'!$A$139:$I$159,5,0)),0%,VLOOKUP(A65,'Données projet'!$A$139:$I$159,5,0)*VLOOKUP('Données projet'!$B$13,'Paramètres'!$A$1:$I$88,7,0))</f>
        <v>0</v>
      </c>
      <c r="DD65" s="155">
        <f>IF(ISNA(VLOOKUP(A65,'Données projet'!$A$139:$I$159,6,0)),0%,VLOOKUP(A65,'Données projet'!$A$139:$I$159,6,0)*VLOOKUP('Données projet'!$B$13,'Paramètres'!$A$1:$I$88,7,0))</f>
        <v>0</v>
      </c>
      <c r="DE65" s="155">
        <f>IF(ISNA(VLOOKUP(A65,'Données projet'!$A$139:$I$159,7,0)),0%,VLOOKUP(A65,'Données projet'!$A$139:$I$159,7,0))</f>
        <v>0</v>
      </c>
      <c r="DF65" s="162" t="str">
        <f>EXP(-LN(2)/35)*DF64+(1-EXP(-LN(2)/35))/(LN(2)/35)*DB65*DC65*VLOOKUP('Données projet'!$B$13,'Paramètres'!$A$1:$I$88,3,0)*0.475*44/12</f>
        <v>#N/A</v>
      </c>
      <c r="DG65" s="162" t="str">
        <f>EXP(-LN(2)/25)*DG64+(1-EXP(-LN(2)/25))/(LN(2)/25)*Calculateur!DB65*Calculateur!DD65*VLOOKUP('Données projet'!$B$13,'Paramètres'!$A$1:$I$88,3,0)*0.475*44/12</f>
        <v>#N/A</v>
      </c>
      <c r="DH65" s="162" t="str">
        <f>EXP(-LN(2)/2)*DH64+(1-EXP(-LN(2)/2))/(LN(2)/2)*DB65*DE65*VLOOKUP('Données projet'!$B$13,'Paramètres'!$A$1:$I$88,3,0)*0.475*44/12</f>
        <v>#N/A</v>
      </c>
      <c r="DI65" s="163" t="str">
        <f t="shared" si="16"/>
        <v>#N/A</v>
      </c>
      <c r="DJ65" s="159">
        <f>('Scénario référence'!$F$8+'Scénario référence'!$F$9+'Scénario référence'!$B$17+'Scénario référence'!$B$9+'Scénario référence'!$B$10)*70+IF((45+25*(1-EXP(-0.0175*A65)))&lt;70,'Scénario référence'!$B$16*(45+25*(1-EXP(-0.0175*A65))),70*'Scénario référence'!$B$16)+IF((32+38*(1-EXP(-0.0175*A65)))&lt;70,'Scénario référence'!$B$18*(32+38*(1-EXP(-0.0175*A65))),70*'Scénario référence'!$B$18)</f>
        <v>70</v>
      </c>
      <c r="DK65" s="151">
        <f>IF(A65&gt;30,10,('Scénario référence'!$B$16+'Scénario référence'!$B$17+'Scénario référence'!$B$18+'Scénario référence'!$B$9+'Scénario référence'!$B$10)*A65*10/30+('Scénario référence'!$F$8+'Scénario référence'!$F$9)*10)</f>
        <v>10</v>
      </c>
      <c r="DL65" s="151" t="str">
        <f>VLOOKUP(A65,'Données projet'!$A$165:$I$185,2,0)</f>
        <v>#N/A</v>
      </c>
      <c r="DM65" s="151" t="str">
        <f>VLOOKUP(A65,'Données projet'!$A$165:$I$185,9,0)</f>
        <v>#N/A</v>
      </c>
      <c r="DN65" s="151" t="str">
        <f t="array" ref="DN65">INDEX(DM:DM,MIN(IF(ISNUMBER(DM65:DM261),ROW(DM65:DM261),"")))</f>
        <v/>
      </c>
      <c r="DO65" s="151">
        <f>IF('Données projet'!$A$166&gt;35,DO64+DN65-DW64,IF(A65&lt;'Données projet'!$A$166,$DL$205^A65,IF(A65='Données projet'!$A$166,'Données projet'!$B$166,DO64+DN65-DW64)))</f>
        <v>0</v>
      </c>
      <c r="DP65" s="158" t="str">
        <f>DO65*VLOOKUP('Données projet'!$B$14,'Paramètres'!$A$1:$I$88,3,0)*VLOOKUP('Données projet'!$B$14,'Paramètres'!$A$1:$I$88,5,0)</f>
        <v>#N/A</v>
      </c>
      <c r="DQ65" s="150" t="str">
        <f t="shared" si="44"/>
        <v>#N/A</v>
      </c>
      <c r="DR65" s="161" t="str">
        <f t="shared" si="17"/>
        <v>#N/A</v>
      </c>
      <c r="DS65" s="153" t="str">
        <f t="shared" si="18"/>
        <v>#N/A</v>
      </c>
      <c r="DT65" s="153" t="str">
        <f>AVERAGE(OFFSET($DS$3,0,0,'Données projet'!$E$14+1,1))-AVERAGE(OFFSET($H$3,0,0,'Données projet'!$E$14+1,1))</f>
        <v>#N/A</v>
      </c>
      <c r="DU65" s="153" t="str">
        <f t="shared" si="45"/>
        <v>#N/A</v>
      </c>
      <c r="DV65" s="154">
        <f>IF(ISNA(VLOOKUP(A65,'Données projet'!$A$165:$I$185,3,0)),0,VLOOKUP(A65,'Données projet'!$A$165:$I$185,3,0))</f>
        <v>0</v>
      </c>
      <c r="DW65" s="154">
        <f>IF(ISNA(VLOOKUP(A65,'Données projet'!$A$165:$I$185,4,0)),0,VLOOKUP(A65,'Données projet'!$A$165:$I$185,4,0))</f>
        <v>0</v>
      </c>
      <c r="DX65" s="155">
        <f>IF(ISNA(VLOOKUP(A65,'Données projet'!$A$165:$I$185,5,0)),0%,VLOOKUP(A65,'Données projet'!$A$165:$I$185,5,0)*VLOOKUP('Données projet'!$B$14,'Paramètres'!$A$1:$I$88,7,0))</f>
        <v>0</v>
      </c>
      <c r="DY65" s="155">
        <f>IF(ISNA(VLOOKUP(A65,'Données projet'!$A$165:$I$185,6,0)),0%,VLOOKUP(A65,'Données projet'!$A$165:$I$185,6,0)*VLOOKUP('Données projet'!$B$14,'Paramètres'!$A$1:$I$88,7,0))</f>
        <v>0</v>
      </c>
      <c r="DZ65" s="155">
        <f>IF(ISNA(VLOOKUP(A65,'Données projet'!$A$165:$I$185,7,0)),0%,VLOOKUP(A65,'Données projet'!$A$165:$I$185,7,0))</f>
        <v>0</v>
      </c>
      <c r="EA65" s="162" t="str">
        <f>EXP(-LN(2)/35)*EA64+(1-EXP(-LN(2)/35))/(LN(2)/35)*DW65*DX65*VLOOKUP('Données projet'!$B$14,'Paramètres'!$A$1:$I$88,3,0)*0.475*44/12</f>
        <v>#N/A</v>
      </c>
      <c r="EB65" s="162" t="str">
        <f>EXP(-LN(2)/25)*EB64+(1-EXP(-LN(2)/25))/(LN(2)/25)*Calculateur!DW65*Calculateur!DY65*VLOOKUP('Données projet'!$B$14,'Paramètres'!$A$1:$I$88,3,0)*0.475*44/12</f>
        <v>#N/A</v>
      </c>
      <c r="EC65" s="162" t="str">
        <f>EXP(-LN(2)/2)*EC64+(1-EXP(-LN(2)/2))/(LN(2)/2)*DW65*DZ65*VLOOKUP('Données projet'!$B$14,'Paramètres'!$A$1:$I$88,3,0)*0.475*44/12</f>
        <v>#N/A</v>
      </c>
      <c r="ED65" s="163" t="str">
        <f t="shared" si="19"/>
        <v>#N/A</v>
      </c>
      <c r="EE65" s="159">
        <f>('Scénario référence'!$F$8+'Scénario référence'!$F$9+'Scénario référence'!$B$17+'Scénario référence'!$B$9+'Scénario référence'!$B$10)*70+IF((45+25*(1-EXP(-0.0175*A65)))&lt;70,'Scénario référence'!$B$16*(45+25*(1-EXP(-0.0175*A65))),70*'Scénario référence'!$B$16)+IF((32+38*(1-EXP(-0.0175*A65)))&lt;70,'Scénario référence'!$B$18*(32+38*(1-EXP(-0.0175*A65))),70*'Scénario référence'!$B$18)</f>
        <v>70</v>
      </c>
      <c r="EF65" s="151">
        <f>IF(A65&gt;30,10,('Scénario référence'!$B$16+'Scénario référence'!$B$17+'Scénario référence'!$B$18+'Scénario référence'!$B$9+'Scénario référence'!$B$10)*A65*10/30+('Scénario référence'!$F$8+'Scénario référence'!$F$9)*10)</f>
        <v>10</v>
      </c>
      <c r="EG65" s="151" t="str">
        <f>VLOOKUP(A65,'Données projet'!$A$191:$I$211,2,0)</f>
        <v>#N/A</v>
      </c>
      <c r="EH65" s="151" t="str">
        <f>VLOOKUP(A65,'Données projet'!$A$191:$I$211,9,0)</f>
        <v>#N/A</v>
      </c>
      <c r="EI65" s="151" t="str">
        <f t="array" ref="EI65">INDEX(EH:EH,MIN(IF(ISNUMBER(EH65:EH261),ROW(EH65:EH261),"")))</f>
        <v/>
      </c>
      <c r="EJ65" s="151">
        <f>IF('Données projet'!$A$192&gt;35,EJ64+EI65-ER64,IF(A65&lt;'Données projet'!$A$192,$EG$205^A65,IF(A65='Données projet'!$A$192,'Données projet'!$B$192,EJ64+EI65-ER64)))</f>
        <v>0</v>
      </c>
      <c r="EK65" s="158" t="str">
        <f>EJ65*VLOOKUP('Données projet'!$B$15,'Paramètres'!$A$1:$I$88,3,0)*VLOOKUP('Données projet'!$B$15,'Paramètres'!$A$1:$I$88,5,0)</f>
        <v>#N/A</v>
      </c>
      <c r="EL65" s="150" t="str">
        <f t="shared" si="46"/>
        <v>#N/A</v>
      </c>
      <c r="EM65" s="161" t="str">
        <f t="shared" si="20"/>
        <v>#N/A</v>
      </c>
      <c r="EN65" s="153" t="str">
        <f t="shared" si="21"/>
        <v>#N/A</v>
      </c>
      <c r="EO65" s="153" t="str">
        <f>AVERAGE(OFFSET($EN$3,0,0,'Données projet'!$E$15+1,1))-AVERAGE(OFFSET($H$3,0,0,'Données projet'!$E$15+1,1))</f>
        <v>#N/A</v>
      </c>
      <c r="EP65" s="153" t="str">
        <f t="shared" si="47"/>
        <v>#N/A</v>
      </c>
      <c r="EQ65" s="154">
        <f>IF(ISNA(VLOOKUP(A65,'Données projet'!$A$191:$I$211,3,0)),0,VLOOKUP(A65,'Données projet'!$A$191:$I$211,3,0))</f>
        <v>0</v>
      </c>
      <c r="ER65" s="154">
        <f>IF(ISNA(VLOOKUP(A65,'Données projet'!$A$191:$I$211,4,0)),0,VLOOKUP(A65,'Données projet'!$A$191:$I$211,4,0))</f>
        <v>0</v>
      </c>
      <c r="ES65" s="155">
        <f>IF(ISNA(VLOOKUP(A65,'Données projet'!$A$191:$I$211,5,0)),0%,VLOOKUP(A65,'Données projet'!$A$191:$I$211,5,0)*VLOOKUP('Données projet'!$B$15,'Paramètres'!$A$1:$I$88,7,0))</f>
        <v>0</v>
      </c>
      <c r="ET65" s="155">
        <f>IF(ISNA(VLOOKUP(A65,'Données projet'!$A$191:$I$211,6,0)),0%,VLOOKUP(A65,'Données projet'!$A$191:$I$211,6,0)*VLOOKUP('Données projet'!$B$15,'Paramètres'!$A$1:$I$88,7,0))</f>
        <v>0</v>
      </c>
      <c r="EU65" s="155">
        <f>IF(ISNA(VLOOKUP(A65,'Données projet'!$A$191:$I$211,7,0)),0%,VLOOKUP(A65,'Données projet'!$A$191:$I$211,7,0))</f>
        <v>0</v>
      </c>
      <c r="EV65" s="162" t="str">
        <f>EXP(-LN(2)/35)*EV64+(1-EXP(-LN(2)/35))/(LN(2)/35)*ER65*ES65*VLOOKUP('Données projet'!$B$15,'Paramètres'!$A$1:$I$88,3,0)*0.475*44/12</f>
        <v>#N/A</v>
      </c>
      <c r="EW65" s="162" t="str">
        <f>EXP(-LN(2)/25)*EW64+(1-EXP(-LN(2)/25))/(LN(2)/25)*Calculateur!ER65*Calculateur!ET65*VLOOKUP('Données projet'!$B$15,'Paramètres'!$A$1:$I$88,3,0)*0.475*44/12</f>
        <v>#N/A</v>
      </c>
      <c r="EX65" s="162" t="str">
        <f>EXP(-LN(2)/2)*EX64+(1-EXP(-LN(2)/2))/(LN(2)/2)*ER65*EU65*VLOOKUP('Données projet'!$B$15,'Paramètres'!$A$1:$I$88,3,0)*0.475*44/12</f>
        <v>#N/A</v>
      </c>
      <c r="EY65" s="163" t="str">
        <f t="shared" si="22"/>
        <v>#N/A</v>
      </c>
      <c r="EZ65" s="159">
        <f>('Scénario référence'!$F$8+'Scénario référence'!$F$9+'Scénario référence'!$B$17+'Scénario référence'!$B$9+'Scénario référence'!$B$10)*70+IF((45+25*(1-EXP(-0.0175*A65)))&lt;70,'Scénario référence'!$B$16*(45+25*(1-EXP(-0.0175*A65))),70*'Scénario référence'!$B$16)+IF((32+38*(1-EXP(-0.0175*A65)))&lt;70,'Scénario référence'!$B$18*(32+38*(1-EXP(-0.0175*A65))),70*'Scénario référence'!$B$18)</f>
        <v>70</v>
      </c>
      <c r="FA65" s="151">
        <f>IF(A65&gt;30,10,('Scénario référence'!$B$16+'Scénario référence'!$B$17+'Scénario référence'!$B$18+'Scénario référence'!$B$9+'Scénario référence'!$B$10)*A65*10/30+('Scénario référence'!$F$8+'Scénario référence'!$F$9)*10)</f>
        <v>10</v>
      </c>
      <c r="FB65" s="151" t="str">
        <f>VLOOKUP(A65,'Données projet'!$A$217:$I$237,2,0)</f>
        <v>#N/A</v>
      </c>
      <c r="FC65" s="151" t="str">
        <f>VLOOKUP(A65,'Données projet'!$A$217:$I$237,9,0)</f>
        <v>#N/A</v>
      </c>
      <c r="FD65" s="151" t="str">
        <f t="array" ref="FD65">INDEX(FC:FC,MIN(IF(ISNUMBER(FC65:FC261),ROW(FC65:FC261),"")))</f>
        <v/>
      </c>
      <c r="FE65" s="151">
        <f>IF('Données projet'!$A$218&gt;35,FE64+FD65-FM64,IF(A65&lt;'Données projet'!$A$218,$FB$205^A65,IF(A65='Données projet'!$A$218,'Données projet'!$B$218,FE64+FD65-FM64)))</f>
        <v>0</v>
      </c>
      <c r="FF65" s="158" t="str">
        <f>FE65*VLOOKUP('Données projet'!$B$16,'Paramètres'!$A$1:$I$88,3,0)*VLOOKUP('Données projet'!$B$16,'Paramètres'!$A$1:$I$88,5,0)</f>
        <v>#N/A</v>
      </c>
      <c r="FG65" s="150" t="str">
        <f t="shared" si="48"/>
        <v>#N/A</v>
      </c>
      <c r="FH65" s="161" t="str">
        <f t="shared" si="23"/>
        <v>#N/A</v>
      </c>
      <c r="FI65" s="153" t="str">
        <f t="shared" si="24"/>
        <v>#N/A</v>
      </c>
      <c r="FJ65" s="153" t="str">
        <f>AVERAGE(OFFSET($FI$3,0,0,'Données projet'!$E$16+1,1))-AVERAGE(OFFSET($H$3,0,0,'Données projet'!$E$16+1,1))</f>
        <v>#N/A</v>
      </c>
      <c r="FK65" s="153" t="str">
        <f t="shared" si="49"/>
        <v>#N/A</v>
      </c>
      <c r="FL65" s="154">
        <f>IF(ISNA(VLOOKUP(A65,'Données projet'!$A$217:$I$237,3,0)),0,VLOOKUP(A65,'Données projet'!$A$217:$I$237,3,0))</f>
        <v>0</v>
      </c>
      <c r="FM65" s="154">
        <f>IF(ISNA(VLOOKUP(A65,'Données projet'!$A$217:$I$237,4,0)),0,VLOOKUP(A65,'Données projet'!$A$217:$I$237,4,0))</f>
        <v>0</v>
      </c>
      <c r="FN65" s="155">
        <f>IF(ISNA(VLOOKUP(A65,'Données projet'!$A$217:$I$237,5,0)),0%,VLOOKUP(A65,'Données projet'!$A$217:$I$237,5,0)*VLOOKUP('Données projet'!$B$16,'Paramètres'!$A$1:$I$88,7,0))</f>
        <v>0</v>
      </c>
      <c r="FO65" s="155">
        <f>IF(ISNA(VLOOKUP(A65,'Données projet'!$A$217:$I$237,6,0)),0%,VLOOKUP(A65,'Données projet'!$A$217:$I$237,6,0)*VLOOKUP('Données projet'!$B$16,'Paramètres'!$A$1:$I$88,7,0))</f>
        <v>0</v>
      </c>
      <c r="FP65" s="155">
        <f>IF(ISNA(VLOOKUP(A65,'Données projet'!$A$217:$I$237,7,0)),0%,VLOOKUP(A65,'Données projet'!$A$217:$I$237,7,0))</f>
        <v>0</v>
      </c>
      <c r="FQ65" s="162" t="str">
        <f>EXP(-LN(2)/35)*FQ64+(1-EXP(-LN(2)/35))/(LN(2)/35)*FM65*FN65*VLOOKUP('Données projet'!$B$16,'Paramètres'!$A$1:$I$88,3,0)*0.475*44/12</f>
        <v>#N/A</v>
      </c>
      <c r="FR65" s="162" t="str">
        <f>EXP(-LN(2)/25)*FR64+(1-EXP(-LN(2)/25))/(LN(2)/25)*Calculateur!FM65*Calculateur!FO65*VLOOKUP('Données projet'!$B$16,'Paramètres'!$A$1:$I$88,3,0)*0.475*44/12</f>
        <v>#N/A</v>
      </c>
      <c r="FS65" s="162" t="str">
        <f>EXP(-LN(2)/2)*FS64+(1-EXP(-LN(2)/2))/(LN(2)/2)*FM65*FP65*VLOOKUP('Données projet'!$B$16,'Paramètres'!$A$1:$I$88,3,0)*0.475*44/12</f>
        <v>#N/A</v>
      </c>
      <c r="FT65" s="163" t="str">
        <f t="shared" si="25"/>
        <v>#N/A</v>
      </c>
      <c r="FU65" s="159">
        <f>('Scénario référence'!$F$8+'Scénario référence'!$F$9+'Scénario référence'!$B$17+'Scénario référence'!$B$9+'Scénario référence'!$B$10)*70+IF((45+25*(1-EXP(-0.0175*A65)))&lt;70,'Scénario référence'!$B$16*(45+25*(1-EXP(-0.0175*A65))),70*'Scénario référence'!$B$16)+IF((32+38*(1-EXP(-0.0175*A65)))&lt;70,'Scénario référence'!$B$18*(32+38*(1-EXP(-0.0175*A65))),70*'Scénario référence'!$B$18)</f>
        <v>70</v>
      </c>
      <c r="FV65" s="151">
        <f>IF(A65&gt;30,10,('Scénario référence'!$B$16+'Scénario référence'!$B$17+'Scénario référence'!$B$18+'Scénario référence'!$B$9+'Scénario référence'!$B$10)*A65*10/30+('Scénario référence'!$F$8+'Scénario référence'!$F$9)*10)</f>
        <v>10</v>
      </c>
      <c r="FW65" s="151" t="str">
        <f>VLOOKUP(A65,'Données projet'!$A$243:$I$263,2,0)</f>
        <v>#N/A</v>
      </c>
      <c r="FX65" s="151" t="str">
        <f>VLOOKUP(A65,'Données projet'!$A$243:$I$263,9,0)</f>
        <v>#N/A</v>
      </c>
      <c r="FY65" s="151" t="str">
        <f t="array" ref="FY65">INDEX(FX:FX,MIN(IF(ISNUMBER(FX65:FX261),ROW(FX65:FX261),"")))</f>
        <v/>
      </c>
      <c r="FZ65" s="151">
        <f>IF('Données projet'!$A$244&gt;35,FZ64+FY65-GH64,IF(A65&lt;'Données projet'!$A$244,$FW$205^A65,IF(A65='Données projet'!$A$244,'Données projet'!$B$244,FZ64+FY65-GH64)))</f>
        <v>0</v>
      </c>
      <c r="GA65" s="158" t="str">
        <f>FZ65*VLOOKUP('Données projet'!$B$17,'Paramètres'!$A$1:$I$88,3,0)*VLOOKUP('Données projet'!$B$17,'Paramètres'!$A$1:$I$88,5,0)</f>
        <v>#N/A</v>
      </c>
      <c r="GB65" s="150" t="str">
        <f t="shared" si="50"/>
        <v>#N/A</v>
      </c>
      <c r="GC65" s="161" t="str">
        <f t="shared" si="26"/>
        <v>#N/A</v>
      </c>
      <c r="GD65" s="153" t="str">
        <f t="shared" si="27"/>
        <v>#N/A</v>
      </c>
      <c r="GE65" s="153" t="str">
        <f>AVERAGE(OFFSET($GD$3,0,0,'Données projet'!$E$17+1,1))-AVERAGE(OFFSET($H$3,0,0,'Données projet'!$E$17+1,1))</f>
        <v>#N/A</v>
      </c>
      <c r="GF65" s="153" t="str">
        <f t="shared" si="51"/>
        <v>#N/A</v>
      </c>
      <c r="GG65" s="154">
        <f>IF(ISNA(VLOOKUP(A65,'Données projet'!$A$243:$I$263,3,0)),0,VLOOKUP(A65,'Données projet'!$A$243:$I$263,3,0))</f>
        <v>0</v>
      </c>
      <c r="GH65" s="154">
        <f>IF(ISNA(VLOOKUP(A65,'Données projet'!$A$243:$I$263,4,0)),0,VLOOKUP(A65,'Données projet'!$A$243:$I$263,4,0))</f>
        <v>0</v>
      </c>
      <c r="GI65" s="155">
        <f>IF(ISNA(VLOOKUP(A65,'Données projet'!$A$243:$I$263,5,0)),0%,VLOOKUP(A65,'Données projet'!$A$243:$I$263,5,0)*VLOOKUP('Données projet'!$B$17,'Paramètres'!$A$1:$I$88,7,0))</f>
        <v>0</v>
      </c>
      <c r="GJ65" s="155">
        <f>IF(ISNA(VLOOKUP(A65,'Données projet'!$A$243:$I$263,6,0)),0%,VLOOKUP(A65,'Données projet'!$A$243:$I$263,6,0)*VLOOKUP('Données projet'!$B$17,'Paramètres'!$A$1:$I$88,7,0))</f>
        <v>0</v>
      </c>
      <c r="GK65" s="155">
        <f>IF(ISNA(VLOOKUP(A65,'Données projet'!$A$243:$I$263,7,0)),0%,VLOOKUP(A65,'Données projet'!$A$243:$I$263,7,0))</f>
        <v>0</v>
      </c>
      <c r="GL65" s="162" t="str">
        <f>EXP(-LN(2)/35)*GL64+(1-EXP(-LN(2)/35))/(LN(2)/35)*GH65*GI65*VLOOKUP('Données projet'!$B$17,'Paramètres'!$A$1:$I$88,3,0)*0.475*44/12</f>
        <v>#N/A</v>
      </c>
      <c r="GM65" s="162" t="str">
        <f>EXP(-LN(2)/25)*GM64+(1-EXP(-LN(2)/25))/(LN(2)/25)*Calculateur!GH65*Calculateur!GJ65*VLOOKUP('Données projet'!$B$17,'Paramètres'!$A$1:$I$88,3,0)*0.475*44/12</f>
        <v>#N/A</v>
      </c>
      <c r="GN65" s="162" t="str">
        <f>EXP(-LN(2)/2)*GN64+(1-EXP(-LN(2)/2))/(LN(2)/2)*GH65*GK65*VLOOKUP('Données projet'!$B$17,'Paramètres'!$A$1:$I$88,3,0)*0.475*44/12</f>
        <v>#N/A</v>
      </c>
      <c r="GO65" s="162" t="str">
        <f t="shared" si="28"/>
        <v>#N/A</v>
      </c>
      <c r="GP65" s="159">
        <f>('Scénario référence'!$F$8+'Scénario référence'!$F$9+'Scénario référence'!$B$17+'Scénario référence'!$B$9+'Scénario référence'!$B$10)*70+IF((45+25*(1-EXP(-0.0175*A65)))&lt;70,'Scénario référence'!$B$16*(45+25*(1-EXP(-0.0175*A65))),70*'Scénario référence'!$B$16)+IF((32+38*(1-EXP(-0.0175*A65)))&lt;70,'Scénario référence'!$B$18*(32+38*(1-EXP(-0.0175*A65))),70*'Scénario référence'!$B$18)</f>
        <v>70</v>
      </c>
      <c r="GQ65" s="151">
        <f>IF(A65&gt;30,10,('Scénario référence'!$B$16+'Scénario référence'!$B$17+'Scénario référence'!$B$18+'Scénario référence'!$B$9+'Scénario référence'!$B$10)*A65*10/30+('Scénario référence'!$F$8+'Scénario référence'!$F$9)*10)</f>
        <v>10</v>
      </c>
      <c r="GR65" s="151" t="str">
        <f>VLOOKUP(A65,'Données projet'!$A$269:$I$289,2,0)</f>
        <v>#N/A</v>
      </c>
      <c r="GS65" s="151" t="str">
        <f>VLOOKUP(A65,'Données projet'!$A$269:$I$289,9,0)</f>
        <v>#N/A</v>
      </c>
      <c r="GT65" s="151" t="str">
        <f t="array" ref="GT65">INDEX(GS:GS,MIN(IF(ISNUMBER(GS65:GS261),ROW(GS65:GS261),"")))</f>
        <v/>
      </c>
      <c r="GU65" s="151">
        <f>IF('Données projet'!$A$270&gt;35,GU64+GT65-HC64,IF(A65&lt;'Données projet'!$A$270,$GR$205^A65,IF(A65='Données projet'!$A$270,'Données projet'!$B$270,GU64+GT65-HC64)))</f>
        <v>0</v>
      </c>
      <c r="GV65" s="158" t="str">
        <f>GU65*VLOOKUP('Données projet'!$B$18,'Paramètres'!$A$1:$I$88,3,0)*VLOOKUP('Données projet'!$B$18,'Paramètres'!$A$1:$I$88,5,0)</f>
        <v>#N/A</v>
      </c>
      <c r="GW65" s="150" t="str">
        <f t="shared" si="52"/>
        <v>#N/A</v>
      </c>
      <c r="GX65" s="161" t="str">
        <f t="shared" si="29"/>
        <v>#N/A</v>
      </c>
      <c r="GY65" s="153" t="str">
        <f t="shared" si="30"/>
        <v>#N/A</v>
      </c>
      <c r="GZ65" s="153" t="str">
        <f>AVERAGE(OFFSET($GY$3,0,0,'Données projet'!$E$18+1,1))-AVERAGE(OFFSET($H$3,0,0,'Données projet'!$E$18+1,1))</f>
        <v>#N/A</v>
      </c>
      <c r="HA65" s="153" t="str">
        <f t="shared" si="53"/>
        <v>#N/A</v>
      </c>
      <c r="HB65" s="154">
        <f>IF(ISNA(VLOOKUP(A65,'Données projet'!$A$269:$I$289,3,0)),0,VLOOKUP(A65,'Données projet'!$A$269:$I$289,3,0))</f>
        <v>0</v>
      </c>
      <c r="HC65" s="154">
        <f>IF(ISNA(VLOOKUP(A65,'Données projet'!$A$269:$I$289,4,0)),0,VLOOKUP(A65,'Données projet'!$A$269:$I$289,4,0))</f>
        <v>0</v>
      </c>
      <c r="HD65" s="155">
        <f>IF(ISNA(VLOOKUP(A65,'Données projet'!$A$269:$I$289,5,0)),0%,VLOOKUP(A65,'Données projet'!$A$269:$I$289,5,0)*VLOOKUP('Données projet'!$B$18,'Paramètres'!$A$1:$I$88,7,0))</f>
        <v>0</v>
      </c>
      <c r="HE65" s="155">
        <f>IF(ISNA(VLOOKUP(A65,'Données projet'!$A$269:$I$289,6,0)),0%,VLOOKUP(A65,'Données projet'!$A$269:$I$289,6,0)*VLOOKUP('Données projet'!$B$18,'Paramètres'!$A$1:$I$88,7,0))</f>
        <v>0</v>
      </c>
      <c r="HF65" s="155">
        <f>IF(ISNA(VLOOKUP(A65,'Données projet'!$A$269:$I$289,7,0)),0%,VLOOKUP(A65,'Données projet'!$A$269:$I$289,7,0))</f>
        <v>0</v>
      </c>
      <c r="HG65" s="162" t="str">
        <f>EXP(-LN(2)/35)*HG64+(1-EXP(-LN(2)/35))/(LN(2)/35)*HC65*HD65*VLOOKUP('Données projet'!$B$18,'Paramètres'!$A$1:$I$88,3,0)*0.475*44/12</f>
        <v>#N/A</v>
      </c>
      <c r="HH65" s="162" t="str">
        <f>EXP(-LN(2)/25)*HH64+(1-EXP(-LN(2)/25))/(LN(2)/25)*Calculateur!HC65*Calculateur!HE65*VLOOKUP('Données projet'!$B$18,'Paramètres'!$A$1:$I$88,3,0)*0.475*44/12</f>
        <v>#N/A</v>
      </c>
      <c r="HI65" s="162" t="str">
        <f>EXP(-LN(2)/2)*HI64+(1-EXP(-LN(2)/2))/(LN(2)/2)*HC65*HF65*VLOOKUP('Données projet'!$B$18,'Paramètres'!$A$1:$I$88,3,0)*0.475*44/12</f>
        <v>#N/A</v>
      </c>
      <c r="HJ65" s="163" t="str">
        <f t="shared" si="31"/>
        <v>#N/A</v>
      </c>
    </row>
    <row r="66" ht="15.75" customHeight="1">
      <c r="A66" s="145">
        <f t="shared" si="32"/>
        <v>63</v>
      </c>
      <c r="B66" s="146">
        <f>'Scénario référence'!$B$16*5+'Scénario référence'!$B$17*0+'Scénario référence'!$B$18*5</f>
        <v>0</v>
      </c>
      <c r="C66" s="160">
        <f>Calculateur!C65+'Scénario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66" s="147">
        <f t="shared" si="33"/>
        <v>0</v>
      </c>
      <c r="E66" s="147">
        <f>'Scénario référence'!$B$16*45+('Scénario référence'!$B$17+'Scénario référence'!$F$8+'Scénario référence'!$F$9+'Scénario référence'!$B$10+'Scénario référence'!$B$9)*70+'Scénario référence'!$B$18*32</f>
        <v>70</v>
      </c>
      <c r="F66" s="147">
        <f>IF(OR('Scénario référence'!$F$8&gt;0,'Scénario référence'!$F$9&gt;0),('Scénario référence'!$F$8+'Scénario référence'!$F$9)*10,0)</f>
        <v>0</v>
      </c>
      <c r="G66" s="147">
        <f>'Scénario référence'!$B$8*B66*44/12+'Scénario référence'!$B$9*(C66+D66)/0.475*44/12+'Scénario référence'!$B$10*(C66+D66)/0.475*44/12+'Scénario référence'!$F$8*(C66+D66)/0.475*44/12+'Scénario référence'!$F$9*(C66+D66)/0.475*44/12</f>
        <v>0</v>
      </c>
      <c r="H66" s="148">
        <f t="shared" si="1"/>
        <v>256.6666667</v>
      </c>
      <c r="I66" s="149">
        <f>('Scénario référence'!$F$8+'Scénario référence'!$F$9+'Scénario référence'!$B$17+'Scénario référence'!$B$9+'Scénario référence'!$B$10)*70+IF((45+25*(1-EXP(-0.0175*A66)))&lt;70,'Scénario référence'!$B$16*(45+25*(1-EXP(-0.0175*A66))),70*'Scénario référence'!$B$16)+IF((32+38*(1-EXP(-0.0175*A66)))&lt;70,'Scénario référence'!$B$18*(32+38*(1-EXP(-0.0175*A66))),70*'Scénario référence'!$B$18)</f>
        <v>70</v>
      </c>
      <c r="J66" s="150">
        <f>IF(A66&gt;30,10,('Scénario référence'!$B$16+'Scénario référence'!$B$17+'Scénario référence'!$B$18+'Scénario référence'!$B$9+'Scénario référence'!$B$10)*A66*10/30+('Scénario référence'!$F$8+'Scénario référence'!$F$9)*10)</f>
        <v>10</v>
      </c>
      <c r="K66" s="151" t="str">
        <f>VLOOKUP(A66,'Données projet'!$A$35:$I$55,2,0)</f>
        <v>#N/A</v>
      </c>
      <c r="L66" s="151" t="str">
        <f>VLOOKUP(A66,'Données projet'!$A$35:$I$55,9,0)</f>
        <v>#N/A</v>
      </c>
      <c r="M66" s="150">
        <f t="array" ref="M66">INDEX(L:L,MIN(IF(ISNUMBER(L66:L262),ROW(L66:L262),"")))</f>
        <v>8.8</v>
      </c>
      <c r="N66" s="150">
        <f>IF('Données projet'!$A$36&gt;35,N65+M66-V65,IF(A66&lt;'Données projet'!$A$36,$K$205^A66,IF(A66='Données projet'!$A$36,'Données projet'!$B$36,N65+M66-V65)))</f>
        <v>271.4</v>
      </c>
      <c r="O66" s="150">
        <f>N66*VLOOKUP('Données projet'!$B$9,'Paramètres'!$A$1:$I$88,3,0)*VLOOKUP('Données projet'!$B$9,'Paramètres'!$A$1:$I$88,5,0)</f>
        <v>245.56272</v>
      </c>
      <c r="P66" s="150">
        <f t="shared" si="34"/>
        <v>59.63477605</v>
      </c>
      <c r="Q66" s="161">
        <f t="shared" si="2"/>
        <v>531.5523056</v>
      </c>
      <c r="R66" s="153">
        <f t="shared" si="3"/>
        <v>824.885639</v>
      </c>
      <c r="S66" s="153">
        <f>AVERAGE(OFFSET($R$3,0,0,'Données projet'!$E$9+1,1))-AVERAGE(OFFSET($H$3,0,0,'Données projet'!$E$9+1,1))</f>
        <v>439.1985427</v>
      </c>
      <c r="T66" s="153">
        <f t="shared" si="35"/>
        <v>278.2174123</v>
      </c>
      <c r="U66" s="154">
        <f>IF(ISNA(VLOOKUP(A66,'Données projet'!$A$35:$I$55,3,0)),0,VLOOKUP(A66,'Données projet'!$A$35:$I$55,3,0))</f>
        <v>0</v>
      </c>
      <c r="V66" s="154">
        <f>IF(ISNA(VLOOKUP(A66,'Données projet'!$A$35:$I$55,4,0)),0,VLOOKUP(A66,'Données projet'!$A$35:$I$55,4,0))</f>
        <v>0</v>
      </c>
      <c r="W66" s="155">
        <f>IF(ISNA(VLOOKUP(A66,'Données projet'!$A$35:$I$55,5,0)),0%,VLOOKUP(A66,'Données projet'!$A$35:$I$55,5,0)*VLOOKUP('Données projet'!$B$9,'Paramètres'!$A$1:$I$88,7,0))</f>
        <v>0</v>
      </c>
      <c r="X66" s="155">
        <f>IF(ISNA(VLOOKUP(A66,'Données projet'!$A$35:$I$55,6,0)),0%,VLOOKUP(A66,'Données projet'!$A$35:$I$55,6,0)*VLOOKUP('Données projet'!$B$9,'Paramètres'!$A$1:$I$88,7,0))</f>
        <v>0</v>
      </c>
      <c r="Y66" s="155">
        <f>IF(ISNA(VLOOKUP(A66,'Données projet'!$A$35:$I$55,7,0)),0%,VLOOKUP(A66,'Données projet'!$A$35:$I$55,7,0))</f>
        <v>0</v>
      </c>
      <c r="Z66" s="162">
        <f>EXP(-LN(2)/35)*Z65+(1-EXP(-LN(2)/35))/(LN(2)/35)*V66*W66*VLOOKUP('Données projet'!$B$9,'Paramètres'!$A$1:$I$88,3,0)*0.475*44/12</f>
        <v>0</v>
      </c>
      <c r="AA66" s="162">
        <f>EXP(-LN(2)/25)*AA65+(1-EXP(-LN(2)/25))/(LN(2)/25)*Calculateur!V66*Calculateur!X66*VLOOKUP('Données projet'!$B$9,'Paramètres'!$A$1:$I$88,3,0)*0.475*44/12</f>
        <v>1.797432892</v>
      </c>
      <c r="AB66" s="162">
        <f>EXP(-LN(2)/2)*AB65+(1-EXP(-LN(2)/2))/(LN(2)/2)*V66*Y66*VLOOKUP('Données projet'!$B$9,'Paramètres'!$A$1:$I$88,3,0)*0.475*44/12</f>
        <v>0</v>
      </c>
      <c r="AC66" s="163">
        <f t="shared" si="4"/>
        <v>1.797432892</v>
      </c>
      <c r="AD66" s="150">
        <f>('Scénario référence'!$F$8+'Scénario référence'!$F$9+'Scénario référence'!$B$17+'Scénario référence'!$B$9+'Scénario référence'!$B$10)*70+IF((45+25*(1-EXP(-0.0175*A66)))&lt;70,'Scénario référence'!$B$16*(45+25*(1-EXP(-0.0175*A66))),70*'Scénario référence'!$B$16)+IF((32+38*(1-EXP(-0.0175*A66)))&lt;70,'Scénario référence'!$B$18*(32+38*(1-EXP(-0.0175*A66))),70*'Scénario référence'!$B$18)</f>
        <v>70</v>
      </c>
      <c r="AE66" s="150">
        <f>IF(A66&gt;30,10,('Scénario référence'!$B$16+'Scénario référence'!$B$17+'Scénario référence'!$B$18+'Scénario référence'!$B$9+'Scénario référence'!$B$10)*A66*10/30+('Scénario référence'!$F$8+'Scénario référence'!$F$9)*10)</f>
        <v>10</v>
      </c>
      <c r="AF66" s="151" t="str">
        <f>VLOOKUP(A66,'Données projet'!$A$61:$I$81,2,0)</f>
        <v>#N/A</v>
      </c>
      <c r="AG66" s="151" t="str">
        <f>VLOOKUP(A66,'Données projet'!$A$61:$I$81,9,0)</f>
        <v>#N/A</v>
      </c>
      <c r="AH66" s="150">
        <f t="array" ref="AH66">INDEX(AG:AG,MIN(IF(ISNUMBER(AG66:AG262),ROW(AG66:AG262),"")))</f>
        <v>6</v>
      </c>
      <c r="AI66" s="150">
        <f>IF('Données projet'!$A$62&gt;35,AI65+AH66-AQ65,IF(A66&lt;'Données projet'!$A$62,$AF$205^A66,IF(A66='Données projet'!$A$62,'Données projet'!$B$62,AI65+AH66-AQ65)))</f>
        <v>344</v>
      </c>
      <c r="AJ66" s="150">
        <f>AI66*VLOOKUP('Données projet'!$B$10,'Paramètres'!$A$1:$I$88,3,0)*VLOOKUP('Données projet'!$B$10,'Paramètres'!$A$1:$I$88,5,0)</f>
        <v>273.6864</v>
      </c>
      <c r="AK66" s="150">
        <f t="shared" si="36"/>
        <v>65.63099787</v>
      </c>
      <c r="AL66" s="161">
        <f t="shared" si="5"/>
        <v>590.9778013</v>
      </c>
      <c r="AM66" s="153">
        <f t="shared" si="6"/>
        <v>884.3111346</v>
      </c>
      <c r="AN66" s="153">
        <f>AVERAGE(OFFSET($AM$3,0,0,'Données projet'!$E$10+1,1))-AVERAGE(OFFSET($H$3,0,0,'Données projet'!$E$10+1,1))</f>
        <v>405.6113614</v>
      </c>
      <c r="AO66" s="153">
        <f t="shared" si="37"/>
        <v>393.0787141</v>
      </c>
      <c r="AP66" s="154">
        <f>IF(ISNA(VLOOKUP(A66,'Données projet'!$A$61:$I$81,3,0)),0,VLOOKUP(A66,'Données projet'!$A$61:$I$81,3,0))</f>
        <v>0</v>
      </c>
      <c r="AQ66" s="154">
        <f>IF(ISNA(VLOOKUP(A66,'Données projet'!$A$61:$I$81,4,0)),0,VLOOKUP(A66,'Données projet'!$A$61:$I$81,4,0))</f>
        <v>0</v>
      </c>
      <c r="AR66" s="155">
        <f>IF(ISNA(VLOOKUP(A66,'Données projet'!$A$61:$I$81,5,0)),0%,VLOOKUP(A66,'Données projet'!$A$61:$I$81,5,0)*VLOOKUP('Données projet'!$B$10,'Paramètres'!$A$1:$I$88,7,0))</f>
        <v>0</v>
      </c>
      <c r="AS66" s="155">
        <f>IF(ISNA(VLOOKUP(A66,'Données projet'!$A$61:$I$81,6,0)),0%,VLOOKUP(A66,'Données projet'!$A$61:$I$81,6,0)*VLOOKUP('Données projet'!$B$10,'Paramètres'!$A$1:$I$88,7,0))</f>
        <v>0</v>
      </c>
      <c r="AT66" s="155">
        <f>IF(ISNA(VLOOKUP(A66,'Données projet'!$A$61:$I$81,7,0)),0%,VLOOKUP(A66,'Données projet'!$A$61:$I$81,7,0))</f>
        <v>0</v>
      </c>
      <c r="AU66" s="162">
        <f>EXP(-LN(2)/35)*AU65+(1-EXP(-LN(2)/35))/(LN(2)/35)*AQ66*AR66*VLOOKUP('Données projet'!$B$10,'Paramètres'!$A$1:$I$88,3,0)*0.475*44/12</f>
        <v>0</v>
      </c>
      <c r="AV66" s="162">
        <f>EXP(-LN(2)/25)*AV65+(1-EXP(-LN(2)/25))/(LN(2)/25)*Calculateur!AQ66*Calculateur!AS66*VLOOKUP('Données projet'!$B$10,'Paramètres'!$A$1:$I$88,3,0)*0.475*44/12</f>
        <v>7.305224197</v>
      </c>
      <c r="AW66" s="162">
        <f>EXP(-LN(2)/2)*AW65+(1-EXP(-LN(2)/2))/(LN(2)/2)*AQ66*AT66*VLOOKUP('Données projet'!$B$10,'Paramètres'!$A$1:$I$88,3,0)*0.475*44/12</f>
        <v>0.000006254858865</v>
      </c>
      <c r="AX66" s="162">
        <f t="shared" si="7"/>
        <v>7.305230452</v>
      </c>
      <c r="AY66" s="157">
        <f>('Scénario référence'!$F$8+'Scénario référence'!$F$9+'Scénario référence'!$B$17+'Scénario référence'!$B$9+'Scénario référence'!$B$10)*70+IF((45+25*(1-EXP(-0.0175*A66)))&lt;70,'Scénario référence'!$B$16*(45+25*(1-EXP(-0.0175*A66))),70*'Scénario référence'!$B$16)+IF((32+38*(1-EXP(-0.0175*A66)))&lt;70,'Scénario référence'!$B$18*(32+38*(1-EXP(-0.0175*A66))),70*'Scénario référence'!$B$18)</f>
        <v>70</v>
      </c>
      <c r="AZ66" s="151">
        <f>IF(A66&gt;30,10,('Scénario référence'!$B$16+'Scénario référence'!$B$17+'Scénario référence'!$B$18+'Scénario référence'!$B$9+'Scénario référence'!$B$10)*A66*10/30+('Scénario référence'!$F$8+'Scénario référence'!$F$9)*10)</f>
        <v>10</v>
      </c>
      <c r="BA66" s="151" t="str">
        <f>VLOOKUP(A66,'Données projet'!$A$87:$I$107,2,0)</f>
        <v>#N/A</v>
      </c>
      <c r="BB66" s="151" t="str">
        <f>VLOOKUP(A66,'Données projet'!$A$87:$I$107,9,0)</f>
        <v>#N/A</v>
      </c>
      <c r="BC66" s="150" t="str">
        <f t="array" ref="BC66">INDEX(BB:BB,MIN(IF(ISNUMBER(BB66:BB262),ROW(BB66:BB262),"")))</f>
        <v/>
      </c>
      <c r="BD66" s="150">
        <f>IF('Données projet'!$A$88&gt;35,BD65+BC66-BL65,IF(A66&lt;'Données projet'!$A$88,$BA$205^A66,IF(A66='Données projet'!$A$88,'Données projet'!$B$88,BD65+BC66-BL65)))</f>
        <v>0</v>
      </c>
      <c r="BE66" s="150">
        <f>BD66*VLOOKUP('Données projet'!$B$11,'Paramètres'!$A$1:$I$88,3,0)*VLOOKUP('Données projet'!$B$11,'Paramètres'!$A$1:$I$88,5,0)</f>
        <v>0</v>
      </c>
      <c r="BF66" s="150" t="str">
        <f t="shared" si="38"/>
        <v>#NUM!</v>
      </c>
      <c r="BG66" s="161" t="str">
        <f t="shared" si="8"/>
        <v>#NUM!</v>
      </c>
      <c r="BH66" s="153" t="str">
        <f t="shared" si="9"/>
        <v>#NUM!</v>
      </c>
      <c r="BI66" s="153">
        <f>AVERAGE(OFFSET($BH$3,0,0,'Données projet'!$E$11+1,1))-AVERAGE(OFFSET($H$3,0,0,'Données projet'!$E$11+1,1))</f>
        <v>0</v>
      </c>
      <c r="BJ66" s="153">
        <f t="shared" si="39"/>
        <v>0</v>
      </c>
      <c r="BK66" s="154">
        <f>IF(ISNA(VLOOKUP(A66,'Données projet'!$A$87:$I$107,3,0)),0,VLOOKUP(A66,'Données projet'!$A$87:$I$107,3,0))</f>
        <v>0</v>
      </c>
      <c r="BL66" s="154">
        <f>IF(ISNA(VLOOKUP(A66,'Données projet'!$A$87:$I$107,4,0)),0,VLOOKUP(A66,'Données projet'!$A$87:$I$107,4,0))</f>
        <v>0</v>
      </c>
      <c r="BM66" s="155">
        <f>IF(ISNA(VLOOKUP(A66,'Données projet'!$A$87:$I$107,5,0)),0%,VLOOKUP(A66,'Données projet'!$A$87:$I$107,5,0)*VLOOKUP('Données projet'!$B$11,'Paramètres'!$A$1:$I$88,7,0))</f>
        <v>0</v>
      </c>
      <c r="BN66" s="155">
        <f>IF(ISNA(VLOOKUP(A66,'Données projet'!$A$87:$I$107,6,0)),0%,VLOOKUP(A66,'Données projet'!$A$87:$I$107,6,0)*VLOOKUP('Données projet'!$B$11,'Paramètres'!$A$1:$I$88,7,0))</f>
        <v>0</v>
      </c>
      <c r="BO66" s="155">
        <f>IF(ISNA(VLOOKUP(A66,'Données projet'!$A$87:$I$107,7,0)),0%,VLOOKUP(A66,'Données projet'!$A$87:$I$107,7,0))</f>
        <v>0</v>
      </c>
      <c r="BP66" s="162">
        <f>EXP(-LN(2)/35)*BP65+(1-EXP(-LN(2)/35))/(LN(2)/35)*BL66*BM66*VLOOKUP('Données projet'!$B$11,'Paramètres'!$A$1:$I$88,3,0)*0.475*44/12</f>
        <v>0</v>
      </c>
      <c r="BQ66" s="162">
        <f>EXP(-LN(2)/25)*BQ65+(1-EXP(-LN(2)/25))/(LN(2)/25)*Calculateur!BL66*Calculateur!BN66*VLOOKUP('Données projet'!$B$11,'Paramètres'!$A$1:$I$88,3,0)*0.475*44/12</f>
        <v>0</v>
      </c>
      <c r="BR66" s="162">
        <f>EXP(-LN(2)/2)*BR65+(1-EXP(-LN(2)/2))/(LN(2)/2)*BL66*BO66*VLOOKUP('Données projet'!$B$11,'Paramètres'!$A$1:$I$88,3,0)*0.475*44/12</f>
        <v>0</v>
      </c>
      <c r="BS66" s="163">
        <f t="shared" si="10"/>
        <v>0</v>
      </c>
      <c r="BT66" s="159">
        <f>('Scénario référence'!$F$8+'Scénario référence'!$F$9+'Scénario référence'!$B$17+'Scénario référence'!$B$9+'Scénario référence'!$B$10)*70+IF((45+25*(1-EXP(-0.0175*A66)))&lt;70,'Scénario référence'!$B$16*(45+25*(1-EXP(-0.0175*A66))),70*'Scénario référence'!$B$16)+IF((32+38*(1-EXP(-0.0175*A66)))&lt;70,'Scénario référence'!$B$18*(32+38*(1-EXP(-0.0175*A66))),70*'Scénario référence'!$B$18)</f>
        <v>70</v>
      </c>
      <c r="BU66" s="151">
        <f>IF(A66&gt;30,10,('Scénario référence'!$B$16+'Scénario référence'!$B$17+'Scénario référence'!$B$18+'Scénario référence'!$B$9+'Scénario référence'!$B$10)*A66*10/30+('Scénario référence'!$F$8+'Scénario référence'!$F$9)*10)</f>
        <v>10</v>
      </c>
      <c r="BV66" s="151" t="str">
        <f>VLOOKUP(A66,'Données projet'!$A$113:$I$133,2,0)</f>
        <v>#N/A</v>
      </c>
      <c r="BW66" s="151" t="str">
        <f>VLOOKUP(A66,'Données projet'!$A$113:$I$133,9,0)</f>
        <v>#N/A</v>
      </c>
      <c r="BX66" s="150" t="str">
        <f t="array" ref="BX66">INDEX(BW:BW,MIN(IF(ISNUMBER(BW66:BW262),ROW(BW66:BW262),"")))</f>
        <v/>
      </c>
      <c r="BY66" s="150">
        <f>IF('Données projet'!$A$114&gt;35,BY65+BX66-CG65,IF(A66&lt;'Données projet'!$A$114,$BV$205^A66,IF(A66='Données projet'!$A$114,'Données projet'!$B$114,BY65+BX66-CG65)))</f>
        <v>0</v>
      </c>
      <c r="BZ66" s="150" t="str">
        <f>BY66*VLOOKUP('Données projet'!$B$12,'Paramètres'!$A$1:$I$88,3,0)*VLOOKUP('Données projet'!$B$12,'Paramètres'!$A$1:$I$88,5,0)</f>
        <v>#N/A</v>
      </c>
      <c r="CA66" s="150" t="str">
        <f t="shared" si="40"/>
        <v>#N/A</v>
      </c>
      <c r="CB66" s="161" t="str">
        <f t="shared" si="11"/>
        <v>#N/A</v>
      </c>
      <c r="CC66" s="153" t="str">
        <f t="shared" si="12"/>
        <v>#N/A</v>
      </c>
      <c r="CD66" s="153" t="str">
        <f>AVERAGE(OFFSET($CC$3,0,0,'Données projet'!$E$12+1,1))-AVERAGE(OFFSET($H$3,0,0,'Données projet'!$E$12+1,1))</f>
        <v>#N/A</v>
      </c>
      <c r="CE66" s="153" t="str">
        <f t="shared" si="41"/>
        <v>#N/A</v>
      </c>
      <c r="CF66" s="154">
        <f>IF(ISNA(VLOOKUP(A66,'Données projet'!$A$113:$I$133,3,0)),0,VLOOKUP(A66,'Données projet'!$A$113:$I$133,3,0))</f>
        <v>0</v>
      </c>
      <c r="CG66" s="154">
        <f>IF(ISNA(VLOOKUP(A66,'Données projet'!$A$113:$I$133,4,0)),0,VLOOKUP(A66,'Données projet'!$A$113:$I$133,4,0))</f>
        <v>0</v>
      </c>
      <c r="CH66" s="155">
        <f>IF(ISNA(VLOOKUP(A66,'Données projet'!$A$113:$I$133,5,0)),0%,VLOOKUP(A66,'Données projet'!$A$113:$I$133,5,0)*VLOOKUP('Données projet'!$B$12,'Paramètres'!$A$1:$I$88,7,0))</f>
        <v>0</v>
      </c>
      <c r="CI66" s="155">
        <f>IF(ISNA(VLOOKUP(A66,'Données projet'!$A$113:$I$133,6,0)),0%,VLOOKUP(A66,'Données projet'!$A$113:$I$133,6,0)*VLOOKUP('Données projet'!$B$12,'Paramètres'!$A$1:$I$88,7,0))</f>
        <v>0</v>
      </c>
      <c r="CJ66" s="155">
        <f>IF(ISNA(VLOOKUP(A66,'Données projet'!$A$113:$I$133,7,0)),0%,VLOOKUP(A66,'Données projet'!$A$113:$I$133,7,0))</f>
        <v>0</v>
      </c>
      <c r="CK66" s="162" t="str">
        <f>EXP(-LN(2)/35)*CK65+(1-EXP(-LN(2)/35))/(LN(2)/35)*CG66*CH66*VLOOKUP('Données projet'!$B$12,'Paramètres'!$A$1:$I$88,3,0)*0.475*44/12</f>
        <v>#N/A</v>
      </c>
      <c r="CL66" s="162" t="str">
        <f>EXP(-LN(2)/25)*CL65+(1-EXP(-LN(2)/25))/(LN(2)/25)*Calculateur!CG66*Calculateur!CI66*VLOOKUP('Données projet'!$B$12,'Paramètres'!$A$1:$I$88,3,0)*0.475*44/12</f>
        <v>#N/A</v>
      </c>
      <c r="CM66" s="162" t="str">
        <f>EXP(-LN(2)/2)*CM65+(1-EXP(-LN(2)/2))/(LN(2)/2)*CG66*CJ66*VLOOKUP('Données projet'!$B$12,'Paramètres'!$A$1:$I$88,3,0)*0.475*44/12</f>
        <v>#N/A</v>
      </c>
      <c r="CN66" s="163" t="str">
        <f t="shared" si="13"/>
        <v>#N/A</v>
      </c>
      <c r="CO66" s="159">
        <f>('Scénario référence'!$F$8+'Scénario référence'!$F$9+'Scénario référence'!$B$17+'Scénario référence'!$B$9+'Scénario référence'!$B$10)*70+IF((45+25*(1-EXP(-0.0175*A66)))&lt;70,'Scénario référence'!$B$16*(45+25*(1-EXP(-0.0175*A66))),70*'Scénario référence'!$B$16)+IF((32+38*(1-EXP(-0.0175*A66)))&lt;70,'Scénario référence'!$B$18*(32+38*(1-EXP(-0.0175*A66))),70*'Scénario référence'!$B$18)</f>
        <v>70</v>
      </c>
      <c r="CP66" s="151">
        <f>IF(A66&gt;30,10,('Scénario référence'!$B$16+'Scénario référence'!$B$17+'Scénario référence'!$B$18+'Scénario référence'!$B$9+'Scénario référence'!$B$10)*A66*10/30+('Scénario référence'!$F$8+'Scénario référence'!$F$9)*10)</f>
        <v>10</v>
      </c>
      <c r="CQ66" s="151" t="str">
        <f>VLOOKUP(A66,'Données projet'!$A$139:$I$159,2,0)</f>
        <v>#N/A</v>
      </c>
      <c r="CR66" s="151" t="str">
        <f>VLOOKUP(A66,'Données projet'!$A$139:$I$159,9,0)</f>
        <v>#N/A</v>
      </c>
      <c r="CS66" s="151" t="str">
        <f t="array" ref="CS66">INDEX(CR:CR,MIN(IF(ISNUMBER(CR66:CR262),ROW(CR66:CR262),"")))</f>
        <v/>
      </c>
      <c r="CT66" s="151">
        <f>IF('Données projet'!$A$140&gt;35,CT65+CS66-DB65,IF(A66&lt;'Données projet'!$A$140,$CQ$205^A66,IF(A66='Données projet'!$A$140,'Données projet'!$B$140,CT65+CS66-DB65)))</f>
        <v>0</v>
      </c>
      <c r="CU66" s="158" t="str">
        <f>CT66*VLOOKUP('Données projet'!$B$13,'Paramètres'!$A$1:$I$88,3,0)*VLOOKUP('Données projet'!$B$13,'Paramètres'!$A$1:$I$88,5,0)</f>
        <v>#N/A</v>
      </c>
      <c r="CV66" s="150" t="str">
        <f t="shared" si="42"/>
        <v>#N/A</v>
      </c>
      <c r="CW66" s="161" t="str">
        <f t="shared" si="14"/>
        <v>#N/A</v>
      </c>
      <c r="CX66" s="153" t="str">
        <f t="shared" si="15"/>
        <v>#N/A</v>
      </c>
      <c r="CY66" s="153" t="str">
        <f>AVERAGE(OFFSET($CX$3,0,0,'Données projet'!$E$13+1,1))-AVERAGE(OFFSET($H$3,0,0,'Données projet'!$E$13+1,1))</f>
        <v>#N/A</v>
      </c>
      <c r="CZ66" s="153" t="str">
        <f t="shared" si="43"/>
        <v>#N/A</v>
      </c>
      <c r="DA66" s="154">
        <f>IF(ISNA(VLOOKUP(A66,'Données projet'!$A$139:$I$159,3,0)),0,VLOOKUP(A66,'Données projet'!$A$139:$I$159,3,0))</f>
        <v>0</v>
      </c>
      <c r="DB66" s="154">
        <f>IF(ISNA(VLOOKUP(A66,'Données projet'!$A$139:$I$159,4,0)),0,VLOOKUP(A66,'Données projet'!$A$139:$I$159,4,0))</f>
        <v>0</v>
      </c>
      <c r="DC66" s="155">
        <f>IF(ISNA(VLOOKUP(A66,'Données projet'!$A$139:$I$159,5,0)),0%,VLOOKUP(A66,'Données projet'!$A$139:$I$159,5,0)*VLOOKUP('Données projet'!$B$13,'Paramètres'!$A$1:$I$88,7,0))</f>
        <v>0</v>
      </c>
      <c r="DD66" s="155">
        <f>IF(ISNA(VLOOKUP(A66,'Données projet'!$A$139:$I$159,6,0)),0%,VLOOKUP(A66,'Données projet'!$A$139:$I$159,6,0)*VLOOKUP('Données projet'!$B$13,'Paramètres'!$A$1:$I$88,7,0))</f>
        <v>0</v>
      </c>
      <c r="DE66" s="155">
        <f>IF(ISNA(VLOOKUP(A66,'Données projet'!$A$139:$I$159,7,0)),0%,VLOOKUP(A66,'Données projet'!$A$139:$I$159,7,0))</f>
        <v>0</v>
      </c>
      <c r="DF66" s="162" t="str">
        <f>EXP(-LN(2)/35)*DF65+(1-EXP(-LN(2)/35))/(LN(2)/35)*DB66*DC66*VLOOKUP('Données projet'!$B$13,'Paramètres'!$A$1:$I$88,3,0)*0.475*44/12</f>
        <v>#N/A</v>
      </c>
      <c r="DG66" s="162" t="str">
        <f>EXP(-LN(2)/25)*DG65+(1-EXP(-LN(2)/25))/(LN(2)/25)*Calculateur!DB66*Calculateur!DD66*VLOOKUP('Données projet'!$B$13,'Paramètres'!$A$1:$I$88,3,0)*0.475*44/12</f>
        <v>#N/A</v>
      </c>
      <c r="DH66" s="162" t="str">
        <f>EXP(-LN(2)/2)*DH65+(1-EXP(-LN(2)/2))/(LN(2)/2)*DB66*DE66*VLOOKUP('Données projet'!$B$13,'Paramètres'!$A$1:$I$88,3,0)*0.475*44/12</f>
        <v>#N/A</v>
      </c>
      <c r="DI66" s="163" t="str">
        <f t="shared" si="16"/>
        <v>#N/A</v>
      </c>
      <c r="DJ66" s="159">
        <f>('Scénario référence'!$F$8+'Scénario référence'!$F$9+'Scénario référence'!$B$17+'Scénario référence'!$B$9+'Scénario référence'!$B$10)*70+IF((45+25*(1-EXP(-0.0175*A66)))&lt;70,'Scénario référence'!$B$16*(45+25*(1-EXP(-0.0175*A66))),70*'Scénario référence'!$B$16)+IF((32+38*(1-EXP(-0.0175*A66)))&lt;70,'Scénario référence'!$B$18*(32+38*(1-EXP(-0.0175*A66))),70*'Scénario référence'!$B$18)</f>
        <v>70</v>
      </c>
      <c r="DK66" s="151">
        <f>IF(A66&gt;30,10,('Scénario référence'!$B$16+'Scénario référence'!$B$17+'Scénario référence'!$B$18+'Scénario référence'!$B$9+'Scénario référence'!$B$10)*A66*10/30+('Scénario référence'!$F$8+'Scénario référence'!$F$9)*10)</f>
        <v>10</v>
      </c>
      <c r="DL66" s="151" t="str">
        <f>VLOOKUP(A66,'Données projet'!$A$165:$I$185,2,0)</f>
        <v>#N/A</v>
      </c>
      <c r="DM66" s="151" t="str">
        <f>VLOOKUP(A66,'Données projet'!$A$165:$I$185,9,0)</f>
        <v>#N/A</v>
      </c>
      <c r="DN66" s="151" t="str">
        <f t="array" ref="DN66">INDEX(DM:DM,MIN(IF(ISNUMBER(DM66:DM262),ROW(DM66:DM262),"")))</f>
        <v/>
      </c>
      <c r="DO66" s="151">
        <f>IF('Données projet'!$A$166&gt;35,DO65+DN66-DW65,IF(A66&lt;'Données projet'!$A$166,$DL$205^A66,IF(A66='Données projet'!$A$166,'Données projet'!$B$166,DO65+DN66-DW65)))</f>
        <v>0</v>
      </c>
      <c r="DP66" s="158" t="str">
        <f>DO66*VLOOKUP('Données projet'!$B$14,'Paramètres'!$A$1:$I$88,3,0)*VLOOKUP('Données projet'!$B$14,'Paramètres'!$A$1:$I$88,5,0)</f>
        <v>#N/A</v>
      </c>
      <c r="DQ66" s="150" t="str">
        <f t="shared" si="44"/>
        <v>#N/A</v>
      </c>
      <c r="DR66" s="161" t="str">
        <f t="shared" si="17"/>
        <v>#N/A</v>
      </c>
      <c r="DS66" s="153" t="str">
        <f t="shared" si="18"/>
        <v>#N/A</v>
      </c>
      <c r="DT66" s="153" t="str">
        <f>AVERAGE(OFFSET($DS$3,0,0,'Données projet'!$E$14+1,1))-AVERAGE(OFFSET($H$3,0,0,'Données projet'!$E$14+1,1))</f>
        <v>#N/A</v>
      </c>
      <c r="DU66" s="153" t="str">
        <f t="shared" si="45"/>
        <v>#N/A</v>
      </c>
      <c r="DV66" s="154">
        <f>IF(ISNA(VLOOKUP(A66,'Données projet'!$A$165:$I$185,3,0)),0,VLOOKUP(A66,'Données projet'!$A$165:$I$185,3,0))</f>
        <v>0</v>
      </c>
      <c r="DW66" s="154">
        <f>IF(ISNA(VLOOKUP(A66,'Données projet'!$A$165:$I$185,4,0)),0,VLOOKUP(A66,'Données projet'!$A$165:$I$185,4,0))</f>
        <v>0</v>
      </c>
      <c r="DX66" s="155">
        <f>IF(ISNA(VLOOKUP(A66,'Données projet'!$A$165:$I$185,5,0)),0%,VLOOKUP(A66,'Données projet'!$A$165:$I$185,5,0)*VLOOKUP('Données projet'!$B$14,'Paramètres'!$A$1:$I$88,7,0))</f>
        <v>0</v>
      </c>
      <c r="DY66" s="155">
        <f>IF(ISNA(VLOOKUP(A66,'Données projet'!$A$165:$I$185,6,0)),0%,VLOOKUP(A66,'Données projet'!$A$165:$I$185,6,0)*VLOOKUP('Données projet'!$B$14,'Paramètres'!$A$1:$I$88,7,0))</f>
        <v>0</v>
      </c>
      <c r="DZ66" s="155">
        <f>IF(ISNA(VLOOKUP(A66,'Données projet'!$A$165:$I$185,7,0)),0%,VLOOKUP(A66,'Données projet'!$A$165:$I$185,7,0))</f>
        <v>0</v>
      </c>
      <c r="EA66" s="162" t="str">
        <f>EXP(-LN(2)/35)*EA65+(1-EXP(-LN(2)/35))/(LN(2)/35)*DW66*DX66*VLOOKUP('Données projet'!$B$14,'Paramètres'!$A$1:$I$88,3,0)*0.475*44/12</f>
        <v>#N/A</v>
      </c>
      <c r="EB66" s="162" t="str">
        <f>EXP(-LN(2)/25)*EB65+(1-EXP(-LN(2)/25))/(LN(2)/25)*Calculateur!DW66*Calculateur!DY66*VLOOKUP('Données projet'!$B$14,'Paramètres'!$A$1:$I$88,3,0)*0.475*44/12</f>
        <v>#N/A</v>
      </c>
      <c r="EC66" s="162" t="str">
        <f>EXP(-LN(2)/2)*EC65+(1-EXP(-LN(2)/2))/(LN(2)/2)*DW66*DZ66*VLOOKUP('Données projet'!$B$14,'Paramètres'!$A$1:$I$88,3,0)*0.475*44/12</f>
        <v>#N/A</v>
      </c>
      <c r="ED66" s="163" t="str">
        <f t="shared" si="19"/>
        <v>#N/A</v>
      </c>
      <c r="EE66" s="159">
        <f>('Scénario référence'!$F$8+'Scénario référence'!$F$9+'Scénario référence'!$B$17+'Scénario référence'!$B$9+'Scénario référence'!$B$10)*70+IF((45+25*(1-EXP(-0.0175*A66)))&lt;70,'Scénario référence'!$B$16*(45+25*(1-EXP(-0.0175*A66))),70*'Scénario référence'!$B$16)+IF((32+38*(1-EXP(-0.0175*A66)))&lt;70,'Scénario référence'!$B$18*(32+38*(1-EXP(-0.0175*A66))),70*'Scénario référence'!$B$18)</f>
        <v>70</v>
      </c>
      <c r="EF66" s="151">
        <f>IF(A66&gt;30,10,('Scénario référence'!$B$16+'Scénario référence'!$B$17+'Scénario référence'!$B$18+'Scénario référence'!$B$9+'Scénario référence'!$B$10)*A66*10/30+('Scénario référence'!$F$8+'Scénario référence'!$F$9)*10)</f>
        <v>10</v>
      </c>
      <c r="EG66" s="151" t="str">
        <f>VLOOKUP(A66,'Données projet'!$A$191:$I$211,2,0)</f>
        <v>#N/A</v>
      </c>
      <c r="EH66" s="151" t="str">
        <f>VLOOKUP(A66,'Données projet'!$A$191:$I$211,9,0)</f>
        <v>#N/A</v>
      </c>
      <c r="EI66" s="151" t="str">
        <f t="array" ref="EI66">INDEX(EH:EH,MIN(IF(ISNUMBER(EH66:EH262),ROW(EH66:EH262),"")))</f>
        <v/>
      </c>
      <c r="EJ66" s="151">
        <f>IF('Données projet'!$A$192&gt;35,EJ65+EI66-ER65,IF(A66&lt;'Données projet'!$A$192,$EG$205^A66,IF(A66='Données projet'!$A$192,'Données projet'!$B$192,EJ65+EI66-ER65)))</f>
        <v>0</v>
      </c>
      <c r="EK66" s="158" t="str">
        <f>EJ66*VLOOKUP('Données projet'!$B$15,'Paramètres'!$A$1:$I$88,3,0)*VLOOKUP('Données projet'!$B$15,'Paramètres'!$A$1:$I$88,5,0)</f>
        <v>#N/A</v>
      </c>
      <c r="EL66" s="150" t="str">
        <f t="shared" si="46"/>
        <v>#N/A</v>
      </c>
      <c r="EM66" s="161" t="str">
        <f t="shared" si="20"/>
        <v>#N/A</v>
      </c>
      <c r="EN66" s="153" t="str">
        <f t="shared" si="21"/>
        <v>#N/A</v>
      </c>
      <c r="EO66" s="153" t="str">
        <f>AVERAGE(OFFSET($EN$3,0,0,'Données projet'!$E$15+1,1))-AVERAGE(OFFSET($H$3,0,0,'Données projet'!$E$15+1,1))</f>
        <v>#N/A</v>
      </c>
      <c r="EP66" s="153" t="str">
        <f t="shared" si="47"/>
        <v>#N/A</v>
      </c>
      <c r="EQ66" s="154">
        <f>IF(ISNA(VLOOKUP(A66,'Données projet'!$A$191:$I$211,3,0)),0,VLOOKUP(A66,'Données projet'!$A$191:$I$211,3,0))</f>
        <v>0</v>
      </c>
      <c r="ER66" s="154">
        <f>IF(ISNA(VLOOKUP(A66,'Données projet'!$A$191:$I$211,4,0)),0,VLOOKUP(A66,'Données projet'!$A$191:$I$211,4,0))</f>
        <v>0</v>
      </c>
      <c r="ES66" s="155">
        <f>IF(ISNA(VLOOKUP(A66,'Données projet'!$A$191:$I$211,5,0)),0%,VLOOKUP(A66,'Données projet'!$A$191:$I$211,5,0)*VLOOKUP('Données projet'!$B$15,'Paramètres'!$A$1:$I$88,7,0))</f>
        <v>0</v>
      </c>
      <c r="ET66" s="155">
        <f>IF(ISNA(VLOOKUP(A66,'Données projet'!$A$191:$I$211,6,0)),0%,VLOOKUP(A66,'Données projet'!$A$191:$I$211,6,0)*VLOOKUP('Données projet'!$B$15,'Paramètres'!$A$1:$I$88,7,0))</f>
        <v>0</v>
      </c>
      <c r="EU66" s="155">
        <f>IF(ISNA(VLOOKUP(A66,'Données projet'!$A$191:$I$211,7,0)),0%,VLOOKUP(A66,'Données projet'!$A$191:$I$211,7,0))</f>
        <v>0</v>
      </c>
      <c r="EV66" s="162" t="str">
        <f>EXP(-LN(2)/35)*EV65+(1-EXP(-LN(2)/35))/(LN(2)/35)*ER66*ES66*VLOOKUP('Données projet'!$B$15,'Paramètres'!$A$1:$I$88,3,0)*0.475*44/12</f>
        <v>#N/A</v>
      </c>
      <c r="EW66" s="162" t="str">
        <f>EXP(-LN(2)/25)*EW65+(1-EXP(-LN(2)/25))/(LN(2)/25)*Calculateur!ER66*Calculateur!ET66*VLOOKUP('Données projet'!$B$15,'Paramètres'!$A$1:$I$88,3,0)*0.475*44/12</f>
        <v>#N/A</v>
      </c>
      <c r="EX66" s="162" t="str">
        <f>EXP(-LN(2)/2)*EX65+(1-EXP(-LN(2)/2))/(LN(2)/2)*ER66*EU66*VLOOKUP('Données projet'!$B$15,'Paramètres'!$A$1:$I$88,3,0)*0.475*44/12</f>
        <v>#N/A</v>
      </c>
      <c r="EY66" s="163" t="str">
        <f t="shared" si="22"/>
        <v>#N/A</v>
      </c>
      <c r="EZ66" s="159">
        <f>('Scénario référence'!$F$8+'Scénario référence'!$F$9+'Scénario référence'!$B$17+'Scénario référence'!$B$9+'Scénario référence'!$B$10)*70+IF((45+25*(1-EXP(-0.0175*A66)))&lt;70,'Scénario référence'!$B$16*(45+25*(1-EXP(-0.0175*A66))),70*'Scénario référence'!$B$16)+IF((32+38*(1-EXP(-0.0175*A66)))&lt;70,'Scénario référence'!$B$18*(32+38*(1-EXP(-0.0175*A66))),70*'Scénario référence'!$B$18)</f>
        <v>70</v>
      </c>
      <c r="FA66" s="151">
        <f>IF(A66&gt;30,10,('Scénario référence'!$B$16+'Scénario référence'!$B$17+'Scénario référence'!$B$18+'Scénario référence'!$B$9+'Scénario référence'!$B$10)*A66*10/30+('Scénario référence'!$F$8+'Scénario référence'!$F$9)*10)</f>
        <v>10</v>
      </c>
      <c r="FB66" s="151" t="str">
        <f>VLOOKUP(A66,'Données projet'!$A$217:$I$237,2,0)</f>
        <v>#N/A</v>
      </c>
      <c r="FC66" s="151" t="str">
        <f>VLOOKUP(A66,'Données projet'!$A$217:$I$237,9,0)</f>
        <v>#N/A</v>
      </c>
      <c r="FD66" s="151" t="str">
        <f t="array" ref="FD66">INDEX(FC:FC,MIN(IF(ISNUMBER(FC66:FC262),ROW(FC66:FC262),"")))</f>
        <v/>
      </c>
      <c r="FE66" s="151">
        <f>IF('Données projet'!$A$218&gt;35,FE65+FD66-FM65,IF(A66&lt;'Données projet'!$A$218,$FB$205^A66,IF(A66='Données projet'!$A$218,'Données projet'!$B$218,FE65+FD66-FM65)))</f>
        <v>0</v>
      </c>
      <c r="FF66" s="158" t="str">
        <f>FE66*VLOOKUP('Données projet'!$B$16,'Paramètres'!$A$1:$I$88,3,0)*VLOOKUP('Données projet'!$B$16,'Paramètres'!$A$1:$I$88,5,0)</f>
        <v>#N/A</v>
      </c>
      <c r="FG66" s="150" t="str">
        <f t="shared" si="48"/>
        <v>#N/A</v>
      </c>
      <c r="FH66" s="161" t="str">
        <f t="shared" si="23"/>
        <v>#N/A</v>
      </c>
      <c r="FI66" s="153" t="str">
        <f t="shared" si="24"/>
        <v>#N/A</v>
      </c>
      <c r="FJ66" s="153" t="str">
        <f>AVERAGE(OFFSET($FI$3,0,0,'Données projet'!$E$16+1,1))-AVERAGE(OFFSET($H$3,0,0,'Données projet'!$E$16+1,1))</f>
        <v>#N/A</v>
      </c>
      <c r="FK66" s="153" t="str">
        <f t="shared" si="49"/>
        <v>#N/A</v>
      </c>
      <c r="FL66" s="154">
        <f>IF(ISNA(VLOOKUP(A66,'Données projet'!$A$217:$I$237,3,0)),0,VLOOKUP(A66,'Données projet'!$A$217:$I$237,3,0))</f>
        <v>0</v>
      </c>
      <c r="FM66" s="154">
        <f>IF(ISNA(VLOOKUP(A66,'Données projet'!$A$217:$I$237,4,0)),0,VLOOKUP(A66,'Données projet'!$A$217:$I$237,4,0))</f>
        <v>0</v>
      </c>
      <c r="FN66" s="155">
        <f>IF(ISNA(VLOOKUP(A66,'Données projet'!$A$217:$I$237,5,0)),0%,VLOOKUP(A66,'Données projet'!$A$217:$I$237,5,0)*VLOOKUP('Données projet'!$B$16,'Paramètres'!$A$1:$I$88,7,0))</f>
        <v>0</v>
      </c>
      <c r="FO66" s="155">
        <f>IF(ISNA(VLOOKUP(A66,'Données projet'!$A$217:$I$237,6,0)),0%,VLOOKUP(A66,'Données projet'!$A$217:$I$237,6,0)*VLOOKUP('Données projet'!$B$16,'Paramètres'!$A$1:$I$88,7,0))</f>
        <v>0</v>
      </c>
      <c r="FP66" s="155">
        <f>IF(ISNA(VLOOKUP(A66,'Données projet'!$A$217:$I$237,7,0)),0%,VLOOKUP(A66,'Données projet'!$A$217:$I$237,7,0))</f>
        <v>0</v>
      </c>
      <c r="FQ66" s="162" t="str">
        <f>EXP(-LN(2)/35)*FQ65+(1-EXP(-LN(2)/35))/(LN(2)/35)*FM66*FN66*VLOOKUP('Données projet'!$B$16,'Paramètres'!$A$1:$I$88,3,0)*0.475*44/12</f>
        <v>#N/A</v>
      </c>
      <c r="FR66" s="162" t="str">
        <f>EXP(-LN(2)/25)*FR65+(1-EXP(-LN(2)/25))/(LN(2)/25)*Calculateur!FM66*Calculateur!FO66*VLOOKUP('Données projet'!$B$16,'Paramètres'!$A$1:$I$88,3,0)*0.475*44/12</f>
        <v>#N/A</v>
      </c>
      <c r="FS66" s="162" t="str">
        <f>EXP(-LN(2)/2)*FS65+(1-EXP(-LN(2)/2))/(LN(2)/2)*FM66*FP66*VLOOKUP('Données projet'!$B$16,'Paramètres'!$A$1:$I$88,3,0)*0.475*44/12</f>
        <v>#N/A</v>
      </c>
      <c r="FT66" s="163" t="str">
        <f t="shared" si="25"/>
        <v>#N/A</v>
      </c>
      <c r="FU66" s="159">
        <f>('Scénario référence'!$F$8+'Scénario référence'!$F$9+'Scénario référence'!$B$17+'Scénario référence'!$B$9+'Scénario référence'!$B$10)*70+IF((45+25*(1-EXP(-0.0175*A66)))&lt;70,'Scénario référence'!$B$16*(45+25*(1-EXP(-0.0175*A66))),70*'Scénario référence'!$B$16)+IF((32+38*(1-EXP(-0.0175*A66)))&lt;70,'Scénario référence'!$B$18*(32+38*(1-EXP(-0.0175*A66))),70*'Scénario référence'!$B$18)</f>
        <v>70</v>
      </c>
      <c r="FV66" s="151">
        <f>IF(A66&gt;30,10,('Scénario référence'!$B$16+'Scénario référence'!$B$17+'Scénario référence'!$B$18+'Scénario référence'!$B$9+'Scénario référence'!$B$10)*A66*10/30+('Scénario référence'!$F$8+'Scénario référence'!$F$9)*10)</f>
        <v>10</v>
      </c>
      <c r="FW66" s="151" t="str">
        <f>VLOOKUP(A66,'Données projet'!$A$243:$I$263,2,0)</f>
        <v>#N/A</v>
      </c>
      <c r="FX66" s="151" t="str">
        <f>VLOOKUP(A66,'Données projet'!$A$243:$I$263,9,0)</f>
        <v>#N/A</v>
      </c>
      <c r="FY66" s="151" t="str">
        <f t="array" ref="FY66">INDEX(FX:FX,MIN(IF(ISNUMBER(FX66:FX262),ROW(FX66:FX262),"")))</f>
        <v/>
      </c>
      <c r="FZ66" s="151">
        <f>IF('Données projet'!$A$244&gt;35,FZ65+FY66-GH65,IF(A66&lt;'Données projet'!$A$244,$FW$205^A66,IF(A66='Données projet'!$A$244,'Données projet'!$B$244,FZ65+FY66-GH65)))</f>
        <v>0</v>
      </c>
      <c r="GA66" s="158" t="str">
        <f>FZ66*VLOOKUP('Données projet'!$B$17,'Paramètres'!$A$1:$I$88,3,0)*VLOOKUP('Données projet'!$B$17,'Paramètres'!$A$1:$I$88,5,0)</f>
        <v>#N/A</v>
      </c>
      <c r="GB66" s="150" t="str">
        <f t="shared" si="50"/>
        <v>#N/A</v>
      </c>
      <c r="GC66" s="161" t="str">
        <f t="shared" si="26"/>
        <v>#N/A</v>
      </c>
      <c r="GD66" s="153" t="str">
        <f t="shared" si="27"/>
        <v>#N/A</v>
      </c>
      <c r="GE66" s="153" t="str">
        <f>AVERAGE(OFFSET($GD$3,0,0,'Données projet'!$E$17+1,1))-AVERAGE(OFFSET($H$3,0,0,'Données projet'!$E$17+1,1))</f>
        <v>#N/A</v>
      </c>
      <c r="GF66" s="153" t="str">
        <f t="shared" si="51"/>
        <v>#N/A</v>
      </c>
      <c r="GG66" s="154">
        <f>IF(ISNA(VLOOKUP(A66,'Données projet'!$A$243:$I$263,3,0)),0,VLOOKUP(A66,'Données projet'!$A$243:$I$263,3,0))</f>
        <v>0</v>
      </c>
      <c r="GH66" s="154">
        <f>IF(ISNA(VLOOKUP(A66,'Données projet'!$A$243:$I$263,4,0)),0,VLOOKUP(A66,'Données projet'!$A$243:$I$263,4,0))</f>
        <v>0</v>
      </c>
      <c r="GI66" s="155">
        <f>IF(ISNA(VLOOKUP(A66,'Données projet'!$A$243:$I$263,5,0)),0%,VLOOKUP(A66,'Données projet'!$A$243:$I$263,5,0)*VLOOKUP('Données projet'!$B$17,'Paramètres'!$A$1:$I$88,7,0))</f>
        <v>0</v>
      </c>
      <c r="GJ66" s="155">
        <f>IF(ISNA(VLOOKUP(A66,'Données projet'!$A$243:$I$263,6,0)),0%,VLOOKUP(A66,'Données projet'!$A$243:$I$263,6,0)*VLOOKUP('Données projet'!$B$17,'Paramètres'!$A$1:$I$88,7,0))</f>
        <v>0</v>
      </c>
      <c r="GK66" s="155">
        <f>IF(ISNA(VLOOKUP(A66,'Données projet'!$A$243:$I$263,7,0)),0%,VLOOKUP(A66,'Données projet'!$A$243:$I$263,7,0))</f>
        <v>0</v>
      </c>
      <c r="GL66" s="162" t="str">
        <f>EXP(-LN(2)/35)*GL65+(1-EXP(-LN(2)/35))/(LN(2)/35)*GH66*GI66*VLOOKUP('Données projet'!$B$17,'Paramètres'!$A$1:$I$88,3,0)*0.475*44/12</f>
        <v>#N/A</v>
      </c>
      <c r="GM66" s="162" t="str">
        <f>EXP(-LN(2)/25)*GM65+(1-EXP(-LN(2)/25))/(LN(2)/25)*Calculateur!GH66*Calculateur!GJ66*VLOOKUP('Données projet'!$B$17,'Paramètres'!$A$1:$I$88,3,0)*0.475*44/12</f>
        <v>#N/A</v>
      </c>
      <c r="GN66" s="162" t="str">
        <f>EXP(-LN(2)/2)*GN65+(1-EXP(-LN(2)/2))/(LN(2)/2)*GH66*GK66*VLOOKUP('Données projet'!$B$17,'Paramètres'!$A$1:$I$88,3,0)*0.475*44/12</f>
        <v>#N/A</v>
      </c>
      <c r="GO66" s="162" t="str">
        <f t="shared" si="28"/>
        <v>#N/A</v>
      </c>
      <c r="GP66" s="159">
        <f>('Scénario référence'!$F$8+'Scénario référence'!$F$9+'Scénario référence'!$B$17+'Scénario référence'!$B$9+'Scénario référence'!$B$10)*70+IF((45+25*(1-EXP(-0.0175*A66)))&lt;70,'Scénario référence'!$B$16*(45+25*(1-EXP(-0.0175*A66))),70*'Scénario référence'!$B$16)+IF((32+38*(1-EXP(-0.0175*A66)))&lt;70,'Scénario référence'!$B$18*(32+38*(1-EXP(-0.0175*A66))),70*'Scénario référence'!$B$18)</f>
        <v>70</v>
      </c>
      <c r="GQ66" s="151">
        <f>IF(A66&gt;30,10,('Scénario référence'!$B$16+'Scénario référence'!$B$17+'Scénario référence'!$B$18+'Scénario référence'!$B$9+'Scénario référence'!$B$10)*A66*10/30+('Scénario référence'!$F$8+'Scénario référence'!$F$9)*10)</f>
        <v>10</v>
      </c>
      <c r="GR66" s="151" t="str">
        <f>VLOOKUP(A66,'Données projet'!$A$269:$I$289,2,0)</f>
        <v>#N/A</v>
      </c>
      <c r="GS66" s="151" t="str">
        <f>VLOOKUP(A66,'Données projet'!$A$269:$I$289,9,0)</f>
        <v>#N/A</v>
      </c>
      <c r="GT66" s="151" t="str">
        <f t="array" ref="GT66">INDEX(GS:GS,MIN(IF(ISNUMBER(GS66:GS262),ROW(GS66:GS262),"")))</f>
        <v/>
      </c>
      <c r="GU66" s="151">
        <f>IF('Données projet'!$A$270&gt;35,GU65+GT66-HC65,IF(A66&lt;'Données projet'!$A$270,$GR$205^A66,IF(A66='Données projet'!$A$270,'Données projet'!$B$270,GU65+GT66-HC65)))</f>
        <v>0</v>
      </c>
      <c r="GV66" s="158" t="str">
        <f>GU66*VLOOKUP('Données projet'!$B$18,'Paramètres'!$A$1:$I$88,3,0)*VLOOKUP('Données projet'!$B$18,'Paramètres'!$A$1:$I$88,5,0)</f>
        <v>#N/A</v>
      </c>
      <c r="GW66" s="150" t="str">
        <f t="shared" si="52"/>
        <v>#N/A</v>
      </c>
      <c r="GX66" s="161" t="str">
        <f t="shared" si="29"/>
        <v>#N/A</v>
      </c>
      <c r="GY66" s="153" t="str">
        <f t="shared" si="30"/>
        <v>#N/A</v>
      </c>
      <c r="GZ66" s="153" t="str">
        <f>AVERAGE(OFFSET($GY$3,0,0,'Données projet'!$E$18+1,1))-AVERAGE(OFFSET($H$3,0,0,'Données projet'!$E$18+1,1))</f>
        <v>#N/A</v>
      </c>
      <c r="HA66" s="153" t="str">
        <f t="shared" si="53"/>
        <v>#N/A</v>
      </c>
      <c r="HB66" s="154">
        <f>IF(ISNA(VLOOKUP(A66,'Données projet'!$A$269:$I$289,3,0)),0,VLOOKUP(A66,'Données projet'!$A$269:$I$289,3,0))</f>
        <v>0</v>
      </c>
      <c r="HC66" s="154">
        <f>IF(ISNA(VLOOKUP(A66,'Données projet'!$A$269:$I$289,4,0)),0,VLOOKUP(A66,'Données projet'!$A$269:$I$289,4,0))</f>
        <v>0</v>
      </c>
      <c r="HD66" s="155">
        <f>IF(ISNA(VLOOKUP(A66,'Données projet'!$A$269:$I$289,5,0)),0%,VLOOKUP(A66,'Données projet'!$A$269:$I$289,5,0)*VLOOKUP('Données projet'!$B$18,'Paramètres'!$A$1:$I$88,7,0))</f>
        <v>0</v>
      </c>
      <c r="HE66" s="155">
        <f>IF(ISNA(VLOOKUP(A66,'Données projet'!$A$269:$I$289,6,0)),0%,VLOOKUP(A66,'Données projet'!$A$269:$I$289,6,0)*VLOOKUP('Données projet'!$B$18,'Paramètres'!$A$1:$I$88,7,0))</f>
        <v>0</v>
      </c>
      <c r="HF66" s="155">
        <f>IF(ISNA(VLOOKUP(A66,'Données projet'!$A$269:$I$289,7,0)),0%,VLOOKUP(A66,'Données projet'!$A$269:$I$289,7,0))</f>
        <v>0</v>
      </c>
      <c r="HG66" s="162" t="str">
        <f>EXP(-LN(2)/35)*HG65+(1-EXP(-LN(2)/35))/(LN(2)/35)*HC66*HD66*VLOOKUP('Données projet'!$B$18,'Paramètres'!$A$1:$I$88,3,0)*0.475*44/12</f>
        <v>#N/A</v>
      </c>
      <c r="HH66" s="162" t="str">
        <f>EXP(-LN(2)/25)*HH65+(1-EXP(-LN(2)/25))/(LN(2)/25)*Calculateur!HC66*Calculateur!HE66*VLOOKUP('Données projet'!$B$18,'Paramètres'!$A$1:$I$88,3,0)*0.475*44/12</f>
        <v>#N/A</v>
      </c>
      <c r="HI66" s="162" t="str">
        <f>EXP(-LN(2)/2)*HI65+(1-EXP(-LN(2)/2))/(LN(2)/2)*HC66*HF66*VLOOKUP('Données projet'!$B$18,'Paramètres'!$A$1:$I$88,3,0)*0.475*44/12</f>
        <v>#N/A</v>
      </c>
      <c r="HJ66" s="163" t="str">
        <f t="shared" si="31"/>
        <v>#N/A</v>
      </c>
    </row>
    <row r="67" ht="15.75" customHeight="1">
      <c r="A67" s="145">
        <f t="shared" si="32"/>
        <v>64</v>
      </c>
      <c r="B67" s="146">
        <f>'Scénario référence'!$B$16*5+'Scénario référence'!$B$17*0+'Scénario référence'!$B$18*5</f>
        <v>0</v>
      </c>
      <c r="C67" s="160">
        <f>Calculateur!C66+'Scénario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67" s="147">
        <f t="shared" si="33"/>
        <v>0</v>
      </c>
      <c r="E67" s="147">
        <f>'Scénario référence'!$B$16*45+('Scénario référence'!$B$17+'Scénario référence'!$F$8+'Scénario référence'!$F$9+'Scénario référence'!$B$10+'Scénario référence'!$B$9)*70+'Scénario référence'!$B$18*32</f>
        <v>70</v>
      </c>
      <c r="F67" s="147">
        <f>IF(OR('Scénario référence'!$F$8&gt;0,'Scénario référence'!$F$9&gt;0),('Scénario référence'!$F$8+'Scénario référence'!$F$9)*10,0)</f>
        <v>0</v>
      </c>
      <c r="G67" s="147">
        <f>'Scénario référence'!$B$8*B67*44/12+'Scénario référence'!$B$9*(C67+D67)/0.475*44/12+'Scénario référence'!$B$10*(C67+D67)/0.475*44/12+'Scénario référence'!$F$8*(C67+D67)/0.475*44/12+'Scénario référence'!$F$9*(C67+D67)/0.475*44/12</f>
        <v>0</v>
      </c>
      <c r="H67" s="148">
        <f t="shared" si="1"/>
        <v>256.6666667</v>
      </c>
      <c r="I67" s="149">
        <f>('Scénario référence'!$F$8+'Scénario référence'!$F$9+'Scénario référence'!$B$17+'Scénario référence'!$B$9+'Scénario référence'!$B$10)*70+IF((45+25*(1-EXP(-0.0175*A67)))&lt;70,'Scénario référence'!$B$16*(45+25*(1-EXP(-0.0175*A67))),70*'Scénario référence'!$B$16)+IF((32+38*(1-EXP(-0.0175*A67)))&lt;70,'Scénario référence'!$B$18*(32+38*(1-EXP(-0.0175*A67))),70*'Scénario référence'!$B$18)</f>
        <v>70</v>
      </c>
      <c r="J67" s="150">
        <f>IF(A67&gt;30,10,('Scénario référence'!$B$16+'Scénario référence'!$B$17+'Scénario référence'!$B$18+'Scénario référence'!$B$9+'Scénario référence'!$B$10)*A67*10/30+('Scénario référence'!$F$8+'Scénario référence'!$F$9)*10)</f>
        <v>10</v>
      </c>
      <c r="K67" s="151" t="str">
        <f>VLOOKUP(A67,'Données projet'!$A$35:$I$55,2,0)</f>
        <v>#N/A</v>
      </c>
      <c r="L67" s="151" t="str">
        <f>VLOOKUP(A67,'Données projet'!$A$35:$I$55,9,0)</f>
        <v>#N/A</v>
      </c>
      <c r="M67" s="150">
        <f t="array" ref="M67">INDEX(L:L,MIN(IF(ISNUMBER(L67:L263),ROW(L67:L263),"")))</f>
        <v>8.8</v>
      </c>
      <c r="N67" s="150">
        <f>IF('Données projet'!$A$36&gt;35,N66+M67-V66,IF(A67&lt;'Données projet'!$A$36,$K$205^A67,IF(A67='Données projet'!$A$36,'Données projet'!$B$36,N66+M67-V66)))</f>
        <v>280.2</v>
      </c>
      <c r="O67" s="150">
        <f>N67*VLOOKUP('Données projet'!$B$9,'Paramètres'!$A$1:$I$88,3,0)*VLOOKUP('Données projet'!$B$9,'Paramètres'!$A$1:$I$88,5,0)</f>
        <v>253.52496</v>
      </c>
      <c r="P67" s="150">
        <f t="shared" si="34"/>
        <v>61.3401418</v>
      </c>
      <c r="Q67" s="161">
        <f t="shared" si="2"/>
        <v>548.3900523</v>
      </c>
      <c r="R67" s="153">
        <f t="shared" si="3"/>
        <v>841.7233856</v>
      </c>
      <c r="S67" s="153">
        <f>AVERAGE(OFFSET($R$3,0,0,'Données projet'!$E$9+1,1))-AVERAGE(OFFSET($H$3,0,0,'Données projet'!$E$9+1,1))</f>
        <v>439.1985427</v>
      </c>
      <c r="T67" s="153">
        <f t="shared" si="35"/>
        <v>278.2174123</v>
      </c>
      <c r="U67" s="154">
        <f>IF(ISNA(VLOOKUP(A67,'Données projet'!$A$35:$I$55,3,0)),0,VLOOKUP(A67,'Données projet'!$A$35:$I$55,3,0))</f>
        <v>0</v>
      </c>
      <c r="V67" s="154">
        <f>IF(ISNA(VLOOKUP(A67,'Données projet'!$A$35:$I$55,4,0)),0,VLOOKUP(A67,'Données projet'!$A$35:$I$55,4,0))</f>
        <v>0</v>
      </c>
      <c r="W67" s="155">
        <f>IF(ISNA(VLOOKUP(A67,'Données projet'!$A$35:$I$55,5,0)),0%,VLOOKUP(A67,'Données projet'!$A$35:$I$55,5,0)*VLOOKUP('Données projet'!$B$9,'Paramètres'!$A$1:$I$88,7,0))</f>
        <v>0</v>
      </c>
      <c r="X67" s="155">
        <f>IF(ISNA(VLOOKUP(A67,'Données projet'!$A$35:$I$55,6,0)),0%,VLOOKUP(A67,'Données projet'!$A$35:$I$55,6,0)*VLOOKUP('Données projet'!$B$9,'Paramètres'!$A$1:$I$88,7,0))</f>
        <v>0</v>
      </c>
      <c r="Y67" s="155">
        <f>IF(ISNA(VLOOKUP(A67,'Données projet'!$A$35:$I$55,7,0)),0%,VLOOKUP(A67,'Données projet'!$A$35:$I$55,7,0))</f>
        <v>0</v>
      </c>
      <c r="Z67" s="162">
        <f>EXP(-LN(2)/35)*Z66+(1-EXP(-LN(2)/35))/(LN(2)/35)*V67*W67*VLOOKUP('Données projet'!$B$9,'Paramètres'!$A$1:$I$88,3,0)*0.475*44/12</f>
        <v>0</v>
      </c>
      <c r="AA67" s="162">
        <f>EXP(-LN(2)/25)*AA66+(1-EXP(-LN(2)/25))/(LN(2)/25)*Calculateur!V67*Calculateur!X67*VLOOKUP('Données projet'!$B$9,'Paramètres'!$A$1:$I$88,3,0)*0.475*44/12</f>
        <v>1.748281995</v>
      </c>
      <c r="AB67" s="162">
        <f>EXP(-LN(2)/2)*AB66+(1-EXP(-LN(2)/2))/(LN(2)/2)*V67*Y67*VLOOKUP('Données projet'!$B$9,'Paramètres'!$A$1:$I$88,3,0)*0.475*44/12</f>
        <v>0</v>
      </c>
      <c r="AC67" s="163">
        <f t="shared" si="4"/>
        <v>1.748281995</v>
      </c>
      <c r="AD67" s="150">
        <f>('Scénario référence'!$F$8+'Scénario référence'!$F$9+'Scénario référence'!$B$17+'Scénario référence'!$B$9+'Scénario référence'!$B$10)*70+IF((45+25*(1-EXP(-0.0175*A67)))&lt;70,'Scénario référence'!$B$16*(45+25*(1-EXP(-0.0175*A67))),70*'Scénario référence'!$B$16)+IF((32+38*(1-EXP(-0.0175*A67)))&lt;70,'Scénario référence'!$B$18*(32+38*(1-EXP(-0.0175*A67))),70*'Scénario référence'!$B$18)</f>
        <v>70</v>
      </c>
      <c r="AE67" s="150">
        <f>IF(A67&gt;30,10,('Scénario référence'!$B$16+'Scénario référence'!$B$17+'Scénario référence'!$B$18+'Scénario référence'!$B$9+'Scénario référence'!$B$10)*A67*10/30+('Scénario référence'!$F$8+'Scénario référence'!$F$9)*10)</f>
        <v>10</v>
      </c>
      <c r="AF67" s="151" t="str">
        <f>VLOOKUP(A67,'Données projet'!$A$61:$I$81,2,0)</f>
        <v>#N/A</v>
      </c>
      <c r="AG67" s="151" t="str">
        <f>VLOOKUP(A67,'Données projet'!$A$61:$I$81,9,0)</f>
        <v>#N/A</v>
      </c>
      <c r="AH67" s="150">
        <f t="array" ref="AH67">INDEX(AG:AG,MIN(IF(ISNUMBER(AG67:AG263),ROW(AG67:AG263),"")))</f>
        <v>6</v>
      </c>
      <c r="AI67" s="150">
        <f>IF('Données projet'!$A$62&gt;35,AI66+AH67-AQ66,IF(A67&lt;'Données projet'!$A$62,$AF$205^A67,IF(A67='Données projet'!$A$62,'Données projet'!$B$62,AI66+AH67-AQ66)))</f>
        <v>350</v>
      </c>
      <c r="AJ67" s="150">
        <f>AI67*VLOOKUP('Données projet'!$B$10,'Paramètres'!$A$1:$I$88,3,0)*VLOOKUP('Données projet'!$B$10,'Paramètres'!$A$1:$I$88,5,0)</f>
        <v>278.46</v>
      </c>
      <c r="AK67" s="150">
        <f t="shared" si="36"/>
        <v>66.64145822</v>
      </c>
      <c r="AL67" s="161">
        <f t="shared" si="5"/>
        <v>601.0517064</v>
      </c>
      <c r="AM67" s="153">
        <f t="shared" si="6"/>
        <v>894.3850397</v>
      </c>
      <c r="AN67" s="153">
        <f>AVERAGE(OFFSET($AM$3,0,0,'Données projet'!$E$10+1,1))-AVERAGE(OFFSET($H$3,0,0,'Données projet'!$E$10+1,1))</f>
        <v>405.6113614</v>
      </c>
      <c r="AO67" s="153">
        <f t="shared" si="37"/>
        <v>393.0787141</v>
      </c>
      <c r="AP67" s="154">
        <f>IF(ISNA(VLOOKUP(A67,'Données projet'!$A$61:$I$81,3,0)),0,VLOOKUP(A67,'Données projet'!$A$61:$I$81,3,0))</f>
        <v>0</v>
      </c>
      <c r="AQ67" s="154">
        <f>IF(ISNA(VLOOKUP(A67,'Données projet'!$A$61:$I$81,4,0)),0,VLOOKUP(A67,'Données projet'!$A$61:$I$81,4,0))</f>
        <v>0</v>
      </c>
      <c r="AR67" s="155">
        <f>IF(ISNA(VLOOKUP(A67,'Données projet'!$A$61:$I$81,5,0)),0%,VLOOKUP(A67,'Données projet'!$A$61:$I$81,5,0)*VLOOKUP('Données projet'!$B$10,'Paramètres'!$A$1:$I$88,7,0))</f>
        <v>0</v>
      </c>
      <c r="AS67" s="155">
        <f>IF(ISNA(VLOOKUP(A67,'Données projet'!$A$61:$I$81,6,0)),0%,VLOOKUP(A67,'Données projet'!$A$61:$I$81,6,0)*VLOOKUP('Données projet'!$B$10,'Paramètres'!$A$1:$I$88,7,0))</f>
        <v>0</v>
      </c>
      <c r="AT67" s="155">
        <f>IF(ISNA(VLOOKUP(A67,'Données projet'!$A$61:$I$81,7,0)),0%,VLOOKUP(A67,'Données projet'!$A$61:$I$81,7,0))</f>
        <v>0</v>
      </c>
      <c r="AU67" s="162">
        <f>EXP(-LN(2)/35)*AU66+(1-EXP(-LN(2)/35))/(LN(2)/35)*AQ67*AR67*VLOOKUP('Données projet'!$B$10,'Paramètres'!$A$1:$I$88,3,0)*0.475*44/12</f>
        <v>0</v>
      </c>
      <c r="AV67" s="162">
        <f>EXP(-LN(2)/25)*AV66+(1-EXP(-LN(2)/25))/(LN(2)/25)*Calculateur!AQ67*Calculateur!AS67*VLOOKUP('Données projet'!$B$10,'Paramètres'!$A$1:$I$88,3,0)*0.475*44/12</f>
        <v>7.105462457</v>
      </c>
      <c r="AW67" s="162">
        <f>EXP(-LN(2)/2)*AW66+(1-EXP(-LN(2)/2))/(LN(2)/2)*AQ67*AT67*VLOOKUP('Données projet'!$B$10,'Paramètres'!$A$1:$I$88,3,0)*0.475*44/12</f>
        <v>0.000004422853119</v>
      </c>
      <c r="AX67" s="162">
        <f t="shared" si="7"/>
        <v>7.10546688</v>
      </c>
      <c r="AY67" s="157">
        <f>('Scénario référence'!$F$8+'Scénario référence'!$F$9+'Scénario référence'!$B$17+'Scénario référence'!$B$9+'Scénario référence'!$B$10)*70+IF((45+25*(1-EXP(-0.0175*A67)))&lt;70,'Scénario référence'!$B$16*(45+25*(1-EXP(-0.0175*A67))),70*'Scénario référence'!$B$16)+IF((32+38*(1-EXP(-0.0175*A67)))&lt;70,'Scénario référence'!$B$18*(32+38*(1-EXP(-0.0175*A67))),70*'Scénario référence'!$B$18)</f>
        <v>70</v>
      </c>
      <c r="AZ67" s="151">
        <f>IF(A67&gt;30,10,('Scénario référence'!$B$16+'Scénario référence'!$B$17+'Scénario référence'!$B$18+'Scénario référence'!$B$9+'Scénario référence'!$B$10)*A67*10/30+('Scénario référence'!$F$8+'Scénario référence'!$F$9)*10)</f>
        <v>10</v>
      </c>
      <c r="BA67" s="151" t="str">
        <f>VLOOKUP(A67,'Données projet'!$A$87:$I$107,2,0)</f>
        <v>#N/A</v>
      </c>
      <c r="BB67" s="151" t="str">
        <f>VLOOKUP(A67,'Données projet'!$A$87:$I$107,9,0)</f>
        <v>#N/A</v>
      </c>
      <c r="BC67" s="150" t="str">
        <f t="array" ref="BC67">INDEX(BB:BB,MIN(IF(ISNUMBER(BB67:BB263),ROW(BB67:BB263),"")))</f>
        <v/>
      </c>
      <c r="BD67" s="150">
        <f>IF('Données projet'!$A$88&gt;35,BD66+BC67-BL66,IF(A67&lt;'Données projet'!$A$88,$BA$205^A67,IF(A67='Données projet'!$A$88,'Données projet'!$B$88,BD66+BC67-BL66)))</f>
        <v>0</v>
      </c>
      <c r="BE67" s="150">
        <f>BD67*VLOOKUP('Données projet'!$B$11,'Paramètres'!$A$1:$I$88,3,0)*VLOOKUP('Données projet'!$B$11,'Paramètres'!$A$1:$I$88,5,0)</f>
        <v>0</v>
      </c>
      <c r="BF67" s="150" t="str">
        <f t="shared" si="38"/>
        <v>#NUM!</v>
      </c>
      <c r="BG67" s="161" t="str">
        <f t="shared" si="8"/>
        <v>#NUM!</v>
      </c>
      <c r="BH67" s="153" t="str">
        <f t="shared" si="9"/>
        <v>#NUM!</v>
      </c>
      <c r="BI67" s="153">
        <f>AVERAGE(OFFSET($BH$3,0,0,'Données projet'!$E$11+1,1))-AVERAGE(OFFSET($H$3,0,0,'Données projet'!$E$11+1,1))</f>
        <v>0</v>
      </c>
      <c r="BJ67" s="153">
        <f t="shared" si="39"/>
        <v>0</v>
      </c>
      <c r="BK67" s="154">
        <f>IF(ISNA(VLOOKUP(A67,'Données projet'!$A$87:$I$107,3,0)),0,VLOOKUP(A67,'Données projet'!$A$87:$I$107,3,0))</f>
        <v>0</v>
      </c>
      <c r="BL67" s="154">
        <f>IF(ISNA(VLOOKUP(A67,'Données projet'!$A$87:$I$107,4,0)),0,VLOOKUP(A67,'Données projet'!$A$87:$I$107,4,0))</f>
        <v>0</v>
      </c>
      <c r="BM67" s="155">
        <f>IF(ISNA(VLOOKUP(A67,'Données projet'!$A$87:$I$107,5,0)),0%,VLOOKUP(A67,'Données projet'!$A$87:$I$107,5,0)*VLOOKUP('Données projet'!$B$11,'Paramètres'!$A$1:$I$88,7,0))</f>
        <v>0</v>
      </c>
      <c r="BN67" s="155">
        <f>IF(ISNA(VLOOKUP(A67,'Données projet'!$A$87:$I$107,6,0)),0%,VLOOKUP(A67,'Données projet'!$A$87:$I$107,6,0)*VLOOKUP('Données projet'!$B$11,'Paramètres'!$A$1:$I$88,7,0))</f>
        <v>0</v>
      </c>
      <c r="BO67" s="155">
        <f>IF(ISNA(VLOOKUP(A67,'Données projet'!$A$87:$I$107,7,0)),0%,VLOOKUP(A67,'Données projet'!$A$87:$I$107,7,0))</f>
        <v>0</v>
      </c>
      <c r="BP67" s="162">
        <f>EXP(-LN(2)/35)*BP66+(1-EXP(-LN(2)/35))/(LN(2)/35)*BL67*BM67*VLOOKUP('Données projet'!$B$11,'Paramètres'!$A$1:$I$88,3,0)*0.475*44/12</f>
        <v>0</v>
      </c>
      <c r="BQ67" s="162">
        <f>EXP(-LN(2)/25)*BQ66+(1-EXP(-LN(2)/25))/(LN(2)/25)*Calculateur!BL67*Calculateur!BN67*VLOOKUP('Données projet'!$B$11,'Paramètres'!$A$1:$I$88,3,0)*0.475*44/12</f>
        <v>0</v>
      </c>
      <c r="BR67" s="162">
        <f>EXP(-LN(2)/2)*BR66+(1-EXP(-LN(2)/2))/(LN(2)/2)*BL67*BO67*VLOOKUP('Données projet'!$B$11,'Paramètres'!$A$1:$I$88,3,0)*0.475*44/12</f>
        <v>0</v>
      </c>
      <c r="BS67" s="163">
        <f t="shared" si="10"/>
        <v>0</v>
      </c>
      <c r="BT67" s="159">
        <f>('Scénario référence'!$F$8+'Scénario référence'!$F$9+'Scénario référence'!$B$17+'Scénario référence'!$B$9+'Scénario référence'!$B$10)*70+IF((45+25*(1-EXP(-0.0175*A67)))&lt;70,'Scénario référence'!$B$16*(45+25*(1-EXP(-0.0175*A67))),70*'Scénario référence'!$B$16)+IF((32+38*(1-EXP(-0.0175*A67)))&lt;70,'Scénario référence'!$B$18*(32+38*(1-EXP(-0.0175*A67))),70*'Scénario référence'!$B$18)</f>
        <v>70</v>
      </c>
      <c r="BU67" s="151">
        <f>IF(A67&gt;30,10,('Scénario référence'!$B$16+'Scénario référence'!$B$17+'Scénario référence'!$B$18+'Scénario référence'!$B$9+'Scénario référence'!$B$10)*A67*10/30+('Scénario référence'!$F$8+'Scénario référence'!$F$9)*10)</f>
        <v>10</v>
      </c>
      <c r="BV67" s="151" t="str">
        <f>VLOOKUP(A67,'Données projet'!$A$113:$I$133,2,0)</f>
        <v>#N/A</v>
      </c>
      <c r="BW67" s="151" t="str">
        <f>VLOOKUP(A67,'Données projet'!$A$113:$I$133,9,0)</f>
        <v>#N/A</v>
      </c>
      <c r="BX67" s="150" t="str">
        <f t="array" ref="BX67">INDEX(BW:BW,MIN(IF(ISNUMBER(BW67:BW263),ROW(BW67:BW263),"")))</f>
        <v/>
      </c>
      <c r="BY67" s="150">
        <f>IF('Données projet'!$A$114&gt;35,BY66+BX67-CG66,IF(A67&lt;'Données projet'!$A$114,$BV$205^A67,IF(A67='Données projet'!$A$114,'Données projet'!$B$114,BY66+BX67-CG66)))</f>
        <v>0</v>
      </c>
      <c r="BZ67" s="150" t="str">
        <f>BY67*VLOOKUP('Données projet'!$B$12,'Paramètres'!$A$1:$I$88,3,0)*VLOOKUP('Données projet'!$B$12,'Paramètres'!$A$1:$I$88,5,0)</f>
        <v>#N/A</v>
      </c>
      <c r="CA67" s="150" t="str">
        <f t="shared" si="40"/>
        <v>#N/A</v>
      </c>
      <c r="CB67" s="161" t="str">
        <f t="shared" si="11"/>
        <v>#N/A</v>
      </c>
      <c r="CC67" s="153" t="str">
        <f t="shared" si="12"/>
        <v>#N/A</v>
      </c>
      <c r="CD67" s="153" t="str">
        <f>AVERAGE(OFFSET($CC$3,0,0,'Données projet'!$E$12+1,1))-AVERAGE(OFFSET($H$3,0,0,'Données projet'!$E$12+1,1))</f>
        <v>#N/A</v>
      </c>
      <c r="CE67" s="153" t="str">
        <f t="shared" si="41"/>
        <v>#N/A</v>
      </c>
      <c r="CF67" s="154">
        <f>IF(ISNA(VLOOKUP(A67,'Données projet'!$A$113:$I$133,3,0)),0,VLOOKUP(A67,'Données projet'!$A$113:$I$133,3,0))</f>
        <v>0</v>
      </c>
      <c r="CG67" s="154">
        <f>IF(ISNA(VLOOKUP(A67,'Données projet'!$A$113:$I$133,4,0)),0,VLOOKUP(A67,'Données projet'!$A$113:$I$133,4,0))</f>
        <v>0</v>
      </c>
      <c r="CH67" s="155">
        <f>IF(ISNA(VLOOKUP(A67,'Données projet'!$A$113:$I$133,5,0)),0%,VLOOKUP(A67,'Données projet'!$A$113:$I$133,5,0)*VLOOKUP('Données projet'!$B$12,'Paramètres'!$A$1:$I$88,7,0))</f>
        <v>0</v>
      </c>
      <c r="CI67" s="155">
        <f>IF(ISNA(VLOOKUP(A67,'Données projet'!$A$113:$I$133,6,0)),0%,VLOOKUP(A67,'Données projet'!$A$113:$I$133,6,0)*VLOOKUP('Données projet'!$B$12,'Paramètres'!$A$1:$I$88,7,0))</f>
        <v>0</v>
      </c>
      <c r="CJ67" s="155">
        <f>IF(ISNA(VLOOKUP(A67,'Données projet'!$A$113:$I$133,7,0)),0%,VLOOKUP(A67,'Données projet'!$A$113:$I$133,7,0))</f>
        <v>0</v>
      </c>
      <c r="CK67" s="162" t="str">
        <f>EXP(-LN(2)/35)*CK66+(1-EXP(-LN(2)/35))/(LN(2)/35)*CG67*CH67*VLOOKUP('Données projet'!$B$12,'Paramètres'!$A$1:$I$88,3,0)*0.475*44/12</f>
        <v>#N/A</v>
      </c>
      <c r="CL67" s="162" t="str">
        <f>EXP(-LN(2)/25)*CL66+(1-EXP(-LN(2)/25))/(LN(2)/25)*Calculateur!CG67*Calculateur!CI67*VLOOKUP('Données projet'!$B$12,'Paramètres'!$A$1:$I$88,3,0)*0.475*44/12</f>
        <v>#N/A</v>
      </c>
      <c r="CM67" s="162" t="str">
        <f>EXP(-LN(2)/2)*CM66+(1-EXP(-LN(2)/2))/(LN(2)/2)*CG67*CJ67*VLOOKUP('Données projet'!$B$12,'Paramètres'!$A$1:$I$88,3,0)*0.475*44/12</f>
        <v>#N/A</v>
      </c>
      <c r="CN67" s="163" t="str">
        <f t="shared" si="13"/>
        <v>#N/A</v>
      </c>
      <c r="CO67" s="159">
        <f>('Scénario référence'!$F$8+'Scénario référence'!$F$9+'Scénario référence'!$B$17+'Scénario référence'!$B$9+'Scénario référence'!$B$10)*70+IF((45+25*(1-EXP(-0.0175*A67)))&lt;70,'Scénario référence'!$B$16*(45+25*(1-EXP(-0.0175*A67))),70*'Scénario référence'!$B$16)+IF((32+38*(1-EXP(-0.0175*A67)))&lt;70,'Scénario référence'!$B$18*(32+38*(1-EXP(-0.0175*A67))),70*'Scénario référence'!$B$18)</f>
        <v>70</v>
      </c>
      <c r="CP67" s="151">
        <f>IF(A67&gt;30,10,('Scénario référence'!$B$16+'Scénario référence'!$B$17+'Scénario référence'!$B$18+'Scénario référence'!$B$9+'Scénario référence'!$B$10)*A67*10/30+('Scénario référence'!$F$8+'Scénario référence'!$F$9)*10)</f>
        <v>10</v>
      </c>
      <c r="CQ67" s="151" t="str">
        <f>VLOOKUP(A67,'Données projet'!$A$139:$I$159,2,0)</f>
        <v>#N/A</v>
      </c>
      <c r="CR67" s="151" t="str">
        <f>VLOOKUP(A67,'Données projet'!$A$139:$I$159,9,0)</f>
        <v>#N/A</v>
      </c>
      <c r="CS67" s="151" t="str">
        <f t="array" ref="CS67">INDEX(CR:CR,MIN(IF(ISNUMBER(CR67:CR263),ROW(CR67:CR263),"")))</f>
        <v/>
      </c>
      <c r="CT67" s="151">
        <f>IF('Données projet'!$A$140&gt;35,CT66+CS67-DB66,IF(A67&lt;'Données projet'!$A$140,$CQ$205^A67,IF(A67='Données projet'!$A$140,'Données projet'!$B$140,CT66+CS67-DB66)))</f>
        <v>0</v>
      </c>
      <c r="CU67" s="158" t="str">
        <f>CT67*VLOOKUP('Données projet'!$B$13,'Paramètres'!$A$1:$I$88,3,0)*VLOOKUP('Données projet'!$B$13,'Paramètres'!$A$1:$I$88,5,0)</f>
        <v>#N/A</v>
      </c>
      <c r="CV67" s="150" t="str">
        <f t="shared" si="42"/>
        <v>#N/A</v>
      </c>
      <c r="CW67" s="161" t="str">
        <f t="shared" si="14"/>
        <v>#N/A</v>
      </c>
      <c r="CX67" s="153" t="str">
        <f t="shared" si="15"/>
        <v>#N/A</v>
      </c>
      <c r="CY67" s="153" t="str">
        <f>AVERAGE(OFFSET($CX$3,0,0,'Données projet'!$E$13+1,1))-AVERAGE(OFFSET($H$3,0,0,'Données projet'!$E$13+1,1))</f>
        <v>#N/A</v>
      </c>
      <c r="CZ67" s="153" t="str">
        <f t="shared" si="43"/>
        <v>#N/A</v>
      </c>
      <c r="DA67" s="154">
        <f>IF(ISNA(VLOOKUP(A67,'Données projet'!$A$139:$I$159,3,0)),0,VLOOKUP(A67,'Données projet'!$A$139:$I$159,3,0))</f>
        <v>0</v>
      </c>
      <c r="DB67" s="154">
        <f>IF(ISNA(VLOOKUP(A67,'Données projet'!$A$139:$I$159,4,0)),0,VLOOKUP(A67,'Données projet'!$A$139:$I$159,4,0))</f>
        <v>0</v>
      </c>
      <c r="DC67" s="155">
        <f>IF(ISNA(VLOOKUP(A67,'Données projet'!$A$139:$I$159,5,0)),0%,VLOOKUP(A67,'Données projet'!$A$139:$I$159,5,0)*VLOOKUP('Données projet'!$B$13,'Paramètres'!$A$1:$I$88,7,0))</f>
        <v>0</v>
      </c>
      <c r="DD67" s="155">
        <f>IF(ISNA(VLOOKUP(A67,'Données projet'!$A$139:$I$159,6,0)),0%,VLOOKUP(A67,'Données projet'!$A$139:$I$159,6,0)*VLOOKUP('Données projet'!$B$13,'Paramètres'!$A$1:$I$88,7,0))</f>
        <v>0</v>
      </c>
      <c r="DE67" s="155">
        <f>IF(ISNA(VLOOKUP(A67,'Données projet'!$A$139:$I$159,7,0)),0%,VLOOKUP(A67,'Données projet'!$A$139:$I$159,7,0))</f>
        <v>0</v>
      </c>
      <c r="DF67" s="162" t="str">
        <f>EXP(-LN(2)/35)*DF66+(1-EXP(-LN(2)/35))/(LN(2)/35)*DB67*DC67*VLOOKUP('Données projet'!$B$13,'Paramètres'!$A$1:$I$88,3,0)*0.475*44/12</f>
        <v>#N/A</v>
      </c>
      <c r="DG67" s="162" t="str">
        <f>EXP(-LN(2)/25)*DG66+(1-EXP(-LN(2)/25))/(LN(2)/25)*Calculateur!DB67*Calculateur!DD67*VLOOKUP('Données projet'!$B$13,'Paramètres'!$A$1:$I$88,3,0)*0.475*44/12</f>
        <v>#N/A</v>
      </c>
      <c r="DH67" s="162" t="str">
        <f>EXP(-LN(2)/2)*DH66+(1-EXP(-LN(2)/2))/(LN(2)/2)*DB67*DE67*VLOOKUP('Données projet'!$B$13,'Paramètres'!$A$1:$I$88,3,0)*0.475*44/12</f>
        <v>#N/A</v>
      </c>
      <c r="DI67" s="163" t="str">
        <f t="shared" si="16"/>
        <v>#N/A</v>
      </c>
      <c r="DJ67" s="159">
        <f>('Scénario référence'!$F$8+'Scénario référence'!$F$9+'Scénario référence'!$B$17+'Scénario référence'!$B$9+'Scénario référence'!$B$10)*70+IF((45+25*(1-EXP(-0.0175*A67)))&lt;70,'Scénario référence'!$B$16*(45+25*(1-EXP(-0.0175*A67))),70*'Scénario référence'!$B$16)+IF((32+38*(1-EXP(-0.0175*A67)))&lt;70,'Scénario référence'!$B$18*(32+38*(1-EXP(-0.0175*A67))),70*'Scénario référence'!$B$18)</f>
        <v>70</v>
      </c>
      <c r="DK67" s="151">
        <f>IF(A67&gt;30,10,('Scénario référence'!$B$16+'Scénario référence'!$B$17+'Scénario référence'!$B$18+'Scénario référence'!$B$9+'Scénario référence'!$B$10)*A67*10/30+('Scénario référence'!$F$8+'Scénario référence'!$F$9)*10)</f>
        <v>10</v>
      </c>
      <c r="DL67" s="151" t="str">
        <f>VLOOKUP(A67,'Données projet'!$A$165:$I$185,2,0)</f>
        <v>#N/A</v>
      </c>
      <c r="DM67" s="151" t="str">
        <f>VLOOKUP(A67,'Données projet'!$A$165:$I$185,9,0)</f>
        <v>#N/A</v>
      </c>
      <c r="DN67" s="151" t="str">
        <f t="array" ref="DN67">INDEX(DM:DM,MIN(IF(ISNUMBER(DM67:DM263),ROW(DM67:DM263),"")))</f>
        <v/>
      </c>
      <c r="DO67" s="151">
        <f>IF('Données projet'!$A$166&gt;35,DO66+DN67-DW66,IF(A67&lt;'Données projet'!$A$166,$DL$205^A67,IF(A67='Données projet'!$A$166,'Données projet'!$B$166,DO66+DN67-DW66)))</f>
        <v>0</v>
      </c>
      <c r="DP67" s="158" t="str">
        <f>DO67*VLOOKUP('Données projet'!$B$14,'Paramètres'!$A$1:$I$88,3,0)*VLOOKUP('Données projet'!$B$14,'Paramètres'!$A$1:$I$88,5,0)</f>
        <v>#N/A</v>
      </c>
      <c r="DQ67" s="150" t="str">
        <f t="shared" si="44"/>
        <v>#N/A</v>
      </c>
      <c r="DR67" s="161" t="str">
        <f t="shared" si="17"/>
        <v>#N/A</v>
      </c>
      <c r="DS67" s="153" t="str">
        <f t="shared" si="18"/>
        <v>#N/A</v>
      </c>
      <c r="DT67" s="153" t="str">
        <f>AVERAGE(OFFSET($DS$3,0,0,'Données projet'!$E$14+1,1))-AVERAGE(OFFSET($H$3,0,0,'Données projet'!$E$14+1,1))</f>
        <v>#N/A</v>
      </c>
      <c r="DU67" s="153" t="str">
        <f t="shared" si="45"/>
        <v>#N/A</v>
      </c>
      <c r="DV67" s="154">
        <f>IF(ISNA(VLOOKUP(A67,'Données projet'!$A$165:$I$185,3,0)),0,VLOOKUP(A67,'Données projet'!$A$165:$I$185,3,0))</f>
        <v>0</v>
      </c>
      <c r="DW67" s="154">
        <f>IF(ISNA(VLOOKUP(A67,'Données projet'!$A$165:$I$185,4,0)),0,VLOOKUP(A67,'Données projet'!$A$165:$I$185,4,0))</f>
        <v>0</v>
      </c>
      <c r="DX67" s="155">
        <f>IF(ISNA(VLOOKUP(A67,'Données projet'!$A$165:$I$185,5,0)),0%,VLOOKUP(A67,'Données projet'!$A$165:$I$185,5,0)*VLOOKUP('Données projet'!$B$14,'Paramètres'!$A$1:$I$88,7,0))</f>
        <v>0</v>
      </c>
      <c r="DY67" s="155">
        <f>IF(ISNA(VLOOKUP(A67,'Données projet'!$A$165:$I$185,6,0)),0%,VLOOKUP(A67,'Données projet'!$A$165:$I$185,6,0)*VLOOKUP('Données projet'!$B$14,'Paramètres'!$A$1:$I$88,7,0))</f>
        <v>0</v>
      </c>
      <c r="DZ67" s="155">
        <f>IF(ISNA(VLOOKUP(A67,'Données projet'!$A$165:$I$185,7,0)),0%,VLOOKUP(A67,'Données projet'!$A$165:$I$185,7,0))</f>
        <v>0</v>
      </c>
      <c r="EA67" s="162" t="str">
        <f>EXP(-LN(2)/35)*EA66+(1-EXP(-LN(2)/35))/(LN(2)/35)*DW67*DX67*VLOOKUP('Données projet'!$B$14,'Paramètres'!$A$1:$I$88,3,0)*0.475*44/12</f>
        <v>#N/A</v>
      </c>
      <c r="EB67" s="162" t="str">
        <f>EXP(-LN(2)/25)*EB66+(1-EXP(-LN(2)/25))/(LN(2)/25)*Calculateur!DW67*Calculateur!DY67*VLOOKUP('Données projet'!$B$14,'Paramètres'!$A$1:$I$88,3,0)*0.475*44/12</f>
        <v>#N/A</v>
      </c>
      <c r="EC67" s="162" t="str">
        <f>EXP(-LN(2)/2)*EC66+(1-EXP(-LN(2)/2))/(LN(2)/2)*DW67*DZ67*VLOOKUP('Données projet'!$B$14,'Paramètres'!$A$1:$I$88,3,0)*0.475*44/12</f>
        <v>#N/A</v>
      </c>
      <c r="ED67" s="163" t="str">
        <f t="shared" si="19"/>
        <v>#N/A</v>
      </c>
      <c r="EE67" s="159">
        <f>('Scénario référence'!$F$8+'Scénario référence'!$F$9+'Scénario référence'!$B$17+'Scénario référence'!$B$9+'Scénario référence'!$B$10)*70+IF((45+25*(1-EXP(-0.0175*A67)))&lt;70,'Scénario référence'!$B$16*(45+25*(1-EXP(-0.0175*A67))),70*'Scénario référence'!$B$16)+IF((32+38*(1-EXP(-0.0175*A67)))&lt;70,'Scénario référence'!$B$18*(32+38*(1-EXP(-0.0175*A67))),70*'Scénario référence'!$B$18)</f>
        <v>70</v>
      </c>
      <c r="EF67" s="151">
        <f>IF(A67&gt;30,10,('Scénario référence'!$B$16+'Scénario référence'!$B$17+'Scénario référence'!$B$18+'Scénario référence'!$B$9+'Scénario référence'!$B$10)*A67*10/30+('Scénario référence'!$F$8+'Scénario référence'!$F$9)*10)</f>
        <v>10</v>
      </c>
      <c r="EG67" s="151" t="str">
        <f>VLOOKUP(A67,'Données projet'!$A$191:$I$211,2,0)</f>
        <v>#N/A</v>
      </c>
      <c r="EH67" s="151" t="str">
        <f>VLOOKUP(A67,'Données projet'!$A$191:$I$211,9,0)</f>
        <v>#N/A</v>
      </c>
      <c r="EI67" s="151" t="str">
        <f t="array" ref="EI67">INDEX(EH:EH,MIN(IF(ISNUMBER(EH67:EH263),ROW(EH67:EH263),"")))</f>
        <v/>
      </c>
      <c r="EJ67" s="151">
        <f>IF('Données projet'!$A$192&gt;35,EJ66+EI67-ER66,IF(A67&lt;'Données projet'!$A$192,$EG$205^A67,IF(A67='Données projet'!$A$192,'Données projet'!$B$192,EJ66+EI67-ER66)))</f>
        <v>0</v>
      </c>
      <c r="EK67" s="158" t="str">
        <f>EJ67*VLOOKUP('Données projet'!$B$15,'Paramètres'!$A$1:$I$88,3,0)*VLOOKUP('Données projet'!$B$15,'Paramètres'!$A$1:$I$88,5,0)</f>
        <v>#N/A</v>
      </c>
      <c r="EL67" s="150" t="str">
        <f t="shared" si="46"/>
        <v>#N/A</v>
      </c>
      <c r="EM67" s="161" t="str">
        <f t="shared" si="20"/>
        <v>#N/A</v>
      </c>
      <c r="EN67" s="153" t="str">
        <f t="shared" si="21"/>
        <v>#N/A</v>
      </c>
      <c r="EO67" s="153" t="str">
        <f>AVERAGE(OFFSET($EN$3,0,0,'Données projet'!$E$15+1,1))-AVERAGE(OFFSET($H$3,0,0,'Données projet'!$E$15+1,1))</f>
        <v>#N/A</v>
      </c>
      <c r="EP67" s="153" t="str">
        <f t="shared" si="47"/>
        <v>#N/A</v>
      </c>
      <c r="EQ67" s="154">
        <f>IF(ISNA(VLOOKUP(A67,'Données projet'!$A$191:$I$211,3,0)),0,VLOOKUP(A67,'Données projet'!$A$191:$I$211,3,0))</f>
        <v>0</v>
      </c>
      <c r="ER67" s="154">
        <f>IF(ISNA(VLOOKUP(A67,'Données projet'!$A$191:$I$211,4,0)),0,VLOOKUP(A67,'Données projet'!$A$191:$I$211,4,0))</f>
        <v>0</v>
      </c>
      <c r="ES67" s="155">
        <f>IF(ISNA(VLOOKUP(A67,'Données projet'!$A$191:$I$211,5,0)),0%,VLOOKUP(A67,'Données projet'!$A$191:$I$211,5,0)*VLOOKUP('Données projet'!$B$15,'Paramètres'!$A$1:$I$88,7,0))</f>
        <v>0</v>
      </c>
      <c r="ET67" s="155">
        <f>IF(ISNA(VLOOKUP(A67,'Données projet'!$A$191:$I$211,6,0)),0%,VLOOKUP(A67,'Données projet'!$A$191:$I$211,6,0)*VLOOKUP('Données projet'!$B$15,'Paramètres'!$A$1:$I$88,7,0))</f>
        <v>0</v>
      </c>
      <c r="EU67" s="155">
        <f>IF(ISNA(VLOOKUP(A67,'Données projet'!$A$191:$I$211,7,0)),0%,VLOOKUP(A67,'Données projet'!$A$191:$I$211,7,0))</f>
        <v>0</v>
      </c>
      <c r="EV67" s="162" t="str">
        <f>EXP(-LN(2)/35)*EV66+(1-EXP(-LN(2)/35))/(LN(2)/35)*ER67*ES67*VLOOKUP('Données projet'!$B$15,'Paramètres'!$A$1:$I$88,3,0)*0.475*44/12</f>
        <v>#N/A</v>
      </c>
      <c r="EW67" s="162" t="str">
        <f>EXP(-LN(2)/25)*EW66+(1-EXP(-LN(2)/25))/(LN(2)/25)*Calculateur!ER67*Calculateur!ET67*VLOOKUP('Données projet'!$B$15,'Paramètres'!$A$1:$I$88,3,0)*0.475*44/12</f>
        <v>#N/A</v>
      </c>
      <c r="EX67" s="162" t="str">
        <f>EXP(-LN(2)/2)*EX66+(1-EXP(-LN(2)/2))/(LN(2)/2)*ER67*EU67*VLOOKUP('Données projet'!$B$15,'Paramètres'!$A$1:$I$88,3,0)*0.475*44/12</f>
        <v>#N/A</v>
      </c>
      <c r="EY67" s="163" t="str">
        <f t="shared" si="22"/>
        <v>#N/A</v>
      </c>
      <c r="EZ67" s="159">
        <f>('Scénario référence'!$F$8+'Scénario référence'!$F$9+'Scénario référence'!$B$17+'Scénario référence'!$B$9+'Scénario référence'!$B$10)*70+IF((45+25*(1-EXP(-0.0175*A67)))&lt;70,'Scénario référence'!$B$16*(45+25*(1-EXP(-0.0175*A67))),70*'Scénario référence'!$B$16)+IF((32+38*(1-EXP(-0.0175*A67)))&lt;70,'Scénario référence'!$B$18*(32+38*(1-EXP(-0.0175*A67))),70*'Scénario référence'!$B$18)</f>
        <v>70</v>
      </c>
      <c r="FA67" s="151">
        <f>IF(A67&gt;30,10,('Scénario référence'!$B$16+'Scénario référence'!$B$17+'Scénario référence'!$B$18+'Scénario référence'!$B$9+'Scénario référence'!$B$10)*A67*10/30+('Scénario référence'!$F$8+'Scénario référence'!$F$9)*10)</f>
        <v>10</v>
      </c>
      <c r="FB67" s="151" t="str">
        <f>VLOOKUP(A67,'Données projet'!$A$217:$I$237,2,0)</f>
        <v>#N/A</v>
      </c>
      <c r="FC67" s="151" t="str">
        <f>VLOOKUP(A67,'Données projet'!$A$217:$I$237,9,0)</f>
        <v>#N/A</v>
      </c>
      <c r="FD67" s="151" t="str">
        <f t="array" ref="FD67">INDEX(FC:FC,MIN(IF(ISNUMBER(FC67:FC263),ROW(FC67:FC263),"")))</f>
        <v/>
      </c>
      <c r="FE67" s="151">
        <f>IF('Données projet'!$A$218&gt;35,FE66+FD67-FM66,IF(A67&lt;'Données projet'!$A$218,$FB$205^A67,IF(A67='Données projet'!$A$218,'Données projet'!$B$218,FE66+FD67-FM66)))</f>
        <v>0</v>
      </c>
      <c r="FF67" s="158" t="str">
        <f>FE67*VLOOKUP('Données projet'!$B$16,'Paramètres'!$A$1:$I$88,3,0)*VLOOKUP('Données projet'!$B$16,'Paramètres'!$A$1:$I$88,5,0)</f>
        <v>#N/A</v>
      </c>
      <c r="FG67" s="150" t="str">
        <f t="shared" si="48"/>
        <v>#N/A</v>
      </c>
      <c r="FH67" s="161" t="str">
        <f t="shared" si="23"/>
        <v>#N/A</v>
      </c>
      <c r="FI67" s="153" t="str">
        <f t="shared" si="24"/>
        <v>#N/A</v>
      </c>
      <c r="FJ67" s="153" t="str">
        <f>AVERAGE(OFFSET($FI$3,0,0,'Données projet'!$E$16+1,1))-AVERAGE(OFFSET($H$3,0,0,'Données projet'!$E$16+1,1))</f>
        <v>#N/A</v>
      </c>
      <c r="FK67" s="153" t="str">
        <f t="shared" si="49"/>
        <v>#N/A</v>
      </c>
      <c r="FL67" s="154">
        <f>IF(ISNA(VLOOKUP(A67,'Données projet'!$A$217:$I$237,3,0)),0,VLOOKUP(A67,'Données projet'!$A$217:$I$237,3,0))</f>
        <v>0</v>
      </c>
      <c r="FM67" s="154">
        <f>IF(ISNA(VLOOKUP(A67,'Données projet'!$A$217:$I$237,4,0)),0,VLOOKUP(A67,'Données projet'!$A$217:$I$237,4,0))</f>
        <v>0</v>
      </c>
      <c r="FN67" s="155">
        <f>IF(ISNA(VLOOKUP(A67,'Données projet'!$A$217:$I$237,5,0)),0%,VLOOKUP(A67,'Données projet'!$A$217:$I$237,5,0)*VLOOKUP('Données projet'!$B$16,'Paramètres'!$A$1:$I$88,7,0))</f>
        <v>0</v>
      </c>
      <c r="FO67" s="155">
        <f>IF(ISNA(VLOOKUP(A67,'Données projet'!$A$217:$I$237,6,0)),0%,VLOOKUP(A67,'Données projet'!$A$217:$I$237,6,0)*VLOOKUP('Données projet'!$B$16,'Paramètres'!$A$1:$I$88,7,0))</f>
        <v>0</v>
      </c>
      <c r="FP67" s="155">
        <f>IF(ISNA(VLOOKUP(A67,'Données projet'!$A$217:$I$237,7,0)),0%,VLOOKUP(A67,'Données projet'!$A$217:$I$237,7,0))</f>
        <v>0</v>
      </c>
      <c r="FQ67" s="162" t="str">
        <f>EXP(-LN(2)/35)*FQ66+(1-EXP(-LN(2)/35))/(LN(2)/35)*FM67*FN67*VLOOKUP('Données projet'!$B$16,'Paramètres'!$A$1:$I$88,3,0)*0.475*44/12</f>
        <v>#N/A</v>
      </c>
      <c r="FR67" s="162" t="str">
        <f>EXP(-LN(2)/25)*FR66+(1-EXP(-LN(2)/25))/(LN(2)/25)*Calculateur!FM67*Calculateur!FO67*VLOOKUP('Données projet'!$B$16,'Paramètres'!$A$1:$I$88,3,0)*0.475*44/12</f>
        <v>#N/A</v>
      </c>
      <c r="FS67" s="162" t="str">
        <f>EXP(-LN(2)/2)*FS66+(1-EXP(-LN(2)/2))/(LN(2)/2)*FM67*FP67*VLOOKUP('Données projet'!$B$16,'Paramètres'!$A$1:$I$88,3,0)*0.475*44/12</f>
        <v>#N/A</v>
      </c>
      <c r="FT67" s="163" t="str">
        <f t="shared" si="25"/>
        <v>#N/A</v>
      </c>
      <c r="FU67" s="159">
        <f>('Scénario référence'!$F$8+'Scénario référence'!$F$9+'Scénario référence'!$B$17+'Scénario référence'!$B$9+'Scénario référence'!$B$10)*70+IF((45+25*(1-EXP(-0.0175*A67)))&lt;70,'Scénario référence'!$B$16*(45+25*(1-EXP(-0.0175*A67))),70*'Scénario référence'!$B$16)+IF((32+38*(1-EXP(-0.0175*A67)))&lt;70,'Scénario référence'!$B$18*(32+38*(1-EXP(-0.0175*A67))),70*'Scénario référence'!$B$18)</f>
        <v>70</v>
      </c>
      <c r="FV67" s="151">
        <f>IF(A67&gt;30,10,('Scénario référence'!$B$16+'Scénario référence'!$B$17+'Scénario référence'!$B$18+'Scénario référence'!$B$9+'Scénario référence'!$B$10)*A67*10/30+('Scénario référence'!$F$8+'Scénario référence'!$F$9)*10)</f>
        <v>10</v>
      </c>
      <c r="FW67" s="151" t="str">
        <f>VLOOKUP(A67,'Données projet'!$A$243:$I$263,2,0)</f>
        <v>#N/A</v>
      </c>
      <c r="FX67" s="151" t="str">
        <f>VLOOKUP(A67,'Données projet'!$A$243:$I$263,9,0)</f>
        <v>#N/A</v>
      </c>
      <c r="FY67" s="151" t="str">
        <f t="array" ref="FY67">INDEX(FX:FX,MIN(IF(ISNUMBER(FX67:FX263),ROW(FX67:FX263),"")))</f>
        <v/>
      </c>
      <c r="FZ67" s="151">
        <f>IF('Données projet'!$A$244&gt;35,FZ66+FY67-GH66,IF(A67&lt;'Données projet'!$A$244,$FW$205^A67,IF(A67='Données projet'!$A$244,'Données projet'!$B$244,FZ66+FY67-GH66)))</f>
        <v>0</v>
      </c>
      <c r="GA67" s="158" t="str">
        <f>FZ67*VLOOKUP('Données projet'!$B$17,'Paramètres'!$A$1:$I$88,3,0)*VLOOKUP('Données projet'!$B$17,'Paramètres'!$A$1:$I$88,5,0)</f>
        <v>#N/A</v>
      </c>
      <c r="GB67" s="150" t="str">
        <f t="shared" si="50"/>
        <v>#N/A</v>
      </c>
      <c r="GC67" s="161" t="str">
        <f t="shared" si="26"/>
        <v>#N/A</v>
      </c>
      <c r="GD67" s="153" t="str">
        <f t="shared" si="27"/>
        <v>#N/A</v>
      </c>
      <c r="GE67" s="153" t="str">
        <f>AVERAGE(OFFSET($GD$3,0,0,'Données projet'!$E$17+1,1))-AVERAGE(OFFSET($H$3,0,0,'Données projet'!$E$17+1,1))</f>
        <v>#N/A</v>
      </c>
      <c r="GF67" s="153" t="str">
        <f t="shared" si="51"/>
        <v>#N/A</v>
      </c>
      <c r="GG67" s="154">
        <f>IF(ISNA(VLOOKUP(A67,'Données projet'!$A$243:$I$263,3,0)),0,VLOOKUP(A67,'Données projet'!$A$243:$I$263,3,0))</f>
        <v>0</v>
      </c>
      <c r="GH67" s="154">
        <f>IF(ISNA(VLOOKUP(A67,'Données projet'!$A$243:$I$263,4,0)),0,VLOOKUP(A67,'Données projet'!$A$243:$I$263,4,0))</f>
        <v>0</v>
      </c>
      <c r="GI67" s="155">
        <f>IF(ISNA(VLOOKUP(A67,'Données projet'!$A$243:$I$263,5,0)),0%,VLOOKUP(A67,'Données projet'!$A$243:$I$263,5,0)*VLOOKUP('Données projet'!$B$17,'Paramètres'!$A$1:$I$88,7,0))</f>
        <v>0</v>
      </c>
      <c r="GJ67" s="155">
        <f>IF(ISNA(VLOOKUP(A67,'Données projet'!$A$243:$I$263,6,0)),0%,VLOOKUP(A67,'Données projet'!$A$243:$I$263,6,0)*VLOOKUP('Données projet'!$B$17,'Paramètres'!$A$1:$I$88,7,0))</f>
        <v>0</v>
      </c>
      <c r="GK67" s="155">
        <f>IF(ISNA(VLOOKUP(A67,'Données projet'!$A$243:$I$263,7,0)),0%,VLOOKUP(A67,'Données projet'!$A$243:$I$263,7,0))</f>
        <v>0</v>
      </c>
      <c r="GL67" s="162" t="str">
        <f>EXP(-LN(2)/35)*GL66+(1-EXP(-LN(2)/35))/(LN(2)/35)*GH67*GI67*VLOOKUP('Données projet'!$B$17,'Paramètres'!$A$1:$I$88,3,0)*0.475*44/12</f>
        <v>#N/A</v>
      </c>
      <c r="GM67" s="162" t="str">
        <f>EXP(-LN(2)/25)*GM66+(1-EXP(-LN(2)/25))/(LN(2)/25)*Calculateur!GH67*Calculateur!GJ67*VLOOKUP('Données projet'!$B$17,'Paramètres'!$A$1:$I$88,3,0)*0.475*44/12</f>
        <v>#N/A</v>
      </c>
      <c r="GN67" s="162" t="str">
        <f>EXP(-LN(2)/2)*GN66+(1-EXP(-LN(2)/2))/(LN(2)/2)*GH67*GK67*VLOOKUP('Données projet'!$B$17,'Paramètres'!$A$1:$I$88,3,0)*0.475*44/12</f>
        <v>#N/A</v>
      </c>
      <c r="GO67" s="162" t="str">
        <f t="shared" si="28"/>
        <v>#N/A</v>
      </c>
      <c r="GP67" s="159">
        <f>('Scénario référence'!$F$8+'Scénario référence'!$F$9+'Scénario référence'!$B$17+'Scénario référence'!$B$9+'Scénario référence'!$B$10)*70+IF((45+25*(1-EXP(-0.0175*A67)))&lt;70,'Scénario référence'!$B$16*(45+25*(1-EXP(-0.0175*A67))),70*'Scénario référence'!$B$16)+IF((32+38*(1-EXP(-0.0175*A67)))&lt;70,'Scénario référence'!$B$18*(32+38*(1-EXP(-0.0175*A67))),70*'Scénario référence'!$B$18)</f>
        <v>70</v>
      </c>
      <c r="GQ67" s="151">
        <f>IF(A67&gt;30,10,('Scénario référence'!$B$16+'Scénario référence'!$B$17+'Scénario référence'!$B$18+'Scénario référence'!$B$9+'Scénario référence'!$B$10)*A67*10/30+('Scénario référence'!$F$8+'Scénario référence'!$F$9)*10)</f>
        <v>10</v>
      </c>
      <c r="GR67" s="151" t="str">
        <f>VLOOKUP(A67,'Données projet'!$A$269:$I$289,2,0)</f>
        <v>#N/A</v>
      </c>
      <c r="GS67" s="151" t="str">
        <f>VLOOKUP(A67,'Données projet'!$A$269:$I$289,9,0)</f>
        <v>#N/A</v>
      </c>
      <c r="GT67" s="151" t="str">
        <f t="array" ref="GT67">INDEX(GS:GS,MIN(IF(ISNUMBER(GS67:GS263),ROW(GS67:GS263),"")))</f>
        <v/>
      </c>
      <c r="GU67" s="151">
        <f>IF('Données projet'!$A$270&gt;35,GU66+GT67-HC66,IF(A67&lt;'Données projet'!$A$270,$GR$205^A67,IF(A67='Données projet'!$A$270,'Données projet'!$B$270,GU66+GT67-HC66)))</f>
        <v>0</v>
      </c>
      <c r="GV67" s="158" t="str">
        <f>GU67*VLOOKUP('Données projet'!$B$18,'Paramètres'!$A$1:$I$88,3,0)*VLOOKUP('Données projet'!$B$18,'Paramètres'!$A$1:$I$88,5,0)</f>
        <v>#N/A</v>
      </c>
      <c r="GW67" s="150" t="str">
        <f t="shared" si="52"/>
        <v>#N/A</v>
      </c>
      <c r="GX67" s="161" t="str">
        <f t="shared" si="29"/>
        <v>#N/A</v>
      </c>
      <c r="GY67" s="153" t="str">
        <f t="shared" si="30"/>
        <v>#N/A</v>
      </c>
      <c r="GZ67" s="153" t="str">
        <f>AVERAGE(OFFSET($GY$3,0,0,'Données projet'!$E$18+1,1))-AVERAGE(OFFSET($H$3,0,0,'Données projet'!$E$18+1,1))</f>
        <v>#N/A</v>
      </c>
      <c r="HA67" s="153" t="str">
        <f t="shared" si="53"/>
        <v>#N/A</v>
      </c>
      <c r="HB67" s="154">
        <f>IF(ISNA(VLOOKUP(A67,'Données projet'!$A$269:$I$289,3,0)),0,VLOOKUP(A67,'Données projet'!$A$269:$I$289,3,0))</f>
        <v>0</v>
      </c>
      <c r="HC67" s="154">
        <f>IF(ISNA(VLOOKUP(A67,'Données projet'!$A$269:$I$289,4,0)),0,VLOOKUP(A67,'Données projet'!$A$269:$I$289,4,0))</f>
        <v>0</v>
      </c>
      <c r="HD67" s="155">
        <f>IF(ISNA(VLOOKUP(A67,'Données projet'!$A$269:$I$289,5,0)),0%,VLOOKUP(A67,'Données projet'!$A$269:$I$289,5,0)*VLOOKUP('Données projet'!$B$18,'Paramètres'!$A$1:$I$88,7,0))</f>
        <v>0</v>
      </c>
      <c r="HE67" s="155">
        <f>IF(ISNA(VLOOKUP(A67,'Données projet'!$A$269:$I$289,6,0)),0%,VLOOKUP(A67,'Données projet'!$A$269:$I$289,6,0)*VLOOKUP('Données projet'!$B$18,'Paramètres'!$A$1:$I$88,7,0))</f>
        <v>0</v>
      </c>
      <c r="HF67" s="155">
        <f>IF(ISNA(VLOOKUP(A67,'Données projet'!$A$269:$I$289,7,0)),0%,VLOOKUP(A67,'Données projet'!$A$269:$I$289,7,0))</f>
        <v>0</v>
      </c>
      <c r="HG67" s="162" t="str">
        <f>EXP(-LN(2)/35)*HG66+(1-EXP(-LN(2)/35))/(LN(2)/35)*HC67*HD67*VLOOKUP('Données projet'!$B$18,'Paramètres'!$A$1:$I$88,3,0)*0.475*44/12</f>
        <v>#N/A</v>
      </c>
      <c r="HH67" s="162" t="str">
        <f>EXP(-LN(2)/25)*HH66+(1-EXP(-LN(2)/25))/(LN(2)/25)*Calculateur!HC67*Calculateur!HE67*VLOOKUP('Données projet'!$B$18,'Paramètres'!$A$1:$I$88,3,0)*0.475*44/12</f>
        <v>#N/A</v>
      </c>
      <c r="HI67" s="162" t="str">
        <f>EXP(-LN(2)/2)*HI66+(1-EXP(-LN(2)/2))/(LN(2)/2)*HC67*HF67*VLOOKUP('Données projet'!$B$18,'Paramètres'!$A$1:$I$88,3,0)*0.475*44/12</f>
        <v>#N/A</v>
      </c>
      <c r="HJ67" s="163" t="str">
        <f t="shared" si="31"/>
        <v>#N/A</v>
      </c>
    </row>
    <row r="68" ht="15.75" customHeight="1">
      <c r="A68" s="145">
        <f t="shared" si="32"/>
        <v>65</v>
      </c>
      <c r="B68" s="146">
        <f>'Scénario référence'!$B$16*5+'Scénario référence'!$B$17*0+'Scénario référence'!$B$18*5</f>
        <v>0</v>
      </c>
      <c r="C68" s="160">
        <f>Calculateur!C67+'Scénario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68" s="147">
        <f t="shared" si="33"/>
        <v>0</v>
      </c>
      <c r="E68" s="147">
        <f>'Scénario référence'!$B$16*45+('Scénario référence'!$B$17+'Scénario référence'!$F$8+'Scénario référence'!$F$9+'Scénario référence'!$B$10+'Scénario référence'!$B$9)*70+'Scénario référence'!$B$18*32</f>
        <v>70</v>
      </c>
      <c r="F68" s="147">
        <f>IF(OR('Scénario référence'!$F$8&gt;0,'Scénario référence'!$F$9&gt;0),('Scénario référence'!$F$8+'Scénario référence'!$F$9)*10,0)</f>
        <v>0</v>
      </c>
      <c r="G68" s="147">
        <f>'Scénario référence'!$B$8*B68*44/12+'Scénario référence'!$B$9*(C68+D68)/0.475*44/12+'Scénario référence'!$B$10*(C68+D68)/0.475*44/12+'Scénario référence'!$F$8*(C68+D68)/0.475*44/12+'Scénario référence'!$F$9*(C68+D68)/0.475*44/12</f>
        <v>0</v>
      </c>
      <c r="H68" s="148">
        <f t="shared" si="1"/>
        <v>256.6666667</v>
      </c>
      <c r="I68" s="149">
        <f>('Scénario référence'!$F$8+'Scénario référence'!$F$9+'Scénario référence'!$B$17+'Scénario référence'!$B$9+'Scénario référence'!$B$10)*70+IF((45+25*(1-EXP(-0.0175*A68)))&lt;70,'Scénario référence'!$B$16*(45+25*(1-EXP(-0.0175*A68))),70*'Scénario référence'!$B$16)+IF((32+38*(1-EXP(-0.0175*A68)))&lt;70,'Scénario référence'!$B$18*(32+38*(1-EXP(-0.0175*A68))),70*'Scénario référence'!$B$18)</f>
        <v>70</v>
      </c>
      <c r="J68" s="150">
        <f>IF(A68&gt;30,10,('Scénario référence'!$B$16+'Scénario référence'!$B$17+'Scénario référence'!$B$18+'Scénario référence'!$B$9+'Scénario référence'!$B$10)*A68*10/30+('Scénario référence'!$F$8+'Scénario référence'!$F$9)*10)</f>
        <v>10</v>
      </c>
      <c r="K68" s="165">
        <f>VLOOKUP(A68,'Données projet'!$A$35:$I$55,2,0)</f>
        <v>289</v>
      </c>
      <c r="L68" s="151">
        <f>VLOOKUP(A68,'Données projet'!$A$35:$I$55,9,0)</f>
        <v>8.8</v>
      </c>
      <c r="M68" s="150">
        <f t="array" ref="M68">INDEX(L:L,MIN(IF(ISNUMBER(L68:L264),ROW(L68:L264),"")))</f>
        <v>8.8</v>
      </c>
      <c r="N68" s="150">
        <f>IF('Données projet'!$A$36&gt;35,N67+M68-V67,IF(A68&lt;'Données projet'!$A$36,$K$205^A68,IF(A68='Données projet'!$A$36,'Données projet'!$B$36,N67+M68-V67)))</f>
        <v>289</v>
      </c>
      <c r="O68" s="150">
        <f>N68*VLOOKUP('Données projet'!$B$9,'Paramètres'!$A$1:$I$88,3,0)*VLOOKUP('Données projet'!$B$9,'Paramètres'!$A$1:$I$88,5,0)</f>
        <v>261.4872</v>
      </c>
      <c r="P68" s="150">
        <f t="shared" si="34"/>
        <v>63.03928359</v>
      </c>
      <c r="Q68" s="161">
        <f t="shared" si="2"/>
        <v>565.2169589</v>
      </c>
      <c r="R68" s="153">
        <f t="shared" si="3"/>
        <v>858.5502922</v>
      </c>
      <c r="S68" s="153">
        <f>AVERAGE(OFFSET($R$3,0,0,'Données projet'!$E$9+1,1))-AVERAGE(OFFSET($H$3,0,0,'Données projet'!$E$9+1,1))</f>
        <v>439.1985427</v>
      </c>
      <c r="T68" s="153">
        <f t="shared" si="35"/>
        <v>278.2174123</v>
      </c>
      <c r="U68" s="154">
        <f>IF(ISNA(VLOOKUP(A68,'Données projet'!$A$35:$I$55,3,0)),0,VLOOKUP(A68,'Données projet'!$A$35:$I$55,3,0))</f>
        <v>10</v>
      </c>
      <c r="V68" s="164">
        <f>IF(ISNA(VLOOKUP(A68,'Données projet'!$A$35:$I$55,4,0)),0,VLOOKUP(A68,'Données projet'!$A$35:$I$55,4,0))</f>
        <v>28</v>
      </c>
      <c r="W68" s="155">
        <f>IF(ISNA(VLOOKUP(A68,'Données projet'!$A$35:$I$55,5,0)),0%,VLOOKUP(A68,'Données projet'!$A$35:$I$55,5,0)*VLOOKUP('Données projet'!$B$9,'Paramètres'!$A$1:$I$88,7,0))</f>
        <v>0</v>
      </c>
      <c r="X68" s="155">
        <f>IF(ISNA(VLOOKUP(A68,'Données projet'!$A$35:$I$55,6,0)),0%,VLOOKUP(A68,'Données projet'!$A$35:$I$55,6,0)*VLOOKUP('Données projet'!$B$9,'Paramètres'!$A$1:$I$88,7,0))</f>
        <v>0</v>
      </c>
      <c r="Y68" s="155" t="str">
        <f>IF(ISNA(VLOOKUP(A68,'Données projet'!$A$35:$I$55,7,0)),0%,VLOOKUP(A68,'Données projet'!$A$35:$I$55,7,0))</f>
        <v/>
      </c>
      <c r="Z68" s="162">
        <f>EXP(-LN(2)/35)*Z67+(1-EXP(-LN(2)/35))/(LN(2)/35)*V68*W68*VLOOKUP('Données projet'!$B$9,'Paramètres'!$A$1:$I$88,3,0)*0.475*44/12</f>
        <v>0</v>
      </c>
      <c r="AA68" s="162">
        <f>EXP(-LN(2)/25)*AA67+(1-EXP(-LN(2)/25))/(LN(2)/25)*Calculateur!V68*Calculateur!X68*VLOOKUP('Données projet'!$B$9,'Paramètres'!$A$1:$I$88,3,0)*0.475*44/12</f>
        <v>1.700475132</v>
      </c>
      <c r="AB68" s="162">
        <f>EXP(-LN(2)/2)*AB67+(1-EXP(-LN(2)/2))/(LN(2)/2)*V68*Y68*VLOOKUP('Données projet'!$B$9,'Paramètres'!$A$1:$I$88,3,0)*0.475*44/12</f>
        <v>0</v>
      </c>
      <c r="AC68" s="163">
        <f t="shared" si="4"/>
        <v>1.700475132</v>
      </c>
      <c r="AD68" s="150">
        <f>('Scénario référence'!$F$8+'Scénario référence'!$F$9+'Scénario référence'!$B$17+'Scénario référence'!$B$9+'Scénario référence'!$B$10)*70+IF((45+25*(1-EXP(-0.0175*A68)))&lt;70,'Scénario référence'!$B$16*(45+25*(1-EXP(-0.0175*A68))),70*'Scénario référence'!$B$16)+IF((32+38*(1-EXP(-0.0175*A68)))&lt;70,'Scénario référence'!$B$18*(32+38*(1-EXP(-0.0175*A68))),70*'Scénario référence'!$B$18)</f>
        <v>70</v>
      </c>
      <c r="AE68" s="150">
        <f>IF(A68&gt;30,10,('Scénario référence'!$B$16+'Scénario référence'!$B$17+'Scénario référence'!$B$18+'Scénario référence'!$B$9+'Scénario référence'!$B$10)*A68*10/30+('Scénario référence'!$F$8+'Scénario référence'!$F$9)*10)</f>
        <v>10</v>
      </c>
      <c r="AF68" s="151">
        <f>VLOOKUP(A68,'Données projet'!$A$61:$I$81,2,0)</f>
        <v>356</v>
      </c>
      <c r="AG68" s="150">
        <f>VLOOKUP(A68,'Données projet'!$A$61:$I$81,9,0)</f>
        <v>6</v>
      </c>
      <c r="AH68" s="150">
        <f t="array" ref="AH68">INDEX(AG:AG,MIN(IF(ISNUMBER(AG68:AG264),ROW(AG68:AG264),"")))</f>
        <v>6</v>
      </c>
      <c r="AI68" s="150">
        <f>IF('Données projet'!$A$62&gt;35,AI67+AH68-AQ67,IF(A68&lt;'Données projet'!$A$62,$AF$205^A68,IF(A68='Données projet'!$A$62,'Données projet'!$B$62,AI67+AH68-AQ67)))</f>
        <v>356</v>
      </c>
      <c r="AJ68" s="150">
        <f>AI68*VLOOKUP('Données projet'!$B$10,'Paramètres'!$A$1:$I$88,3,0)*VLOOKUP('Données projet'!$B$10,'Paramètres'!$A$1:$I$88,5,0)</f>
        <v>283.2336</v>
      </c>
      <c r="AK68" s="150">
        <f t="shared" si="36"/>
        <v>67.64990418</v>
      </c>
      <c r="AL68" s="161">
        <f t="shared" si="5"/>
        <v>611.1221031</v>
      </c>
      <c r="AM68" s="153">
        <f t="shared" si="6"/>
        <v>904.4554364</v>
      </c>
      <c r="AN68" s="153">
        <f>AVERAGE(OFFSET($AM$3,0,0,'Données projet'!$E$10+1,1))-AVERAGE(OFFSET($H$3,0,0,'Données projet'!$E$10+1,1))</f>
        <v>405.6113614</v>
      </c>
      <c r="AO68" s="153">
        <f t="shared" si="37"/>
        <v>393.0787141</v>
      </c>
      <c r="AP68" s="154">
        <f>IF(ISNA(VLOOKUP(A68,'Données projet'!$A$61:$I$81,3,0)),0,VLOOKUP(A68,'Données projet'!$A$61:$I$81,3,0))</f>
        <v>12</v>
      </c>
      <c r="AQ68" s="164">
        <f>IF(ISNA(VLOOKUP(A68,'Données projet'!$A$61:$I$81,4,0)),0,VLOOKUP(A68,'Données projet'!$A$61:$I$81,4,0))</f>
        <v>16</v>
      </c>
      <c r="AR68" s="155">
        <f>IF(ISNA(VLOOKUP(A68,'Données projet'!$A$61:$I$81,5,0)),0%,VLOOKUP(A68,'Données projet'!$A$61:$I$81,5,0)*VLOOKUP('Données projet'!$B$10,'Paramètres'!$A$1:$I$88,7,0))</f>
        <v>0</v>
      </c>
      <c r="AS68" s="155">
        <f>IF(ISNA(VLOOKUP(A68,'Données projet'!$A$61:$I$81,6,0)),0%,VLOOKUP(A68,'Données projet'!$A$61:$I$81,6,0)*VLOOKUP('Données projet'!$B$10,'Paramètres'!$A$1:$I$88,7,0))</f>
        <v>0</v>
      </c>
      <c r="AT68" s="155" t="str">
        <f>IF(ISNA(VLOOKUP(A68,'Données projet'!$A$61:$I$81,7,0)),0%,VLOOKUP(A68,'Données projet'!$A$61:$I$81,7,0))</f>
        <v/>
      </c>
      <c r="AU68" s="162">
        <f>EXP(-LN(2)/35)*AU67+(1-EXP(-LN(2)/35))/(LN(2)/35)*AQ68*AR68*VLOOKUP('Données projet'!$B$10,'Paramètres'!$A$1:$I$88,3,0)*0.475*44/12</f>
        <v>0</v>
      </c>
      <c r="AV68" s="162">
        <f>EXP(-LN(2)/25)*AV67+(1-EXP(-LN(2)/25))/(LN(2)/25)*Calculateur!AQ68*Calculateur!AS68*VLOOKUP('Données projet'!$B$10,'Paramètres'!$A$1:$I$88,3,0)*0.475*44/12</f>
        <v>6.911163213</v>
      </c>
      <c r="AW68" s="162">
        <f>EXP(-LN(2)/2)*AW67+(1-EXP(-LN(2)/2))/(LN(2)/2)*AQ68*AT68*VLOOKUP('Données projet'!$B$10,'Paramètres'!$A$1:$I$88,3,0)*0.475*44/12</f>
        <v>0.000003127429432</v>
      </c>
      <c r="AX68" s="162">
        <f t="shared" si="7"/>
        <v>6.91116634</v>
      </c>
      <c r="AY68" s="157">
        <f>('Scénario référence'!$F$8+'Scénario référence'!$F$9+'Scénario référence'!$B$17+'Scénario référence'!$B$9+'Scénario référence'!$B$10)*70+IF((45+25*(1-EXP(-0.0175*A68)))&lt;70,'Scénario référence'!$B$16*(45+25*(1-EXP(-0.0175*A68))),70*'Scénario référence'!$B$16)+IF((32+38*(1-EXP(-0.0175*A68)))&lt;70,'Scénario référence'!$B$18*(32+38*(1-EXP(-0.0175*A68))),70*'Scénario référence'!$B$18)</f>
        <v>70</v>
      </c>
      <c r="AZ68" s="151">
        <f>IF(A68&gt;30,10,('Scénario référence'!$B$16+'Scénario référence'!$B$17+'Scénario référence'!$B$18+'Scénario référence'!$B$9+'Scénario référence'!$B$10)*A68*10/30+('Scénario référence'!$F$8+'Scénario référence'!$F$9)*10)</f>
        <v>10</v>
      </c>
      <c r="BA68" s="151" t="str">
        <f>VLOOKUP(A68,'Données projet'!$A$87:$I$107,2,0)</f>
        <v>#N/A</v>
      </c>
      <c r="BB68" s="151" t="str">
        <f>VLOOKUP(A68,'Données projet'!$A$87:$I$107,9,0)</f>
        <v>#N/A</v>
      </c>
      <c r="BC68" s="150" t="str">
        <f t="array" ref="BC68">INDEX(BB:BB,MIN(IF(ISNUMBER(BB68:BB264),ROW(BB68:BB264),"")))</f>
        <v/>
      </c>
      <c r="BD68" s="150">
        <f>IF('Données projet'!$A$88&gt;35,BD67+BC68-BL67,IF(A68&lt;'Données projet'!$A$88,$BA$205^A68,IF(A68='Données projet'!$A$88,'Données projet'!$B$88,BD67+BC68-BL67)))</f>
        <v>0</v>
      </c>
      <c r="BE68" s="150">
        <f>BD68*VLOOKUP('Données projet'!$B$11,'Paramètres'!$A$1:$I$88,3,0)*VLOOKUP('Données projet'!$B$11,'Paramètres'!$A$1:$I$88,5,0)</f>
        <v>0</v>
      </c>
      <c r="BF68" s="150" t="str">
        <f t="shared" si="38"/>
        <v>#NUM!</v>
      </c>
      <c r="BG68" s="161" t="str">
        <f t="shared" si="8"/>
        <v>#NUM!</v>
      </c>
      <c r="BH68" s="153" t="str">
        <f t="shared" si="9"/>
        <v>#NUM!</v>
      </c>
      <c r="BI68" s="153">
        <f>AVERAGE(OFFSET($BH$3,0,0,'Données projet'!$E$11+1,1))-AVERAGE(OFFSET($H$3,0,0,'Données projet'!$E$11+1,1))</f>
        <v>0</v>
      </c>
      <c r="BJ68" s="153">
        <f t="shared" si="39"/>
        <v>0</v>
      </c>
      <c r="BK68" s="154">
        <f>IF(ISNA(VLOOKUP(A68,'Données projet'!$A$87:$I$107,3,0)),0,VLOOKUP(A68,'Données projet'!$A$87:$I$107,3,0))</f>
        <v>0</v>
      </c>
      <c r="BL68" s="154">
        <f>IF(ISNA(VLOOKUP(A68,'Données projet'!$A$87:$I$107,4,0)),0,VLOOKUP(A68,'Données projet'!$A$87:$I$107,4,0))</f>
        <v>0</v>
      </c>
      <c r="BM68" s="155">
        <f>IF(ISNA(VLOOKUP(A68,'Données projet'!$A$87:$I$107,5,0)),0%,VLOOKUP(A68,'Données projet'!$A$87:$I$107,5,0)*VLOOKUP('Données projet'!$B$11,'Paramètres'!$A$1:$I$88,7,0))</f>
        <v>0</v>
      </c>
      <c r="BN68" s="155">
        <f>IF(ISNA(VLOOKUP(A68,'Données projet'!$A$87:$I$107,6,0)),0%,VLOOKUP(A68,'Données projet'!$A$87:$I$107,6,0)*VLOOKUP('Données projet'!$B$11,'Paramètres'!$A$1:$I$88,7,0))</f>
        <v>0</v>
      </c>
      <c r="BO68" s="155">
        <f>IF(ISNA(VLOOKUP(A68,'Données projet'!$A$87:$I$107,7,0)),0%,VLOOKUP(A68,'Données projet'!$A$87:$I$107,7,0))</f>
        <v>0</v>
      </c>
      <c r="BP68" s="162">
        <f>EXP(-LN(2)/35)*BP67+(1-EXP(-LN(2)/35))/(LN(2)/35)*BL68*BM68*VLOOKUP('Données projet'!$B$11,'Paramètres'!$A$1:$I$88,3,0)*0.475*44/12</f>
        <v>0</v>
      </c>
      <c r="BQ68" s="162">
        <f>EXP(-LN(2)/25)*BQ67+(1-EXP(-LN(2)/25))/(LN(2)/25)*Calculateur!BL68*Calculateur!BN68*VLOOKUP('Données projet'!$B$11,'Paramètres'!$A$1:$I$88,3,0)*0.475*44/12</f>
        <v>0</v>
      </c>
      <c r="BR68" s="162">
        <f>EXP(-LN(2)/2)*BR67+(1-EXP(-LN(2)/2))/(LN(2)/2)*BL68*BO68*VLOOKUP('Données projet'!$B$11,'Paramètres'!$A$1:$I$88,3,0)*0.475*44/12</f>
        <v>0</v>
      </c>
      <c r="BS68" s="163">
        <f t="shared" si="10"/>
        <v>0</v>
      </c>
      <c r="BT68" s="159">
        <f>('Scénario référence'!$F$8+'Scénario référence'!$F$9+'Scénario référence'!$B$17+'Scénario référence'!$B$9+'Scénario référence'!$B$10)*70+IF((45+25*(1-EXP(-0.0175*A68)))&lt;70,'Scénario référence'!$B$16*(45+25*(1-EXP(-0.0175*A68))),70*'Scénario référence'!$B$16)+IF((32+38*(1-EXP(-0.0175*A68)))&lt;70,'Scénario référence'!$B$18*(32+38*(1-EXP(-0.0175*A68))),70*'Scénario référence'!$B$18)</f>
        <v>70</v>
      </c>
      <c r="BU68" s="151">
        <f>IF(A68&gt;30,10,('Scénario référence'!$B$16+'Scénario référence'!$B$17+'Scénario référence'!$B$18+'Scénario référence'!$B$9+'Scénario référence'!$B$10)*A68*10/30+('Scénario référence'!$F$8+'Scénario référence'!$F$9)*10)</f>
        <v>10</v>
      </c>
      <c r="BV68" s="151" t="str">
        <f>VLOOKUP(A68,'Données projet'!$A$113:$I$133,2,0)</f>
        <v>#N/A</v>
      </c>
      <c r="BW68" s="151" t="str">
        <f>VLOOKUP(A68,'Données projet'!$A$113:$I$133,9,0)</f>
        <v>#N/A</v>
      </c>
      <c r="BX68" s="150" t="str">
        <f t="array" ref="BX68">INDEX(BW:BW,MIN(IF(ISNUMBER(BW68:BW264),ROW(BW68:BW264),"")))</f>
        <v/>
      </c>
      <c r="BY68" s="150">
        <f>IF('Données projet'!$A$114&gt;35,BY67+BX68-CG67,IF(A68&lt;'Données projet'!$A$114,$BV$205^A68,IF(A68='Données projet'!$A$114,'Données projet'!$B$114,BY67+BX68-CG67)))</f>
        <v>0</v>
      </c>
      <c r="BZ68" s="150" t="str">
        <f>BY68*VLOOKUP('Données projet'!$B$12,'Paramètres'!$A$1:$I$88,3,0)*VLOOKUP('Données projet'!$B$12,'Paramètres'!$A$1:$I$88,5,0)</f>
        <v>#N/A</v>
      </c>
      <c r="CA68" s="150" t="str">
        <f t="shared" si="40"/>
        <v>#N/A</v>
      </c>
      <c r="CB68" s="161" t="str">
        <f t="shared" si="11"/>
        <v>#N/A</v>
      </c>
      <c r="CC68" s="153" t="str">
        <f t="shared" si="12"/>
        <v>#N/A</v>
      </c>
      <c r="CD68" s="153" t="str">
        <f>AVERAGE(OFFSET($CC$3,0,0,'Données projet'!$E$12+1,1))-AVERAGE(OFFSET($H$3,0,0,'Données projet'!$E$12+1,1))</f>
        <v>#N/A</v>
      </c>
      <c r="CE68" s="153" t="str">
        <f t="shared" si="41"/>
        <v>#N/A</v>
      </c>
      <c r="CF68" s="154">
        <f>IF(ISNA(VLOOKUP(A68,'Données projet'!$A$113:$I$133,3,0)),0,VLOOKUP(A68,'Données projet'!$A$113:$I$133,3,0))</f>
        <v>0</v>
      </c>
      <c r="CG68" s="154">
        <f>IF(ISNA(VLOOKUP(A68,'Données projet'!$A$113:$I$133,4,0)),0,VLOOKUP(A68,'Données projet'!$A$113:$I$133,4,0))</f>
        <v>0</v>
      </c>
      <c r="CH68" s="155">
        <f>IF(ISNA(VLOOKUP(A68,'Données projet'!$A$113:$I$133,5,0)),0%,VLOOKUP(A68,'Données projet'!$A$113:$I$133,5,0)*VLOOKUP('Données projet'!$B$12,'Paramètres'!$A$1:$I$88,7,0))</f>
        <v>0</v>
      </c>
      <c r="CI68" s="155">
        <f>IF(ISNA(VLOOKUP(A68,'Données projet'!$A$113:$I$133,6,0)),0%,VLOOKUP(A68,'Données projet'!$A$113:$I$133,6,0)*VLOOKUP('Données projet'!$B$12,'Paramètres'!$A$1:$I$88,7,0))</f>
        <v>0</v>
      </c>
      <c r="CJ68" s="155">
        <f>IF(ISNA(VLOOKUP(A68,'Données projet'!$A$113:$I$133,7,0)),0%,VLOOKUP(A68,'Données projet'!$A$113:$I$133,7,0))</f>
        <v>0</v>
      </c>
      <c r="CK68" s="162" t="str">
        <f>EXP(-LN(2)/35)*CK67+(1-EXP(-LN(2)/35))/(LN(2)/35)*CG68*CH68*VLOOKUP('Données projet'!$B$12,'Paramètres'!$A$1:$I$88,3,0)*0.475*44/12</f>
        <v>#N/A</v>
      </c>
      <c r="CL68" s="162" t="str">
        <f>EXP(-LN(2)/25)*CL67+(1-EXP(-LN(2)/25))/(LN(2)/25)*Calculateur!CG68*Calculateur!CI68*VLOOKUP('Données projet'!$B$12,'Paramètres'!$A$1:$I$88,3,0)*0.475*44/12</f>
        <v>#N/A</v>
      </c>
      <c r="CM68" s="162" t="str">
        <f>EXP(-LN(2)/2)*CM67+(1-EXP(-LN(2)/2))/(LN(2)/2)*CG68*CJ68*VLOOKUP('Données projet'!$B$12,'Paramètres'!$A$1:$I$88,3,0)*0.475*44/12</f>
        <v>#N/A</v>
      </c>
      <c r="CN68" s="163" t="str">
        <f t="shared" si="13"/>
        <v>#N/A</v>
      </c>
      <c r="CO68" s="159">
        <f>('Scénario référence'!$F$8+'Scénario référence'!$F$9+'Scénario référence'!$B$17+'Scénario référence'!$B$9+'Scénario référence'!$B$10)*70+IF((45+25*(1-EXP(-0.0175*A68)))&lt;70,'Scénario référence'!$B$16*(45+25*(1-EXP(-0.0175*A68))),70*'Scénario référence'!$B$16)+IF((32+38*(1-EXP(-0.0175*A68)))&lt;70,'Scénario référence'!$B$18*(32+38*(1-EXP(-0.0175*A68))),70*'Scénario référence'!$B$18)</f>
        <v>70</v>
      </c>
      <c r="CP68" s="151">
        <f>IF(A68&gt;30,10,('Scénario référence'!$B$16+'Scénario référence'!$B$17+'Scénario référence'!$B$18+'Scénario référence'!$B$9+'Scénario référence'!$B$10)*A68*10/30+('Scénario référence'!$F$8+'Scénario référence'!$F$9)*10)</f>
        <v>10</v>
      </c>
      <c r="CQ68" s="151" t="str">
        <f>VLOOKUP(A68,'Données projet'!$A$139:$I$159,2,0)</f>
        <v>#N/A</v>
      </c>
      <c r="CR68" s="151" t="str">
        <f>VLOOKUP(A68,'Données projet'!$A$139:$I$159,9,0)</f>
        <v>#N/A</v>
      </c>
      <c r="CS68" s="151" t="str">
        <f t="array" ref="CS68">INDEX(CR:CR,MIN(IF(ISNUMBER(CR68:CR264),ROW(CR68:CR264),"")))</f>
        <v/>
      </c>
      <c r="CT68" s="151">
        <f>IF('Données projet'!$A$140&gt;35,CT67+CS68-DB67,IF(A68&lt;'Données projet'!$A$140,$CQ$205^A68,IF(A68='Données projet'!$A$140,'Données projet'!$B$140,CT67+CS68-DB67)))</f>
        <v>0</v>
      </c>
      <c r="CU68" s="158" t="str">
        <f>CT68*VLOOKUP('Données projet'!$B$13,'Paramètres'!$A$1:$I$88,3,0)*VLOOKUP('Données projet'!$B$13,'Paramètres'!$A$1:$I$88,5,0)</f>
        <v>#N/A</v>
      </c>
      <c r="CV68" s="150" t="str">
        <f t="shared" si="42"/>
        <v>#N/A</v>
      </c>
      <c r="CW68" s="161" t="str">
        <f t="shared" si="14"/>
        <v>#N/A</v>
      </c>
      <c r="CX68" s="153" t="str">
        <f t="shared" si="15"/>
        <v>#N/A</v>
      </c>
      <c r="CY68" s="153" t="str">
        <f>AVERAGE(OFFSET($CX$3,0,0,'Données projet'!$E$13+1,1))-AVERAGE(OFFSET($H$3,0,0,'Données projet'!$E$13+1,1))</f>
        <v>#N/A</v>
      </c>
      <c r="CZ68" s="153" t="str">
        <f t="shared" si="43"/>
        <v>#N/A</v>
      </c>
      <c r="DA68" s="154">
        <f>IF(ISNA(VLOOKUP(A68,'Données projet'!$A$139:$I$159,3,0)),0,VLOOKUP(A68,'Données projet'!$A$139:$I$159,3,0))</f>
        <v>0</v>
      </c>
      <c r="DB68" s="154">
        <f>IF(ISNA(VLOOKUP(A68,'Données projet'!$A$139:$I$159,4,0)),0,VLOOKUP(A68,'Données projet'!$A$139:$I$159,4,0))</f>
        <v>0</v>
      </c>
      <c r="DC68" s="155">
        <f>IF(ISNA(VLOOKUP(A68,'Données projet'!$A$139:$I$159,5,0)),0%,VLOOKUP(A68,'Données projet'!$A$139:$I$159,5,0)*VLOOKUP('Données projet'!$B$13,'Paramètres'!$A$1:$I$88,7,0))</f>
        <v>0</v>
      </c>
      <c r="DD68" s="155">
        <f>IF(ISNA(VLOOKUP(A68,'Données projet'!$A$139:$I$159,6,0)),0%,VLOOKUP(A68,'Données projet'!$A$139:$I$159,6,0)*VLOOKUP('Données projet'!$B$13,'Paramètres'!$A$1:$I$88,7,0))</f>
        <v>0</v>
      </c>
      <c r="DE68" s="155">
        <f>IF(ISNA(VLOOKUP(A68,'Données projet'!$A$139:$I$159,7,0)),0%,VLOOKUP(A68,'Données projet'!$A$139:$I$159,7,0))</f>
        <v>0</v>
      </c>
      <c r="DF68" s="162" t="str">
        <f>EXP(-LN(2)/35)*DF67+(1-EXP(-LN(2)/35))/(LN(2)/35)*DB68*DC68*VLOOKUP('Données projet'!$B$13,'Paramètres'!$A$1:$I$88,3,0)*0.475*44/12</f>
        <v>#N/A</v>
      </c>
      <c r="DG68" s="162" t="str">
        <f>EXP(-LN(2)/25)*DG67+(1-EXP(-LN(2)/25))/(LN(2)/25)*Calculateur!DB68*Calculateur!DD68*VLOOKUP('Données projet'!$B$13,'Paramètres'!$A$1:$I$88,3,0)*0.475*44/12</f>
        <v>#N/A</v>
      </c>
      <c r="DH68" s="162" t="str">
        <f>EXP(-LN(2)/2)*DH67+(1-EXP(-LN(2)/2))/(LN(2)/2)*DB68*DE68*VLOOKUP('Données projet'!$B$13,'Paramètres'!$A$1:$I$88,3,0)*0.475*44/12</f>
        <v>#N/A</v>
      </c>
      <c r="DI68" s="163" t="str">
        <f t="shared" si="16"/>
        <v>#N/A</v>
      </c>
      <c r="DJ68" s="159">
        <f>('Scénario référence'!$F$8+'Scénario référence'!$F$9+'Scénario référence'!$B$17+'Scénario référence'!$B$9+'Scénario référence'!$B$10)*70+IF((45+25*(1-EXP(-0.0175*A68)))&lt;70,'Scénario référence'!$B$16*(45+25*(1-EXP(-0.0175*A68))),70*'Scénario référence'!$B$16)+IF((32+38*(1-EXP(-0.0175*A68)))&lt;70,'Scénario référence'!$B$18*(32+38*(1-EXP(-0.0175*A68))),70*'Scénario référence'!$B$18)</f>
        <v>70</v>
      </c>
      <c r="DK68" s="151">
        <f>IF(A68&gt;30,10,('Scénario référence'!$B$16+'Scénario référence'!$B$17+'Scénario référence'!$B$18+'Scénario référence'!$B$9+'Scénario référence'!$B$10)*A68*10/30+('Scénario référence'!$F$8+'Scénario référence'!$F$9)*10)</f>
        <v>10</v>
      </c>
      <c r="DL68" s="151" t="str">
        <f>VLOOKUP(A68,'Données projet'!$A$165:$I$185,2,0)</f>
        <v>#N/A</v>
      </c>
      <c r="DM68" s="151" t="str">
        <f>VLOOKUP(A68,'Données projet'!$A$165:$I$185,9,0)</f>
        <v>#N/A</v>
      </c>
      <c r="DN68" s="151" t="str">
        <f t="array" ref="DN68">INDEX(DM:DM,MIN(IF(ISNUMBER(DM68:DM264),ROW(DM68:DM264),"")))</f>
        <v/>
      </c>
      <c r="DO68" s="151">
        <f>IF('Données projet'!$A$166&gt;35,DO67+DN68-DW67,IF(A68&lt;'Données projet'!$A$166,$DL$205^A68,IF(A68='Données projet'!$A$166,'Données projet'!$B$166,DO67+DN68-DW67)))</f>
        <v>0</v>
      </c>
      <c r="DP68" s="158" t="str">
        <f>DO68*VLOOKUP('Données projet'!$B$14,'Paramètres'!$A$1:$I$88,3,0)*VLOOKUP('Données projet'!$B$14,'Paramètres'!$A$1:$I$88,5,0)</f>
        <v>#N/A</v>
      </c>
      <c r="DQ68" s="150" t="str">
        <f t="shared" si="44"/>
        <v>#N/A</v>
      </c>
      <c r="DR68" s="161" t="str">
        <f t="shared" si="17"/>
        <v>#N/A</v>
      </c>
      <c r="DS68" s="153" t="str">
        <f t="shared" si="18"/>
        <v>#N/A</v>
      </c>
      <c r="DT68" s="153" t="str">
        <f>AVERAGE(OFFSET($DS$3,0,0,'Données projet'!$E$14+1,1))-AVERAGE(OFFSET($H$3,0,0,'Données projet'!$E$14+1,1))</f>
        <v>#N/A</v>
      </c>
      <c r="DU68" s="153" t="str">
        <f t="shared" si="45"/>
        <v>#N/A</v>
      </c>
      <c r="DV68" s="154">
        <f>IF(ISNA(VLOOKUP(A68,'Données projet'!$A$165:$I$185,3,0)),0,VLOOKUP(A68,'Données projet'!$A$165:$I$185,3,0))</f>
        <v>0</v>
      </c>
      <c r="DW68" s="154">
        <f>IF(ISNA(VLOOKUP(A68,'Données projet'!$A$165:$I$185,4,0)),0,VLOOKUP(A68,'Données projet'!$A$165:$I$185,4,0))</f>
        <v>0</v>
      </c>
      <c r="DX68" s="155">
        <f>IF(ISNA(VLOOKUP(A68,'Données projet'!$A$165:$I$185,5,0)),0%,VLOOKUP(A68,'Données projet'!$A$165:$I$185,5,0)*VLOOKUP('Données projet'!$B$14,'Paramètres'!$A$1:$I$88,7,0))</f>
        <v>0</v>
      </c>
      <c r="DY68" s="155">
        <f>IF(ISNA(VLOOKUP(A68,'Données projet'!$A$165:$I$185,6,0)),0%,VLOOKUP(A68,'Données projet'!$A$165:$I$185,6,0)*VLOOKUP('Données projet'!$B$14,'Paramètres'!$A$1:$I$88,7,0))</f>
        <v>0</v>
      </c>
      <c r="DZ68" s="155">
        <f>IF(ISNA(VLOOKUP(A68,'Données projet'!$A$165:$I$185,7,0)),0%,VLOOKUP(A68,'Données projet'!$A$165:$I$185,7,0))</f>
        <v>0</v>
      </c>
      <c r="EA68" s="162" t="str">
        <f>EXP(-LN(2)/35)*EA67+(1-EXP(-LN(2)/35))/(LN(2)/35)*DW68*DX68*VLOOKUP('Données projet'!$B$14,'Paramètres'!$A$1:$I$88,3,0)*0.475*44/12</f>
        <v>#N/A</v>
      </c>
      <c r="EB68" s="162" t="str">
        <f>EXP(-LN(2)/25)*EB67+(1-EXP(-LN(2)/25))/(LN(2)/25)*Calculateur!DW68*Calculateur!DY68*VLOOKUP('Données projet'!$B$14,'Paramètres'!$A$1:$I$88,3,0)*0.475*44/12</f>
        <v>#N/A</v>
      </c>
      <c r="EC68" s="162" t="str">
        <f>EXP(-LN(2)/2)*EC67+(1-EXP(-LN(2)/2))/(LN(2)/2)*DW68*DZ68*VLOOKUP('Données projet'!$B$14,'Paramètres'!$A$1:$I$88,3,0)*0.475*44/12</f>
        <v>#N/A</v>
      </c>
      <c r="ED68" s="163" t="str">
        <f t="shared" si="19"/>
        <v>#N/A</v>
      </c>
      <c r="EE68" s="159">
        <f>('Scénario référence'!$F$8+'Scénario référence'!$F$9+'Scénario référence'!$B$17+'Scénario référence'!$B$9+'Scénario référence'!$B$10)*70+IF((45+25*(1-EXP(-0.0175*A68)))&lt;70,'Scénario référence'!$B$16*(45+25*(1-EXP(-0.0175*A68))),70*'Scénario référence'!$B$16)+IF((32+38*(1-EXP(-0.0175*A68)))&lt;70,'Scénario référence'!$B$18*(32+38*(1-EXP(-0.0175*A68))),70*'Scénario référence'!$B$18)</f>
        <v>70</v>
      </c>
      <c r="EF68" s="151">
        <f>IF(A68&gt;30,10,('Scénario référence'!$B$16+'Scénario référence'!$B$17+'Scénario référence'!$B$18+'Scénario référence'!$B$9+'Scénario référence'!$B$10)*A68*10/30+('Scénario référence'!$F$8+'Scénario référence'!$F$9)*10)</f>
        <v>10</v>
      </c>
      <c r="EG68" s="151" t="str">
        <f>VLOOKUP(A68,'Données projet'!$A$191:$I$211,2,0)</f>
        <v>#N/A</v>
      </c>
      <c r="EH68" s="151" t="str">
        <f>VLOOKUP(A68,'Données projet'!$A$191:$I$211,9,0)</f>
        <v>#N/A</v>
      </c>
      <c r="EI68" s="151" t="str">
        <f t="array" ref="EI68">INDEX(EH:EH,MIN(IF(ISNUMBER(EH68:EH264),ROW(EH68:EH264),"")))</f>
        <v/>
      </c>
      <c r="EJ68" s="151">
        <f>IF('Données projet'!$A$192&gt;35,EJ67+EI68-ER67,IF(A68&lt;'Données projet'!$A$192,$EG$205^A68,IF(A68='Données projet'!$A$192,'Données projet'!$B$192,EJ67+EI68-ER67)))</f>
        <v>0</v>
      </c>
      <c r="EK68" s="158" t="str">
        <f>EJ68*VLOOKUP('Données projet'!$B$15,'Paramètres'!$A$1:$I$88,3,0)*VLOOKUP('Données projet'!$B$15,'Paramètres'!$A$1:$I$88,5,0)</f>
        <v>#N/A</v>
      </c>
      <c r="EL68" s="150" t="str">
        <f t="shared" si="46"/>
        <v>#N/A</v>
      </c>
      <c r="EM68" s="161" t="str">
        <f t="shared" si="20"/>
        <v>#N/A</v>
      </c>
      <c r="EN68" s="153" t="str">
        <f t="shared" si="21"/>
        <v>#N/A</v>
      </c>
      <c r="EO68" s="153" t="str">
        <f>AVERAGE(OFFSET($EN$3,0,0,'Données projet'!$E$15+1,1))-AVERAGE(OFFSET($H$3,0,0,'Données projet'!$E$15+1,1))</f>
        <v>#N/A</v>
      </c>
      <c r="EP68" s="153" t="str">
        <f t="shared" si="47"/>
        <v>#N/A</v>
      </c>
      <c r="EQ68" s="154">
        <f>IF(ISNA(VLOOKUP(A68,'Données projet'!$A$191:$I$211,3,0)),0,VLOOKUP(A68,'Données projet'!$A$191:$I$211,3,0))</f>
        <v>0</v>
      </c>
      <c r="ER68" s="154">
        <f>IF(ISNA(VLOOKUP(A68,'Données projet'!$A$191:$I$211,4,0)),0,VLOOKUP(A68,'Données projet'!$A$191:$I$211,4,0))</f>
        <v>0</v>
      </c>
      <c r="ES68" s="155">
        <f>IF(ISNA(VLOOKUP(A68,'Données projet'!$A$191:$I$211,5,0)),0%,VLOOKUP(A68,'Données projet'!$A$191:$I$211,5,0)*VLOOKUP('Données projet'!$B$15,'Paramètres'!$A$1:$I$88,7,0))</f>
        <v>0</v>
      </c>
      <c r="ET68" s="155">
        <f>IF(ISNA(VLOOKUP(A68,'Données projet'!$A$191:$I$211,6,0)),0%,VLOOKUP(A68,'Données projet'!$A$191:$I$211,6,0)*VLOOKUP('Données projet'!$B$15,'Paramètres'!$A$1:$I$88,7,0))</f>
        <v>0</v>
      </c>
      <c r="EU68" s="155">
        <f>IF(ISNA(VLOOKUP(A68,'Données projet'!$A$191:$I$211,7,0)),0%,VLOOKUP(A68,'Données projet'!$A$191:$I$211,7,0))</f>
        <v>0</v>
      </c>
      <c r="EV68" s="162" t="str">
        <f>EXP(-LN(2)/35)*EV67+(1-EXP(-LN(2)/35))/(LN(2)/35)*ER68*ES68*VLOOKUP('Données projet'!$B$15,'Paramètres'!$A$1:$I$88,3,0)*0.475*44/12</f>
        <v>#N/A</v>
      </c>
      <c r="EW68" s="162" t="str">
        <f>EXP(-LN(2)/25)*EW67+(1-EXP(-LN(2)/25))/(LN(2)/25)*Calculateur!ER68*Calculateur!ET68*VLOOKUP('Données projet'!$B$15,'Paramètres'!$A$1:$I$88,3,0)*0.475*44/12</f>
        <v>#N/A</v>
      </c>
      <c r="EX68" s="162" t="str">
        <f>EXP(-LN(2)/2)*EX67+(1-EXP(-LN(2)/2))/(LN(2)/2)*ER68*EU68*VLOOKUP('Données projet'!$B$15,'Paramètres'!$A$1:$I$88,3,0)*0.475*44/12</f>
        <v>#N/A</v>
      </c>
      <c r="EY68" s="163" t="str">
        <f t="shared" si="22"/>
        <v>#N/A</v>
      </c>
      <c r="EZ68" s="159">
        <f>('Scénario référence'!$F$8+'Scénario référence'!$F$9+'Scénario référence'!$B$17+'Scénario référence'!$B$9+'Scénario référence'!$B$10)*70+IF((45+25*(1-EXP(-0.0175*A68)))&lt;70,'Scénario référence'!$B$16*(45+25*(1-EXP(-0.0175*A68))),70*'Scénario référence'!$B$16)+IF((32+38*(1-EXP(-0.0175*A68)))&lt;70,'Scénario référence'!$B$18*(32+38*(1-EXP(-0.0175*A68))),70*'Scénario référence'!$B$18)</f>
        <v>70</v>
      </c>
      <c r="FA68" s="151">
        <f>IF(A68&gt;30,10,('Scénario référence'!$B$16+'Scénario référence'!$B$17+'Scénario référence'!$B$18+'Scénario référence'!$B$9+'Scénario référence'!$B$10)*A68*10/30+('Scénario référence'!$F$8+'Scénario référence'!$F$9)*10)</f>
        <v>10</v>
      </c>
      <c r="FB68" s="151" t="str">
        <f>VLOOKUP(A68,'Données projet'!$A$217:$I$237,2,0)</f>
        <v>#N/A</v>
      </c>
      <c r="FC68" s="151" t="str">
        <f>VLOOKUP(A68,'Données projet'!$A$217:$I$237,9,0)</f>
        <v>#N/A</v>
      </c>
      <c r="FD68" s="151" t="str">
        <f t="array" ref="FD68">INDEX(FC:FC,MIN(IF(ISNUMBER(FC68:FC264),ROW(FC68:FC264),"")))</f>
        <v/>
      </c>
      <c r="FE68" s="151">
        <f>IF('Données projet'!$A$218&gt;35,FE67+FD68-FM67,IF(A68&lt;'Données projet'!$A$218,$FB$205^A68,IF(A68='Données projet'!$A$218,'Données projet'!$B$218,FE67+FD68-FM67)))</f>
        <v>0</v>
      </c>
      <c r="FF68" s="158" t="str">
        <f>FE68*VLOOKUP('Données projet'!$B$16,'Paramètres'!$A$1:$I$88,3,0)*VLOOKUP('Données projet'!$B$16,'Paramètres'!$A$1:$I$88,5,0)</f>
        <v>#N/A</v>
      </c>
      <c r="FG68" s="150" t="str">
        <f t="shared" si="48"/>
        <v>#N/A</v>
      </c>
      <c r="FH68" s="161" t="str">
        <f t="shared" si="23"/>
        <v>#N/A</v>
      </c>
      <c r="FI68" s="153" t="str">
        <f t="shared" si="24"/>
        <v>#N/A</v>
      </c>
      <c r="FJ68" s="153" t="str">
        <f>AVERAGE(OFFSET($FI$3,0,0,'Données projet'!$E$16+1,1))-AVERAGE(OFFSET($H$3,0,0,'Données projet'!$E$16+1,1))</f>
        <v>#N/A</v>
      </c>
      <c r="FK68" s="153" t="str">
        <f t="shared" si="49"/>
        <v>#N/A</v>
      </c>
      <c r="FL68" s="154">
        <f>IF(ISNA(VLOOKUP(A68,'Données projet'!$A$217:$I$237,3,0)),0,VLOOKUP(A68,'Données projet'!$A$217:$I$237,3,0))</f>
        <v>0</v>
      </c>
      <c r="FM68" s="154">
        <f>IF(ISNA(VLOOKUP(A68,'Données projet'!$A$217:$I$237,4,0)),0,VLOOKUP(A68,'Données projet'!$A$217:$I$237,4,0))</f>
        <v>0</v>
      </c>
      <c r="FN68" s="155">
        <f>IF(ISNA(VLOOKUP(A68,'Données projet'!$A$217:$I$237,5,0)),0%,VLOOKUP(A68,'Données projet'!$A$217:$I$237,5,0)*VLOOKUP('Données projet'!$B$16,'Paramètres'!$A$1:$I$88,7,0))</f>
        <v>0</v>
      </c>
      <c r="FO68" s="155">
        <f>IF(ISNA(VLOOKUP(A68,'Données projet'!$A$217:$I$237,6,0)),0%,VLOOKUP(A68,'Données projet'!$A$217:$I$237,6,0)*VLOOKUP('Données projet'!$B$16,'Paramètres'!$A$1:$I$88,7,0))</f>
        <v>0</v>
      </c>
      <c r="FP68" s="155">
        <f>IF(ISNA(VLOOKUP(A68,'Données projet'!$A$217:$I$237,7,0)),0%,VLOOKUP(A68,'Données projet'!$A$217:$I$237,7,0))</f>
        <v>0</v>
      </c>
      <c r="FQ68" s="162" t="str">
        <f>EXP(-LN(2)/35)*FQ67+(1-EXP(-LN(2)/35))/(LN(2)/35)*FM68*FN68*VLOOKUP('Données projet'!$B$16,'Paramètres'!$A$1:$I$88,3,0)*0.475*44/12</f>
        <v>#N/A</v>
      </c>
      <c r="FR68" s="162" t="str">
        <f>EXP(-LN(2)/25)*FR67+(1-EXP(-LN(2)/25))/(LN(2)/25)*Calculateur!FM68*Calculateur!FO68*VLOOKUP('Données projet'!$B$16,'Paramètres'!$A$1:$I$88,3,0)*0.475*44/12</f>
        <v>#N/A</v>
      </c>
      <c r="FS68" s="162" t="str">
        <f>EXP(-LN(2)/2)*FS67+(1-EXP(-LN(2)/2))/(LN(2)/2)*FM68*FP68*VLOOKUP('Données projet'!$B$16,'Paramètres'!$A$1:$I$88,3,0)*0.475*44/12</f>
        <v>#N/A</v>
      </c>
      <c r="FT68" s="163" t="str">
        <f t="shared" si="25"/>
        <v>#N/A</v>
      </c>
      <c r="FU68" s="159">
        <f>('Scénario référence'!$F$8+'Scénario référence'!$F$9+'Scénario référence'!$B$17+'Scénario référence'!$B$9+'Scénario référence'!$B$10)*70+IF((45+25*(1-EXP(-0.0175*A68)))&lt;70,'Scénario référence'!$B$16*(45+25*(1-EXP(-0.0175*A68))),70*'Scénario référence'!$B$16)+IF((32+38*(1-EXP(-0.0175*A68)))&lt;70,'Scénario référence'!$B$18*(32+38*(1-EXP(-0.0175*A68))),70*'Scénario référence'!$B$18)</f>
        <v>70</v>
      </c>
      <c r="FV68" s="151">
        <f>IF(A68&gt;30,10,('Scénario référence'!$B$16+'Scénario référence'!$B$17+'Scénario référence'!$B$18+'Scénario référence'!$B$9+'Scénario référence'!$B$10)*A68*10/30+('Scénario référence'!$F$8+'Scénario référence'!$F$9)*10)</f>
        <v>10</v>
      </c>
      <c r="FW68" s="151" t="str">
        <f>VLOOKUP(A68,'Données projet'!$A$243:$I$263,2,0)</f>
        <v>#N/A</v>
      </c>
      <c r="FX68" s="151" t="str">
        <f>VLOOKUP(A68,'Données projet'!$A$243:$I$263,9,0)</f>
        <v>#N/A</v>
      </c>
      <c r="FY68" s="151" t="str">
        <f t="array" ref="FY68">INDEX(FX:FX,MIN(IF(ISNUMBER(FX68:FX264),ROW(FX68:FX264),"")))</f>
        <v/>
      </c>
      <c r="FZ68" s="151">
        <f>IF('Données projet'!$A$244&gt;35,FZ67+FY68-GH67,IF(A68&lt;'Données projet'!$A$244,$FW$205^A68,IF(A68='Données projet'!$A$244,'Données projet'!$B$244,FZ67+FY68-GH67)))</f>
        <v>0</v>
      </c>
      <c r="GA68" s="158" t="str">
        <f>FZ68*VLOOKUP('Données projet'!$B$17,'Paramètres'!$A$1:$I$88,3,0)*VLOOKUP('Données projet'!$B$17,'Paramètres'!$A$1:$I$88,5,0)</f>
        <v>#N/A</v>
      </c>
      <c r="GB68" s="150" t="str">
        <f t="shared" si="50"/>
        <v>#N/A</v>
      </c>
      <c r="GC68" s="161" t="str">
        <f t="shared" si="26"/>
        <v>#N/A</v>
      </c>
      <c r="GD68" s="153" t="str">
        <f t="shared" si="27"/>
        <v>#N/A</v>
      </c>
      <c r="GE68" s="153" t="str">
        <f>AVERAGE(OFFSET($GD$3,0,0,'Données projet'!$E$17+1,1))-AVERAGE(OFFSET($H$3,0,0,'Données projet'!$E$17+1,1))</f>
        <v>#N/A</v>
      </c>
      <c r="GF68" s="153" t="str">
        <f t="shared" si="51"/>
        <v>#N/A</v>
      </c>
      <c r="GG68" s="154">
        <f>IF(ISNA(VLOOKUP(A68,'Données projet'!$A$243:$I$263,3,0)),0,VLOOKUP(A68,'Données projet'!$A$243:$I$263,3,0))</f>
        <v>0</v>
      </c>
      <c r="GH68" s="154">
        <f>IF(ISNA(VLOOKUP(A68,'Données projet'!$A$243:$I$263,4,0)),0,VLOOKUP(A68,'Données projet'!$A$243:$I$263,4,0))</f>
        <v>0</v>
      </c>
      <c r="GI68" s="155">
        <f>IF(ISNA(VLOOKUP(A68,'Données projet'!$A$243:$I$263,5,0)),0%,VLOOKUP(A68,'Données projet'!$A$243:$I$263,5,0)*VLOOKUP('Données projet'!$B$17,'Paramètres'!$A$1:$I$88,7,0))</f>
        <v>0</v>
      </c>
      <c r="GJ68" s="155">
        <f>IF(ISNA(VLOOKUP(A68,'Données projet'!$A$243:$I$263,6,0)),0%,VLOOKUP(A68,'Données projet'!$A$243:$I$263,6,0)*VLOOKUP('Données projet'!$B$17,'Paramètres'!$A$1:$I$88,7,0))</f>
        <v>0</v>
      </c>
      <c r="GK68" s="155">
        <f>IF(ISNA(VLOOKUP(A68,'Données projet'!$A$243:$I$263,7,0)),0%,VLOOKUP(A68,'Données projet'!$A$243:$I$263,7,0))</f>
        <v>0</v>
      </c>
      <c r="GL68" s="162" t="str">
        <f>EXP(-LN(2)/35)*GL67+(1-EXP(-LN(2)/35))/(LN(2)/35)*GH68*GI68*VLOOKUP('Données projet'!$B$17,'Paramètres'!$A$1:$I$88,3,0)*0.475*44/12</f>
        <v>#N/A</v>
      </c>
      <c r="GM68" s="162" t="str">
        <f>EXP(-LN(2)/25)*GM67+(1-EXP(-LN(2)/25))/(LN(2)/25)*Calculateur!GH68*Calculateur!GJ68*VLOOKUP('Données projet'!$B$17,'Paramètres'!$A$1:$I$88,3,0)*0.475*44/12</f>
        <v>#N/A</v>
      </c>
      <c r="GN68" s="162" t="str">
        <f>EXP(-LN(2)/2)*GN67+(1-EXP(-LN(2)/2))/(LN(2)/2)*GH68*GK68*VLOOKUP('Données projet'!$B$17,'Paramètres'!$A$1:$I$88,3,0)*0.475*44/12</f>
        <v>#N/A</v>
      </c>
      <c r="GO68" s="162" t="str">
        <f t="shared" si="28"/>
        <v>#N/A</v>
      </c>
      <c r="GP68" s="159">
        <f>('Scénario référence'!$F$8+'Scénario référence'!$F$9+'Scénario référence'!$B$17+'Scénario référence'!$B$9+'Scénario référence'!$B$10)*70+IF((45+25*(1-EXP(-0.0175*A68)))&lt;70,'Scénario référence'!$B$16*(45+25*(1-EXP(-0.0175*A68))),70*'Scénario référence'!$B$16)+IF((32+38*(1-EXP(-0.0175*A68)))&lt;70,'Scénario référence'!$B$18*(32+38*(1-EXP(-0.0175*A68))),70*'Scénario référence'!$B$18)</f>
        <v>70</v>
      </c>
      <c r="GQ68" s="151">
        <f>IF(A68&gt;30,10,('Scénario référence'!$B$16+'Scénario référence'!$B$17+'Scénario référence'!$B$18+'Scénario référence'!$B$9+'Scénario référence'!$B$10)*A68*10/30+('Scénario référence'!$F$8+'Scénario référence'!$F$9)*10)</f>
        <v>10</v>
      </c>
      <c r="GR68" s="151" t="str">
        <f>VLOOKUP(A68,'Données projet'!$A$269:$I$289,2,0)</f>
        <v>#N/A</v>
      </c>
      <c r="GS68" s="151" t="str">
        <f>VLOOKUP(A68,'Données projet'!$A$269:$I$289,9,0)</f>
        <v>#N/A</v>
      </c>
      <c r="GT68" s="151" t="str">
        <f t="array" ref="GT68">INDEX(GS:GS,MIN(IF(ISNUMBER(GS68:GS264),ROW(GS68:GS264),"")))</f>
        <v/>
      </c>
      <c r="GU68" s="151">
        <f>IF('Données projet'!$A$270&gt;35,GU67+GT68-HC67,IF(A68&lt;'Données projet'!$A$270,$GR$205^A68,IF(A68='Données projet'!$A$270,'Données projet'!$B$270,GU67+GT68-HC67)))</f>
        <v>0</v>
      </c>
      <c r="GV68" s="158" t="str">
        <f>GU68*VLOOKUP('Données projet'!$B$18,'Paramètres'!$A$1:$I$88,3,0)*VLOOKUP('Données projet'!$B$18,'Paramètres'!$A$1:$I$88,5,0)</f>
        <v>#N/A</v>
      </c>
      <c r="GW68" s="150" t="str">
        <f t="shared" si="52"/>
        <v>#N/A</v>
      </c>
      <c r="GX68" s="161" t="str">
        <f t="shared" si="29"/>
        <v>#N/A</v>
      </c>
      <c r="GY68" s="153" t="str">
        <f t="shared" si="30"/>
        <v>#N/A</v>
      </c>
      <c r="GZ68" s="153" t="str">
        <f>AVERAGE(OFFSET($GY$3,0,0,'Données projet'!$E$18+1,1))-AVERAGE(OFFSET($H$3,0,0,'Données projet'!$E$18+1,1))</f>
        <v>#N/A</v>
      </c>
      <c r="HA68" s="153" t="str">
        <f t="shared" si="53"/>
        <v>#N/A</v>
      </c>
      <c r="HB68" s="154">
        <f>IF(ISNA(VLOOKUP(A68,'Données projet'!$A$269:$I$289,3,0)),0,VLOOKUP(A68,'Données projet'!$A$269:$I$289,3,0))</f>
        <v>0</v>
      </c>
      <c r="HC68" s="154">
        <f>IF(ISNA(VLOOKUP(A68,'Données projet'!$A$269:$I$289,4,0)),0,VLOOKUP(A68,'Données projet'!$A$269:$I$289,4,0))</f>
        <v>0</v>
      </c>
      <c r="HD68" s="155">
        <f>IF(ISNA(VLOOKUP(A68,'Données projet'!$A$269:$I$289,5,0)),0%,VLOOKUP(A68,'Données projet'!$A$269:$I$289,5,0)*VLOOKUP('Données projet'!$B$18,'Paramètres'!$A$1:$I$88,7,0))</f>
        <v>0</v>
      </c>
      <c r="HE68" s="155">
        <f>IF(ISNA(VLOOKUP(A68,'Données projet'!$A$269:$I$289,6,0)),0%,VLOOKUP(A68,'Données projet'!$A$269:$I$289,6,0)*VLOOKUP('Données projet'!$B$18,'Paramètres'!$A$1:$I$88,7,0))</f>
        <v>0</v>
      </c>
      <c r="HF68" s="155">
        <f>IF(ISNA(VLOOKUP(A68,'Données projet'!$A$269:$I$289,7,0)),0%,VLOOKUP(A68,'Données projet'!$A$269:$I$289,7,0))</f>
        <v>0</v>
      </c>
      <c r="HG68" s="162" t="str">
        <f>EXP(-LN(2)/35)*HG67+(1-EXP(-LN(2)/35))/(LN(2)/35)*HC68*HD68*VLOOKUP('Données projet'!$B$18,'Paramètres'!$A$1:$I$88,3,0)*0.475*44/12</f>
        <v>#N/A</v>
      </c>
      <c r="HH68" s="162" t="str">
        <f>EXP(-LN(2)/25)*HH67+(1-EXP(-LN(2)/25))/(LN(2)/25)*Calculateur!HC68*Calculateur!HE68*VLOOKUP('Données projet'!$B$18,'Paramètres'!$A$1:$I$88,3,0)*0.475*44/12</f>
        <v>#N/A</v>
      </c>
      <c r="HI68" s="162" t="str">
        <f>EXP(-LN(2)/2)*HI67+(1-EXP(-LN(2)/2))/(LN(2)/2)*HC68*HF68*VLOOKUP('Données projet'!$B$18,'Paramètres'!$A$1:$I$88,3,0)*0.475*44/12</f>
        <v>#N/A</v>
      </c>
      <c r="HJ68" s="163" t="str">
        <f t="shared" si="31"/>
        <v>#N/A</v>
      </c>
    </row>
    <row r="69" ht="15.75" customHeight="1">
      <c r="A69" s="145">
        <f t="shared" si="32"/>
        <v>66</v>
      </c>
      <c r="B69" s="146">
        <f>'Scénario référence'!$B$16*5+'Scénario référence'!$B$17*0+'Scénario référence'!$B$18*5</f>
        <v>0</v>
      </c>
      <c r="C69" s="160">
        <f>Calculateur!C68+'Scénario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69" s="147">
        <f t="shared" si="33"/>
        <v>0</v>
      </c>
      <c r="E69" s="147">
        <f>'Scénario référence'!$B$16*45+('Scénario référence'!$B$17+'Scénario référence'!$F$8+'Scénario référence'!$F$9+'Scénario référence'!$B$10+'Scénario référence'!$B$9)*70+'Scénario référence'!$B$18*32</f>
        <v>70</v>
      </c>
      <c r="F69" s="147">
        <f>IF(OR('Scénario référence'!$F$8&gt;0,'Scénario référence'!$F$9&gt;0),('Scénario référence'!$F$8+'Scénario référence'!$F$9)*10,0)</f>
        <v>0</v>
      </c>
      <c r="G69" s="147">
        <f>'Scénario référence'!$B$8*B69*44/12+'Scénario référence'!$B$9*(C69+D69)/0.475*44/12+'Scénario référence'!$B$10*(C69+D69)/0.475*44/12+'Scénario référence'!$F$8*(C69+D69)/0.475*44/12+'Scénario référence'!$F$9*(C69+D69)/0.475*44/12</f>
        <v>0</v>
      </c>
      <c r="H69" s="148">
        <f t="shared" si="1"/>
        <v>256.6666667</v>
      </c>
      <c r="I69" s="149">
        <f>('Scénario référence'!$F$8+'Scénario référence'!$F$9+'Scénario référence'!$B$17+'Scénario référence'!$B$9+'Scénario référence'!$B$10)*70+IF((45+25*(1-EXP(-0.0175*A69)))&lt;70,'Scénario référence'!$B$16*(45+25*(1-EXP(-0.0175*A69))),70*'Scénario référence'!$B$16)+IF((32+38*(1-EXP(-0.0175*A69)))&lt;70,'Scénario référence'!$B$18*(32+38*(1-EXP(-0.0175*A69))),70*'Scénario référence'!$B$18)</f>
        <v>70</v>
      </c>
      <c r="J69" s="150">
        <f>IF(A69&gt;30,10,('Scénario référence'!$B$16+'Scénario référence'!$B$17+'Scénario référence'!$B$18+'Scénario référence'!$B$9+'Scénario référence'!$B$10)*A69*10/30+('Scénario référence'!$F$8+'Scénario référence'!$F$9)*10)</f>
        <v>10</v>
      </c>
      <c r="K69" s="151" t="str">
        <f>VLOOKUP(A69,'Données projet'!$A$35:$I$55,2,0)</f>
        <v>#N/A</v>
      </c>
      <c r="L69" s="151" t="str">
        <f>VLOOKUP(A69,'Données projet'!$A$35:$I$55,9,0)</f>
        <v>#N/A</v>
      </c>
      <c r="M69" s="150">
        <f t="array" ref="M69">INDEX(L:L,MIN(IF(ISNUMBER(L69:L265),ROW(L69:L265),"")))</f>
        <v>8.2</v>
      </c>
      <c r="N69" s="150">
        <f>IF('Données projet'!$A$36&gt;35,N68+M69-V68,IF(A69&lt;'Données projet'!$A$36,$K$205^A69,IF(A69='Données projet'!$A$36,'Données projet'!$B$36,N68+M69-V68)))</f>
        <v>269.2</v>
      </c>
      <c r="O69" s="150">
        <f>N69*VLOOKUP('Données projet'!$B$9,'Paramètres'!$A$1:$I$88,3,0)*VLOOKUP('Données projet'!$B$9,'Paramètres'!$A$1:$I$88,5,0)</f>
        <v>243.57216</v>
      </c>
      <c r="P69" s="150">
        <f t="shared" si="34"/>
        <v>59.207436</v>
      </c>
      <c r="Q69" s="161">
        <f t="shared" si="2"/>
        <v>527.3411297</v>
      </c>
      <c r="R69" s="153">
        <f t="shared" si="3"/>
        <v>820.674463</v>
      </c>
      <c r="S69" s="153">
        <f>AVERAGE(OFFSET($R$3,0,0,'Données projet'!$E$9+1,1))-AVERAGE(OFFSET($H$3,0,0,'Données projet'!$E$9+1,1))</f>
        <v>439.1985427</v>
      </c>
      <c r="T69" s="153">
        <f t="shared" si="35"/>
        <v>278.2174123</v>
      </c>
      <c r="U69" s="154">
        <f>IF(ISNA(VLOOKUP(A69,'Données projet'!$A$35:$I$55,3,0)),0,VLOOKUP(A69,'Données projet'!$A$35:$I$55,3,0))</f>
        <v>0</v>
      </c>
      <c r="V69" s="154">
        <f>IF(ISNA(VLOOKUP(A69,'Données projet'!$A$35:$I$55,4,0)),0,VLOOKUP(A69,'Données projet'!$A$35:$I$55,4,0))</f>
        <v>0</v>
      </c>
      <c r="W69" s="155">
        <f>IF(ISNA(VLOOKUP(A69,'Données projet'!$A$35:$I$55,5,0)),0%,VLOOKUP(A69,'Données projet'!$A$35:$I$55,5,0)*VLOOKUP('Données projet'!$B$9,'Paramètres'!$A$1:$I$88,7,0))</f>
        <v>0</v>
      </c>
      <c r="X69" s="155">
        <f>IF(ISNA(VLOOKUP(A69,'Données projet'!$A$35:$I$55,6,0)),0%,VLOOKUP(A69,'Données projet'!$A$35:$I$55,6,0)*VLOOKUP('Données projet'!$B$9,'Paramètres'!$A$1:$I$88,7,0))</f>
        <v>0</v>
      </c>
      <c r="Y69" s="155">
        <f>IF(ISNA(VLOOKUP(A69,'Données projet'!$A$35:$I$55,7,0)),0%,VLOOKUP(A69,'Données projet'!$A$35:$I$55,7,0))</f>
        <v>0</v>
      </c>
      <c r="Z69" s="162">
        <f>EXP(-LN(2)/35)*Z68+(1-EXP(-LN(2)/35))/(LN(2)/35)*V69*W69*VLOOKUP('Données projet'!$B$9,'Paramètres'!$A$1:$I$88,3,0)*0.475*44/12</f>
        <v>0</v>
      </c>
      <c r="AA69" s="162">
        <f>EXP(-LN(2)/25)*AA68+(1-EXP(-LN(2)/25))/(LN(2)/25)*Calculateur!V69*Calculateur!X69*VLOOKUP('Données projet'!$B$9,'Paramètres'!$A$1:$I$88,3,0)*0.475*44/12</f>
        <v>1.65397555</v>
      </c>
      <c r="AB69" s="162">
        <f>EXP(-LN(2)/2)*AB68+(1-EXP(-LN(2)/2))/(LN(2)/2)*V69*Y69*VLOOKUP('Données projet'!$B$9,'Paramètres'!$A$1:$I$88,3,0)*0.475*44/12</f>
        <v>0</v>
      </c>
      <c r="AC69" s="163">
        <f t="shared" si="4"/>
        <v>1.65397555</v>
      </c>
      <c r="AD69" s="150">
        <f>('Scénario référence'!$F$8+'Scénario référence'!$F$9+'Scénario référence'!$B$17+'Scénario référence'!$B$9+'Scénario référence'!$B$10)*70+IF((45+25*(1-EXP(-0.0175*A69)))&lt;70,'Scénario référence'!$B$16*(45+25*(1-EXP(-0.0175*A69))),70*'Scénario référence'!$B$16)+IF((32+38*(1-EXP(-0.0175*A69)))&lt;70,'Scénario référence'!$B$18*(32+38*(1-EXP(-0.0175*A69))),70*'Scénario référence'!$B$18)</f>
        <v>70</v>
      </c>
      <c r="AE69" s="150">
        <f>IF(A69&gt;30,10,('Scénario référence'!$B$16+'Scénario référence'!$B$17+'Scénario référence'!$B$18+'Scénario référence'!$B$9+'Scénario référence'!$B$10)*A69*10/30+('Scénario référence'!$F$8+'Scénario référence'!$F$9)*10)</f>
        <v>10</v>
      </c>
      <c r="AF69" s="151" t="str">
        <f>VLOOKUP(A69,'Données projet'!$A$61:$I$81,2,0)</f>
        <v>#N/A</v>
      </c>
      <c r="AG69" s="151" t="str">
        <f>VLOOKUP(A69,'Données projet'!$A$61:$I$81,9,0)</f>
        <v>#N/A</v>
      </c>
      <c r="AH69" s="150">
        <f t="array" ref="AH69">INDEX(AG:AG,MIN(IF(ISNUMBER(AG69:AG265),ROW(AG69:AG265),"")))</f>
        <v>5.2</v>
      </c>
      <c r="AI69" s="150">
        <f>IF('Données projet'!$A$62&gt;35,AI68+AH69-AQ68,IF(A69&lt;'Données projet'!$A$62,$AF$205^A69,IF(A69='Données projet'!$A$62,'Données projet'!$B$62,AI68+AH69-AQ68)))</f>
        <v>345.2</v>
      </c>
      <c r="AJ69" s="150">
        <f>AI69*VLOOKUP('Données projet'!$B$10,'Paramètres'!$A$1:$I$88,3,0)*VLOOKUP('Données projet'!$B$10,'Paramètres'!$A$1:$I$88,5,0)</f>
        <v>274.64112</v>
      </c>
      <c r="AK69" s="150">
        <f t="shared" si="36"/>
        <v>65.83325296</v>
      </c>
      <c r="AL69" s="161">
        <f t="shared" si="5"/>
        <v>592.9928662</v>
      </c>
      <c r="AM69" s="153">
        <f t="shared" si="6"/>
        <v>886.3261996</v>
      </c>
      <c r="AN69" s="153">
        <f>AVERAGE(OFFSET($AM$3,0,0,'Données projet'!$E$10+1,1))-AVERAGE(OFFSET($H$3,0,0,'Données projet'!$E$10+1,1))</f>
        <v>405.6113614</v>
      </c>
      <c r="AO69" s="153">
        <f t="shared" si="37"/>
        <v>393.0787141</v>
      </c>
      <c r="AP69" s="154">
        <f>IF(ISNA(VLOOKUP(A69,'Données projet'!$A$61:$I$81,3,0)),0,VLOOKUP(A69,'Données projet'!$A$61:$I$81,3,0))</f>
        <v>0</v>
      </c>
      <c r="AQ69" s="154">
        <f>IF(ISNA(VLOOKUP(A69,'Données projet'!$A$61:$I$81,4,0)),0,VLOOKUP(A69,'Données projet'!$A$61:$I$81,4,0))</f>
        <v>0</v>
      </c>
      <c r="AR69" s="155">
        <f>IF(ISNA(VLOOKUP(A69,'Données projet'!$A$61:$I$81,5,0)),0%,VLOOKUP(A69,'Données projet'!$A$61:$I$81,5,0)*VLOOKUP('Données projet'!$B$10,'Paramètres'!$A$1:$I$88,7,0))</f>
        <v>0</v>
      </c>
      <c r="AS69" s="155">
        <f>IF(ISNA(VLOOKUP(A69,'Données projet'!$A$61:$I$81,6,0)),0%,VLOOKUP(A69,'Données projet'!$A$61:$I$81,6,0)*VLOOKUP('Données projet'!$B$10,'Paramètres'!$A$1:$I$88,7,0))</f>
        <v>0</v>
      </c>
      <c r="AT69" s="155">
        <f>IF(ISNA(VLOOKUP(A69,'Données projet'!$A$61:$I$81,7,0)),0%,VLOOKUP(A69,'Données projet'!$A$61:$I$81,7,0))</f>
        <v>0</v>
      </c>
      <c r="AU69" s="162">
        <f>EXP(-LN(2)/35)*AU68+(1-EXP(-LN(2)/35))/(LN(2)/35)*AQ69*AR69*VLOOKUP('Données projet'!$B$10,'Paramètres'!$A$1:$I$88,3,0)*0.475*44/12</f>
        <v>0</v>
      </c>
      <c r="AV69" s="162">
        <f>EXP(-LN(2)/25)*AV68+(1-EXP(-LN(2)/25))/(LN(2)/25)*Calculateur!AQ69*Calculateur!AS69*VLOOKUP('Données projet'!$B$10,'Paramètres'!$A$1:$I$88,3,0)*0.475*44/12</f>
        <v>6.722177091</v>
      </c>
      <c r="AW69" s="162">
        <f>EXP(-LN(2)/2)*AW68+(1-EXP(-LN(2)/2))/(LN(2)/2)*AQ69*AT69*VLOOKUP('Données projet'!$B$10,'Paramètres'!$A$1:$I$88,3,0)*0.475*44/12</f>
        <v>0.000002211426559</v>
      </c>
      <c r="AX69" s="162">
        <f t="shared" si="7"/>
        <v>6.722179303</v>
      </c>
      <c r="AY69" s="157">
        <f>('Scénario référence'!$F$8+'Scénario référence'!$F$9+'Scénario référence'!$B$17+'Scénario référence'!$B$9+'Scénario référence'!$B$10)*70+IF((45+25*(1-EXP(-0.0175*A69)))&lt;70,'Scénario référence'!$B$16*(45+25*(1-EXP(-0.0175*A69))),70*'Scénario référence'!$B$16)+IF((32+38*(1-EXP(-0.0175*A69)))&lt;70,'Scénario référence'!$B$18*(32+38*(1-EXP(-0.0175*A69))),70*'Scénario référence'!$B$18)</f>
        <v>70</v>
      </c>
      <c r="AZ69" s="151">
        <f>IF(A69&gt;30,10,('Scénario référence'!$B$16+'Scénario référence'!$B$17+'Scénario référence'!$B$18+'Scénario référence'!$B$9+'Scénario référence'!$B$10)*A69*10/30+('Scénario référence'!$F$8+'Scénario référence'!$F$9)*10)</f>
        <v>10</v>
      </c>
      <c r="BA69" s="151" t="str">
        <f>VLOOKUP(A69,'Données projet'!$A$87:$I$107,2,0)</f>
        <v>#N/A</v>
      </c>
      <c r="BB69" s="151" t="str">
        <f>VLOOKUP(A69,'Données projet'!$A$87:$I$107,9,0)</f>
        <v>#N/A</v>
      </c>
      <c r="BC69" s="150" t="str">
        <f t="array" ref="BC69">INDEX(BB:BB,MIN(IF(ISNUMBER(BB69:BB265),ROW(BB69:BB265),"")))</f>
        <v/>
      </c>
      <c r="BD69" s="150">
        <f>IF('Données projet'!$A$88&gt;35,BD68+BC69-BL68,IF(A69&lt;'Données projet'!$A$88,$BA$205^A69,IF(A69='Données projet'!$A$88,'Données projet'!$B$88,BD68+BC69-BL68)))</f>
        <v>0</v>
      </c>
      <c r="BE69" s="150">
        <f>BD69*VLOOKUP('Données projet'!$B$11,'Paramètres'!$A$1:$I$88,3,0)*VLOOKUP('Données projet'!$B$11,'Paramètres'!$A$1:$I$88,5,0)</f>
        <v>0</v>
      </c>
      <c r="BF69" s="150" t="str">
        <f t="shared" si="38"/>
        <v>#NUM!</v>
      </c>
      <c r="BG69" s="161" t="str">
        <f t="shared" si="8"/>
        <v>#NUM!</v>
      </c>
      <c r="BH69" s="153" t="str">
        <f t="shared" si="9"/>
        <v>#NUM!</v>
      </c>
      <c r="BI69" s="153">
        <f>AVERAGE(OFFSET($BH$3,0,0,'Données projet'!$E$11+1,1))-AVERAGE(OFFSET($H$3,0,0,'Données projet'!$E$11+1,1))</f>
        <v>0</v>
      </c>
      <c r="BJ69" s="153">
        <f t="shared" si="39"/>
        <v>0</v>
      </c>
      <c r="BK69" s="154">
        <f>IF(ISNA(VLOOKUP(A69,'Données projet'!$A$87:$I$107,3,0)),0,VLOOKUP(A69,'Données projet'!$A$87:$I$107,3,0))</f>
        <v>0</v>
      </c>
      <c r="BL69" s="154">
        <f>IF(ISNA(VLOOKUP(A69,'Données projet'!$A$87:$I$107,4,0)),0,VLOOKUP(A69,'Données projet'!$A$87:$I$107,4,0))</f>
        <v>0</v>
      </c>
      <c r="BM69" s="155">
        <f>IF(ISNA(VLOOKUP(A69,'Données projet'!$A$87:$I$107,5,0)),0%,VLOOKUP(A69,'Données projet'!$A$87:$I$107,5,0)*VLOOKUP('Données projet'!$B$11,'Paramètres'!$A$1:$I$88,7,0))</f>
        <v>0</v>
      </c>
      <c r="BN69" s="155">
        <f>IF(ISNA(VLOOKUP(A69,'Données projet'!$A$87:$I$107,6,0)),0%,VLOOKUP(A69,'Données projet'!$A$87:$I$107,6,0)*VLOOKUP('Données projet'!$B$11,'Paramètres'!$A$1:$I$88,7,0))</f>
        <v>0</v>
      </c>
      <c r="BO69" s="155">
        <f>IF(ISNA(VLOOKUP(A69,'Données projet'!$A$87:$I$107,7,0)),0%,VLOOKUP(A69,'Données projet'!$A$87:$I$107,7,0))</f>
        <v>0</v>
      </c>
      <c r="BP69" s="162">
        <f>EXP(-LN(2)/35)*BP68+(1-EXP(-LN(2)/35))/(LN(2)/35)*BL69*BM69*VLOOKUP('Données projet'!$B$11,'Paramètres'!$A$1:$I$88,3,0)*0.475*44/12</f>
        <v>0</v>
      </c>
      <c r="BQ69" s="162">
        <f>EXP(-LN(2)/25)*BQ68+(1-EXP(-LN(2)/25))/(LN(2)/25)*Calculateur!BL69*Calculateur!BN69*VLOOKUP('Données projet'!$B$11,'Paramètres'!$A$1:$I$88,3,0)*0.475*44/12</f>
        <v>0</v>
      </c>
      <c r="BR69" s="162">
        <f>EXP(-LN(2)/2)*BR68+(1-EXP(-LN(2)/2))/(LN(2)/2)*BL69*BO69*VLOOKUP('Données projet'!$B$11,'Paramètres'!$A$1:$I$88,3,0)*0.475*44/12</f>
        <v>0</v>
      </c>
      <c r="BS69" s="163">
        <f t="shared" si="10"/>
        <v>0</v>
      </c>
      <c r="BT69" s="159">
        <f>('Scénario référence'!$F$8+'Scénario référence'!$F$9+'Scénario référence'!$B$17+'Scénario référence'!$B$9+'Scénario référence'!$B$10)*70+IF((45+25*(1-EXP(-0.0175*A69)))&lt;70,'Scénario référence'!$B$16*(45+25*(1-EXP(-0.0175*A69))),70*'Scénario référence'!$B$16)+IF((32+38*(1-EXP(-0.0175*A69)))&lt;70,'Scénario référence'!$B$18*(32+38*(1-EXP(-0.0175*A69))),70*'Scénario référence'!$B$18)</f>
        <v>70</v>
      </c>
      <c r="BU69" s="151">
        <f>IF(A69&gt;30,10,('Scénario référence'!$B$16+'Scénario référence'!$B$17+'Scénario référence'!$B$18+'Scénario référence'!$B$9+'Scénario référence'!$B$10)*A69*10/30+('Scénario référence'!$F$8+'Scénario référence'!$F$9)*10)</f>
        <v>10</v>
      </c>
      <c r="BV69" s="151" t="str">
        <f>VLOOKUP(A69,'Données projet'!$A$113:$I$133,2,0)</f>
        <v>#N/A</v>
      </c>
      <c r="BW69" s="151" t="str">
        <f>VLOOKUP(A69,'Données projet'!$A$113:$I$133,9,0)</f>
        <v>#N/A</v>
      </c>
      <c r="BX69" s="150" t="str">
        <f t="array" ref="BX69">INDEX(BW:BW,MIN(IF(ISNUMBER(BW69:BW265),ROW(BW69:BW265),"")))</f>
        <v/>
      </c>
      <c r="BY69" s="150">
        <f>IF('Données projet'!$A$114&gt;35,BY68+BX69-CG68,IF(A69&lt;'Données projet'!$A$114,$BV$205^A69,IF(A69='Données projet'!$A$114,'Données projet'!$B$114,BY68+BX69-CG68)))</f>
        <v>0</v>
      </c>
      <c r="BZ69" s="150" t="str">
        <f>BY69*VLOOKUP('Données projet'!$B$12,'Paramètres'!$A$1:$I$88,3,0)*VLOOKUP('Données projet'!$B$12,'Paramètres'!$A$1:$I$88,5,0)</f>
        <v>#N/A</v>
      </c>
      <c r="CA69" s="150" t="str">
        <f t="shared" si="40"/>
        <v>#N/A</v>
      </c>
      <c r="CB69" s="161" t="str">
        <f t="shared" si="11"/>
        <v>#N/A</v>
      </c>
      <c r="CC69" s="153" t="str">
        <f t="shared" si="12"/>
        <v>#N/A</v>
      </c>
      <c r="CD69" s="153" t="str">
        <f>AVERAGE(OFFSET($CC$3,0,0,'Données projet'!$E$12+1,1))-AVERAGE(OFFSET($H$3,0,0,'Données projet'!$E$12+1,1))</f>
        <v>#N/A</v>
      </c>
      <c r="CE69" s="153" t="str">
        <f t="shared" si="41"/>
        <v>#N/A</v>
      </c>
      <c r="CF69" s="154">
        <f>IF(ISNA(VLOOKUP(A69,'Données projet'!$A$113:$I$133,3,0)),0,VLOOKUP(A69,'Données projet'!$A$113:$I$133,3,0))</f>
        <v>0</v>
      </c>
      <c r="CG69" s="154">
        <f>IF(ISNA(VLOOKUP(A69,'Données projet'!$A$113:$I$133,4,0)),0,VLOOKUP(A69,'Données projet'!$A$113:$I$133,4,0))</f>
        <v>0</v>
      </c>
      <c r="CH69" s="155">
        <f>IF(ISNA(VLOOKUP(A69,'Données projet'!$A$113:$I$133,5,0)),0%,VLOOKUP(A69,'Données projet'!$A$113:$I$133,5,0)*VLOOKUP('Données projet'!$B$12,'Paramètres'!$A$1:$I$88,7,0))</f>
        <v>0</v>
      </c>
      <c r="CI69" s="155">
        <f>IF(ISNA(VLOOKUP(A69,'Données projet'!$A$113:$I$133,6,0)),0%,VLOOKUP(A69,'Données projet'!$A$113:$I$133,6,0)*VLOOKUP('Données projet'!$B$12,'Paramètres'!$A$1:$I$88,7,0))</f>
        <v>0</v>
      </c>
      <c r="CJ69" s="155">
        <f>IF(ISNA(VLOOKUP(A69,'Données projet'!$A$113:$I$133,7,0)),0%,VLOOKUP(A69,'Données projet'!$A$113:$I$133,7,0))</f>
        <v>0</v>
      </c>
      <c r="CK69" s="162" t="str">
        <f>EXP(-LN(2)/35)*CK68+(1-EXP(-LN(2)/35))/(LN(2)/35)*CG69*CH69*VLOOKUP('Données projet'!$B$12,'Paramètres'!$A$1:$I$88,3,0)*0.475*44/12</f>
        <v>#N/A</v>
      </c>
      <c r="CL69" s="162" t="str">
        <f>EXP(-LN(2)/25)*CL68+(1-EXP(-LN(2)/25))/(LN(2)/25)*Calculateur!CG69*Calculateur!CI69*VLOOKUP('Données projet'!$B$12,'Paramètres'!$A$1:$I$88,3,0)*0.475*44/12</f>
        <v>#N/A</v>
      </c>
      <c r="CM69" s="162" t="str">
        <f>EXP(-LN(2)/2)*CM68+(1-EXP(-LN(2)/2))/(LN(2)/2)*CG69*CJ69*VLOOKUP('Données projet'!$B$12,'Paramètres'!$A$1:$I$88,3,0)*0.475*44/12</f>
        <v>#N/A</v>
      </c>
      <c r="CN69" s="163" t="str">
        <f t="shared" si="13"/>
        <v>#N/A</v>
      </c>
      <c r="CO69" s="159">
        <f>('Scénario référence'!$F$8+'Scénario référence'!$F$9+'Scénario référence'!$B$17+'Scénario référence'!$B$9+'Scénario référence'!$B$10)*70+IF((45+25*(1-EXP(-0.0175*A69)))&lt;70,'Scénario référence'!$B$16*(45+25*(1-EXP(-0.0175*A69))),70*'Scénario référence'!$B$16)+IF((32+38*(1-EXP(-0.0175*A69)))&lt;70,'Scénario référence'!$B$18*(32+38*(1-EXP(-0.0175*A69))),70*'Scénario référence'!$B$18)</f>
        <v>70</v>
      </c>
      <c r="CP69" s="151">
        <f>IF(A69&gt;30,10,('Scénario référence'!$B$16+'Scénario référence'!$B$17+'Scénario référence'!$B$18+'Scénario référence'!$B$9+'Scénario référence'!$B$10)*A69*10/30+('Scénario référence'!$F$8+'Scénario référence'!$F$9)*10)</f>
        <v>10</v>
      </c>
      <c r="CQ69" s="151" t="str">
        <f>VLOOKUP(A69,'Données projet'!$A$139:$I$159,2,0)</f>
        <v>#N/A</v>
      </c>
      <c r="CR69" s="151" t="str">
        <f>VLOOKUP(A69,'Données projet'!$A$139:$I$159,9,0)</f>
        <v>#N/A</v>
      </c>
      <c r="CS69" s="151" t="str">
        <f t="array" ref="CS69">INDEX(CR:CR,MIN(IF(ISNUMBER(CR69:CR265),ROW(CR69:CR265),"")))</f>
        <v/>
      </c>
      <c r="CT69" s="151">
        <f>IF('Données projet'!$A$140&gt;35,CT68+CS69-DB68,IF(A69&lt;'Données projet'!$A$140,$CQ$205^A69,IF(A69='Données projet'!$A$140,'Données projet'!$B$140,CT68+CS69-DB68)))</f>
        <v>0</v>
      </c>
      <c r="CU69" s="158" t="str">
        <f>CT69*VLOOKUP('Données projet'!$B$13,'Paramètres'!$A$1:$I$88,3,0)*VLOOKUP('Données projet'!$B$13,'Paramètres'!$A$1:$I$88,5,0)</f>
        <v>#N/A</v>
      </c>
      <c r="CV69" s="150" t="str">
        <f t="shared" si="42"/>
        <v>#N/A</v>
      </c>
      <c r="CW69" s="161" t="str">
        <f t="shared" si="14"/>
        <v>#N/A</v>
      </c>
      <c r="CX69" s="153" t="str">
        <f t="shared" si="15"/>
        <v>#N/A</v>
      </c>
      <c r="CY69" s="153" t="str">
        <f>AVERAGE(OFFSET($CX$3,0,0,'Données projet'!$E$13+1,1))-AVERAGE(OFFSET($H$3,0,0,'Données projet'!$E$13+1,1))</f>
        <v>#N/A</v>
      </c>
      <c r="CZ69" s="153" t="str">
        <f t="shared" si="43"/>
        <v>#N/A</v>
      </c>
      <c r="DA69" s="154">
        <f>IF(ISNA(VLOOKUP(A69,'Données projet'!$A$139:$I$159,3,0)),0,VLOOKUP(A69,'Données projet'!$A$139:$I$159,3,0))</f>
        <v>0</v>
      </c>
      <c r="DB69" s="154">
        <f>IF(ISNA(VLOOKUP(A69,'Données projet'!$A$139:$I$159,4,0)),0,VLOOKUP(A69,'Données projet'!$A$139:$I$159,4,0))</f>
        <v>0</v>
      </c>
      <c r="DC69" s="155">
        <f>IF(ISNA(VLOOKUP(A69,'Données projet'!$A$139:$I$159,5,0)),0%,VLOOKUP(A69,'Données projet'!$A$139:$I$159,5,0)*VLOOKUP('Données projet'!$B$13,'Paramètres'!$A$1:$I$88,7,0))</f>
        <v>0</v>
      </c>
      <c r="DD69" s="155">
        <f>IF(ISNA(VLOOKUP(A69,'Données projet'!$A$139:$I$159,6,0)),0%,VLOOKUP(A69,'Données projet'!$A$139:$I$159,6,0)*VLOOKUP('Données projet'!$B$13,'Paramètres'!$A$1:$I$88,7,0))</f>
        <v>0</v>
      </c>
      <c r="DE69" s="155">
        <f>IF(ISNA(VLOOKUP(A69,'Données projet'!$A$139:$I$159,7,0)),0%,VLOOKUP(A69,'Données projet'!$A$139:$I$159,7,0))</f>
        <v>0</v>
      </c>
      <c r="DF69" s="162" t="str">
        <f>EXP(-LN(2)/35)*DF68+(1-EXP(-LN(2)/35))/(LN(2)/35)*DB69*DC69*VLOOKUP('Données projet'!$B$13,'Paramètres'!$A$1:$I$88,3,0)*0.475*44/12</f>
        <v>#N/A</v>
      </c>
      <c r="DG69" s="162" t="str">
        <f>EXP(-LN(2)/25)*DG68+(1-EXP(-LN(2)/25))/(LN(2)/25)*Calculateur!DB69*Calculateur!DD69*VLOOKUP('Données projet'!$B$13,'Paramètres'!$A$1:$I$88,3,0)*0.475*44/12</f>
        <v>#N/A</v>
      </c>
      <c r="DH69" s="162" t="str">
        <f>EXP(-LN(2)/2)*DH68+(1-EXP(-LN(2)/2))/(LN(2)/2)*DB69*DE69*VLOOKUP('Données projet'!$B$13,'Paramètres'!$A$1:$I$88,3,0)*0.475*44/12</f>
        <v>#N/A</v>
      </c>
      <c r="DI69" s="163" t="str">
        <f t="shared" si="16"/>
        <v>#N/A</v>
      </c>
      <c r="DJ69" s="159">
        <f>('Scénario référence'!$F$8+'Scénario référence'!$F$9+'Scénario référence'!$B$17+'Scénario référence'!$B$9+'Scénario référence'!$B$10)*70+IF((45+25*(1-EXP(-0.0175*A69)))&lt;70,'Scénario référence'!$B$16*(45+25*(1-EXP(-0.0175*A69))),70*'Scénario référence'!$B$16)+IF((32+38*(1-EXP(-0.0175*A69)))&lt;70,'Scénario référence'!$B$18*(32+38*(1-EXP(-0.0175*A69))),70*'Scénario référence'!$B$18)</f>
        <v>70</v>
      </c>
      <c r="DK69" s="151">
        <f>IF(A69&gt;30,10,('Scénario référence'!$B$16+'Scénario référence'!$B$17+'Scénario référence'!$B$18+'Scénario référence'!$B$9+'Scénario référence'!$B$10)*A69*10/30+('Scénario référence'!$F$8+'Scénario référence'!$F$9)*10)</f>
        <v>10</v>
      </c>
      <c r="DL69" s="151" t="str">
        <f>VLOOKUP(A69,'Données projet'!$A$165:$I$185,2,0)</f>
        <v>#N/A</v>
      </c>
      <c r="DM69" s="151" t="str">
        <f>VLOOKUP(A69,'Données projet'!$A$165:$I$185,9,0)</f>
        <v>#N/A</v>
      </c>
      <c r="DN69" s="151" t="str">
        <f t="array" ref="DN69">INDEX(DM:DM,MIN(IF(ISNUMBER(DM69:DM265),ROW(DM69:DM265),"")))</f>
        <v/>
      </c>
      <c r="DO69" s="151">
        <f>IF('Données projet'!$A$166&gt;35,DO68+DN69-DW68,IF(A69&lt;'Données projet'!$A$166,$DL$205^A69,IF(A69='Données projet'!$A$166,'Données projet'!$B$166,DO68+DN69-DW68)))</f>
        <v>0</v>
      </c>
      <c r="DP69" s="158" t="str">
        <f>DO69*VLOOKUP('Données projet'!$B$14,'Paramètres'!$A$1:$I$88,3,0)*VLOOKUP('Données projet'!$B$14,'Paramètres'!$A$1:$I$88,5,0)</f>
        <v>#N/A</v>
      </c>
      <c r="DQ69" s="150" t="str">
        <f t="shared" si="44"/>
        <v>#N/A</v>
      </c>
      <c r="DR69" s="161" t="str">
        <f t="shared" si="17"/>
        <v>#N/A</v>
      </c>
      <c r="DS69" s="153" t="str">
        <f t="shared" si="18"/>
        <v>#N/A</v>
      </c>
      <c r="DT69" s="153" t="str">
        <f>AVERAGE(OFFSET($DS$3,0,0,'Données projet'!$E$14+1,1))-AVERAGE(OFFSET($H$3,0,0,'Données projet'!$E$14+1,1))</f>
        <v>#N/A</v>
      </c>
      <c r="DU69" s="153" t="str">
        <f t="shared" si="45"/>
        <v>#N/A</v>
      </c>
      <c r="DV69" s="154">
        <f>IF(ISNA(VLOOKUP(A69,'Données projet'!$A$165:$I$185,3,0)),0,VLOOKUP(A69,'Données projet'!$A$165:$I$185,3,0))</f>
        <v>0</v>
      </c>
      <c r="DW69" s="154">
        <f>IF(ISNA(VLOOKUP(A69,'Données projet'!$A$165:$I$185,4,0)),0,VLOOKUP(A69,'Données projet'!$A$165:$I$185,4,0))</f>
        <v>0</v>
      </c>
      <c r="DX69" s="155">
        <f>IF(ISNA(VLOOKUP(A69,'Données projet'!$A$165:$I$185,5,0)),0%,VLOOKUP(A69,'Données projet'!$A$165:$I$185,5,0)*VLOOKUP('Données projet'!$B$14,'Paramètres'!$A$1:$I$88,7,0))</f>
        <v>0</v>
      </c>
      <c r="DY69" s="155">
        <f>IF(ISNA(VLOOKUP(A69,'Données projet'!$A$165:$I$185,6,0)),0%,VLOOKUP(A69,'Données projet'!$A$165:$I$185,6,0)*VLOOKUP('Données projet'!$B$14,'Paramètres'!$A$1:$I$88,7,0))</f>
        <v>0</v>
      </c>
      <c r="DZ69" s="155">
        <f>IF(ISNA(VLOOKUP(A69,'Données projet'!$A$165:$I$185,7,0)),0%,VLOOKUP(A69,'Données projet'!$A$165:$I$185,7,0))</f>
        <v>0</v>
      </c>
      <c r="EA69" s="162" t="str">
        <f>EXP(-LN(2)/35)*EA68+(1-EXP(-LN(2)/35))/(LN(2)/35)*DW69*DX69*VLOOKUP('Données projet'!$B$14,'Paramètres'!$A$1:$I$88,3,0)*0.475*44/12</f>
        <v>#N/A</v>
      </c>
      <c r="EB69" s="162" t="str">
        <f>EXP(-LN(2)/25)*EB68+(1-EXP(-LN(2)/25))/(LN(2)/25)*Calculateur!DW69*Calculateur!DY69*VLOOKUP('Données projet'!$B$14,'Paramètres'!$A$1:$I$88,3,0)*0.475*44/12</f>
        <v>#N/A</v>
      </c>
      <c r="EC69" s="162" t="str">
        <f>EXP(-LN(2)/2)*EC68+(1-EXP(-LN(2)/2))/(LN(2)/2)*DW69*DZ69*VLOOKUP('Données projet'!$B$14,'Paramètres'!$A$1:$I$88,3,0)*0.475*44/12</f>
        <v>#N/A</v>
      </c>
      <c r="ED69" s="163" t="str">
        <f t="shared" si="19"/>
        <v>#N/A</v>
      </c>
      <c r="EE69" s="159">
        <f>('Scénario référence'!$F$8+'Scénario référence'!$F$9+'Scénario référence'!$B$17+'Scénario référence'!$B$9+'Scénario référence'!$B$10)*70+IF((45+25*(1-EXP(-0.0175*A69)))&lt;70,'Scénario référence'!$B$16*(45+25*(1-EXP(-0.0175*A69))),70*'Scénario référence'!$B$16)+IF((32+38*(1-EXP(-0.0175*A69)))&lt;70,'Scénario référence'!$B$18*(32+38*(1-EXP(-0.0175*A69))),70*'Scénario référence'!$B$18)</f>
        <v>70</v>
      </c>
      <c r="EF69" s="151">
        <f>IF(A69&gt;30,10,('Scénario référence'!$B$16+'Scénario référence'!$B$17+'Scénario référence'!$B$18+'Scénario référence'!$B$9+'Scénario référence'!$B$10)*A69*10/30+('Scénario référence'!$F$8+'Scénario référence'!$F$9)*10)</f>
        <v>10</v>
      </c>
      <c r="EG69" s="151" t="str">
        <f>VLOOKUP(A69,'Données projet'!$A$191:$I$211,2,0)</f>
        <v>#N/A</v>
      </c>
      <c r="EH69" s="151" t="str">
        <f>VLOOKUP(A69,'Données projet'!$A$191:$I$211,9,0)</f>
        <v>#N/A</v>
      </c>
      <c r="EI69" s="151" t="str">
        <f t="array" ref="EI69">INDEX(EH:EH,MIN(IF(ISNUMBER(EH69:EH265),ROW(EH69:EH265),"")))</f>
        <v/>
      </c>
      <c r="EJ69" s="151">
        <f>IF('Données projet'!$A$192&gt;35,EJ68+EI69-ER68,IF(A69&lt;'Données projet'!$A$192,$EG$205^A69,IF(A69='Données projet'!$A$192,'Données projet'!$B$192,EJ68+EI69-ER68)))</f>
        <v>0</v>
      </c>
      <c r="EK69" s="158" t="str">
        <f>EJ69*VLOOKUP('Données projet'!$B$15,'Paramètres'!$A$1:$I$88,3,0)*VLOOKUP('Données projet'!$B$15,'Paramètres'!$A$1:$I$88,5,0)</f>
        <v>#N/A</v>
      </c>
      <c r="EL69" s="150" t="str">
        <f t="shared" si="46"/>
        <v>#N/A</v>
      </c>
      <c r="EM69" s="161" t="str">
        <f t="shared" si="20"/>
        <v>#N/A</v>
      </c>
      <c r="EN69" s="153" t="str">
        <f t="shared" si="21"/>
        <v>#N/A</v>
      </c>
      <c r="EO69" s="153" t="str">
        <f>AVERAGE(OFFSET($EN$3,0,0,'Données projet'!$E$15+1,1))-AVERAGE(OFFSET($H$3,0,0,'Données projet'!$E$15+1,1))</f>
        <v>#N/A</v>
      </c>
      <c r="EP69" s="153" t="str">
        <f t="shared" si="47"/>
        <v>#N/A</v>
      </c>
      <c r="EQ69" s="154">
        <f>IF(ISNA(VLOOKUP(A69,'Données projet'!$A$191:$I$211,3,0)),0,VLOOKUP(A69,'Données projet'!$A$191:$I$211,3,0))</f>
        <v>0</v>
      </c>
      <c r="ER69" s="154">
        <f>IF(ISNA(VLOOKUP(A69,'Données projet'!$A$191:$I$211,4,0)),0,VLOOKUP(A69,'Données projet'!$A$191:$I$211,4,0))</f>
        <v>0</v>
      </c>
      <c r="ES69" s="155">
        <f>IF(ISNA(VLOOKUP(A69,'Données projet'!$A$191:$I$211,5,0)),0%,VLOOKUP(A69,'Données projet'!$A$191:$I$211,5,0)*VLOOKUP('Données projet'!$B$15,'Paramètres'!$A$1:$I$88,7,0))</f>
        <v>0</v>
      </c>
      <c r="ET69" s="155">
        <f>IF(ISNA(VLOOKUP(A69,'Données projet'!$A$191:$I$211,6,0)),0%,VLOOKUP(A69,'Données projet'!$A$191:$I$211,6,0)*VLOOKUP('Données projet'!$B$15,'Paramètres'!$A$1:$I$88,7,0))</f>
        <v>0</v>
      </c>
      <c r="EU69" s="155">
        <f>IF(ISNA(VLOOKUP(A69,'Données projet'!$A$191:$I$211,7,0)),0%,VLOOKUP(A69,'Données projet'!$A$191:$I$211,7,0))</f>
        <v>0</v>
      </c>
      <c r="EV69" s="162" t="str">
        <f>EXP(-LN(2)/35)*EV68+(1-EXP(-LN(2)/35))/(LN(2)/35)*ER69*ES69*VLOOKUP('Données projet'!$B$15,'Paramètres'!$A$1:$I$88,3,0)*0.475*44/12</f>
        <v>#N/A</v>
      </c>
      <c r="EW69" s="162" t="str">
        <f>EXP(-LN(2)/25)*EW68+(1-EXP(-LN(2)/25))/(LN(2)/25)*Calculateur!ER69*Calculateur!ET69*VLOOKUP('Données projet'!$B$15,'Paramètres'!$A$1:$I$88,3,0)*0.475*44/12</f>
        <v>#N/A</v>
      </c>
      <c r="EX69" s="162" t="str">
        <f>EXP(-LN(2)/2)*EX68+(1-EXP(-LN(2)/2))/(LN(2)/2)*ER69*EU69*VLOOKUP('Données projet'!$B$15,'Paramètres'!$A$1:$I$88,3,0)*0.475*44/12</f>
        <v>#N/A</v>
      </c>
      <c r="EY69" s="163" t="str">
        <f t="shared" si="22"/>
        <v>#N/A</v>
      </c>
      <c r="EZ69" s="159">
        <f>('Scénario référence'!$F$8+'Scénario référence'!$F$9+'Scénario référence'!$B$17+'Scénario référence'!$B$9+'Scénario référence'!$B$10)*70+IF((45+25*(1-EXP(-0.0175*A69)))&lt;70,'Scénario référence'!$B$16*(45+25*(1-EXP(-0.0175*A69))),70*'Scénario référence'!$B$16)+IF((32+38*(1-EXP(-0.0175*A69)))&lt;70,'Scénario référence'!$B$18*(32+38*(1-EXP(-0.0175*A69))),70*'Scénario référence'!$B$18)</f>
        <v>70</v>
      </c>
      <c r="FA69" s="151">
        <f>IF(A69&gt;30,10,('Scénario référence'!$B$16+'Scénario référence'!$B$17+'Scénario référence'!$B$18+'Scénario référence'!$B$9+'Scénario référence'!$B$10)*A69*10/30+('Scénario référence'!$F$8+'Scénario référence'!$F$9)*10)</f>
        <v>10</v>
      </c>
      <c r="FB69" s="151" t="str">
        <f>VLOOKUP(A69,'Données projet'!$A$217:$I$237,2,0)</f>
        <v>#N/A</v>
      </c>
      <c r="FC69" s="151" t="str">
        <f>VLOOKUP(A69,'Données projet'!$A$217:$I$237,9,0)</f>
        <v>#N/A</v>
      </c>
      <c r="FD69" s="151" t="str">
        <f t="array" ref="FD69">INDEX(FC:FC,MIN(IF(ISNUMBER(FC69:FC265),ROW(FC69:FC265),"")))</f>
        <v/>
      </c>
      <c r="FE69" s="151">
        <f>IF('Données projet'!$A$218&gt;35,FE68+FD69-FM68,IF(A69&lt;'Données projet'!$A$218,$FB$205^A69,IF(A69='Données projet'!$A$218,'Données projet'!$B$218,FE68+FD69-FM68)))</f>
        <v>0</v>
      </c>
      <c r="FF69" s="158" t="str">
        <f>FE69*VLOOKUP('Données projet'!$B$16,'Paramètres'!$A$1:$I$88,3,0)*VLOOKUP('Données projet'!$B$16,'Paramètres'!$A$1:$I$88,5,0)</f>
        <v>#N/A</v>
      </c>
      <c r="FG69" s="150" t="str">
        <f t="shared" si="48"/>
        <v>#N/A</v>
      </c>
      <c r="FH69" s="161" t="str">
        <f t="shared" si="23"/>
        <v>#N/A</v>
      </c>
      <c r="FI69" s="153" t="str">
        <f t="shared" si="24"/>
        <v>#N/A</v>
      </c>
      <c r="FJ69" s="153" t="str">
        <f>AVERAGE(OFFSET($FI$3,0,0,'Données projet'!$E$16+1,1))-AVERAGE(OFFSET($H$3,0,0,'Données projet'!$E$16+1,1))</f>
        <v>#N/A</v>
      </c>
      <c r="FK69" s="153" t="str">
        <f t="shared" si="49"/>
        <v>#N/A</v>
      </c>
      <c r="FL69" s="154">
        <f>IF(ISNA(VLOOKUP(A69,'Données projet'!$A$217:$I$237,3,0)),0,VLOOKUP(A69,'Données projet'!$A$217:$I$237,3,0))</f>
        <v>0</v>
      </c>
      <c r="FM69" s="154">
        <f>IF(ISNA(VLOOKUP(A69,'Données projet'!$A$217:$I$237,4,0)),0,VLOOKUP(A69,'Données projet'!$A$217:$I$237,4,0))</f>
        <v>0</v>
      </c>
      <c r="FN69" s="155">
        <f>IF(ISNA(VLOOKUP(A69,'Données projet'!$A$217:$I$237,5,0)),0%,VLOOKUP(A69,'Données projet'!$A$217:$I$237,5,0)*VLOOKUP('Données projet'!$B$16,'Paramètres'!$A$1:$I$88,7,0))</f>
        <v>0</v>
      </c>
      <c r="FO69" s="155">
        <f>IF(ISNA(VLOOKUP(A69,'Données projet'!$A$217:$I$237,6,0)),0%,VLOOKUP(A69,'Données projet'!$A$217:$I$237,6,0)*VLOOKUP('Données projet'!$B$16,'Paramètres'!$A$1:$I$88,7,0))</f>
        <v>0</v>
      </c>
      <c r="FP69" s="155">
        <f>IF(ISNA(VLOOKUP(A69,'Données projet'!$A$217:$I$237,7,0)),0%,VLOOKUP(A69,'Données projet'!$A$217:$I$237,7,0))</f>
        <v>0</v>
      </c>
      <c r="FQ69" s="162" t="str">
        <f>EXP(-LN(2)/35)*FQ68+(1-EXP(-LN(2)/35))/(LN(2)/35)*FM69*FN69*VLOOKUP('Données projet'!$B$16,'Paramètres'!$A$1:$I$88,3,0)*0.475*44/12</f>
        <v>#N/A</v>
      </c>
      <c r="FR69" s="162" t="str">
        <f>EXP(-LN(2)/25)*FR68+(1-EXP(-LN(2)/25))/(LN(2)/25)*Calculateur!FM69*Calculateur!FO69*VLOOKUP('Données projet'!$B$16,'Paramètres'!$A$1:$I$88,3,0)*0.475*44/12</f>
        <v>#N/A</v>
      </c>
      <c r="FS69" s="162" t="str">
        <f>EXP(-LN(2)/2)*FS68+(1-EXP(-LN(2)/2))/(LN(2)/2)*FM69*FP69*VLOOKUP('Données projet'!$B$16,'Paramètres'!$A$1:$I$88,3,0)*0.475*44/12</f>
        <v>#N/A</v>
      </c>
      <c r="FT69" s="163" t="str">
        <f t="shared" si="25"/>
        <v>#N/A</v>
      </c>
      <c r="FU69" s="159">
        <f>('Scénario référence'!$F$8+'Scénario référence'!$F$9+'Scénario référence'!$B$17+'Scénario référence'!$B$9+'Scénario référence'!$B$10)*70+IF((45+25*(1-EXP(-0.0175*A69)))&lt;70,'Scénario référence'!$B$16*(45+25*(1-EXP(-0.0175*A69))),70*'Scénario référence'!$B$16)+IF((32+38*(1-EXP(-0.0175*A69)))&lt;70,'Scénario référence'!$B$18*(32+38*(1-EXP(-0.0175*A69))),70*'Scénario référence'!$B$18)</f>
        <v>70</v>
      </c>
      <c r="FV69" s="151">
        <f>IF(A69&gt;30,10,('Scénario référence'!$B$16+'Scénario référence'!$B$17+'Scénario référence'!$B$18+'Scénario référence'!$B$9+'Scénario référence'!$B$10)*A69*10/30+('Scénario référence'!$F$8+'Scénario référence'!$F$9)*10)</f>
        <v>10</v>
      </c>
      <c r="FW69" s="151" t="str">
        <f>VLOOKUP(A69,'Données projet'!$A$243:$I$263,2,0)</f>
        <v>#N/A</v>
      </c>
      <c r="FX69" s="151" t="str">
        <f>VLOOKUP(A69,'Données projet'!$A$243:$I$263,9,0)</f>
        <v>#N/A</v>
      </c>
      <c r="FY69" s="151" t="str">
        <f t="array" ref="FY69">INDEX(FX:FX,MIN(IF(ISNUMBER(FX69:FX265),ROW(FX69:FX265),"")))</f>
        <v/>
      </c>
      <c r="FZ69" s="151">
        <f>IF('Données projet'!$A$244&gt;35,FZ68+FY69-GH68,IF(A69&lt;'Données projet'!$A$244,$FW$205^A69,IF(A69='Données projet'!$A$244,'Données projet'!$B$244,FZ68+FY69-GH68)))</f>
        <v>0</v>
      </c>
      <c r="GA69" s="158" t="str">
        <f>FZ69*VLOOKUP('Données projet'!$B$17,'Paramètres'!$A$1:$I$88,3,0)*VLOOKUP('Données projet'!$B$17,'Paramètres'!$A$1:$I$88,5,0)</f>
        <v>#N/A</v>
      </c>
      <c r="GB69" s="150" t="str">
        <f t="shared" si="50"/>
        <v>#N/A</v>
      </c>
      <c r="GC69" s="161" t="str">
        <f t="shared" si="26"/>
        <v>#N/A</v>
      </c>
      <c r="GD69" s="153" t="str">
        <f t="shared" si="27"/>
        <v>#N/A</v>
      </c>
      <c r="GE69" s="153" t="str">
        <f>AVERAGE(OFFSET($GD$3,0,0,'Données projet'!$E$17+1,1))-AVERAGE(OFFSET($H$3,0,0,'Données projet'!$E$17+1,1))</f>
        <v>#N/A</v>
      </c>
      <c r="GF69" s="153" t="str">
        <f t="shared" si="51"/>
        <v>#N/A</v>
      </c>
      <c r="GG69" s="154">
        <f>IF(ISNA(VLOOKUP(A69,'Données projet'!$A$243:$I$263,3,0)),0,VLOOKUP(A69,'Données projet'!$A$243:$I$263,3,0))</f>
        <v>0</v>
      </c>
      <c r="GH69" s="154">
        <f>IF(ISNA(VLOOKUP(A69,'Données projet'!$A$243:$I$263,4,0)),0,VLOOKUP(A69,'Données projet'!$A$243:$I$263,4,0))</f>
        <v>0</v>
      </c>
      <c r="GI69" s="155">
        <f>IF(ISNA(VLOOKUP(A69,'Données projet'!$A$243:$I$263,5,0)),0%,VLOOKUP(A69,'Données projet'!$A$243:$I$263,5,0)*VLOOKUP('Données projet'!$B$17,'Paramètres'!$A$1:$I$88,7,0))</f>
        <v>0</v>
      </c>
      <c r="GJ69" s="155">
        <f>IF(ISNA(VLOOKUP(A69,'Données projet'!$A$243:$I$263,6,0)),0%,VLOOKUP(A69,'Données projet'!$A$243:$I$263,6,0)*VLOOKUP('Données projet'!$B$17,'Paramètres'!$A$1:$I$88,7,0))</f>
        <v>0</v>
      </c>
      <c r="GK69" s="155">
        <f>IF(ISNA(VLOOKUP(A69,'Données projet'!$A$243:$I$263,7,0)),0%,VLOOKUP(A69,'Données projet'!$A$243:$I$263,7,0))</f>
        <v>0</v>
      </c>
      <c r="GL69" s="162" t="str">
        <f>EXP(-LN(2)/35)*GL68+(1-EXP(-LN(2)/35))/(LN(2)/35)*GH69*GI69*VLOOKUP('Données projet'!$B$17,'Paramètres'!$A$1:$I$88,3,0)*0.475*44/12</f>
        <v>#N/A</v>
      </c>
      <c r="GM69" s="162" t="str">
        <f>EXP(-LN(2)/25)*GM68+(1-EXP(-LN(2)/25))/(LN(2)/25)*Calculateur!GH69*Calculateur!GJ69*VLOOKUP('Données projet'!$B$17,'Paramètres'!$A$1:$I$88,3,0)*0.475*44/12</f>
        <v>#N/A</v>
      </c>
      <c r="GN69" s="162" t="str">
        <f>EXP(-LN(2)/2)*GN68+(1-EXP(-LN(2)/2))/(LN(2)/2)*GH69*GK69*VLOOKUP('Données projet'!$B$17,'Paramètres'!$A$1:$I$88,3,0)*0.475*44/12</f>
        <v>#N/A</v>
      </c>
      <c r="GO69" s="162" t="str">
        <f t="shared" si="28"/>
        <v>#N/A</v>
      </c>
      <c r="GP69" s="159">
        <f>('Scénario référence'!$F$8+'Scénario référence'!$F$9+'Scénario référence'!$B$17+'Scénario référence'!$B$9+'Scénario référence'!$B$10)*70+IF((45+25*(1-EXP(-0.0175*A69)))&lt;70,'Scénario référence'!$B$16*(45+25*(1-EXP(-0.0175*A69))),70*'Scénario référence'!$B$16)+IF((32+38*(1-EXP(-0.0175*A69)))&lt;70,'Scénario référence'!$B$18*(32+38*(1-EXP(-0.0175*A69))),70*'Scénario référence'!$B$18)</f>
        <v>70</v>
      </c>
      <c r="GQ69" s="151">
        <f>IF(A69&gt;30,10,('Scénario référence'!$B$16+'Scénario référence'!$B$17+'Scénario référence'!$B$18+'Scénario référence'!$B$9+'Scénario référence'!$B$10)*A69*10/30+('Scénario référence'!$F$8+'Scénario référence'!$F$9)*10)</f>
        <v>10</v>
      </c>
      <c r="GR69" s="151" t="str">
        <f>VLOOKUP(A69,'Données projet'!$A$269:$I$289,2,0)</f>
        <v>#N/A</v>
      </c>
      <c r="GS69" s="151" t="str">
        <f>VLOOKUP(A69,'Données projet'!$A$269:$I$289,9,0)</f>
        <v>#N/A</v>
      </c>
      <c r="GT69" s="151" t="str">
        <f t="array" ref="GT69">INDEX(GS:GS,MIN(IF(ISNUMBER(GS69:GS265),ROW(GS69:GS265),"")))</f>
        <v/>
      </c>
      <c r="GU69" s="151">
        <f>IF('Données projet'!$A$270&gt;35,GU68+GT69-HC68,IF(A69&lt;'Données projet'!$A$270,$GR$205^A69,IF(A69='Données projet'!$A$270,'Données projet'!$B$270,GU68+GT69-HC68)))</f>
        <v>0</v>
      </c>
      <c r="GV69" s="158" t="str">
        <f>GU69*VLOOKUP('Données projet'!$B$18,'Paramètres'!$A$1:$I$88,3,0)*VLOOKUP('Données projet'!$B$18,'Paramètres'!$A$1:$I$88,5,0)</f>
        <v>#N/A</v>
      </c>
      <c r="GW69" s="150" t="str">
        <f t="shared" si="52"/>
        <v>#N/A</v>
      </c>
      <c r="GX69" s="161" t="str">
        <f t="shared" si="29"/>
        <v>#N/A</v>
      </c>
      <c r="GY69" s="153" t="str">
        <f t="shared" si="30"/>
        <v>#N/A</v>
      </c>
      <c r="GZ69" s="153" t="str">
        <f>AVERAGE(OFFSET($GY$3,0,0,'Données projet'!$E$18+1,1))-AVERAGE(OFFSET($H$3,0,0,'Données projet'!$E$18+1,1))</f>
        <v>#N/A</v>
      </c>
      <c r="HA69" s="153" t="str">
        <f t="shared" si="53"/>
        <v>#N/A</v>
      </c>
      <c r="HB69" s="154">
        <f>IF(ISNA(VLOOKUP(A69,'Données projet'!$A$269:$I$289,3,0)),0,VLOOKUP(A69,'Données projet'!$A$269:$I$289,3,0))</f>
        <v>0</v>
      </c>
      <c r="HC69" s="154">
        <f>IF(ISNA(VLOOKUP(A69,'Données projet'!$A$269:$I$289,4,0)),0,VLOOKUP(A69,'Données projet'!$A$269:$I$289,4,0))</f>
        <v>0</v>
      </c>
      <c r="HD69" s="155">
        <f>IF(ISNA(VLOOKUP(A69,'Données projet'!$A$269:$I$289,5,0)),0%,VLOOKUP(A69,'Données projet'!$A$269:$I$289,5,0)*VLOOKUP('Données projet'!$B$18,'Paramètres'!$A$1:$I$88,7,0))</f>
        <v>0</v>
      </c>
      <c r="HE69" s="155">
        <f>IF(ISNA(VLOOKUP(A69,'Données projet'!$A$269:$I$289,6,0)),0%,VLOOKUP(A69,'Données projet'!$A$269:$I$289,6,0)*VLOOKUP('Données projet'!$B$18,'Paramètres'!$A$1:$I$88,7,0))</f>
        <v>0</v>
      </c>
      <c r="HF69" s="155">
        <f>IF(ISNA(VLOOKUP(A69,'Données projet'!$A$269:$I$289,7,0)),0%,VLOOKUP(A69,'Données projet'!$A$269:$I$289,7,0))</f>
        <v>0</v>
      </c>
      <c r="HG69" s="162" t="str">
        <f>EXP(-LN(2)/35)*HG68+(1-EXP(-LN(2)/35))/(LN(2)/35)*HC69*HD69*VLOOKUP('Données projet'!$B$18,'Paramètres'!$A$1:$I$88,3,0)*0.475*44/12</f>
        <v>#N/A</v>
      </c>
      <c r="HH69" s="162" t="str">
        <f>EXP(-LN(2)/25)*HH68+(1-EXP(-LN(2)/25))/(LN(2)/25)*Calculateur!HC69*Calculateur!HE69*VLOOKUP('Données projet'!$B$18,'Paramètres'!$A$1:$I$88,3,0)*0.475*44/12</f>
        <v>#N/A</v>
      </c>
      <c r="HI69" s="162" t="str">
        <f>EXP(-LN(2)/2)*HI68+(1-EXP(-LN(2)/2))/(LN(2)/2)*HC69*HF69*VLOOKUP('Données projet'!$B$18,'Paramètres'!$A$1:$I$88,3,0)*0.475*44/12</f>
        <v>#N/A</v>
      </c>
      <c r="HJ69" s="163" t="str">
        <f t="shared" si="31"/>
        <v>#N/A</v>
      </c>
    </row>
    <row r="70" ht="15.75" customHeight="1">
      <c r="A70" s="145">
        <f t="shared" si="32"/>
        <v>67</v>
      </c>
      <c r="B70" s="146">
        <f>'Scénario référence'!$B$16*5+'Scénario référence'!$B$17*0+'Scénario référence'!$B$18*5</f>
        <v>0</v>
      </c>
      <c r="C70" s="160">
        <f>Calculateur!C69+'Scénario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70" s="147">
        <f t="shared" si="33"/>
        <v>0</v>
      </c>
      <c r="E70" s="147">
        <f>'Scénario référence'!$B$16*45+('Scénario référence'!$B$17+'Scénario référence'!$F$8+'Scénario référence'!$F$9+'Scénario référence'!$B$10+'Scénario référence'!$B$9)*70+'Scénario référence'!$B$18*32</f>
        <v>70</v>
      </c>
      <c r="F70" s="147">
        <f>IF(OR('Scénario référence'!$F$8&gt;0,'Scénario référence'!$F$9&gt;0),('Scénario référence'!$F$8+'Scénario référence'!$F$9)*10,0)</f>
        <v>0</v>
      </c>
      <c r="G70" s="147">
        <f>'Scénario référence'!$B$8*B70*44/12+'Scénario référence'!$B$9*(C70+D70)/0.475*44/12+'Scénario référence'!$B$10*(C70+D70)/0.475*44/12+'Scénario référence'!$F$8*(C70+D70)/0.475*44/12+'Scénario référence'!$F$9*(C70+D70)/0.475*44/12</f>
        <v>0</v>
      </c>
      <c r="H70" s="148">
        <f t="shared" si="1"/>
        <v>256.6666667</v>
      </c>
      <c r="I70" s="149">
        <f>('Scénario référence'!$F$8+'Scénario référence'!$F$9+'Scénario référence'!$B$17+'Scénario référence'!$B$9+'Scénario référence'!$B$10)*70+IF((45+25*(1-EXP(-0.0175*A70)))&lt;70,'Scénario référence'!$B$16*(45+25*(1-EXP(-0.0175*A70))),70*'Scénario référence'!$B$16)+IF((32+38*(1-EXP(-0.0175*A70)))&lt;70,'Scénario référence'!$B$18*(32+38*(1-EXP(-0.0175*A70))),70*'Scénario référence'!$B$18)</f>
        <v>70</v>
      </c>
      <c r="J70" s="150">
        <f>IF(A70&gt;30,10,('Scénario référence'!$B$16+'Scénario référence'!$B$17+'Scénario référence'!$B$18+'Scénario référence'!$B$9+'Scénario référence'!$B$10)*A70*10/30+('Scénario référence'!$F$8+'Scénario référence'!$F$9)*10)</f>
        <v>10</v>
      </c>
      <c r="K70" s="151" t="str">
        <f>VLOOKUP(A70,'Données projet'!$A$35:$I$55,2,0)</f>
        <v>#N/A</v>
      </c>
      <c r="L70" s="151" t="str">
        <f>VLOOKUP(A70,'Données projet'!$A$35:$I$55,9,0)</f>
        <v>#N/A</v>
      </c>
      <c r="M70" s="150">
        <f t="array" ref="M70">INDEX(L:L,MIN(IF(ISNUMBER(L70:L266),ROW(L70:L266),"")))</f>
        <v>8.2</v>
      </c>
      <c r="N70" s="150">
        <f>IF('Données projet'!$A$36&gt;35,N69+M70-V69,IF(A70&lt;'Données projet'!$A$36,$K$205^A70,IF(A70='Données projet'!$A$36,'Données projet'!$B$36,N69+M70-V69)))</f>
        <v>277.4</v>
      </c>
      <c r="O70" s="150">
        <f>N70*VLOOKUP('Données projet'!$B$9,'Paramètres'!$A$1:$I$88,3,0)*VLOOKUP('Données projet'!$B$9,'Paramètres'!$A$1:$I$88,5,0)</f>
        <v>250.99152</v>
      </c>
      <c r="P70" s="150">
        <f t="shared" si="34"/>
        <v>60.798211</v>
      </c>
      <c r="Q70" s="161">
        <f t="shared" si="2"/>
        <v>543.0337815</v>
      </c>
      <c r="R70" s="153">
        <f t="shared" si="3"/>
        <v>836.3671148</v>
      </c>
      <c r="S70" s="153">
        <f>AVERAGE(OFFSET($R$3,0,0,'Données projet'!$E$9+1,1))-AVERAGE(OFFSET($H$3,0,0,'Données projet'!$E$9+1,1))</f>
        <v>439.1985427</v>
      </c>
      <c r="T70" s="153">
        <f t="shared" si="35"/>
        <v>278.2174123</v>
      </c>
      <c r="U70" s="154">
        <f>IF(ISNA(VLOOKUP(A70,'Données projet'!$A$35:$I$55,3,0)),0,VLOOKUP(A70,'Données projet'!$A$35:$I$55,3,0))</f>
        <v>0</v>
      </c>
      <c r="V70" s="154">
        <f>IF(ISNA(VLOOKUP(A70,'Données projet'!$A$35:$I$55,4,0)),0,VLOOKUP(A70,'Données projet'!$A$35:$I$55,4,0))</f>
        <v>0</v>
      </c>
      <c r="W70" s="155">
        <f>IF(ISNA(VLOOKUP(A70,'Données projet'!$A$35:$I$55,5,0)),0%,VLOOKUP(A70,'Données projet'!$A$35:$I$55,5,0)*VLOOKUP('Données projet'!$B$9,'Paramètres'!$A$1:$I$88,7,0))</f>
        <v>0</v>
      </c>
      <c r="X70" s="155">
        <f>IF(ISNA(VLOOKUP(A70,'Données projet'!$A$35:$I$55,6,0)),0%,VLOOKUP(A70,'Données projet'!$A$35:$I$55,6,0)*VLOOKUP('Données projet'!$B$9,'Paramètres'!$A$1:$I$88,7,0))</f>
        <v>0</v>
      </c>
      <c r="Y70" s="155">
        <f>IF(ISNA(VLOOKUP(A70,'Données projet'!$A$35:$I$55,7,0)),0%,VLOOKUP(A70,'Données projet'!$A$35:$I$55,7,0))</f>
        <v>0</v>
      </c>
      <c r="Z70" s="162">
        <f>EXP(-LN(2)/35)*Z69+(1-EXP(-LN(2)/35))/(LN(2)/35)*V70*W70*VLOOKUP('Données projet'!$B$9,'Paramètres'!$A$1:$I$88,3,0)*0.475*44/12</f>
        <v>0</v>
      </c>
      <c r="AA70" s="162">
        <f>EXP(-LN(2)/25)*AA69+(1-EXP(-LN(2)/25))/(LN(2)/25)*Calculateur!V70*Calculateur!X70*VLOOKUP('Données projet'!$B$9,'Paramètres'!$A$1:$I$88,3,0)*0.475*44/12</f>
        <v>1.608747501</v>
      </c>
      <c r="AB70" s="162">
        <f>EXP(-LN(2)/2)*AB69+(1-EXP(-LN(2)/2))/(LN(2)/2)*V70*Y70*VLOOKUP('Données projet'!$B$9,'Paramètres'!$A$1:$I$88,3,0)*0.475*44/12</f>
        <v>0</v>
      </c>
      <c r="AC70" s="163">
        <f t="shared" si="4"/>
        <v>1.608747501</v>
      </c>
      <c r="AD70" s="150">
        <f>('Scénario référence'!$F$8+'Scénario référence'!$F$9+'Scénario référence'!$B$17+'Scénario référence'!$B$9+'Scénario référence'!$B$10)*70+IF((45+25*(1-EXP(-0.0175*A70)))&lt;70,'Scénario référence'!$B$16*(45+25*(1-EXP(-0.0175*A70))),70*'Scénario référence'!$B$16)+IF((32+38*(1-EXP(-0.0175*A70)))&lt;70,'Scénario référence'!$B$18*(32+38*(1-EXP(-0.0175*A70))),70*'Scénario référence'!$B$18)</f>
        <v>70</v>
      </c>
      <c r="AE70" s="150">
        <f>IF(A70&gt;30,10,('Scénario référence'!$B$16+'Scénario référence'!$B$17+'Scénario référence'!$B$18+'Scénario référence'!$B$9+'Scénario référence'!$B$10)*A70*10/30+('Scénario référence'!$F$8+'Scénario référence'!$F$9)*10)</f>
        <v>10</v>
      </c>
      <c r="AF70" s="151" t="str">
        <f>VLOOKUP(A70,'Données projet'!$A$61:$I$81,2,0)</f>
        <v>#N/A</v>
      </c>
      <c r="AG70" s="151" t="str">
        <f>VLOOKUP(A70,'Données projet'!$A$61:$I$81,9,0)</f>
        <v>#N/A</v>
      </c>
      <c r="AH70" s="150">
        <f t="array" ref="AH70">INDEX(AG:AG,MIN(IF(ISNUMBER(AG70:AG266),ROW(AG70:AG266),"")))</f>
        <v>5.2</v>
      </c>
      <c r="AI70" s="150">
        <f>IF('Données projet'!$A$62&gt;35,AI69+AH70-AQ69,IF(A70&lt;'Données projet'!$A$62,$AF$205^A70,IF(A70='Données projet'!$A$62,'Données projet'!$B$62,AI69+AH70-AQ69)))</f>
        <v>350.4</v>
      </c>
      <c r="AJ70" s="150">
        <f>AI70*VLOOKUP('Données projet'!$B$10,'Paramètres'!$A$1:$I$88,3,0)*VLOOKUP('Données projet'!$B$10,'Paramètres'!$A$1:$I$88,5,0)</f>
        <v>278.77824</v>
      </c>
      <c r="AK70" s="150">
        <f t="shared" si="36"/>
        <v>66.7087502</v>
      </c>
      <c r="AL70" s="161">
        <f t="shared" si="5"/>
        <v>601.7231746</v>
      </c>
      <c r="AM70" s="153">
        <f t="shared" si="6"/>
        <v>895.0565079</v>
      </c>
      <c r="AN70" s="153">
        <f>AVERAGE(OFFSET($AM$3,0,0,'Données projet'!$E$10+1,1))-AVERAGE(OFFSET($H$3,0,0,'Données projet'!$E$10+1,1))</f>
        <v>405.6113614</v>
      </c>
      <c r="AO70" s="153">
        <f t="shared" si="37"/>
        <v>393.0787141</v>
      </c>
      <c r="AP70" s="154">
        <f>IF(ISNA(VLOOKUP(A70,'Données projet'!$A$61:$I$81,3,0)),0,VLOOKUP(A70,'Données projet'!$A$61:$I$81,3,0))</f>
        <v>0</v>
      </c>
      <c r="AQ70" s="154">
        <f>IF(ISNA(VLOOKUP(A70,'Données projet'!$A$61:$I$81,4,0)),0,VLOOKUP(A70,'Données projet'!$A$61:$I$81,4,0))</f>
        <v>0</v>
      </c>
      <c r="AR70" s="155">
        <f>IF(ISNA(VLOOKUP(A70,'Données projet'!$A$61:$I$81,5,0)),0%,VLOOKUP(A70,'Données projet'!$A$61:$I$81,5,0)*VLOOKUP('Données projet'!$B$10,'Paramètres'!$A$1:$I$88,7,0))</f>
        <v>0</v>
      </c>
      <c r="AS70" s="155">
        <f>IF(ISNA(VLOOKUP(A70,'Données projet'!$A$61:$I$81,6,0)),0%,VLOOKUP(A70,'Données projet'!$A$61:$I$81,6,0)*VLOOKUP('Données projet'!$B$10,'Paramètres'!$A$1:$I$88,7,0))</f>
        <v>0</v>
      </c>
      <c r="AT70" s="155">
        <f>IF(ISNA(VLOOKUP(A70,'Données projet'!$A$61:$I$81,7,0)),0%,VLOOKUP(A70,'Données projet'!$A$61:$I$81,7,0))</f>
        <v>0</v>
      </c>
      <c r="AU70" s="162">
        <f>EXP(-LN(2)/35)*AU69+(1-EXP(-LN(2)/35))/(LN(2)/35)*AQ70*AR70*VLOOKUP('Données projet'!$B$10,'Paramètres'!$A$1:$I$88,3,0)*0.475*44/12</f>
        <v>0</v>
      </c>
      <c r="AV70" s="162">
        <f>EXP(-LN(2)/25)*AV69+(1-EXP(-LN(2)/25))/(LN(2)/25)*Calculateur!AQ70*Calculateur!AS70*VLOOKUP('Données projet'!$B$10,'Paramètres'!$A$1:$I$88,3,0)*0.475*44/12</f>
        <v>6.538358805</v>
      </c>
      <c r="AW70" s="162">
        <f>EXP(-LN(2)/2)*AW69+(1-EXP(-LN(2)/2))/(LN(2)/2)*AQ70*AT70*VLOOKUP('Données projet'!$B$10,'Paramètres'!$A$1:$I$88,3,0)*0.475*44/12</f>
        <v>0.000001563714716</v>
      </c>
      <c r="AX70" s="162">
        <f t="shared" si="7"/>
        <v>6.538360369</v>
      </c>
      <c r="AY70" s="157">
        <f>('Scénario référence'!$F$8+'Scénario référence'!$F$9+'Scénario référence'!$B$17+'Scénario référence'!$B$9+'Scénario référence'!$B$10)*70+IF((45+25*(1-EXP(-0.0175*A70)))&lt;70,'Scénario référence'!$B$16*(45+25*(1-EXP(-0.0175*A70))),70*'Scénario référence'!$B$16)+IF((32+38*(1-EXP(-0.0175*A70)))&lt;70,'Scénario référence'!$B$18*(32+38*(1-EXP(-0.0175*A70))),70*'Scénario référence'!$B$18)</f>
        <v>70</v>
      </c>
      <c r="AZ70" s="151">
        <f>IF(A70&gt;30,10,('Scénario référence'!$B$16+'Scénario référence'!$B$17+'Scénario référence'!$B$18+'Scénario référence'!$B$9+'Scénario référence'!$B$10)*A70*10/30+('Scénario référence'!$F$8+'Scénario référence'!$F$9)*10)</f>
        <v>10</v>
      </c>
      <c r="BA70" s="151" t="str">
        <f>VLOOKUP(A70,'Données projet'!$A$87:$I$107,2,0)</f>
        <v>#N/A</v>
      </c>
      <c r="BB70" s="151" t="str">
        <f>VLOOKUP(A70,'Données projet'!$A$87:$I$107,9,0)</f>
        <v>#N/A</v>
      </c>
      <c r="BC70" s="150" t="str">
        <f t="array" ref="BC70">INDEX(BB:BB,MIN(IF(ISNUMBER(BB70:BB266),ROW(BB70:BB266),"")))</f>
        <v/>
      </c>
      <c r="BD70" s="150">
        <f>IF('Données projet'!$A$88&gt;35,BD69+BC70-BL69,IF(A70&lt;'Données projet'!$A$88,$BA$205^A70,IF(A70='Données projet'!$A$88,'Données projet'!$B$88,BD69+BC70-BL69)))</f>
        <v>0</v>
      </c>
      <c r="BE70" s="150">
        <f>BD70*VLOOKUP('Données projet'!$B$11,'Paramètres'!$A$1:$I$88,3,0)*VLOOKUP('Données projet'!$B$11,'Paramètres'!$A$1:$I$88,5,0)</f>
        <v>0</v>
      </c>
      <c r="BF70" s="150" t="str">
        <f t="shared" si="38"/>
        <v>#NUM!</v>
      </c>
      <c r="BG70" s="161" t="str">
        <f t="shared" si="8"/>
        <v>#NUM!</v>
      </c>
      <c r="BH70" s="153" t="str">
        <f t="shared" si="9"/>
        <v>#NUM!</v>
      </c>
      <c r="BI70" s="153">
        <f>AVERAGE(OFFSET($BH$3,0,0,'Données projet'!$E$11+1,1))-AVERAGE(OFFSET($H$3,0,0,'Données projet'!$E$11+1,1))</f>
        <v>0</v>
      </c>
      <c r="BJ70" s="153">
        <f t="shared" si="39"/>
        <v>0</v>
      </c>
      <c r="BK70" s="154">
        <f>IF(ISNA(VLOOKUP(A70,'Données projet'!$A$87:$I$107,3,0)),0,VLOOKUP(A70,'Données projet'!$A$87:$I$107,3,0))</f>
        <v>0</v>
      </c>
      <c r="BL70" s="154">
        <f>IF(ISNA(VLOOKUP(A70,'Données projet'!$A$87:$I$107,4,0)),0,VLOOKUP(A70,'Données projet'!$A$87:$I$107,4,0))</f>
        <v>0</v>
      </c>
      <c r="BM70" s="155">
        <f>IF(ISNA(VLOOKUP(A70,'Données projet'!$A$87:$I$107,5,0)),0%,VLOOKUP(A70,'Données projet'!$A$87:$I$107,5,0)*VLOOKUP('Données projet'!$B$11,'Paramètres'!$A$1:$I$88,7,0))</f>
        <v>0</v>
      </c>
      <c r="BN70" s="155">
        <f>IF(ISNA(VLOOKUP(A70,'Données projet'!$A$87:$I$107,6,0)),0%,VLOOKUP(A70,'Données projet'!$A$87:$I$107,6,0)*VLOOKUP('Données projet'!$B$11,'Paramètres'!$A$1:$I$88,7,0))</f>
        <v>0</v>
      </c>
      <c r="BO70" s="155">
        <f>IF(ISNA(VLOOKUP(A70,'Données projet'!$A$87:$I$107,7,0)),0%,VLOOKUP(A70,'Données projet'!$A$87:$I$107,7,0))</f>
        <v>0</v>
      </c>
      <c r="BP70" s="162">
        <f>EXP(-LN(2)/35)*BP69+(1-EXP(-LN(2)/35))/(LN(2)/35)*BL70*BM70*VLOOKUP('Données projet'!$B$11,'Paramètres'!$A$1:$I$88,3,0)*0.475*44/12</f>
        <v>0</v>
      </c>
      <c r="BQ70" s="162">
        <f>EXP(-LN(2)/25)*BQ69+(1-EXP(-LN(2)/25))/(LN(2)/25)*Calculateur!BL70*Calculateur!BN70*VLOOKUP('Données projet'!$B$11,'Paramètres'!$A$1:$I$88,3,0)*0.475*44/12</f>
        <v>0</v>
      </c>
      <c r="BR70" s="162">
        <f>EXP(-LN(2)/2)*BR69+(1-EXP(-LN(2)/2))/(LN(2)/2)*BL70*BO70*VLOOKUP('Données projet'!$B$11,'Paramètres'!$A$1:$I$88,3,0)*0.475*44/12</f>
        <v>0</v>
      </c>
      <c r="BS70" s="163">
        <f t="shared" si="10"/>
        <v>0</v>
      </c>
      <c r="BT70" s="159">
        <f>('Scénario référence'!$F$8+'Scénario référence'!$F$9+'Scénario référence'!$B$17+'Scénario référence'!$B$9+'Scénario référence'!$B$10)*70+IF((45+25*(1-EXP(-0.0175*A70)))&lt;70,'Scénario référence'!$B$16*(45+25*(1-EXP(-0.0175*A70))),70*'Scénario référence'!$B$16)+IF((32+38*(1-EXP(-0.0175*A70)))&lt;70,'Scénario référence'!$B$18*(32+38*(1-EXP(-0.0175*A70))),70*'Scénario référence'!$B$18)</f>
        <v>70</v>
      </c>
      <c r="BU70" s="151">
        <f>IF(A70&gt;30,10,('Scénario référence'!$B$16+'Scénario référence'!$B$17+'Scénario référence'!$B$18+'Scénario référence'!$B$9+'Scénario référence'!$B$10)*A70*10/30+('Scénario référence'!$F$8+'Scénario référence'!$F$9)*10)</f>
        <v>10</v>
      </c>
      <c r="BV70" s="151" t="str">
        <f>VLOOKUP(A70,'Données projet'!$A$113:$I$133,2,0)</f>
        <v>#N/A</v>
      </c>
      <c r="BW70" s="151" t="str">
        <f>VLOOKUP(A70,'Données projet'!$A$113:$I$133,9,0)</f>
        <v>#N/A</v>
      </c>
      <c r="BX70" s="150" t="str">
        <f t="array" ref="BX70">INDEX(BW:BW,MIN(IF(ISNUMBER(BW70:BW266),ROW(BW70:BW266),"")))</f>
        <v/>
      </c>
      <c r="BY70" s="150">
        <f>IF('Données projet'!$A$114&gt;35,BY69+BX70-CG69,IF(A70&lt;'Données projet'!$A$114,$BV$205^A70,IF(A70='Données projet'!$A$114,'Données projet'!$B$114,BY69+BX70-CG69)))</f>
        <v>0</v>
      </c>
      <c r="BZ70" s="150" t="str">
        <f>BY70*VLOOKUP('Données projet'!$B$12,'Paramètres'!$A$1:$I$88,3,0)*VLOOKUP('Données projet'!$B$12,'Paramètres'!$A$1:$I$88,5,0)</f>
        <v>#N/A</v>
      </c>
      <c r="CA70" s="150" t="str">
        <f t="shared" si="40"/>
        <v>#N/A</v>
      </c>
      <c r="CB70" s="161" t="str">
        <f t="shared" si="11"/>
        <v>#N/A</v>
      </c>
      <c r="CC70" s="153" t="str">
        <f t="shared" si="12"/>
        <v>#N/A</v>
      </c>
      <c r="CD70" s="153" t="str">
        <f>AVERAGE(OFFSET($CC$3,0,0,'Données projet'!$E$12+1,1))-AVERAGE(OFFSET($H$3,0,0,'Données projet'!$E$12+1,1))</f>
        <v>#N/A</v>
      </c>
      <c r="CE70" s="153" t="str">
        <f t="shared" si="41"/>
        <v>#N/A</v>
      </c>
      <c r="CF70" s="154">
        <f>IF(ISNA(VLOOKUP(A70,'Données projet'!$A$113:$I$133,3,0)),0,VLOOKUP(A70,'Données projet'!$A$113:$I$133,3,0))</f>
        <v>0</v>
      </c>
      <c r="CG70" s="154">
        <f>IF(ISNA(VLOOKUP(A70,'Données projet'!$A$113:$I$133,4,0)),0,VLOOKUP(A70,'Données projet'!$A$113:$I$133,4,0))</f>
        <v>0</v>
      </c>
      <c r="CH70" s="155">
        <f>IF(ISNA(VLOOKUP(A70,'Données projet'!$A$113:$I$133,5,0)),0%,VLOOKUP(A70,'Données projet'!$A$113:$I$133,5,0)*VLOOKUP('Données projet'!$B$12,'Paramètres'!$A$1:$I$88,7,0))</f>
        <v>0</v>
      </c>
      <c r="CI70" s="155">
        <f>IF(ISNA(VLOOKUP(A70,'Données projet'!$A$113:$I$133,6,0)),0%,VLOOKUP(A70,'Données projet'!$A$113:$I$133,6,0)*VLOOKUP('Données projet'!$B$12,'Paramètres'!$A$1:$I$88,7,0))</f>
        <v>0</v>
      </c>
      <c r="CJ70" s="155">
        <f>IF(ISNA(VLOOKUP(A70,'Données projet'!$A$113:$I$133,7,0)),0%,VLOOKUP(A70,'Données projet'!$A$113:$I$133,7,0))</f>
        <v>0</v>
      </c>
      <c r="CK70" s="162" t="str">
        <f>EXP(-LN(2)/35)*CK69+(1-EXP(-LN(2)/35))/(LN(2)/35)*CG70*CH70*VLOOKUP('Données projet'!$B$12,'Paramètres'!$A$1:$I$88,3,0)*0.475*44/12</f>
        <v>#N/A</v>
      </c>
      <c r="CL70" s="162" t="str">
        <f>EXP(-LN(2)/25)*CL69+(1-EXP(-LN(2)/25))/(LN(2)/25)*Calculateur!CG70*Calculateur!CI70*VLOOKUP('Données projet'!$B$12,'Paramètres'!$A$1:$I$88,3,0)*0.475*44/12</f>
        <v>#N/A</v>
      </c>
      <c r="CM70" s="162" t="str">
        <f>EXP(-LN(2)/2)*CM69+(1-EXP(-LN(2)/2))/(LN(2)/2)*CG70*CJ70*VLOOKUP('Données projet'!$B$12,'Paramètres'!$A$1:$I$88,3,0)*0.475*44/12</f>
        <v>#N/A</v>
      </c>
      <c r="CN70" s="163" t="str">
        <f t="shared" si="13"/>
        <v>#N/A</v>
      </c>
      <c r="CO70" s="159">
        <f>('Scénario référence'!$F$8+'Scénario référence'!$F$9+'Scénario référence'!$B$17+'Scénario référence'!$B$9+'Scénario référence'!$B$10)*70+IF((45+25*(1-EXP(-0.0175*A70)))&lt;70,'Scénario référence'!$B$16*(45+25*(1-EXP(-0.0175*A70))),70*'Scénario référence'!$B$16)+IF((32+38*(1-EXP(-0.0175*A70)))&lt;70,'Scénario référence'!$B$18*(32+38*(1-EXP(-0.0175*A70))),70*'Scénario référence'!$B$18)</f>
        <v>70</v>
      </c>
      <c r="CP70" s="151">
        <f>IF(A70&gt;30,10,('Scénario référence'!$B$16+'Scénario référence'!$B$17+'Scénario référence'!$B$18+'Scénario référence'!$B$9+'Scénario référence'!$B$10)*A70*10/30+('Scénario référence'!$F$8+'Scénario référence'!$F$9)*10)</f>
        <v>10</v>
      </c>
      <c r="CQ70" s="151" t="str">
        <f>VLOOKUP(A70,'Données projet'!$A$139:$I$159,2,0)</f>
        <v>#N/A</v>
      </c>
      <c r="CR70" s="151" t="str">
        <f>VLOOKUP(A70,'Données projet'!$A$139:$I$159,9,0)</f>
        <v>#N/A</v>
      </c>
      <c r="CS70" s="151" t="str">
        <f t="array" ref="CS70">INDEX(CR:CR,MIN(IF(ISNUMBER(CR70:CR266),ROW(CR70:CR266),"")))</f>
        <v/>
      </c>
      <c r="CT70" s="151">
        <f>IF('Données projet'!$A$140&gt;35,CT69+CS70-DB69,IF(A70&lt;'Données projet'!$A$140,$CQ$205^A70,IF(A70='Données projet'!$A$140,'Données projet'!$B$140,CT69+CS70-DB69)))</f>
        <v>0</v>
      </c>
      <c r="CU70" s="158" t="str">
        <f>CT70*VLOOKUP('Données projet'!$B$13,'Paramètres'!$A$1:$I$88,3,0)*VLOOKUP('Données projet'!$B$13,'Paramètres'!$A$1:$I$88,5,0)</f>
        <v>#N/A</v>
      </c>
      <c r="CV70" s="150" t="str">
        <f t="shared" si="42"/>
        <v>#N/A</v>
      </c>
      <c r="CW70" s="161" t="str">
        <f t="shared" si="14"/>
        <v>#N/A</v>
      </c>
      <c r="CX70" s="153" t="str">
        <f t="shared" si="15"/>
        <v>#N/A</v>
      </c>
      <c r="CY70" s="153" t="str">
        <f>AVERAGE(OFFSET($CX$3,0,0,'Données projet'!$E$13+1,1))-AVERAGE(OFFSET($H$3,0,0,'Données projet'!$E$13+1,1))</f>
        <v>#N/A</v>
      </c>
      <c r="CZ70" s="153" t="str">
        <f t="shared" si="43"/>
        <v>#N/A</v>
      </c>
      <c r="DA70" s="154">
        <f>IF(ISNA(VLOOKUP(A70,'Données projet'!$A$139:$I$159,3,0)),0,VLOOKUP(A70,'Données projet'!$A$139:$I$159,3,0))</f>
        <v>0</v>
      </c>
      <c r="DB70" s="154">
        <f>IF(ISNA(VLOOKUP(A70,'Données projet'!$A$139:$I$159,4,0)),0,VLOOKUP(A70,'Données projet'!$A$139:$I$159,4,0))</f>
        <v>0</v>
      </c>
      <c r="DC70" s="155">
        <f>IF(ISNA(VLOOKUP(A70,'Données projet'!$A$139:$I$159,5,0)),0%,VLOOKUP(A70,'Données projet'!$A$139:$I$159,5,0)*VLOOKUP('Données projet'!$B$13,'Paramètres'!$A$1:$I$88,7,0))</f>
        <v>0</v>
      </c>
      <c r="DD70" s="155">
        <f>IF(ISNA(VLOOKUP(A70,'Données projet'!$A$139:$I$159,6,0)),0%,VLOOKUP(A70,'Données projet'!$A$139:$I$159,6,0)*VLOOKUP('Données projet'!$B$13,'Paramètres'!$A$1:$I$88,7,0))</f>
        <v>0</v>
      </c>
      <c r="DE70" s="155">
        <f>IF(ISNA(VLOOKUP(A70,'Données projet'!$A$139:$I$159,7,0)),0%,VLOOKUP(A70,'Données projet'!$A$139:$I$159,7,0))</f>
        <v>0</v>
      </c>
      <c r="DF70" s="162" t="str">
        <f>EXP(-LN(2)/35)*DF69+(1-EXP(-LN(2)/35))/(LN(2)/35)*DB70*DC70*VLOOKUP('Données projet'!$B$13,'Paramètres'!$A$1:$I$88,3,0)*0.475*44/12</f>
        <v>#N/A</v>
      </c>
      <c r="DG70" s="162" t="str">
        <f>EXP(-LN(2)/25)*DG69+(1-EXP(-LN(2)/25))/(LN(2)/25)*Calculateur!DB70*Calculateur!DD70*VLOOKUP('Données projet'!$B$13,'Paramètres'!$A$1:$I$88,3,0)*0.475*44/12</f>
        <v>#N/A</v>
      </c>
      <c r="DH70" s="162" t="str">
        <f>EXP(-LN(2)/2)*DH69+(1-EXP(-LN(2)/2))/(LN(2)/2)*DB70*DE70*VLOOKUP('Données projet'!$B$13,'Paramètres'!$A$1:$I$88,3,0)*0.475*44/12</f>
        <v>#N/A</v>
      </c>
      <c r="DI70" s="163" t="str">
        <f t="shared" si="16"/>
        <v>#N/A</v>
      </c>
      <c r="DJ70" s="159">
        <f>('Scénario référence'!$F$8+'Scénario référence'!$F$9+'Scénario référence'!$B$17+'Scénario référence'!$B$9+'Scénario référence'!$B$10)*70+IF((45+25*(1-EXP(-0.0175*A70)))&lt;70,'Scénario référence'!$B$16*(45+25*(1-EXP(-0.0175*A70))),70*'Scénario référence'!$B$16)+IF((32+38*(1-EXP(-0.0175*A70)))&lt;70,'Scénario référence'!$B$18*(32+38*(1-EXP(-0.0175*A70))),70*'Scénario référence'!$B$18)</f>
        <v>70</v>
      </c>
      <c r="DK70" s="151">
        <f>IF(A70&gt;30,10,('Scénario référence'!$B$16+'Scénario référence'!$B$17+'Scénario référence'!$B$18+'Scénario référence'!$B$9+'Scénario référence'!$B$10)*A70*10/30+('Scénario référence'!$F$8+'Scénario référence'!$F$9)*10)</f>
        <v>10</v>
      </c>
      <c r="DL70" s="151" t="str">
        <f>VLOOKUP(A70,'Données projet'!$A$165:$I$185,2,0)</f>
        <v>#N/A</v>
      </c>
      <c r="DM70" s="151" t="str">
        <f>VLOOKUP(A70,'Données projet'!$A$165:$I$185,9,0)</f>
        <v>#N/A</v>
      </c>
      <c r="DN70" s="151" t="str">
        <f t="array" ref="DN70">INDEX(DM:DM,MIN(IF(ISNUMBER(DM70:DM266),ROW(DM70:DM266),"")))</f>
        <v/>
      </c>
      <c r="DO70" s="151">
        <f>IF('Données projet'!$A$166&gt;35,DO69+DN70-DW69,IF(A70&lt;'Données projet'!$A$166,$DL$205^A70,IF(A70='Données projet'!$A$166,'Données projet'!$B$166,DO69+DN70-DW69)))</f>
        <v>0</v>
      </c>
      <c r="DP70" s="158" t="str">
        <f>DO70*VLOOKUP('Données projet'!$B$14,'Paramètres'!$A$1:$I$88,3,0)*VLOOKUP('Données projet'!$B$14,'Paramètres'!$A$1:$I$88,5,0)</f>
        <v>#N/A</v>
      </c>
      <c r="DQ70" s="150" t="str">
        <f t="shared" si="44"/>
        <v>#N/A</v>
      </c>
      <c r="DR70" s="161" t="str">
        <f t="shared" si="17"/>
        <v>#N/A</v>
      </c>
      <c r="DS70" s="153" t="str">
        <f t="shared" si="18"/>
        <v>#N/A</v>
      </c>
      <c r="DT70" s="153" t="str">
        <f>AVERAGE(OFFSET($DS$3,0,0,'Données projet'!$E$14+1,1))-AVERAGE(OFFSET($H$3,0,0,'Données projet'!$E$14+1,1))</f>
        <v>#N/A</v>
      </c>
      <c r="DU70" s="153" t="str">
        <f t="shared" si="45"/>
        <v>#N/A</v>
      </c>
      <c r="DV70" s="154">
        <f>IF(ISNA(VLOOKUP(A70,'Données projet'!$A$165:$I$185,3,0)),0,VLOOKUP(A70,'Données projet'!$A$165:$I$185,3,0))</f>
        <v>0</v>
      </c>
      <c r="DW70" s="154">
        <f>IF(ISNA(VLOOKUP(A70,'Données projet'!$A$165:$I$185,4,0)),0,VLOOKUP(A70,'Données projet'!$A$165:$I$185,4,0))</f>
        <v>0</v>
      </c>
      <c r="DX70" s="155">
        <f>IF(ISNA(VLOOKUP(A70,'Données projet'!$A$165:$I$185,5,0)),0%,VLOOKUP(A70,'Données projet'!$A$165:$I$185,5,0)*VLOOKUP('Données projet'!$B$14,'Paramètres'!$A$1:$I$88,7,0))</f>
        <v>0</v>
      </c>
      <c r="DY70" s="155">
        <f>IF(ISNA(VLOOKUP(A70,'Données projet'!$A$165:$I$185,6,0)),0%,VLOOKUP(A70,'Données projet'!$A$165:$I$185,6,0)*VLOOKUP('Données projet'!$B$14,'Paramètres'!$A$1:$I$88,7,0))</f>
        <v>0</v>
      </c>
      <c r="DZ70" s="155">
        <f>IF(ISNA(VLOOKUP(A70,'Données projet'!$A$165:$I$185,7,0)),0%,VLOOKUP(A70,'Données projet'!$A$165:$I$185,7,0))</f>
        <v>0</v>
      </c>
      <c r="EA70" s="162" t="str">
        <f>EXP(-LN(2)/35)*EA69+(1-EXP(-LN(2)/35))/(LN(2)/35)*DW70*DX70*VLOOKUP('Données projet'!$B$14,'Paramètres'!$A$1:$I$88,3,0)*0.475*44/12</f>
        <v>#N/A</v>
      </c>
      <c r="EB70" s="162" t="str">
        <f>EXP(-LN(2)/25)*EB69+(1-EXP(-LN(2)/25))/(LN(2)/25)*Calculateur!DW70*Calculateur!DY70*VLOOKUP('Données projet'!$B$14,'Paramètres'!$A$1:$I$88,3,0)*0.475*44/12</f>
        <v>#N/A</v>
      </c>
      <c r="EC70" s="162" t="str">
        <f>EXP(-LN(2)/2)*EC69+(1-EXP(-LN(2)/2))/(LN(2)/2)*DW70*DZ70*VLOOKUP('Données projet'!$B$14,'Paramètres'!$A$1:$I$88,3,0)*0.475*44/12</f>
        <v>#N/A</v>
      </c>
      <c r="ED70" s="163" t="str">
        <f t="shared" si="19"/>
        <v>#N/A</v>
      </c>
      <c r="EE70" s="159">
        <f>('Scénario référence'!$F$8+'Scénario référence'!$F$9+'Scénario référence'!$B$17+'Scénario référence'!$B$9+'Scénario référence'!$B$10)*70+IF((45+25*(1-EXP(-0.0175*A70)))&lt;70,'Scénario référence'!$B$16*(45+25*(1-EXP(-0.0175*A70))),70*'Scénario référence'!$B$16)+IF((32+38*(1-EXP(-0.0175*A70)))&lt;70,'Scénario référence'!$B$18*(32+38*(1-EXP(-0.0175*A70))),70*'Scénario référence'!$B$18)</f>
        <v>70</v>
      </c>
      <c r="EF70" s="151">
        <f>IF(A70&gt;30,10,('Scénario référence'!$B$16+'Scénario référence'!$B$17+'Scénario référence'!$B$18+'Scénario référence'!$B$9+'Scénario référence'!$B$10)*A70*10/30+('Scénario référence'!$F$8+'Scénario référence'!$F$9)*10)</f>
        <v>10</v>
      </c>
      <c r="EG70" s="151" t="str">
        <f>VLOOKUP(A70,'Données projet'!$A$191:$I$211,2,0)</f>
        <v>#N/A</v>
      </c>
      <c r="EH70" s="151" t="str">
        <f>VLOOKUP(A70,'Données projet'!$A$191:$I$211,9,0)</f>
        <v>#N/A</v>
      </c>
      <c r="EI70" s="151" t="str">
        <f t="array" ref="EI70">INDEX(EH:EH,MIN(IF(ISNUMBER(EH70:EH266),ROW(EH70:EH266),"")))</f>
        <v/>
      </c>
      <c r="EJ70" s="151">
        <f>IF('Données projet'!$A$192&gt;35,EJ69+EI70-ER69,IF(A70&lt;'Données projet'!$A$192,$EG$205^A70,IF(A70='Données projet'!$A$192,'Données projet'!$B$192,EJ69+EI70-ER69)))</f>
        <v>0</v>
      </c>
      <c r="EK70" s="158" t="str">
        <f>EJ70*VLOOKUP('Données projet'!$B$15,'Paramètres'!$A$1:$I$88,3,0)*VLOOKUP('Données projet'!$B$15,'Paramètres'!$A$1:$I$88,5,0)</f>
        <v>#N/A</v>
      </c>
      <c r="EL70" s="150" t="str">
        <f t="shared" si="46"/>
        <v>#N/A</v>
      </c>
      <c r="EM70" s="161" t="str">
        <f t="shared" si="20"/>
        <v>#N/A</v>
      </c>
      <c r="EN70" s="153" t="str">
        <f t="shared" si="21"/>
        <v>#N/A</v>
      </c>
      <c r="EO70" s="153" t="str">
        <f>AVERAGE(OFFSET($EN$3,0,0,'Données projet'!$E$15+1,1))-AVERAGE(OFFSET($H$3,0,0,'Données projet'!$E$15+1,1))</f>
        <v>#N/A</v>
      </c>
      <c r="EP70" s="153" t="str">
        <f t="shared" si="47"/>
        <v>#N/A</v>
      </c>
      <c r="EQ70" s="154">
        <f>IF(ISNA(VLOOKUP(A70,'Données projet'!$A$191:$I$211,3,0)),0,VLOOKUP(A70,'Données projet'!$A$191:$I$211,3,0))</f>
        <v>0</v>
      </c>
      <c r="ER70" s="154">
        <f>IF(ISNA(VLOOKUP(A70,'Données projet'!$A$191:$I$211,4,0)),0,VLOOKUP(A70,'Données projet'!$A$191:$I$211,4,0))</f>
        <v>0</v>
      </c>
      <c r="ES70" s="155">
        <f>IF(ISNA(VLOOKUP(A70,'Données projet'!$A$191:$I$211,5,0)),0%,VLOOKUP(A70,'Données projet'!$A$191:$I$211,5,0)*VLOOKUP('Données projet'!$B$15,'Paramètres'!$A$1:$I$88,7,0))</f>
        <v>0</v>
      </c>
      <c r="ET70" s="155">
        <f>IF(ISNA(VLOOKUP(A70,'Données projet'!$A$191:$I$211,6,0)),0%,VLOOKUP(A70,'Données projet'!$A$191:$I$211,6,0)*VLOOKUP('Données projet'!$B$15,'Paramètres'!$A$1:$I$88,7,0))</f>
        <v>0</v>
      </c>
      <c r="EU70" s="155">
        <f>IF(ISNA(VLOOKUP(A70,'Données projet'!$A$191:$I$211,7,0)),0%,VLOOKUP(A70,'Données projet'!$A$191:$I$211,7,0))</f>
        <v>0</v>
      </c>
      <c r="EV70" s="162" t="str">
        <f>EXP(-LN(2)/35)*EV69+(1-EXP(-LN(2)/35))/(LN(2)/35)*ER70*ES70*VLOOKUP('Données projet'!$B$15,'Paramètres'!$A$1:$I$88,3,0)*0.475*44/12</f>
        <v>#N/A</v>
      </c>
      <c r="EW70" s="162" t="str">
        <f>EXP(-LN(2)/25)*EW69+(1-EXP(-LN(2)/25))/(LN(2)/25)*Calculateur!ER70*Calculateur!ET70*VLOOKUP('Données projet'!$B$15,'Paramètres'!$A$1:$I$88,3,0)*0.475*44/12</f>
        <v>#N/A</v>
      </c>
      <c r="EX70" s="162" t="str">
        <f>EXP(-LN(2)/2)*EX69+(1-EXP(-LN(2)/2))/(LN(2)/2)*ER70*EU70*VLOOKUP('Données projet'!$B$15,'Paramètres'!$A$1:$I$88,3,0)*0.475*44/12</f>
        <v>#N/A</v>
      </c>
      <c r="EY70" s="163" t="str">
        <f t="shared" si="22"/>
        <v>#N/A</v>
      </c>
      <c r="EZ70" s="159">
        <f>('Scénario référence'!$F$8+'Scénario référence'!$F$9+'Scénario référence'!$B$17+'Scénario référence'!$B$9+'Scénario référence'!$B$10)*70+IF((45+25*(1-EXP(-0.0175*A70)))&lt;70,'Scénario référence'!$B$16*(45+25*(1-EXP(-0.0175*A70))),70*'Scénario référence'!$B$16)+IF((32+38*(1-EXP(-0.0175*A70)))&lt;70,'Scénario référence'!$B$18*(32+38*(1-EXP(-0.0175*A70))),70*'Scénario référence'!$B$18)</f>
        <v>70</v>
      </c>
      <c r="FA70" s="151">
        <f>IF(A70&gt;30,10,('Scénario référence'!$B$16+'Scénario référence'!$B$17+'Scénario référence'!$B$18+'Scénario référence'!$B$9+'Scénario référence'!$B$10)*A70*10/30+('Scénario référence'!$F$8+'Scénario référence'!$F$9)*10)</f>
        <v>10</v>
      </c>
      <c r="FB70" s="151" t="str">
        <f>VLOOKUP(A70,'Données projet'!$A$217:$I$237,2,0)</f>
        <v>#N/A</v>
      </c>
      <c r="FC70" s="151" t="str">
        <f>VLOOKUP(A70,'Données projet'!$A$217:$I$237,9,0)</f>
        <v>#N/A</v>
      </c>
      <c r="FD70" s="151" t="str">
        <f t="array" ref="FD70">INDEX(FC:FC,MIN(IF(ISNUMBER(FC70:FC266),ROW(FC70:FC266),"")))</f>
        <v/>
      </c>
      <c r="FE70" s="151">
        <f>IF('Données projet'!$A$218&gt;35,FE69+FD70-FM69,IF(A70&lt;'Données projet'!$A$218,$FB$205^A70,IF(A70='Données projet'!$A$218,'Données projet'!$B$218,FE69+FD70-FM69)))</f>
        <v>0</v>
      </c>
      <c r="FF70" s="158" t="str">
        <f>FE70*VLOOKUP('Données projet'!$B$16,'Paramètres'!$A$1:$I$88,3,0)*VLOOKUP('Données projet'!$B$16,'Paramètres'!$A$1:$I$88,5,0)</f>
        <v>#N/A</v>
      </c>
      <c r="FG70" s="150" t="str">
        <f t="shared" si="48"/>
        <v>#N/A</v>
      </c>
      <c r="FH70" s="161" t="str">
        <f t="shared" si="23"/>
        <v>#N/A</v>
      </c>
      <c r="FI70" s="153" t="str">
        <f t="shared" si="24"/>
        <v>#N/A</v>
      </c>
      <c r="FJ70" s="153" t="str">
        <f>AVERAGE(OFFSET($FI$3,0,0,'Données projet'!$E$16+1,1))-AVERAGE(OFFSET($H$3,0,0,'Données projet'!$E$16+1,1))</f>
        <v>#N/A</v>
      </c>
      <c r="FK70" s="153" t="str">
        <f t="shared" si="49"/>
        <v>#N/A</v>
      </c>
      <c r="FL70" s="154">
        <f>IF(ISNA(VLOOKUP(A70,'Données projet'!$A$217:$I$237,3,0)),0,VLOOKUP(A70,'Données projet'!$A$217:$I$237,3,0))</f>
        <v>0</v>
      </c>
      <c r="FM70" s="154">
        <f>IF(ISNA(VLOOKUP(A70,'Données projet'!$A$217:$I$237,4,0)),0,VLOOKUP(A70,'Données projet'!$A$217:$I$237,4,0))</f>
        <v>0</v>
      </c>
      <c r="FN70" s="155">
        <f>IF(ISNA(VLOOKUP(A70,'Données projet'!$A$217:$I$237,5,0)),0%,VLOOKUP(A70,'Données projet'!$A$217:$I$237,5,0)*VLOOKUP('Données projet'!$B$16,'Paramètres'!$A$1:$I$88,7,0))</f>
        <v>0</v>
      </c>
      <c r="FO70" s="155">
        <f>IF(ISNA(VLOOKUP(A70,'Données projet'!$A$217:$I$237,6,0)),0%,VLOOKUP(A70,'Données projet'!$A$217:$I$237,6,0)*VLOOKUP('Données projet'!$B$16,'Paramètres'!$A$1:$I$88,7,0))</f>
        <v>0</v>
      </c>
      <c r="FP70" s="155">
        <f>IF(ISNA(VLOOKUP(A70,'Données projet'!$A$217:$I$237,7,0)),0%,VLOOKUP(A70,'Données projet'!$A$217:$I$237,7,0))</f>
        <v>0</v>
      </c>
      <c r="FQ70" s="162" t="str">
        <f>EXP(-LN(2)/35)*FQ69+(1-EXP(-LN(2)/35))/(LN(2)/35)*FM70*FN70*VLOOKUP('Données projet'!$B$16,'Paramètres'!$A$1:$I$88,3,0)*0.475*44/12</f>
        <v>#N/A</v>
      </c>
      <c r="FR70" s="162" t="str">
        <f>EXP(-LN(2)/25)*FR69+(1-EXP(-LN(2)/25))/(LN(2)/25)*Calculateur!FM70*Calculateur!FO70*VLOOKUP('Données projet'!$B$16,'Paramètres'!$A$1:$I$88,3,0)*0.475*44/12</f>
        <v>#N/A</v>
      </c>
      <c r="FS70" s="162" t="str">
        <f>EXP(-LN(2)/2)*FS69+(1-EXP(-LN(2)/2))/(LN(2)/2)*FM70*FP70*VLOOKUP('Données projet'!$B$16,'Paramètres'!$A$1:$I$88,3,0)*0.475*44/12</f>
        <v>#N/A</v>
      </c>
      <c r="FT70" s="163" t="str">
        <f t="shared" si="25"/>
        <v>#N/A</v>
      </c>
      <c r="FU70" s="159">
        <f>('Scénario référence'!$F$8+'Scénario référence'!$F$9+'Scénario référence'!$B$17+'Scénario référence'!$B$9+'Scénario référence'!$B$10)*70+IF((45+25*(1-EXP(-0.0175*A70)))&lt;70,'Scénario référence'!$B$16*(45+25*(1-EXP(-0.0175*A70))),70*'Scénario référence'!$B$16)+IF((32+38*(1-EXP(-0.0175*A70)))&lt;70,'Scénario référence'!$B$18*(32+38*(1-EXP(-0.0175*A70))),70*'Scénario référence'!$B$18)</f>
        <v>70</v>
      </c>
      <c r="FV70" s="151">
        <f>IF(A70&gt;30,10,('Scénario référence'!$B$16+'Scénario référence'!$B$17+'Scénario référence'!$B$18+'Scénario référence'!$B$9+'Scénario référence'!$B$10)*A70*10/30+('Scénario référence'!$F$8+'Scénario référence'!$F$9)*10)</f>
        <v>10</v>
      </c>
      <c r="FW70" s="151" t="str">
        <f>VLOOKUP(A70,'Données projet'!$A$243:$I$263,2,0)</f>
        <v>#N/A</v>
      </c>
      <c r="FX70" s="151" t="str">
        <f>VLOOKUP(A70,'Données projet'!$A$243:$I$263,9,0)</f>
        <v>#N/A</v>
      </c>
      <c r="FY70" s="151" t="str">
        <f t="array" ref="FY70">INDEX(FX:FX,MIN(IF(ISNUMBER(FX70:FX266),ROW(FX70:FX266),"")))</f>
        <v/>
      </c>
      <c r="FZ70" s="151">
        <f>IF('Données projet'!$A$244&gt;35,FZ69+FY70-GH69,IF(A70&lt;'Données projet'!$A$244,$FW$205^A70,IF(A70='Données projet'!$A$244,'Données projet'!$B$244,FZ69+FY70-GH69)))</f>
        <v>0</v>
      </c>
      <c r="GA70" s="158" t="str">
        <f>FZ70*VLOOKUP('Données projet'!$B$17,'Paramètres'!$A$1:$I$88,3,0)*VLOOKUP('Données projet'!$B$17,'Paramètres'!$A$1:$I$88,5,0)</f>
        <v>#N/A</v>
      </c>
      <c r="GB70" s="150" t="str">
        <f t="shared" si="50"/>
        <v>#N/A</v>
      </c>
      <c r="GC70" s="161" t="str">
        <f t="shared" si="26"/>
        <v>#N/A</v>
      </c>
      <c r="GD70" s="153" t="str">
        <f t="shared" si="27"/>
        <v>#N/A</v>
      </c>
      <c r="GE70" s="153" t="str">
        <f>AVERAGE(OFFSET($GD$3,0,0,'Données projet'!$E$17+1,1))-AVERAGE(OFFSET($H$3,0,0,'Données projet'!$E$17+1,1))</f>
        <v>#N/A</v>
      </c>
      <c r="GF70" s="153" t="str">
        <f t="shared" si="51"/>
        <v>#N/A</v>
      </c>
      <c r="GG70" s="154">
        <f>IF(ISNA(VLOOKUP(A70,'Données projet'!$A$243:$I$263,3,0)),0,VLOOKUP(A70,'Données projet'!$A$243:$I$263,3,0))</f>
        <v>0</v>
      </c>
      <c r="GH70" s="154">
        <f>IF(ISNA(VLOOKUP(A70,'Données projet'!$A$243:$I$263,4,0)),0,VLOOKUP(A70,'Données projet'!$A$243:$I$263,4,0))</f>
        <v>0</v>
      </c>
      <c r="GI70" s="155">
        <f>IF(ISNA(VLOOKUP(A70,'Données projet'!$A$243:$I$263,5,0)),0%,VLOOKUP(A70,'Données projet'!$A$243:$I$263,5,0)*VLOOKUP('Données projet'!$B$17,'Paramètres'!$A$1:$I$88,7,0))</f>
        <v>0</v>
      </c>
      <c r="GJ70" s="155">
        <f>IF(ISNA(VLOOKUP(A70,'Données projet'!$A$243:$I$263,6,0)),0%,VLOOKUP(A70,'Données projet'!$A$243:$I$263,6,0)*VLOOKUP('Données projet'!$B$17,'Paramètres'!$A$1:$I$88,7,0))</f>
        <v>0</v>
      </c>
      <c r="GK70" s="155">
        <f>IF(ISNA(VLOOKUP(A70,'Données projet'!$A$243:$I$263,7,0)),0%,VLOOKUP(A70,'Données projet'!$A$243:$I$263,7,0))</f>
        <v>0</v>
      </c>
      <c r="GL70" s="162" t="str">
        <f>EXP(-LN(2)/35)*GL69+(1-EXP(-LN(2)/35))/(LN(2)/35)*GH70*GI70*VLOOKUP('Données projet'!$B$17,'Paramètres'!$A$1:$I$88,3,0)*0.475*44/12</f>
        <v>#N/A</v>
      </c>
      <c r="GM70" s="162" t="str">
        <f>EXP(-LN(2)/25)*GM69+(1-EXP(-LN(2)/25))/(LN(2)/25)*Calculateur!GH70*Calculateur!GJ70*VLOOKUP('Données projet'!$B$17,'Paramètres'!$A$1:$I$88,3,0)*0.475*44/12</f>
        <v>#N/A</v>
      </c>
      <c r="GN70" s="162" t="str">
        <f>EXP(-LN(2)/2)*GN69+(1-EXP(-LN(2)/2))/(LN(2)/2)*GH70*GK70*VLOOKUP('Données projet'!$B$17,'Paramètres'!$A$1:$I$88,3,0)*0.475*44/12</f>
        <v>#N/A</v>
      </c>
      <c r="GO70" s="162" t="str">
        <f t="shared" si="28"/>
        <v>#N/A</v>
      </c>
      <c r="GP70" s="159">
        <f>('Scénario référence'!$F$8+'Scénario référence'!$F$9+'Scénario référence'!$B$17+'Scénario référence'!$B$9+'Scénario référence'!$B$10)*70+IF((45+25*(1-EXP(-0.0175*A70)))&lt;70,'Scénario référence'!$B$16*(45+25*(1-EXP(-0.0175*A70))),70*'Scénario référence'!$B$16)+IF((32+38*(1-EXP(-0.0175*A70)))&lt;70,'Scénario référence'!$B$18*(32+38*(1-EXP(-0.0175*A70))),70*'Scénario référence'!$B$18)</f>
        <v>70</v>
      </c>
      <c r="GQ70" s="151">
        <f>IF(A70&gt;30,10,('Scénario référence'!$B$16+'Scénario référence'!$B$17+'Scénario référence'!$B$18+'Scénario référence'!$B$9+'Scénario référence'!$B$10)*A70*10/30+('Scénario référence'!$F$8+'Scénario référence'!$F$9)*10)</f>
        <v>10</v>
      </c>
      <c r="GR70" s="151" t="str">
        <f>VLOOKUP(A70,'Données projet'!$A$269:$I$289,2,0)</f>
        <v>#N/A</v>
      </c>
      <c r="GS70" s="151" t="str">
        <f>VLOOKUP(A70,'Données projet'!$A$269:$I$289,9,0)</f>
        <v>#N/A</v>
      </c>
      <c r="GT70" s="151" t="str">
        <f t="array" ref="GT70">INDEX(GS:GS,MIN(IF(ISNUMBER(GS70:GS266),ROW(GS70:GS266),"")))</f>
        <v/>
      </c>
      <c r="GU70" s="151">
        <f>IF('Données projet'!$A$270&gt;35,GU69+GT70-HC69,IF(A70&lt;'Données projet'!$A$270,$GR$205^A70,IF(A70='Données projet'!$A$270,'Données projet'!$B$270,GU69+GT70-HC69)))</f>
        <v>0</v>
      </c>
      <c r="GV70" s="158" t="str">
        <f>GU70*VLOOKUP('Données projet'!$B$18,'Paramètres'!$A$1:$I$88,3,0)*VLOOKUP('Données projet'!$B$18,'Paramètres'!$A$1:$I$88,5,0)</f>
        <v>#N/A</v>
      </c>
      <c r="GW70" s="150" t="str">
        <f t="shared" si="52"/>
        <v>#N/A</v>
      </c>
      <c r="GX70" s="161" t="str">
        <f t="shared" si="29"/>
        <v>#N/A</v>
      </c>
      <c r="GY70" s="153" t="str">
        <f t="shared" si="30"/>
        <v>#N/A</v>
      </c>
      <c r="GZ70" s="153" t="str">
        <f>AVERAGE(OFFSET($GY$3,0,0,'Données projet'!$E$18+1,1))-AVERAGE(OFFSET($H$3,0,0,'Données projet'!$E$18+1,1))</f>
        <v>#N/A</v>
      </c>
      <c r="HA70" s="153" t="str">
        <f t="shared" si="53"/>
        <v>#N/A</v>
      </c>
      <c r="HB70" s="154">
        <f>IF(ISNA(VLOOKUP(A70,'Données projet'!$A$269:$I$289,3,0)),0,VLOOKUP(A70,'Données projet'!$A$269:$I$289,3,0))</f>
        <v>0</v>
      </c>
      <c r="HC70" s="154">
        <f>IF(ISNA(VLOOKUP(A70,'Données projet'!$A$269:$I$289,4,0)),0,VLOOKUP(A70,'Données projet'!$A$269:$I$289,4,0))</f>
        <v>0</v>
      </c>
      <c r="HD70" s="155">
        <f>IF(ISNA(VLOOKUP(A70,'Données projet'!$A$269:$I$289,5,0)),0%,VLOOKUP(A70,'Données projet'!$A$269:$I$289,5,0)*VLOOKUP('Données projet'!$B$18,'Paramètres'!$A$1:$I$88,7,0))</f>
        <v>0</v>
      </c>
      <c r="HE70" s="155">
        <f>IF(ISNA(VLOOKUP(A70,'Données projet'!$A$269:$I$289,6,0)),0%,VLOOKUP(A70,'Données projet'!$A$269:$I$289,6,0)*VLOOKUP('Données projet'!$B$18,'Paramètres'!$A$1:$I$88,7,0))</f>
        <v>0</v>
      </c>
      <c r="HF70" s="155">
        <f>IF(ISNA(VLOOKUP(A70,'Données projet'!$A$269:$I$289,7,0)),0%,VLOOKUP(A70,'Données projet'!$A$269:$I$289,7,0))</f>
        <v>0</v>
      </c>
      <c r="HG70" s="162" t="str">
        <f>EXP(-LN(2)/35)*HG69+(1-EXP(-LN(2)/35))/(LN(2)/35)*HC70*HD70*VLOOKUP('Données projet'!$B$18,'Paramètres'!$A$1:$I$88,3,0)*0.475*44/12</f>
        <v>#N/A</v>
      </c>
      <c r="HH70" s="162" t="str">
        <f>EXP(-LN(2)/25)*HH69+(1-EXP(-LN(2)/25))/(LN(2)/25)*Calculateur!HC70*Calculateur!HE70*VLOOKUP('Données projet'!$B$18,'Paramètres'!$A$1:$I$88,3,0)*0.475*44/12</f>
        <v>#N/A</v>
      </c>
      <c r="HI70" s="162" t="str">
        <f>EXP(-LN(2)/2)*HI69+(1-EXP(-LN(2)/2))/(LN(2)/2)*HC70*HF70*VLOOKUP('Données projet'!$B$18,'Paramètres'!$A$1:$I$88,3,0)*0.475*44/12</f>
        <v>#N/A</v>
      </c>
      <c r="HJ70" s="163" t="str">
        <f t="shared" si="31"/>
        <v>#N/A</v>
      </c>
    </row>
    <row r="71" ht="15.75" customHeight="1">
      <c r="A71" s="145">
        <f t="shared" si="32"/>
        <v>68</v>
      </c>
      <c r="B71" s="146">
        <f>'Scénario référence'!$B$16*5+'Scénario référence'!$B$17*0+'Scénario référence'!$B$18*5</f>
        <v>0</v>
      </c>
      <c r="C71" s="160">
        <f>Calculateur!C70+'Scénario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71" s="147">
        <f t="shared" si="33"/>
        <v>0</v>
      </c>
      <c r="E71" s="147">
        <f>'Scénario référence'!$B$16*45+('Scénario référence'!$B$17+'Scénario référence'!$F$8+'Scénario référence'!$F$9+'Scénario référence'!$B$10+'Scénario référence'!$B$9)*70+'Scénario référence'!$B$18*32</f>
        <v>70</v>
      </c>
      <c r="F71" s="147">
        <f>IF(OR('Scénario référence'!$F$8&gt;0,'Scénario référence'!$F$9&gt;0),('Scénario référence'!$F$8+'Scénario référence'!$F$9)*10,0)</f>
        <v>0</v>
      </c>
      <c r="G71" s="147">
        <f>'Scénario référence'!$B$8*B71*44/12+'Scénario référence'!$B$9*(C71+D71)/0.475*44/12+'Scénario référence'!$B$10*(C71+D71)/0.475*44/12+'Scénario référence'!$F$8*(C71+D71)/0.475*44/12+'Scénario référence'!$F$9*(C71+D71)/0.475*44/12</f>
        <v>0</v>
      </c>
      <c r="H71" s="148">
        <f t="shared" si="1"/>
        <v>256.6666667</v>
      </c>
      <c r="I71" s="149">
        <f>('Scénario référence'!$F$8+'Scénario référence'!$F$9+'Scénario référence'!$B$17+'Scénario référence'!$B$9+'Scénario référence'!$B$10)*70+IF((45+25*(1-EXP(-0.0175*A71)))&lt;70,'Scénario référence'!$B$16*(45+25*(1-EXP(-0.0175*A71))),70*'Scénario référence'!$B$16)+IF((32+38*(1-EXP(-0.0175*A71)))&lt;70,'Scénario référence'!$B$18*(32+38*(1-EXP(-0.0175*A71))),70*'Scénario référence'!$B$18)</f>
        <v>70</v>
      </c>
      <c r="J71" s="150">
        <f>IF(A71&gt;30,10,('Scénario référence'!$B$16+'Scénario référence'!$B$17+'Scénario référence'!$B$18+'Scénario référence'!$B$9+'Scénario référence'!$B$10)*A71*10/30+('Scénario référence'!$F$8+'Scénario référence'!$F$9)*10)</f>
        <v>10</v>
      </c>
      <c r="K71" s="151" t="str">
        <f>VLOOKUP(A71,'Données projet'!$A$35:$I$55,2,0)</f>
        <v>#N/A</v>
      </c>
      <c r="L71" s="151" t="str">
        <f>VLOOKUP(A71,'Données projet'!$A$35:$I$55,9,0)</f>
        <v>#N/A</v>
      </c>
      <c r="M71" s="150">
        <f t="array" ref="M71">INDEX(L:L,MIN(IF(ISNUMBER(L71:L267),ROW(L71:L267),"")))</f>
        <v>8.2</v>
      </c>
      <c r="N71" s="150">
        <f>IF('Données projet'!$A$36&gt;35,N70+M71-V70,IF(A71&lt;'Données projet'!$A$36,$K$205^A71,IF(A71='Données projet'!$A$36,'Données projet'!$B$36,N70+M71-V70)))</f>
        <v>285.6</v>
      </c>
      <c r="O71" s="150">
        <f>N71*VLOOKUP('Données projet'!$B$9,'Paramètres'!$A$1:$I$88,3,0)*VLOOKUP('Données projet'!$B$9,'Paramètres'!$A$1:$I$88,5,0)</f>
        <v>258.41088</v>
      </c>
      <c r="P71" s="150">
        <f t="shared" si="34"/>
        <v>62.38352102</v>
      </c>
      <c r="Q71" s="161">
        <f t="shared" si="2"/>
        <v>558.7169151</v>
      </c>
      <c r="R71" s="153">
        <f t="shared" si="3"/>
        <v>852.0502484</v>
      </c>
      <c r="S71" s="153">
        <f>AVERAGE(OFFSET($R$3,0,0,'Données projet'!$E$9+1,1))-AVERAGE(OFFSET($H$3,0,0,'Données projet'!$E$9+1,1))</f>
        <v>439.1985427</v>
      </c>
      <c r="T71" s="153">
        <f t="shared" si="35"/>
        <v>278.2174123</v>
      </c>
      <c r="U71" s="154">
        <f>IF(ISNA(VLOOKUP(A71,'Données projet'!$A$35:$I$55,3,0)),0,VLOOKUP(A71,'Données projet'!$A$35:$I$55,3,0))</f>
        <v>0</v>
      </c>
      <c r="V71" s="154">
        <f>IF(ISNA(VLOOKUP(A71,'Données projet'!$A$35:$I$55,4,0)),0,VLOOKUP(A71,'Données projet'!$A$35:$I$55,4,0))</f>
        <v>0</v>
      </c>
      <c r="W71" s="155">
        <f>IF(ISNA(VLOOKUP(A71,'Données projet'!$A$35:$I$55,5,0)),0%,VLOOKUP(A71,'Données projet'!$A$35:$I$55,5,0)*VLOOKUP('Données projet'!$B$9,'Paramètres'!$A$1:$I$88,7,0))</f>
        <v>0</v>
      </c>
      <c r="X71" s="155">
        <f>IF(ISNA(VLOOKUP(A71,'Données projet'!$A$35:$I$55,6,0)),0%,VLOOKUP(A71,'Données projet'!$A$35:$I$55,6,0)*VLOOKUP('Données projet'!$B$9,'Paramètres'!$A$1:$I$88,7,0))</f>
        <v>0</v>
      </c>
      <c r="Y71" s="155">
        <f>IF(ISNA(VLOOKUP(A71,'Données projet'!$A$35:$I$55,7,0)),0%,VLOOKUP(A71,'Données projet'!$A$35:$I$55,7,0))</f>
        <v>0</v>
      </c>
      <c r="Z71" s="162">
        <f>EXP(-LN(2)/35)*Z70+(1-EXP(-LN(2)/35))/(LN(2)/35)*V71*W71*VLOOKUP('Données projet'!$B$9,'Paramètres'!$A$1:$I$88,3,0)*0.475*44/12</f>
        <v>0</v>
      </c>
      <c r="AA71" s="162">
        <f>EXP(-LN(2)/25)*AA70+(1-EXP(-LN(2)/25))/(LN(2)/25)*Calculateur!V71*Calculateur!X71*VLOOKUP('Données projet'!$B$9,'Paramètres'!$A$1:$I$88,3,0)*0.475*44/12</f>
        <v>1.564756216</v>
      </c>
      <c r="AB71" s="162">
        <f>EXP(-LN(2)/2)*AB70+(1-EXP(-LN(2)/2))/(LN(2)/2)*V71*Y71*VLOOKUP('Données projet'!$B$9,'Paramètres'!$A$1:$I$88,3,0)*0.475*44/12</f>
        <v>0</v>
      </c>
      <c r="AC71" s="163">
        <f t="shared" si="4"/>
        <v>1.564756216</v>
      </c>
      <c r="AD71" s="150">
        <f>('Scénario référence'!$F$8+'Scénario référence'!$F$9+'Scénario référence'!$B$17+'Scénario référence'!$B$9+'Scénario référence'!$B$10)*70+IF((45+25*(1-EXP(-0.0175*A71)))&lt;70,'Scénario référence'!$B$16*(45+25*(1-EXP(-0.0175*A71))),70*'Scénario référence'!$B$16)+IF((32+38*(1-EXP(-0.0175*A71)))&lt;70,'Scénario référence'!$B$18*(32+38*(1-EXP(-0.0175*A71))),70*'Scénario référence'!$B$18)</f>
        <v>70</v>
      </c>
      <c r="AE71" s="150">
        <f>IF(A71&gt;30,10,('Scénario référence'!$B$16+'Scénario référence'!$B$17+'Scénario référence'!$B$18+'Scénario référence'!$B$9+'Scénario référence'!$B$10)*A71*10/30+('Scénario référence'!$F$8+'Scénario référence'!$F$9)*10)</f>
        <v>10</v>
      </c>
      <c r="AF71" s="151" t="str">
        <f>VLOOKUP(A71,'Données projet'!$A$61:$I$81,2,0)</f>
        <v>#N/A</v>
      </c>
      <c r="AG71" s="151" t="str">
        <f>VLOOKUP(A71,'Données projet'!$A$61:$I$81,9,0)</f>
        <v>#N/A</v>
      </c>
      <c r="AH71" s="150">
        <f t="array" ref="AH71">INDEX(AG:AG,MIN(IF(ISNUMBER(AG71:AG267),ROW(AG71:AG267),"")))</f>
        <v>5.2</v>
      </c>
      <c r="AI71" s="150">
        <f>IF('Données projet'!$A$62&gt;35,AI70+AH71-AQ70,IF(A71&lt;'Données projet'!$A$62,$AF$205^A71,IF(A71='Données projet'!$A$62,'Données projet'!$B$62,AI70+AH71-AQ70)))</f>
        <v>355.6</v>
      </c>
      <c r="AJ71" s="150">
        <f>AI71*VLOOKUP('Données projet'!$B$10,'Paramètres'!$A$1:$I$88,3,0)*VLOOKUP('Données projet'!$B$10,'Paramètres'!$A$1:$I$88,5,0)</f>
        <v>282.91536</v>
      </c>
      <c r="AK71" s="150">
        <f t="shared" si="36"/>
        <v>67.58273635</v>
      </c>
      <c r="AL71" s="161">
        <f t="shared" si="5"/>
        <v>610.4508511</v>
      </c>
      <c r="AM71" s="153">
        <f t="shared" si="6"/>
        <v>903.7841845</v>
      </c>
      <c r="AN71" s="153">
        <f>AVERAGE(OFFSET($AM$3,0,0,'Données projet'!$E$10+1,1))-AVERAGE(OFFSET($H$3,0,0,'Données projet'!$E$10+1,1))</f>
        <v>405.6113614</v>
      </c>
      <c r="AO71" s="153">
        <f t="shared" si="37"/>
        <v>393.0787141</v>
      </c>
      <c r="AP71" s="154">
        <f>IF(ISNA(VLOOKUP(A71,'Données projet'!$A$61:$I$81,3,0)),0,VLOOKUP(A71,'Données projet'!$A$61:$I$81,3,0))</f>
        <v>0</v>
      </c>
      <c r="AQ71" s="154">
        <f>IF(ISNA(VLOOKUP(A71,'Données projet'!$A$61:$I$81,4,0)),0,VLOOKUP(A71,'Données projet'!$A$61:$I$81,4,0))</f>
        <v>0</v>
      </c>
      <c r="AR71" s="155">
        <f>IF(ISNA(VLOOKUP(A71,'Données projet'!$A$61:$I$81,5,0)),0%,VLOOKUP(A71,'Données projet'!$A$61:$I$81,5,0)*VLOOKUP('Données projet'!$B$10,'Paramètres'!$A$1:$I$88,7,0))</f>
        <v>0</v>
      </c>
      <c r="AS71" s="155">
        <f>IF(ISNA(VLOOKUP(A71,'Données projet'!$A$61:$I$81,6,0)),0%,VLOOKUP(A71,'Données projet'!$A$61:$I$81,6,0)*VLOOKUP('Données projet'!$B$10,'Paramètres'!$A$1:$I$88,7,0))</f>
        <v>0</v>
      </c>
      <c r="AT71" s="155">
        <f>IF(ISNA(VLOOKUP(A71,'Données projet'!$A$61:$I$81,7,0)),0%,VLOOKUP(A71,'Données projet'!$A$61:$I$81,7,0))</f>
        <v>0</v>
      </c>
      <c r="AU71" s="162">
        <f>EXP(-LN(2)/35)*AU70+(1-EXP(-LN(2)/35))/(LN(2)/35)*AQ71*AR71*VLOOKUP('Données projet'!$B$10,'Paramètres'!$A$1:$I$88,3,0)*0.475*44/12</f>
        <v>0</v>
      </c>
      <c r="AV71" s="162">
        <f>EXP(-LN(2)/25)*AV70+(1-EXP(-LN(2)/25))/(LN(2)/25)*Calculateur!AQ71*Calculateur!AS71*VLOOKUP('Données projet'!$B$10,'Paramètres'!$A$1:$I$88,3,0)*0.475*44/12</f>
        <v>6.35956704</v>
      </c>
      <c r="AW71" s="162">
        <f>EXP(-LN(2)/2)*AW70+(1-EXP(-LN(2)/2))/(LN(2)/2)*AQ71*AT71*VLOOKUP('Données projet'!$B$10,'Paramètres'!$A$1:$I$88,3,0)*0.475*44/12</f>
        <v>0.00000110571328</v>
      </c>
      <c r="AX71" s="162">
        <f t="shared" si="7"/>
        <v>6.359568146</v>
      </c>
      <c r="AY71" s="157">
        <f>('Scénario référence'!$F$8+'Scénario référence'!$F$9+'Scénario référence'!$B$17+'Scénario référence'!$B$9+'Scénario référence'!$B$10)*70+IF((45+25*(1-EXP(-0.0175*A71)))&lt;70,'Scénario référence'!$B$16*(45+25*(1-EXP(-0.0175*A71))),70*'Scénario référence'!$B$16)+IF((32+38*(1-EXP(-0.0175*A71)))&lt;70,'Scénario référence'!$B$18*(32+38*(1-EXP(-0.0175*A71))),70*'Scénario référence'!$B$18)</f>
        <v>70</v>
      </c>
      <c r="AZ71" s="151">
        <f>IF(A71&gt;30,10,('Scénario référence'!$B$16+'Scénario référence'!$B$17+'Scénario référence'!$B$18+'Scénario référence'!$B$9+'Scénario référence'!$B$10)*A71*10/30+('Scénario référence'!$F$8+'Scénario référence'!$F$9)*10)</f>
        <v>10</v>
      </c>
      <c r="BA71" s="151" t="str">
        <f>VLOOKUP(A71,'Données projet'!$A$87:$I$107,2,0)</f>
        <v>#N/A</v>
      </c>
      <c r="BB71" s="151" t="str">
        <f>VLOOKUP(A71,'Données projet'!$A$87:$I$107,9,0)</f>
        <v>#N/A</v>
      </c>
      <c r="BC71" s="150" t="str">
        <f t="array" ref="BC71">INDEX(BB:BB,MIN(IF(ISNUMBER(BB71:BB267),ROW(BB71:BB267),"")))</f>
        <v/>
      </c>
      <c r="BD71" s="150">
        <f>IF('Données projet'!$A$88&gt;35,BD70+BC71-BL70,IF(A71&lt;'Données projet'!$A$88,$BA$205^A71,IF(A71='Données projet'!$A$88,'Données projet'!$B$88,BD70+BC71-BL70)))</f>
        <v>0</v>
      </c>
      <c r="BE71" s="150">
        <f>BD71*VLOOKUP('Données projet'!$B$11,'Paramètres'!$A$1:$I$88,3,0)*VLOOKUP('Données projet'!$B$11,'Paramètres'!$A$1:$I$88,5,0)</f>
        <v>0</v>
      </c>
      <c r="BF71" s="150" t="str">
        <f t="shared" si="38"/>
        <v>#NUM!</v>
      </c>
      <c r="BG71" s="161" t="str">
        <f t="shared" si="8"/>
        <v>#NUM!</v>
      </c>
      <c r="BH71" s="153" t="str">
        <f t="shared" si="9"/>
        <v>#NUM!</v>
      </c>
      <c r="BI71" s="153">
        <f>AVERAGE(OFFSET($BH$3,0,0,'Données projet'!$E$11+1,1))-AVERAGE(OFFSET($H$3,0,0,'Données projet'!$E$11+1,1))</f>
        <v>0</v>
      </c>
      <c r="BJ71" s="153">
        <f t="shared" si="39"/>
        <v>0</v>
      </c>
      <c r="BK71" s="154">
        <f>IF(ISNA(VLOOKUP(A71,'Données projet'!$A$87:$I$107,3,0)),0,VLOOKUP(A71,'Données projet'!$A$87:$I$107,3,0))</f>
        <v>0</v>
      </c>
      <c r="BL71" s="154">
        <f>IF(ISNA(VLOOKUP(A71,'Données projet'!$A$87:$I$107,4,0)),0,VLOOKUP(A71,'Données projet'!$A$87:$I$107,4,0))</f>
        <v>0</v>
      </c>
      <c r="BM71" s="155">
        <f>IF(ISNA(VLOOKUP(A71,'Données projet'!$A$87:$I$107,5,0)),0%,VLOOKUP(A71,'Données projet'!$A$87:$I$107,5,0)*VLOOKUP('Données projet'!$B$11,'Paramètres'!$A$1:$I$88,7,0))</f>
        <v>0</v>
      </c>
      <c r="BN71" s="155">
        <f>IF(ISNA(VLOOKUP(A71,'Données projet'!$A$87:$I$107,6,0)),0%,VLOOKUP(A71,'Données projet'!$A$87:$I$107,6,0)*VLOOKUP('Données projet'!$B$11,'Paramètres'!$A$1:$I$88,7,0))</f>
        <v>0</v>
      </c>
      <c r="BO71" s="155">
        <f>IF(ISNA(VLOOKUP(A71,'Données projet'!$A$87:$I$107,7,0)),0%,VLOOKUP(A71,'Données projet'!$A$87:$I$107,7,0))</f>
        <v>0</v>
      </c>
      <c r="BP71" s="162">
        <f>EXP(-LN(2)/35)*BP70+(1-EXP(-LN(2)/35))/(LN(2)/35)*BL71*BM71*VLOOKUP('Données projet'!$B$11,'Paramètres'!$A$1:$I$88,3,0)*0.475*44/12</f>
        <v>0</v>
      </c>
      <c r="BQ71" s="162">
        <f>EXP(-LN(2)/25)*BQ70+(1-EXP(-LN(2)/25))/(LN(2)/25)*Calculateur!BL71*Calculateur!BN71*VLOOKUP('Données projet'!$B$11,'Paramètres'!$A$1:$I$88,3,0)*0.475*44/12</f>
        <v>0</v>
      </c>
      <c r="BR71" s="162">
        <f>EXP(-LN(2)/2)*BR70+(1-EXP(-LN(2)/2))/(LN(2)/2)*BL71*BO71*VLOOKUP('Données projet'!$B$11,'Paramètres'!$A$1:$I$88,3,0)*0.475*44/12</f>
        <v>0</v>
      </c>
      <c r="BS71" s="163">
        <f t="shared" si="10"/>
        <v>0</v>
      </c>
      <c r="BT71" s="159">
        <f>('Scénario référence'!$F$8+'Scénario référence'!$F$9+'Scénario référence'!$B$17+'Scénario référence'!$B$9+'Scénario référence'!$B$10)*70+IF((45+25*(1-EXP(-0.0175*A71)))&lt;70,'Scénario référence'!$B$16*(45+25*(1-EXP(-0.0175*A71))),70*'Scénario référence'!$B$16)+IF((32+38*(1-EXP(-0.0175*A71)))&lt;70,'Scénario référence'!$B$18*(32+38*(1-EXP(-0.0175*A71))),70*'Scénario référence'!$B$18)</f>
        <v>70</v>
      </c>
      <c r="BU71" s="151">
        <f>IF(A71&gt;30,10,('Scénario référence'!$B$16+'Scénario référence'!$B$17+'Scénario référence'!$B$18+'Scénario référence'!$B$9+'Scénario référence'!$B$10)*A71*10/30+('Scénario référence'!$F$8+'Scénario référence'!$F$9)*10)</f>
        <v>10</v>
      </c>
      <c r="BV71" s="151" t="str">
        <f>VLOOKUP(A71,'Données projet'!$A$113:$I$133,2,0)</f>
        <v>#N/A</v>
      </c>
      <c r="BW71" s="151" t="str">
        <f>VLOOKUP(A71,'Données projet'!$A$113:$I$133,9,0)</f>
        <v>#N/A</v>
      </c>
      <c r="BX71" s="150" t="str">
        <f t="array" ref="BX71">INDEX(BW:BW,MIN(IF(ISNUMBER(BW71:BW267),ROW(BW71:BW267),"")))</f>
        <v/>
      </c>
      <c r="BY71" s="150">
        <f>IF('Données projet'!$A$114&gt;35,BY70+BX71-CG70,IF(A71&lt;'Données projet'!$A$114,$BV$205^A71,IF(A71='Données projet'!$A$114,'Données projet'!$B$114,BY70+BX71-CG70)))</f>
        <v>0</v>
      </c>
      <c r="BZ71" s="150" t="str">
        <f>BY71*VLOOKUP('Données projet'!$B$12,'Paramètres'!$A$1:$I$88,3,0)*VLOOKUP('Données projet'!$B$12,'Paramètres'!$A$1:$I$88,5,0)</f>
        <v>#N/A</v>
      </c>
      <c r="CA71" s="150" t="str">
        <f t="shared" si="40"/>
        <v>#N/A</v>
      </c>
      <c r="CB71" s="161" t="str">
        <f t="shared" si="11"/>
        <v>#N/A</v>
      </c>
      <c r="CC71" s="153" t="str">
        <f t="shared" si="12"/>
        <v>#N/A</v>
      </c>
      <c r="CD71" s="153" t="str">
        <f>AVERAGE(OFFSET($CC$3,0,0,'Données projet'!$E$12+1,1))-AVERAGE(OFFSET($H$3,0,0,'Données projet'!$E$12+1,1))</f>
        <v>#N/A</v>
      </c>
      <c r="CE71" s="153" t="str">
        <f t="shared" si="41"/>
        <v>#N/A</v>
      </c>
      <c r="CF71" s="154">
        <f>IF(ISNA(VLOOKUP(A71,'Données projet'!$A$113:$I$133,3,0)),0,VLOOKUP(A71,'Données projet'!$A$113:$I$133,3,0))</f>
        <v>0</v>
      </c>
      <c r="CG71" s="154">
        <f>IF(ISNA(VLOOKUP(A71,'Données projet'!$A$113:$I$133,4,0)),0,VLOOKUP(A71,'Données projet'!$A$113:$I$133,4,0))</f>
        <v>0</v>
      </c>
      <c r="CH71" s="155">
        <f>IF(ISNA(VLOOKUP(A71,'Données projet'!$A$113:$I$133,5,0)),0%,VLOOKUP(A71,'Données projet'!$A$113:$I$133,5,0)*VLOOKUP('Données projet'!$B$12,'Paramètres'!$A$1:$I$88,7,0))</f>
        <v>0</v>
      </c>
      <c r="CI71" s="155">
        <f>IF(ISNA(VLOOKUP(A71,'Données projet'!$A$113:$I$133,6,0)),0%,VLOOKUP(A71,'Données projet'!$A$113:$I$133,6,0)*VLOOKUP('Données projet'!$B$12,'Paramètres'!$A$1:$I$88,7,0))</f>
        <v>0</v>
      </c>
      <c r="CJ71" s="155">
        <f>IF(ISNA(VLOOKUP(A71,'Données projet'!$A$113:$I$133,7,0)),0%,VLOOKUP(A71,'Données projet'!$A$113:$I$133,7,0))</f>
        <v>0</v>
      </c>
      <c r="CK71" s="162" t="str">
        <f>EXP(-LN(2)/35)*CK70+(1-EXP(-LN(2)/35))/(LN(2)/35)*CG71*CH71*VLOOKUP('Données projet'!$B$12,'Paramètres'!$A$1:$I$88,3,0)*0.475*44/12</f>
        <v>#N/A</v>
      </c>
      <c r="CL71" s="162" t="str">
        <f>EXP(-LN(2)/25)*CL70+(1-EXP(-LN(2)/25))/(LN(2)/25)*Calculateur!CG71*Calculateur!CI71*VLOOKUP('Données projet'!$B$12,'Paramètres'!$A$1:$I$88,3,0)*0.475*44/12</f>
        <v>#N/A</v>
      </c>
      <c r="CM71" s="162" t="str">
        <f>EXP(-LN(2)/2)*CM70+(1-EXP(-LN(2)/2))/(LN(2)/2)*CG71*CJ71*VLOOKUP('Données projet'!$B$12,'Paramètres'!$A$1:$I$88,3,0)*0.475*44/12</f>
        <v>#N/A</v>
      </c>
      <c r="CN71" s="163" t="str">
        <f t="shared" si="13"/>
        <v>#N/A</v>
      </c>
      <c r="CO71" s="159">
        <f>('Scénario référence'!$F$8+'Scénario référence'!$F$9+'Scénario référence'!$B$17+'Scénario référence'!$B$9+'Scénario référence'!$B$10)*70+IF((45+25*(1-EXP(-0.0175*A71)))&lt;70,'Scénario référence'!$B$16*(45+25*(1-EXP(-0.0175*A71))),70*'Scénario référence'!$B$16)+IF((32+38*(1-EXP(-0.0175*A71)))&lt;70,'Scénario référence'!$B$18*(32+38*(1-EXP(-0.0175*A71))),70*'Scénario référence'!$B$18)</f>
        <v>70</v>
      </c>
      <c r="CP71" s="151">
        <f>IF(A71&gt;30,10,('Scénario référence'!$B$16+'Scénario référence'!$B$17+'Scénario référence'!$B$18+'Scénario référence'!$B$9+'Scénario référence'!$B$10)*A71*10/30+('Scénario référence'!$F$8+'Scénario référence'!$F$9)*10)</f>
        <v>10</v>
      </c>
      <c r="CQ71" s="151" t="str">
        <f>VLOOKUP(A71,'Données projet'!$A$139:$I$159,2,0)</f>
        <v>#N/A</v>
      </c>
      <c r="CR71" s="151" t="str">
        <f>VLOOKUP(A71,'Données projet'!$A$139:$I$159,9,0)</f>
        <v>#N/A</v>
      </c>
      <c r="CS71" s="151" t="str">
        <f t="array" ref="CS71">INDEX(CR:CR,MIN(IF(ISNUMBER(CR71:CR267),ROW(CR71:CR267),"")))</f>
        <v/>
      </c>
      <c r="CT71" s="151">
        <f>IF('Données projet'!$A$140&gt;35,CT70+CS71-DB70,IF(A71&lt;'Données projet'!$A$140,$CQ$205^A71,IF(A71='Données projet'!$A$140,'Données projet'!$B$140,CT70+CS71-DB70)))</f>
        <v>0</v>
      </c>
      <c r="CU71" s="158" t="str">
        <f>CT71*VLOOKUP('Données projet'!$B$13,'Paramètres'!$A$1:$I$88,3,0)*VLOOKUP('Données projet'!$B$13,'Paramètres'!$A$1:$I$88,5,0)</f>
        <v>#N/A</v>
      </c>
      <c r="CV71" s="150" t="str">
        <f t="shared" si="42"/>
        <v>#N/A</v>
      </c>
      <c r="CW71" s="161" t="str">
        <f t="shared" si="14"/>
        <v>#N/A</v>
      </c>
      <c r="CX71" s="153" t="str">
        <f t="shared" si="15"/>
        <v>#N/A</v>
      </c>
      <c r="CY71" s="153" t="str">
        <f>AVERAGE(OFFSET($CX$3,0,0,'Données projet'!$E$13+1,1))-AVERAGE(OFFSET($H$3,0,0,'Données projet'!$E$13+1,1))</f>
        <v>#N/A</v>
      </c>
      <c r="CZ71" s="153" t="str">
        <f t="shared" si="43"/>
        <v>#N/A</v>
      </c>
      <c r="DA71" s="154">
        <f>IF(ISNA(VLOOKUP(A71,'Données projet'!$A$139:$I$159,3,0)),0,VLOOKUP(A71,'Données projet'!$A$139:$I$159,3,0))</f>
        <v>0</v>
      </c>
      <c r="DB71" s="154">
        <f>IF(ISNA(VLOOKUP(A71,'Données projet'!$A$139:$I$159,4,0)),0,VLOOKUP(A71,'Données projet'!$A$139:$I$159,4,0))</f>
        <v>0</v>
      </c>
      <c r="DC71" s="155">
        <f>IF(ISNA(VLOOKUP(A71,'Données projet'!$A$139:$I$159,5,0)),0%,VLOOKUP(A71,'Données projet'!$A$139:$I$159,5,0)*VLOOKUP('Données projet'!$B$13,'Paramètres'!$A$1:$I$88,7,0))</f>
        <v>0</v>
      </c>
      <c r="DD71" s="155">
        <f>IF(ISNA(VLOOKUP(A71,'Données projet'!$A$139:$I$159,6,0)),0%,VLOOKUP(A71,'Données projet'!$A$139:$I$159,6,0)*VLOOKUP('Données projet'!$B$13,'Paramètres'!$A$1:$I$88,7,0))</f>
        <v>0</v>
      </c>
      <c r="DE71" s="155">
        <f>IF(ISNA(VLOOKUP(A71,'Données projet'!$A$139:$I$159,7,0)),0%,VLOOKUP(A71,'Données projet'!$A$139:$I$159,7,0))</f>
        <v>0</v>
      </c>
      <c r="DF71" s="162" t="str">
        <f>EXP(-LN(2)/35)*DF70+(1-EXP(-LN(2)/35))/(LN(2)/35)*DB71*DC71*VLOOKUP('Données projet'!$B$13,'Paramètres'!$A$1:$I$88,3,0)*0.475*44/12</f>
        <v>#N/A</v>
      </c>
      <c r="DG71" s="162" t="str">
        <f>EXP(-LN(2)/25)*DG70+(1-EXP(-LN(2)/25))/(LN(2)/25)*Calculateur!DB71*Calculateur!DD71*VLOOKUP('Données projet'!$B$13,'Paramètres'!$A$1:$I$88,3,0)*0.475*44/12</f>
        <v>#N/A</v>
      </c>
      <c r="DH71" s="162" t="str">
        <f>EXP(-LN(2)/2)*DH70+(1-EXP(-LN(2)/2))/(LN(2)/2)*DB71*DE71*VLOOKUP('Données projet'!$B$13,'Paramètres'!$A$1:$I$88,3,0)*0.475*44/12</f>
        <v>#N/A</v>
      </c>
      <c r="DI71" s="163" t="str">
        <f t="shared" si="16"/>
        <v>#N/A</v>
      </c>
      <c r="DJ71" s="159">
        <f>('Scénario référence'!$F$8+'Scénario référence'!$F$9+'Scénario référence'!$B$17+'Scénario référence'!$B$9+'Scénario référence'!$B$10)*70+IF((45+25*(1-EXP(-0.0175*A71)))&lt;70,'Scénario référence'!$B$16*(45+25*(1-EXP(-0.0175*A71))),70*'Scénario référence'!$B$16)+IF((32+38*(1-EXP(-0.0175*A71)))&lt;70,'Scénario référence'!$B$18*(32+38*(1-EXP(-0.0175*A71))),70*'Scénario référence'!$B$18)</f>
        <v>70</v>
      </c>
      <c r="DK71" s="151">
        <f>IF(A71&gt;30,10,('Scénario référence'!$B$16+'Scénario référence'!$B$17+'Scénario référence'!$B$18+'Scénario référence'!$B$9+'Scénario référence'!$B$10)*A71*10/30+('Scénario référence'!$F$8+'Scénario référence'!$F$9)*10)</f>
        <v>10</v>
      </c>
      <c r="DL71" s="151" t="str">
        <f>VLOOKUP(A71,'Données projet'!$A$165:$I$185,2,0)</f>
        <v>#N/A</v>
      </c>
      <c r="DM71" s="151" t="str">
        <f>VLOOKUP(A71,'Données projet'!$A$165:$I$185,9,0)</f>
        <v>#N/A</v>
      </c>
      <c r="DN71" s="151" t="str">
        <f t="array" ref="DN71">INDEX(DM:DM,MIN(IF(ISNUMBER(DM71:DM267),ROW(DM71:DM267),"")))</f>
        <v/>
      </c>
      <c r="DO71" s="151">
        <f>IF('Données projet'!$A$166&gt;35,DO70+DN71-DW70,IF(A71&lt;'Données projet'!$A$166,$DL$205^A71,IF(A71='Données projet'!$A$166,'Données projet'!$B$166,DO70+DN71-DW70)))</f>
        <v>0</v>
      </c>
      <c r="DP71" s="158" t="str">
        <f>DO71*VLOOKUP('Données projet'!$B$14,'Paramètres'!$A$1:$I$88,3,0)*VLOOKUP('Données projet'!$B$14,'Paramètres'!$A$1:$I$88,5,0)</f>
        <v>#N/A</v>
      </c>
      <c r="DQ71" s="150" t="str">
        <f t="shared" si="44"/>
        <v>#N/A</v>
      </c>
      <c r="DR71" s="161" t="str">
        <f t="shared" si="17"/>
        <v>#N/A</v>
      </c>
      <c r="DS71" s="153" t="str">
        <f t="shared" si="18"/>
        <v>#N/A</v>
      </c>
      <c r="DT71" s="153" t="str">
        <f>AVERAGE(OFFSET($DS$3,0,0,'Données projet'!$E$14+1,1))-AVERAGE(OFFSET($H$3,0,0,'Données projet'!$E$14+1,1))</f>
        <v>#N/A</v>
      </c>
      <c r="DU71" s="153" t="str">
        <f t="shared" si="45"/>
        <v>#N/A</v>
      </c>
      <c r="DV71" s="154">
        <f>IF(ISNA(VLOOKUP(A71,'Données projet'!$A$165:$I$185,3,0)),0,VLOOKUP(A71,'Données projet'!$A$165:$I$185,3,0))</f>
        <v>0</v>
      </c>
      <c r="DW71" s="154">
        <f>IF(ISNA(VLOOKUP(A71,'Données projet'!$A$165:$I$185,4,0)),0,VLOOKUP(A71,'Données projet'!$A$165:$I$185,4,0))</f>
        <v>0</v>
      </c>
      <c r="DX71" s="155">
        <f>IF(ISNA(VLOOKUP(A71,'Données projet'!$A$165:$I$185,5,0)),0%,VLOOKUP(A71,'Données projet'!$A$165:$I$185,5,0)*VLOOKUP('Données projet'!$B$14,'Paramètres'!$A$1:$I$88,7,0))</f>
        <v>0</v>
      </c>
      <c r="DY71" s="155">
        <f>IF(ISNA(VLOOKUP(A71,'Données projet'!$A$165:$I$185,6,0)),0%,VLOOKUP(A71,'Données projet'!$A$165:$I$185,6,0)*VLOOKUP('Données projet'!$B$14,'Paramètres'!$A$1:$I$88,7,0))</f>
        <v>0</v>
      </c>
      <c r="DZ71" s="155">
        <f>IF(ISNA(VLOOKUP(A71,'Données projet'!$A$165:$I$185,7,0)),0%,VLOOKUP(A71,'Données projet'!$A$165:$I$185,7,0))</f>
        <v>0</v>
      </c>
      <c r="EA71" s="162" t="str">
        <f>EXP(-LN(2)/35)*EA70+(1-EXP(-LN(2)/35))/(LN(2)/35)*DW71*DX71*VLOOKUP('Données projet'!$B$14,'Paramètres'!$A$1:$I$88,3,0)*0.475*44/12</f>
        <v>#N/A</v>
      </c>
      <c r="EB71" s="162" t="str">
        <f>EXP(-LN(2)/25)*EB70+(1-EXP(-LN(2)/25))/(LN(2)/25)*Calculateur!DW71*Calculateur!DY71*VLOOKUP('Données projet'!$B$14,'Paramètres'!$A$1:$I$88,3,0)*0.475*44/12</f>
        <v>#N/A</v>
      </c>
      <c r="EC71" s="162" t="str">
        <f>EXP(-LN(2)/2)*EC70+(1-EXP(-LN(2)/2))/(LN(2)/2)*DW71*DZ71*VLOOKUP('Données projet'!$B$14,'Paramètres'!$A$1:$I$88,3,0)*0.475*44/12</f>
        <v>#N/A</v>
      </c>
      <c r="ED71" s="163" t="str">
        <f t="shared" si="19"/>
        <v>#N/A</v>
      </c>
      <c r="EE71" s="159">
        <f>('Scénario référence'!$F$8+'Scénario référence'!$F$9+'Scénario référence'!$B$17+'Scénario référence'!$B$9+'Scénario référence'!$B$10)*70+IF((45+25*(1-EXP(-0.0175*A71)))&lt;70,'Scénario référence'!$B$16*(45+25*(1-EXP(-0.0175*A71))),70*'Scénario référence'!$B$16)+IF((32+38*(1-EXP(-0.0175*A71)))&lt;70,'Scénario référence'!$B$18*(32+38*(1-EXP(-0.0175*A71))),70*'Scénario référence'!$B$18)</f>
        <v>70</v>
      </c>
      <c r="EF71" s="151">
        <f>IF(A71&gt;30,10,('Scénario référence'!$B$16+'Scénario référence'!$B$17+'Scénario référence'!$B$18+'Scénario référence'!$B$9+'Scénario référence'!$B$10)*A71*10/30+('Scénario référence'!$F$8+'Scénario référence'!$F$9)*10)</f>
        <v>10</v>
      </c>
      <c r="EG71" s="151" t="str">
        <f>VLOOKUP(A71,'Données projet'!$A$191:$I$211,2,0)</f>
        <v>#N/A</v>
      </c>
      <c r="EH71" s="151" t="str">
        <f>VLOOKUP(A71,'Données projet'!$A$191:$I$211,9,0)</f>
        <v>#N/A</v>
      </c>
      <c r="EI71" s="151" t="str">
        <f t="array" ref="EI71">INDEX(EH:EH,MIN(IF(ISNUMBER(EH71:EH267),ROW(EH71:EH267),"")))</f>
        <v/>
      </c>
      <c r="EJ71" s="151">
        <f>IF('Données projet'!$A$192&gt;35,EJ70+EI71-ER70,IF(A71&lt;'Données projet'!$A$192,$EG$205^A71,IF(A71='Données projet'!$A$192,'Données projet'!$B$192,EJ70+EI71-ER70)))</f>
        <v>0</v>
      </c>
      <c r="EK71" s="158" t="str">
        <f>EJ71*VLOOKUP('Données projet'!$B$15,'Paramètres'!$A$1:$I$88,3,0)*VLOOKUP('Données projet'!$B$15,'Paramètres'!$A$1:$I$88,5,0)</f>
        <v>#N/A</v>
      </c>
      <c r="EL71" s="150" t="str">
        <f t="shared" si="46"/>
        <v>#N/A</v>
      </c>
      <c r="EM71" s="161" t="str">
        <f t="shared" si="20"/>
        <v>#N/A</v>
      </c>
      <c r="EN71" s="153" t="str">
        <f t="shared" si="21"/>
        <v>#N/A</v>
      </c>
      <c r="EO71" s="153" t="str">
        <f>AVERAGE(OFFSET($EN$3,0,0,'Données projet'!$E$15+1,1))-AVERAGE(OFFSET($H$3,0,0,'Données projet'!$E$15+1,1))</f>
        <v>#N/A</v>
      </c>
      <c r="EP71" s="153" t="str">
        <f t="shared" si="47"/>
        <v>#N/A</v>
      </c>
      <c r="EQ71" s="154">
        <f>IF(ISNA(VLOOKUP(A71,'Données projet'!$A$191:$I$211,3,0)),0,VLOOKUP(A71,'Données projet'!$A$191:$I$211,3,0))</f>
        <v>0</v>
      </c>
      <c r="ER71" s="154">
        <f>IF(ISNA(VLOOKUP(A71,'Données projet'!$A$191:$I$211,4,0)),0,VLOOKUP(A71,'Données projet'!$A$191:$I$211,4,0))</f>
        <v>0</v>
      </c>
      <c r="ES71" s="155">
        <f>IF(ISNA(VLOOKUP(A71,'Données projet'!$A$191:$I$211,5,0)),0%,VLOOKUP(A71,'Données projet'!$A$191:$I$211,5,0)*VLOOKUP('Données projet'!$B$15,'Paramètres'!$A$1:$I$88,7,0))</f>
        <v>0</v>
      </c>
      <c r="ET71" s="155">
        <f>IF(ISNA(VLOOKUP(A71,'Données projet'!$A$191:$I$211,6,0)),0%,VLOOKUP(A71,'Données projet'!$A$191:$I$211,6,0)*VLOOKUP('Données projet'!$B$15,'Paramètres'!$A$1:$I$88,7,0))</f>
        <v>0</v>
      </c>
      <c r="EU71" s="155">
        <f>IF(ISNA(VLOOKUP(A71,'Données projet'!$A$191:$I$211,7,0)),0%,VLOOKUP(A71,'Données projet'!$A$191:$I$211,7,0))</f>
        <v>0</v>
      </c>
      <c r="EV71" s="162" t="str">
        <f>EXP(-LN(2)/35)*EV70+(1-EXP(-LN(2)/35))/(LN(2)/35)*ER71*ES71*VLOOKUP('Données projet'!$B$15,'Paramètres'!$A$1:$I$88,3,0)*0.475*44/12</f>
        <v>#N/A</v>
      </c>
      <c r="EW71" s="162" t="str">
        <f>EXP(-LN(2)/25)*EW70+(1-EXP(-LN(2)/25))/(LN(2)/25)*Calculateur!ER71*Calculateur!ET71*VLOOKUP('Données projet'!$B$15,'Paramètres'!$A$1:$I$88,3,0)*0.475*44/12</f>
        <v>#N/A</v>
      </c>
      <c r="EX71" s="162" t="str">
        <f>EXP(-LN(2)/2)*EX70+(1-EXP(-LN(2)/2))/(LN(2)/2)*ER71*EU71*VLOOKUP('Données projet'!$B$15,'Paramètres'!$A$1:$I$88,3,0)*0.475*44/12</f>
        <v>#N/A</v>
      </c>
      <c r="EY71" s="163" t="str">
        <f t="shared" si="22"/>
        <v>#N/A</v>
      </c>
      <c r="EZ71" s="159">
        <f>('Scénario référence'!$F$8+'Scénario référence'!$F$9+'Scénario référence'!$B$17+'Scénario référence'!$B$9+'Scénario référence'!$B$10)*70+IF((45+25*(1-EXP(-0.0175*A71)))&lt;70,'Scénario référence'!$B$16*(45+25*(1-EXP(-0.0175*A71))),70*'Scénario référence'!$B$16)+IF((32+38*(1-EXP(-0.0175*A71)))&lt;70,'Scénario référence'!$B$18*(32+38*(1-EXP(-0.0175*A71))),70*'Scénario référence'!$B$18)</f>
        <v>70</v>
      </c>
      <c r="FA71" s="151">
        <f>IF(A71&gt;30,10,('Scénario référence'!$B$16+'Scénario référence'!$B$17+'Scénario référence'!$B$18+'Scénario référence'!$B$9+'Scénario référence'!$B$10)*A71*10/30+('Scénario référence'!$F$8+'Scénario référence'!$F$9)*10)</f>
        <v>10</v>
      </c>
      <c r="FB71" s="151" t="str">
        <f>VLOOKUP(A71,'Données projet'!$A$217:$I$237,2,0)</f>
        <v>#N/A</v>
      </c>
      <c r="FC71" s="151" t="str">
        <f>VLOOKUP(A71,'Données projet'!$A$217:$I$237,9,0)</f>
        <v>#N/A</v>
      </c>
      <c r="FD71" s="151" t="str">
        <f t="array" ref="FD71">INDEX(FC:FC,MIN(IF(ISNUMBER(FC71:FC267),ROW(FC71:FC267),"")))</f>
        <v/>
      </c>
      <c r="FE71" s="151">
        <f>IF('Données projet'!$A$218&gt;35,FE70+FD71-FM70,IF(A71&lt;'Données projet'!$A$218,$FB$205^A71,IF(A71='Données projet'!$A$218,'Données projet'!$B$218,FE70+FD71-FM70)))</f>
        <v>0</v>
      </c>
      <c r="FF71" s="158" t="str">
        <f>FE71*VLOOKUP('Données projet'!$B$16,'Paramètres'!$A$1:$I$88,3,0)*VLOOKUP('Données projet'!$B$16,'Paramètres'!$A$1:$I$88,5,0)</f>
        <v>#N/A</v>
      </c>
      <c r="FG71" s="150" t="str">
        <f t="shared" si="48"/>
        <v>#N/A</v>
      </c>
      <c r="FH71" s="161" t="str">
        <f t="shared" si="23"/>
        <v>#N/A</v>
      </c>
      <c r="FI71" s="153" t="str">
        <f t="shared" si="24"/>
        <v>#N/A</v>
      </c>
      <c r="FJ71" s="153" t="str">
        <f>AVERAGE(OFFSET($FI$3,0,0,'Données projet'!$E$16+1,1))-AVERAGE(OFFSET($H$3,0,0,'Données projet'!$E$16+1,1))</f>
        <v>#N/A</v>
      </c>
      <c r="FK71" s="153" t="str">
        <f t="shared" si="49"/>
        <v>#N/A</v>
      </c>
      <c r="FL71" s="154">
        <f>IF(ISNA(VLOOKUP(A71,'Données projet'!$A$217:$I$237,3,0)),0,VLOOKUP(A71,'Données projet'!$A$217:$I$237,3,0))</f>
        <v>0</v>
      </c>
      <c r="FM71" s="154">
        <f>IF(ISNA(VLOOKUP(A71,'Données projet'!$A$217:$I$237,4,0)),0,VLOOKUP(A71,'Données projet'!$A$217:$I$237,4,0))</f>
        <v>0</v>
      </c>
      <c r="FN71" s="155">
        <f>IF(ISNA(VLOOKUP(A71,'Données projet'!$A$217:$I$237,5,0)),0%,VLOOKUP(A71,'Données projet'!$A$217:$I$237,5,0)*VLOOKUP('Données projet'!$B$16,'Paramètres'!$A$1:$I$88,7,0))</f>
        <v>0</v>
      </c>
      <c r="FO71" s="155">
        <f>IF(ISNA(VLOOKUP(A71,'Données projet'!$A$217:$I$237,6,0)),0%,VLOOKUP(A71,'Données projet'!$A$217:$I$237,6,0)*VLOOKUP('Données projet'!$B$16,'Paramètres'!$A$1:$I$88,7,0))</f>
        <v>0</v>
      </c>
      <c r="FP71" s="155">
        <f>IF(ISNA(VLOOKUP(A71,'Données projet'!$A$217:$I$237,7,0)),0%,VLOOKUP(A71,'Données projet'!$A$217:$I$237,7,0))</f>
        <v>0</v>
      </c>
      <c r="FQ71" s="162" t="str">
        <f>EXP(-LN(2)/35)*FQ70+(1-EXP(-LN(2)/35))/(LN(2)/35)*FM71*FN71*VLOOKUP('Données projet'!$B$16,'Paramètres'!$A$1:$I$88,3,0)*0.475*44/12</f>
        <v>#N/A</v>
      </c>
      <c r="FR71" s="162" t="str">
        <f>EXP(-LN(2)/25)*FR70+(1-EXP(-LN(2)/25))/(LN(2)/25)*Calculateur!FM71*Calculateur!FO71*VLOOKUP('Données projet'!$B$16,'Paramètres'!$A$1:$I$88,3,0)*0.475*44/12</f>
        <v>#N/A</v>
      </c>
      <c r="FS71" s="162" t="str">
        <f>EXP(-LN(2)/2)*FS70+(1-EXP(-LN(2)/2))/(LN(2)/2)*FM71*FP71*VLOOKUP('Données projet'!$B$16,'Paramètres'!$A$1:$I$88,3,0)*0.475*44/12</f>
        <v>#N/A</v>
      </c>
      <c r="FT71" s="163" t="str">
        <f t="shared" si="25"/>
        <v>#N/A</v>
      </c>
      <c r="FU71" s="159">
        <f>('Scénario référence'!$F$8+'Scénario référence'!$F$9+'Scénario référence'!$B$17+'Scénario référence'!$B$9+'Scénario référence'!$B$10)*70+IF((45+25*(1-EXP(-0.0175*A71)))&lt;70,'Scénario référence'!$B$16*(45+25*(1-EXP(-0.0175*A71))),70*'Scénario référence'!$B$16)+IF((32+38*(1-EXP(-0.0175*A71)))&lt;70,'Scénario référence'!$B$18*(32+38*(1-EXP(-0.0175*A71))),70*'Scénario référence'!$B$18)</f>
        <v>70</v>
      </c>
      <c r="FV71" s="151">
        <f>IF(A71&gt;30,10,('Scénario référence'!$B$16+'Scénario référence'!$B$17+'Scénario référence'!$B$18+'Scénario référence'!$B$9+'Scénario référence'!$B$10)*A71*10/30+('Scénario référence'!$F$8+'Scénario référence'!$F$9)*10)</f>
        <v>10</v>
      </c>
      <c r="FW71" s="151" t="str">
        <f>VLOOKUP(A71,'Données projet'!$A$243:$I$263,2,0)</f>
        <v>#N/A</v>
      </c>
      <c r="FX71" s="151" t="str">
        <f>VLOOKUP(A71,'Données projet'!$A$243:$I$263,9,0)</f>
        <v>#N/A</v>
      </c>
      <c r="FY71" s="151" t="str">
        <f t="array" ref="FY71">INDEX(FX:FX,MIN(IF(ISNUMBER(FX71:FX267),ROW(FX71:FX267),"")))</f>
        <v/>
      </c>
      <c r="FZ71" s="151">
        <f>IF('Données projet'!$A$244&gt;35,FZ70+FY71-GH70,IF(A71&lt;'Données projet'!$A$244,$FW$205^A71,IF(A71='Données projet'!$A$244,'Données projet'!$B$244,FZ70+FY71-GH70)))</f>
        <v>0</v>
      </c>
      <c r="GA71" s="158" t="str">
        <f>FZ71*VLOOKUP('Données projet'!$B$17,'Paramètres'!$A$1:$I$88,3,0)*VLOOKUP('Données projet'!$B$17,'Paramètres'!$A$1:$I$88,5,0)</f>
        <v>#N/A</v>
      </c>
      <c r="GB71" s="150" t="str">
        <f t="shared" si="50"/>
        <v>#N/A</v>
      </c>
      <c r="GC71" s="161" t="str">
        <f t="shared" si="26"/>
        <v>#N/A</v>
      </c>
      <c r="GD71" s="153" t="str">
        <f t="shared" si="27"/>
        <v>#N/A</v>
      </c>
      <c r="GE71" s="153" t="str">
        <f>AVERAGE(OFFSET($GD$3,0,0,'Données projet'!$E$17+1,1))-AVERAGE(OFFSET($H$3,0,0,'Données projet'!$E$17+1,1))</f>
        <v>#N/A</v>
      </c>
      <c r="GF71" s="153" t="str">
        <f t="shared" si="51"/>
        <v>#N/A</v>
      </c>
      <c r="GG71" s="154">
        <f>IF(ISNA(VLOOKUP(A71,'Données projet'!$A$243:$I$263,3,0)),0,VLOOKUP(A71,'Données projet'!$A$243:$I$263,3,0))</f>
        <v>0</v>
      </c>
      <c r="GH71" s="154">
        <f>IF(ISNA(VLOOKUP(A71,'Données projet'!$A$243:$I$263,4,0)),0,VLOOKUP(A71,'Données projet'!$A$243:$I$263,4,0))</f>
        <v>0</v>
      </c>
      <c r="GI71" s="155">
        <f>IF(ISNA(VLOOKUP(A71,'Données projet'!$A$243:$I$263,5,0)),0%,VLOOKUP(A71,'Données projet'!$A$243:$I$263,5,0)*VLOOKUP('Données projet'!$B$17,'Paramètres'!$A$1:$I$88,7,0))</f>
        <v>0</v>
      </c>
      <c r="GJ71" s="155">
        <f>IF(ISNA(VLOOKUP(A71,'Données projet'!$A$243:$I$263,6,0)),0%,VLOOKUP(A71,'Données projet'!$A$243:$I$263,6,0)*VLOOKUP('Données projet'!$B$17,'Paramètres'!$A$1:$I$88,7,0))</f>
        <v>0</v>
      </c>
      <c r="GK71" s="155">
        <f>IF(ISNA(VLOOKUP(A71,'Données projet'!$A$243:$I$263,7,0)),0%,VLOOKUP(A71,'Données projet'!$A$243:$I$263,7,0))</f>
        <v>0</v>
      </c>
      <c r="GL71" s="162" t="str">
        <f>EXP(-LN(2)/35)*GL70+(1-EXP(-LN(2)/35))/(LN(2)/35)*GH71*GI71*VLOOKUP('Données projet'!$B$17,'Paramètres'!$A$1:$I$88,3,0)*0.475*44/12</f>
        <v>#N/A</v>
      </c>
      <c r="GM71" s="162" t="str">
        <f>EXP(-LN(2)/25)*GM70+(1-EXP(-LN(2)/25))/(LN(2)/25)*Calculateur!GH71*Calculateur!GJ71*VLOOKUP('Données projet'!$B$17,'Paramètres'!$A$1:$I$88,3,0)*0.475*44/12</f>
        <v>#N/A</v>
      </c>
      <c r="GN71" s="162" t="str">
        <f>EXP(-LN(2)/2)*GN70+(1-EXP(-LN(2)/2))/(LN(2)/2)*GH71*GK71*VLOOKUP('Données projet'!$B$17,'Paramètres'!$A$1:$I$88,3,0)*0.475*44/12</f>
        <v>#N/A</v>
      </c>
      <c r="GO71" s="162" t="str">
        <f t="shared" si="28"/>
        <v>#N/A</v>
      </c>
      <c r="GP71" s="159">
        <f>('Scénario référence'!$F$8+'Scénario référence'!$F$9+'Scénario référence'!$B$17+'Scénario référence'!$B$9+'Scénario référence'!$B$10)*70+IF((45+25*(1-EXP(-0.0175*A71)))&lt;70,'Scénario référence'!$B$16*(45+25*(1-EXP(-0.0175*A71))),70*'Scénario référence'!$B$16)+IF((32+38*(1-EXP(-0.0175*A71)))&lt;70,'Scénario référence'!$B$18*(32+38*(1-EXP(-0.0175*A71))),70*'Scénario référence'!$B$18)</f>
        <v>70</v>
      </c>
      <c r="GQ71" s="151">
        <f>IF(A71&gt;30,10,('Scénario référence'!$B$16+'Scénario référence'!$B$17+'Scénario référence'!$B$18+'Scénario référence'!$B$9+'Scénario référence'!$B$10)*A71*10/30+('Scénario référence'!$F$8+'Scénario référence'!$F$9)*10)</f>
        <v>10</v>
      </c>
      <c r="GR71" s="151" t="str">
        <f>VLOOKUP(A71,'Données projet'!$A$269:$I$289,2,0)</f>
        <v>#N/A</v>
      </c>
      <c r="GS71" s="151" t="str">
        <f>VLOOKUP(A71,'Données projet'!$A$269:$I$289,9,0)</f>
        <v>#N/A</v>
      </c>
      <c r="GT71" s="151" t="str">
        <f t="array" ref="GT71">INDEX(GS:GS,MIN(IF(ISNUMBER(GS71:GS267),ROW(GS71:GS267),"")))</f>
        <v/>
      </c>
      <c r="GU71" s="151">
        <f>IF('Données projet'!$A$270&gt;35,GU70+GT71-HC70,IF(A71&lt;'Données projet'!$A$270,$GR$205^A71,IF(A71='Données projet'!$A$270,'Données projet'!$B$270,GU70+GT71-HC70)))</f>
        <v>0</v>
      </c>
      <c r="GV71" s="158" t="str">
        <f>GU71*VLOOKUP('Données projet'!$B$18,'Paramètres'!$A$1:$I$88,3,0)*VLOOKUP('Données projet'!$B$18,'Paramètres'!$A$1:$I$88,5,0)</f>
        <v>#N/A</v>
      </c>
      <c r="GW71" s="150" t="str">
        <f t="shared" si="52"/>
        <v>#N/A</v>
      </c>
      <c r="GX71" s="161" t="str">
        <f t="shared" si="29"/>
        <v>#N/A</v>
      </c>
      <c r="GY71" s="153" t="str">
        <f t="shared" si="30"/>
        <v>#N/A</v>
      </c>
      <c r="GZ71" s="153" t="str">
        <f>AVERAGE(OFFSET($GY$3,0,0,'Données projet'!$E$18+1,1))-AVERAGE(OFFSET($H$3,0,0,'Données projet'!$E$18+1,1))</f>
        <v>#N/A</v>
      </c>
      <c r="HA71" s="153" t="str">
        <f t="shared" si="53"/>
        <v>#N/A</v>
      </c>
      <c r="HB71" s="154">
        <f>IF(ISNA(VLOOKUP(A71,'Données projet'!$A$269:$I$289,3,0)),0,VLOOKUP(A71,'Données projet'!$A$269:$I$289,3,0))</f>
        <v>0</v>
      </c>
      <c r="HC71" s="154">
        <f>IF(ISNA(VLOOKUP(A71,'Données projet'!$A$269:$I$289,4,0)),0,VLOOKUP(A71,'Données projet'!$A$269:$I$289,4,0))</f>
        <v>0</v>
      </c>
      <c r="HD71" s="155">
        <f>IF(ISNA(VLOOKUP(A71,'Données projet'!$A$269:$I$289,5,0)),0%,VLOOKUP(A71,'Données projet'!$A$269:$I$289,5,0)*VLOOKUP('Données projet'!$B$18,'Paramètres'!$A$1:$I$88,7,0))</f>
        <v>0</v>
      </c>
      <c r="HE71" s="155">
        <f>IF(ISNA(VLOOKUP(A71,'Données projet'!$A$269:$I$289,6,0)),0%,VLOOKUP(A71,'Données projet'!$A$269:$I$289,6,0)*VLOOKUP('Données projet'!$B$18,'Paramètres'!$A$1:$I$88,7,0))</f>
        <v>0</v>
      </c>
      <c r="HF71" s="155">
        <f>IF(ISNA(VLOOKUP(A71,'Données projet'!$A$269:$I$289,7,0)),0%,VLOOKUP(A71,'Données projet'!$A$269:$I$289,7,0))</f>
        <v>0</v>
      </c>
      <c r="HG71" s="162" t="str">
        <f>EXP(-LN(2)/35)*HG70+(1-EXP(-LN(2)/35))/(LN(2)/35)*HC71*HD71*VLOOKUP('Données projet'!$B$18,'Paramètres'!$A$1:$I$88,3,0)*0.475*44/12</f>
        <v>#N/A</v>
      </c>
      <c r="HH71" s="162" t="str">
        <f>EXP(-LN(2)/25)*HH70+(1-EXP(-LN(2)/25))/(LN(2)/25)*Calculateur!HC71*Calculateur!HE71*VLOOKUP('Données projet'!$B$18,'Paramètres'!$A$1:$I$88,3,0)*0.475*44/12</f>
        <v>#N/A</v>
      </c>
      <c r="HI71" s="162" t="str">
        <f>EXP(-LN(2)/2)*HI70+(1-EXP(-LN(2)/2))/(LN(2)/2)*HC71*HF71*VLOOKUP('Données projet'!$B$18,'Paramètres'!$A$1:$I$88,3,0)*0.475*44/12</f>
        <v>#N/A</v>
      </c>
      <c r="HJ71" s="163" t="str">
        <f t="shared" si="31"/>
        <v>#N/A</v>
      </c>
    </row>
    <row r="72" ht="15.75" customHeight="1">
      <c r="A72" s="145">
        <f t="shared" si="32"/>
        <v>69</v>
      </c>
      <c r="B72" s="146">
        <f>'Scénario référence'!$B$16*5+'Scénario référence'!$B$17*0+'Scénario référence'!$B$18*5</f>
        <v>0</v>
      </c>
      <c r="C72" s="160">
        <f>Calculateur!C71+'Scénario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72" s="147">
        <f t="shared" si="33"/>
        <v>0</v>
      </c>
      <c r="E72" s="147">
        <f>'Scénario référence'!$B$16*45+('Scénario référence'!$B$17+'Scénario référence'!$F$8+'Scénario référence'!$F$9+'Scénario référence'!$B$10+'Scénario référence'!$B$9)*70+'Scénario référence'!$B$18*32</f>
        <v>70</v>
      </c>
      <c r="F72" s="147">
        <f>IF(OR('Scénario référence'!$F$8&gt;0,'Scénario référence'!$F$9&gt;0),('Scénario référence'!$F$8+'Scénario référence'!$F$9)*10,0)</f>
        <v>0</v>
      </c>
      <c r="G72" s="147">
        <f>'Scénario référence'!$B$8*B72*44/12+'Scénario référence'!$B$9*(C72+D72)/0.475*44/12+'Scénario référence'!$B$10*(C72+D72)/0.475*44/12+'Scénario référence'!$F$8*(C72+D72)/0.475*44/12+'Scénario référence'!$F$9*(C72+D72)/0.475*44/12</f>
        <v>0</v>
      </c>
      <c r="H72" s="148">
        <f t="shared" si="1"/>
        <v>256.6666667</v>
      </c>
      <c r="I72" s="149">
        <f>('Scénario référence'!$F$8+'Scénario référence'!$F$9+'Scénario référence'!$B$17+'Scénario référence'!$B$9+'Scénario référence'!$B$10)*70+IF((45+25*(1-EXP(-0.0175*A72)))&lt;70,'Scénario référence'!$B$16*(45+25*(1-EXP(-0.0175*A72))),70*'Scénario référence'!$B$16)+IF((32+38*(1-EXP(-0.0175*A72)))&lt;70,'Scénario référence'!$B$18*(32+38*(1-EXP(-0.0175*A72))),70*'Scénario référence'!$B$18)</f>
        <v>70</v>
      </c>
      <c r="J72" s="150">
        <f>IF(A72&gt;30,10,('Scénario référence'!$B$16+'Scénario référence'!$B$17+'Scénario référence'!$B$18+'Scénario référence'!$B$9+'Scénario référence'!$B$10)*A72*10/30+('Scénario référence'!$F$8+'Scénario référence'!$F$9)*10)</f>
        <v>10</v>
      </c>
      <c r="K72" s="151" t="str">
        <f>VLOOKUP(A72,'Données projet'!$A$35:$I$55,2,0)</f>
        <v>#N/A</v>
      </c>
      <c r="L72" s="151" t="str">
        <f>VLOOKUP(A72,'Données projet'!$A$35:$I$55,9,0)</f>
        <v>#N/A</v>
      </c>
      <c r="M72" s="150">
        <f t="array" ref="M72">INDEX(L:L,MIN(IF(ISNUMBER(L72:L268),ROW(L72:L268),"")))</f>
        <v>8.2</v>
      </c>
      <c r="N72" s="150">
        <f>IF('Données projet'!$A$36&gt;35,N71+M72-V71,IF(A72&lt;'Données projet'!$A$36,$K$205^A72,IF(A72='Données projet'!$A$36,'Données projet'!$B$36,N71+M72-V71)))</f>
        <v>293.8</v>
      </c>
      <c r="O72" s="150">
        <f>N72*VLOOKUP('Données projet'!$B$9,'Paramètres'!$A$1:$I$88,3,0)*VLOOKUP('Données projet'!$B$9,'Paramètres'!$A$1:$I$88,5,0)</f>
        <v>265.83024</v>
      </c>
      <c r="P72" s="150">
        <f t="shared" si="34"/>
        <v>63.96354098</v>
      </c>
      <c r="Q72" s="161">
        <f t="shared" si="2"/>
        <v>574.3908352</v>
      </c>
      <c r="R72" s="153">
        <f t="shared" si="3"/>
        <v>867.7241685</v>
      </c>
      <c r="S72" s="153">
        <f>AVERAGE(OFFSET($R$3,0,0,'Données projet'!$E$9+1,1))-AVERAGE(OFFSET($H$3,0,0,'Données projet'!$E$9+1,1))</f>
        <v>439.1985427</v>
      </c>
      <c r="T72" s="153">
        <f t="shared" si="35"/>
        <v>278.2174123</v>
      </c>
      <c r="U72" s="154">
        <f>IF(ISNA(VLOOKUP(A72,'Données projet'!$A$35:$I$55,3,0)),0,VLOOKUP(A72,'Données projet'!$A$35:$I$55,3,0))</f>
        <v>0</v>
      </c>
      <c r="V72" s="154">
        <f>IF(ISNA(VLOOKUP(A72,'Données projet'!$A$35:$I$55,4,0)),0,VLOOKUP(A72,'Données projet'!$A$35:$I$55,4,0))</f>
        <v>0</v>
      </c>
      <c r="W72" s="155">
        <f>IF(ISNA(VLOOKUP(A72,'Données projet'!$A$35:$I$55,5,0)),0%,VLOOKUP(A72,'Données projet'!$A$35:$I$55,5,0)*VLOOKUP('Données projet'!$B$9,'Paramètres'!$A$1:$I$88,7,0))</f>
        <v>0</v>
      </c>
      <c r="X72" s="155">
        <f>IF(ISNA(VLOOKUP(A72,'Données projet'!$A$35:$I$55,6,0)),0%,VLOOKUP(A72,'Données projet'!$A$35:$I$55,6,0)*VLOOKUP('Données projet'!$B$9,'Paramètres'!$A$1:$I$88,7,0))</f>
        <v>0</v>
      </c>
      <c r="Y72" s="155">
        <f>IF(ISNA(VLOOKUP(A72,'Données projet'!$A$35:$I$55,7,0)),0%,VLOOKUP(A72,'Données projet'!$A$35:$I$55,7,0))</f>
        <v>0</v>
      </c>
      <c r="Z72" s="162">
        <f>EXP(-LN(2)/35)*Z71+(1-EXP(-LN(2)/35))/(LN(2)/35)*V72*W72*VLOOKUP('Données projet'!$B$9,'Paramètres'!$A$1:$I$88,3,0)*0.475*44/12</f>
        <v>0</v>
      </c>
      <c r="AA72" s="162">
        <f>EXP(-LN(2)/25)*AA71+(1-EXP(-LN(2)/25))/(LN(2)/25)*Calculateur!V72*Calculateur!X72*VLOOKUP('Données projet'!$B$9,'Paramètres'!$A$1:$I$88,3,0)*0.475*44/12</f>
        <v>1.521967875</v>
      </c>
      <c r="AB72" s="162">
        <f>EXP(-LN(2)/2)*AB71+(1-EXP(-LN(2)/2))/(LN(2)/2)*V72*Y72*VLOOKUP('Données projet'!$B$9,'Paramètres'!$A$1:$I$88,3,0)*0.475*44/12</f>
        <v>0</v>
      </c>
      <c r="AC72" s="163">
        <f t="shared" si="4"/>
        <v>1.521967875</v>
      </c>
      <c r="AD72" s="150">
        <f>('Scénario référence'!$F$8+'Scénario référence'!$F$9+'Scénario référence'!$B$17+'Scénario référence'!$B$9+'Scénario référence'!$B$10)*70+IF((45+25*(1-EXP(-0.0175*A72)))&lt;70,'Scénario référence'!$B$16*(45+25*(1-EXP(-0.0175*A72))),70*'Scénario référence'!$B$16)+IF((32+38*(1-EXP(-0.0175*A72)))&lt;70,'Scénario référence'!$B$18*(32+38*(1-EXP(-0.0175*A72))),70*'Scénario référence'!$B$18)</f>
        <v>70</v>
      </c>
      <c r="AE72" s="150">
        <f>IF(A72&gt;30,10,('Scénario référence'!$B$16+'Scénario référence'!$B$17+'Scénario référence'!$B$18+'Scénario référence'!$B$9+'Scénario référence'!$B$10)*A72*10/30+('Scénario référence'!$F$8+'Scénario référence'!$F$9)*10)</f>
        <v>10</v>
      </c>
      <c r="AF72" s="151" t="str">
        <f>VLOOKUP(A72,'Données projet'!$A$61:$I$81,2,0)</f>
        <v>#N/A</v>
      </c>
      <c r="AG72" s="151" t="str">
        <f>VLOOKUP(A72,'Données projet'!$A$61:$I$81,9,0)</f>
        <v>#N/A</v>
      </c>
      <c r="AH72" s="150">
        <f t="array" ref="AH72">INDEX(AG:AG,MIN(IF(ISNUMBER(AG72:AG268),ROW(AG72:AG268),"")))</f>
        <v>5.2</v>
      </c>
      <c r="AI72" s="150">
        <f>IF('Données projet'!$A$62&gt;35,AI71+AH72-AQ71,IF(A72&lt;'Données projet'!$A$62,$AF$205^A72,IF(A72='Données projet'!$A$62,'Données projet'!$B$62,AI71+AH72-AQ71)))</f>
        <v>360.8</v>
      </c>
      <c r="AJ72" s="150">
        <f>AI72*VLOOKUP('Données projet'!$B$10,'Paramètres'!$A$1:$I$88,3,0)*VLOOKUP('Données projet'!$B$10,'Paramètres'!$A$1:$I$88,5,0)</f>
        <v>287.05248</v>
      </c>
      <c r="AK72" s="150">
        <f t="shared" si="36"/>
        <v>68.45523607</v>
      </c>
      <c r="AL72" s="161">
        <f t="shared" si="5"/>
        <v>619.1759388</v>
      </c>
      <c r="AM72" s="153">
        <f t="shared" si="6"/>
        <v>912.5092722</v>
      </c>
      <c r="AN72" s="153">
        <f>AVERAGE(OFFSET($AM$3,0,0,'Données projet'!$E$10+1,1))-AVERAGE(OFFSET($H$3,0,0,'Données projet'!$E$10+1,1))</f>
        <v>405.6113614</v>
      </c>
      <c r="AO72" s="153">
        <f t="shared" si="37"/>
        <v>393.0787141</v>
      </c>
      <c r="AP72" s="154">
        <f>IF(ISNA(VLOOKUP(A72,'Données projet'!$A$61:$I$81,3,0)),0,VLOOKUP(A72,'Données projet'!$A$61:$I$81,3,0))</f>
        <v>0</v>
      </c>
      <c r="AQ72" s="154">
        <f>IF(ISNA(VLOOKUP(A72,'Données projet'!$A$61:$I$81,4,0)),0,VLOOKUP(A72,'Données projet'!$A$61:$I$81,4,0))</f>
        <v>0</v>
      </c>
      <c r="AR72" s="155">
        <f>IF(ISNA(VLOOKUP(A72,'Données projet'!$A$61:$I$81,5,0)),0%,VLOOKUP(A72,'Données projet'!$A$61:$I$81,5,0)*VLOOKUP('Données projet'!$B$10,'Paramètres'!$A$1:$I$88,7,0))</f>
        <v>0</v>
      </c>
      <c r="AS72" s="155">
        <f>IF(ISNA(VLOOKUP(A72,'Données projet'!$A$61:$I$81,6,0)),0%,VLOOKUP(A72,'Données projet'!$A$61:$I$81,6,0)*VLOOKUP('Données projet'!$B$10,'Paramètres'!$A$1:$I$88,7,0))</f>
        <v>0</v>
      </c>
      <c r="AT72" s="155">
        <f>IF(ISNA(VLOOKUP(A72,'Données projet'!$A$61:$I$81,7,0)),0%,VLOOKUP(A72,'Données projet'!$A$61:$I$81,7,0))</f>
        <v>0</v>
      </c>
      <c r="AU72" s="162">
        <f>EXP(-LN(2)/35)*AU71+(1-EXP(-LN(2)/35))/(LN(2)/35)*AQ72*AR72*VLOOKUP('Données projet'!$B$10,'Paramètres'!$A$1:$I$88,3,0)*0.475*44/12</f>
        <v>0</v>
      </c>
      <c r="AV72" s="162">
        <f>EXP(-LN(2)/25)*AV71+(1-EXP(-LN(2)/25))/(LN(2)/25)*Calculateur!AQ72*Calculateur!AS72*VLOOKUP('Données projet'!$B$10,'Paramètres'!$A$1:$I$88,3,0)*0.475*44/12</f>
        <v>6.185664345</v>
      </c>
      <c r="AW72" s="162">
        <f>EXP(-LN(2)/2)*AW71+(1-EXP(-LN(2)/2))/(LN(2)/2)*AQ72*AT72*VLOOKUP('Données projet'!$B$10,'Paramètres'!$A$1:$I$88,3,0)*0.475*44/12</f>
        <v>0.0000007818573581</v>
      </c>
      <c r="AX72" s="162">
        <f t="shared" si="7"/>
        <v>6.185665127</v>
      </c>
      <c r="AY72" s="157">
        <f>('Scénario référence'!$F$8+'Scénario référence'!$F$9+'Scénario référence'!$B$17+'Scénario référence'!$B$9+'Scénario référence'!$B$10)*70+IF((45+25*(1-EXP(-0.0175*A72)))&lt;70,'Scénario référence'!$B$16*(45+25*(1-EXP(-0.0175*A72))),70*'Scénario référence'!$B$16)+IF((32+38*(1-EXP(-0.0175*A72)))&lt;70,'Scénario référence'!$B$18*(32+38*(1-EXP(-0.0175*A72))),70*'Scénario référence'!$B$18)</f>
        <v>70</v>
      </c>
      <c r="AZ72" s="151">
        <f>IF(A72&gt;30,10,('Scénario référence'!$B$16+'Scénario référence'!$B$17+'Scénario référence'!$B$18+'Scénario référence'!$B$9+'Scénario référence'!$B$10)*A72*10/30+('Scénario référence'!$F$8+'Scénario référence'!$F$9)*10)</f>
        <v>10</v>
      </c>
      <c r="BA72" s="151" t="str">
        <f>VLOOKUP(A72,'Données projet'!$A$87:$I$107,2,0)</f>
        <v>#N/A</v>
      </c>
      <c r="BB72" s="151" t="str">
        <f>VLOOKUP(A72,'Données projet'!$A$87:$I$107,9,0)</f>
        <v>#N/A</v>
      </c>
      <c r="BC72" s="150" t="str">
        <f t="array" ref="BC72">INDEX(BB:BB,MIN(IF(ISNUMBER(BB72:BB268),ROW(BB72:BB268),"")))</f>
        <v/>
      </c>
      <c r="BD72" s="150">
        <f>IF('Données projet'!$A$88&gt;35,BD71+BC72-BL71,IF(A72&lt;'Données projet'!$A$88,$BA$205^A72,IF(A72='Données projet'!$A$88,'Données projet'!$B$88,BD71+BC72-BL71)))</f>
        <v>0</v>
      </c>
      <c r="BE72" s="150">
        <f>BD72*VLOOKUP('Données projet'!$B$11,'Paramètres'!$A$1:$I$88,3,0)*VLOOKUP('Données projet'!$B$11,'Paramètres'!$A$1:$I$88,5,0)</f>
        <v>0</v>
      </c>
      <c r="BF72" s="150" t="str">
        <f t="shared" si="38"/>
        <v>#NUM!</v>
      </c>
      <c r="BG72" s="161" t="str">
        <f t="shared" si="8"/>
        <v>#NUM!</v>
      </c>
      <c r="BH72" s="153" t="str">
        <f t="shared" si="9"/>
        <v>#NUM!</v>
      </c>
      <c r="BI72" s="153">
        <f>AVERAGE(OFFSET($BH$3,0,0,'Données projet'!$E$11+1,1))-AVERAGE(OFFSET($H$3,0,0,'Données projet'!$E$11+1,1))</f>
        <v>0</v>
      </c>
      <c r="BJ72" s="153">
        <f t="shared" si="39"/>
        <v>0</v>
      </c>
      <c r="BK72" s="154">
        <f>IF(ISNA(VLOOKUP(A72,'Données projet'!$A$87:$I$107,3,0)),0,VLOOKUP(A72,'Données projet'!$A$87:$I$107,3,0))</f>
        <v>0</v>
      </c>
      <c r="BL72" s="154">
        <f>IF(ISNA(VLOOKUP(A72,'Données projet'!$A$87:$I$107,4,0)),0,VLOOKUP(A72,'Données projet'!$A$87:$I$107,4,0))</f>
        <v>0</v>
      </c>
      <c r="BM72" s="155">
        <f>IF(ISNA(VLOOKUP(A72,'Données projet'!$A$87:$I$107,5,0)),0%,VLOOKUP(A72,'Données projet'!$A$87:$I$107,5,0)*VLOOKUP('Données projet'!$B$11,'Paramètres'!$A$1:$I$88,7,0))</f>
        <v>0</v>
      </c>
      <c r="BN72" s="155">
        <f>IF(ISNA(VLOOKUP(A72,'Données projet'!$A$87:$I$107,6,0)),0%,VLOOKUP(A72,'Données projet'!$A$87:$I$107,6,0)*VLOOKUP('Données projet'!$B$11,'Paramètres'!$A$1:$I$88,7,0))</f>
        <v>0</v>
      </c>
      <c r="BO72" s="155">
        <f>IF(ISNA(VLOOKUP(A72,'Données projet'!$A$87:$I$107,7,0)),0%,VLOOKUP(A72,'Données projet'!$A$87:$I$107,7,0))</f>
        <v>0</v>
      </c>
      <c r="BP72" s="162">
        <f>EXP(-LN(2)/35)*BP71+(1-EXP(-LN(2)/35))/(LN(2)/35)*BL72*BM72*VLOOKUP('Données projet'!$B$11,'Paramètres'!$A$1:$I$88,3,0)*0.475*44/12</f>
        <v>0</v>
      </c>
      <c r="BQ72" s="162">
        <f>EXP(-LN(2)/25)*BQ71+(1-EXP(-LN(2)/25))/(LN(2)/25)*Calculateur!BL72*Calculateur!BN72*VLOOKUP('Données projet'!$B$11,'Paramètres'!$A$1:$I$88,3,0)*0.475*44/12</f>
        <v>0</v>
      </c>
      <c r="BR72" s="162">
        <f>EXP(-LN(2)/2)*BR71+(1-EXP(-LN(2)/2))/(LN(2)/2)*BL72*BO72*VLOOKUP('Données projet'!$B$11,'Paramètres'!$A$1:$I$88,3,0)*0.475*44/12</f>
        <v>0</v>
      </c>
      <c r="BS72" s="163">
        <f t="shared" si="10"/>
        <v>0</v>
      </c>
      <c r="BT72" s="159">
        <f>('Scénario référence'!$F$8+'Scénario référence'!$F$9+'Scénario référence'!$B$17+'Scénario référence'!$B$9+'Scénario référence'!$B$10)*70+IF((45+25*(1-EXP(-0.0175*A72)))&lt;70,'Scénario référence'!$B$16*(45+25*(1-EXP(-0.0175*A72))),70*'Scénario référence'!$B$16)+IF((32+38*(1-EXP(-0.0175*A72)))&lt;70,'Scénario référence'!$B$18*(32+38*(1-EXP(-0.0175*A72))),70*'Scénario référence'!$B$18)</f>
        <v>70</v>
      </c>
      <c r="BU72" s="151">
        <f>IF(A72&gt;30,10,('Scénario référence'!$B$16+'Scénario référence'!$B$17+'Scénario référence'!$B$18+'Scénario référence'!$B$9+'Scénario référence'!$B$10)*A72*10/30+('Scénario référence'!$F$8+'Scénario référence'!$F$9)*10)</f>
        <v>10</v>
      </c>
      <c r="BV72" s="151" t="str">
        <f>VLOOKUP(A72,'Données projet'!$A$113:$I$133,2,0)</f>
        <v>#N/A</v>
      </c>
      <c r="BW72" s="151" t="str">
        <f>VLOOKUP(A72,'Données projet'!$A$113:$I$133,9,0)</f>
        <v>#N/A</v>
      </c>
      <c r="BX72" s="150" t="str">
        <f t="array" ref="BX72">INDEX(BW:BW,MIN(IF(ISNUMBER(BW72:BW268),ROW(BW72:BW268),"")))</f>
        <v/>
      </c>
      <c r="BY72" s="150">
        <f>IF('Données projet'!$A$114&gt;35,BY71+BX72-CG71,IF(A72&lt;'Données projet'!$A$114,$BV$205^A72,IF(A72='Données projet'!$A$114,'Données projet'!$B$114,BY71+BX72-CG71)))</f>
        <v>0</v>
      </c>
      <c r="BZ72" s="150" t="str">
        <f>BY72*VLOOKUP('Données projet'!$B$12,'Paramètres'!$A$1:$I$88,3,0)*VLOOKUP('Données projet'!$B$12,'Paramètres'!$A$1:$I$88,5,0)</f>
        <v>#N/A</v>
      </c>
      <c r="CA72" s="150" t="str">
        <f t="shared" si="40"/>
        <v>#N/A</v>
      </c>
      <c r="CB72" s="161" t="str">
        <f t="shared" si="11"/>
        <v>#N/A</v>
      </c>
      <c r="CC72" s="153" t="str">
        <f t="shared" si="12"/>
        <v>#N/A</v>
      </c>
      <c r="CD72" s="153" t="str">
        <f>AVERAGE(OFFSET($CC$3,0,0,'Données projet'!$E$12+1,1))-AVERAGE(OFFSET($H$3,0,0,'Données projet'!$E$12+1,1))</f>
        <v>#N/A</v>
      </c>
      <c r="CE72" s="153" t="str">
        <f t="shared" si="41"/>
        <v>#N/A</v>
      </c>
      <c r="CF72" s="154">
        <f>IF(ISNA(VLOOKUP(A72,'Données projet'!$A$113:$I$133,3,0)),0,VLOOKUP(A72,'Données projet'!$A$113:$I$133,3,0))</f>
        <v>0</v>
      </c>
      <c r="CG72" s="154">
        <f>IF(ISNA(VLOOKUP(A72,'Données projet'!$A$113:$I$133,4,0)),0,VLOOKUP(A72,'Données projet'!$A$113:$I$133,4,0))</f>
        <v>0</v>
      </c>
      <c r="CH72" s="155">
        <f>IF(ISNA(VLOOKUP(A72,'Données projet'!$A$113:$I$133,5,0)),0%,VLOOKUP(A72,'Données projet'!$A$113:$I$133,5,0)*VLOOKUP('Données projet'!$B$12,'Paramètres'!$A$1:$I$88,7,0))</f>
        <v>0</v>
      </c>
      <c r="CI72" s="155">
        <f>IF(ISNA(VLOOKUP(A72,'Données projet'!$A$113:$I$133,6,0)),0%,VLOOKUP(A72,'Données projet'!$A$113:$I$133,6,0)*VLOOKUP('Données projet'!$B$12,'Paramètres'!$A$1:$I$88,7,0))</f>
        <v>0</v>
      </c>
      <c r="CJ72" s="155">
        <f>IF(ISNA(VLOOKUP(A72,'Données projet'!$A$113:$I$133,7,0)),0%,VLOOKUP(A72,'Données projet'!$A$113:$I$133,7,0))</f>
        <v>0</v>
      </c>
      <c r="CK72" s="162" t="str">
        <f>EXP(-LN(2)/35)*CK71+(1-EXP(-LN(2)/35))/(LN(2)/35)*CG72*CH72*VLOOKUP('Données projet'!$B$12,'Paramètres'!$A$1:$I$88,3,0)*0.475*44/12</f>
        <v>#N/A</v>
      </c>
      <c r="CL72" s="162" t="str">
        <f>EXP(-LN(2)/25)*CL71+(1-EXP(-LN(2)/25))/(LN(2)/25)*Calculateur!CG72*Calculateur!CI72*VLOOKUP('Données projet'!$B$12,'Paramètres'!$A$1:$I$88,3,0)*0.475*44/12</f>
        <v>#N/A</v>
      </c>
      <c r="CM72" s="162" t="str">
        <f>EXP(-LN(2)/2)*CM71+(1-EXP(-LN(2)/2))/(LN(2)/2)*CG72*CJ72*VLOOKUP('Données projet'!$B$12,'Paramètres'!$A$1:$I$88,3,0)*0.475*44/12</f>
        <v>#N/A</v>
      </c>
      <c r="CN72" s="163" t="str">
        <f t="shared" si="13"/>
        <v>#N/A</v>
      </c>
      <c r="CO72" s="159">
        <f>('Scénario référence'!$F$8+'Scénario référence'!$F$9+'Scénario référence'!$B$17+'Scénario référence'!$B$9+'Scénario référence'!$B$10)*70+IF((45+25*(1-EXP(-0.0175*A72)))&lt;70,'Scénario référence'!$B$16*(45+25*(1-EXP(-0.0175*A72))),70*'Scénario référence'!$B$16)+IF((32+38*(1-EXP(-0.0175*A72)))&lt;70,'Scénario référence'!$B$18*(32+38*(1-EXP(-0.0175*A72))),70*'Scénario référence'!$B$18)</f>
        <v>70</v>
      </c>
      <c r="CP72" s="151">
        <f>IF(A72&gt;30,10,('Scénario référence'!$B$16+'Scénario référence'!$B$17+'Scénario référence'!$B$18+'Scénario référence'!$B$9+'Scénario référence'!$B$10)*A72*10/30+('Scénario référence'!$F$8+'Scénario référence'!$F$9)*10)</f>
        <v>10</v>
      </c>
      <c r="CQ72" s="151" t="str">
        <f>VLOOKUP(A72,'Données projet'!$A$139:$I$159,2,0)</f>
        <v>#N/A</v>
      </c>
      <c r="CR72" s="151" t="str">
        <f>VLOOKUP(A72,'Données projet'!$A$139:$I$159,9,0)</f>
        <v>#N/A</v>
      </c>
      <c r="CS72" s="151" t="str">
        <f t="array" ref="CS72">INDEX(CR:CR,MIN(IF(ISNUMBER(CR72:CR268),ROW(CR72:CR268),"")))</f>
        <v/>
      </c>
      <c r="CT72" s="151">
        <f>IF('Données projet'!$A$140&gt;35,CT71+CS72-DB71,IF(A72&lt;'Données projet'!$A$140,$CQ$205^A72,IF(A72='Données projet'!$A$140,'Données projet'!$B$140,CT71+CS72-DB71)))</f>
        <v>0</v>
      </c>
      <c r="CU72" s="158" t="str">
        <f>CT72*VLOOKUP('Données projet'!$B$13,'Paramètres'!$A$1:$I$88,3,0)*VLOOKUP('Données projet'!$B$13,'Paramètres'!$A$1:$I$88,5,0)</f>
        <v>#N/A</v>
      </c>
      <c r="CV72" s="150" t="str">
        <f t="shared" si="42"/>
        <v>#N/A</v>
      </c>
      <c r="CW72" s="161" t="str">
        <f t="shared" si="14"/>
        <v>#N/A</v>
      </c>
      <c r="CX72" s="153" t="str">
        <f t="shared" si="15"/>
        <v>#N/A</v>
      </c>
      <c r="CY72" s="153" t="str">
        <f>AVERAGE(OFFSET($CX$3,0,0,'Données projet'!$E$13+1,1))-AVERAGE(OFFSET($H$3,0,0,'Données projet'!$E$13+1,1))</f>
        <v>#N/A</v>
      </c>
      <c r="CZ72" s="153" t="str">
        <f t="shared" si="43"/>
        <v>#N/A</v>
      </c>
      <c r="DA72" s="154">
        <f>IF(ISNA(VLOOKUP(A72,'Données projet'!$A$139:$I$159,3,0)),0,VLOOKUP(A72,'Données projet'!$A$139:$I$159,3,0))</f>
        <v>0</v>
      </c>
      <c r="DB72" s="154">
        <f>IF(ISNA(VLOOKUP(A72,'Données projet'!$A$139:$I$159,4,0)),0,VLOOKUP(A72,'Données projet'!$A$139:$I$159,4,0))</f>
        <v>0</v>
      </c>
      <c r="DC72" s="155">
        <f>IF(ISNA(VLOOKUP(A72,'Données projet'!$A$139:$I$159,5,0)),0%,VLOOKUP(A72,'Données projet'!$A$139:$I$159,5,0)*VLOOKUP('Données projet'!$B$13,'Paramètres'!$A$1:$I$88,7,0))</f>
        <v>0</v>
      </c>
      <c r="DD72" s="155">
        <f>IF(ISNA(VLOOKUP(A72,'Données projet'!$A$139:$I$159,6,0)),0%,VLOOKUP(A72,'Données projet'!$A$139:$I$159,6,0)*VLOOKUP('Données projet'!$B$13,'Paramètres'!$A$1:$I$88,7,0))</f>
        <v>0</v>
      </c>
      <c r="DE72" s="155">
        <f>IF(ISNA(VLOOKUP(A72,'Données projet'!$A$139:$I$159,7,0)),0%,VLOOKUP(A72,'Données projet'!$A$139:$I$159,7,0))</f>
        <v>0</v>
      </c>
      <c r="DF72" s="162" t="str">
        <f>EXP(-LN(2)/35)*DF71+(1-EXP(-LN(2)/35))/(LN(2)/35)*DB72*DC72*VLOOKUP('Données projet'!$B$13,'Paramètres'!$A$1:$I$88,3,0)*0.475*44/12</f>
        <v>#N/A</v>
      </c>
      <c r="DG72" s="162" t="str">
        <f>EXP(-LN(2)/25)*DG71+(1-EXP(-LN(2)/25))/(LN(2)/25)*Calculateur!DB72*Calculateur!DD72*VLOOKUP('Données projet'!$B$13,'Paramètres'!$A$1:$I$88,3,0)*0.475*44/12</f>
        <v>#N/A</v>
      </c>
      <c r="DH72" s="162" t="str">
        <f>EXP(-LN(2)/2)*DH71+(1-EXP(-LN(2)/2))/(LN(2)/2)*DB72*DE72*VLOOKUP('Données projet'!$B$13,'Paramètres'!$A$1:$I$88,3,0)*0.475*44/12</f>
        <v>#N/A</v>
      </c>
      <c r="DI72" s="163" t="str">
        <f t="shared" si="16"/>
        <v>#N/A</v>
      </c>
      <c r="DJ72" s="159">
        <f>('Scénario référence'!$F$8+'Scénario référence'!$F$9+'Scénario référence'!$B$17+'Scénario référence'!$B$9+'Scénario référence'!$B$10)*70+IF((45+25*(1-EXP(-0.0175*A72)))&lt;70,'Scénario référence'!$B$16*(45+25*(1-EXP(-0.0175*A72))),70*'Scénario référence'!$B$16)+IF((32+38*(1-EXP(-0.0175*A72)))&lt;70,'Scénario référence'!$B$18*(32+38*(1-EXP(-0.0175*A72))),70*'Scénario référence'!$B$18)</f>
        <v>70</v>
      </c>
      <c r="DK72" s="151">
        <f>IF(A72&gt;30,10,('Scénario référence'!$B$16+'Scénario référence'!$B$17+'Scénario référence'!$B$18+'Scénario référence'!$B$9+'Scénario référence'!$B$10)*A72*10/30+('Scénario référence'!$F$8+'Scénario référence'!$F$9)*10)</f>
        <v>10</v>
      </c>
      <c r="DL72" s="151" t="str">
        <f>VLOOKUP(A72,'Données projet'!$A$165:$I$185,2,0)</f>
        <v>#N/A</v>
      </c>
      <c r="DM72" s="151" t="str">
        <f>VLOOKUP(A72,'Données projet'!$A$165:$I$185,9,0)</f>
        <v>#N/A</v>
      </c>
      <c r="DN72" s="151" t="str">
        <f t="array" ref="DN72">INDEX(DM:DM,MIN(IF(ISNUMBER(DM72:DM268),ROW(DM72:DM268),"")))</f>
        <v/>
      </c>
      <c r="DO72" s="151">
        <f>IF('Données projet'!$A$166&gt;35,DO71+DN72-DW71,IF(A72&lt;'Données projet'!$A$166,$DL$205^A72,IF(A72='Données projet'!$A$166,'Données projet'!$B$166,DO71+DN72-DW71)))</f>
        <v>0</v>
      </c>
      <c r="DP72" s="158" t="str">
        <f>DO72*VLOOKUP('Données projet'!$B$14,'Paramètres'!$A$1:$I$88,3,0)*VLOOKUP('Données projet'!$B$14,'Paramètres'!$A$1:$I$88,5,0)</f>
        <v>#N/A</v>
      </c>
      <c r="DQ72" s="150" t="str">
        <f t="shared" si="44"/>
        <v>#N/A</v>
      </c>
      <c r="DR72" s="161" t="str">
        <f t="shared" si="17"/>
        <v>#N/A</v>
      </c>
      <c r="DS72" s="153" t="str">
        <f t="shared" si="18"/>
        <v>#N/A</v>
      </c>
      <c r="DT72" s="153" t="str">
        <f>AVERAGE(OFFSET($DS$3,0,0,'Données projet'!$E$14+1,1))-AVERAGE(OFFSET($H$3,0,0,'Données projet'!$E$14+1,1))</f>
        <v>#N/A</v>
      </c>
      <c r="DU72" s="153" t="str">
        <f t="shared" si="45"/>
        <v>#N/A</v>
      </c>
      <c r="DV72" s="154">
        <f>IF(ISNA(VLOOKUP(A72,'Données projet'!$A$165:$I$185,3,0)),0,VLOOKUP(A72,'Données projet'!$A$165:$I$185,3,0))</f>
        <v>0</v>
      </c>
      <c r="DW72" s="154">
        <f>IF(ISNA(VLOOKUP(A72,'Données projet'!$A$165:$I$185,4,0)),0,VLOOKUP(A72,'Données projet'!$A$165:$I$185,4,0))</f>
        <v>0</v>
      </c>
      <c r="DX72" s="155">
        <f>IF(ISNA(VLOOKUP(A72,'Données projet'!$A$165:$I$185,5,0)),0%,VLOOKUP(A72,'Données projet'!$A$165:$I$185,5,0)*VLOOKUP('Données projet'!$B$14,'Paramètres'!$A$1:$I$88,7,0))</f>
        <v>0</v>
      </c>
      <c r="DY72" s="155">
        <f>IF(ISNA(VLOOKUP(A72,'Données projet'!$A$165:$I$185,6,0)),0%,VLOOKUP(A72,'Données projet'!$A$165:$I$185,6,0)*VLOOKUP('Données projet'!$B$14,'Paramètres'!$A$1:$I$88,7,0))</f>
        <v>0</v>
      </c>
      <c r="DZ72" s="155">
        <f>IF(ISNA(VLOOKUP(A72,'Données projet'!$A$165:$I$185,7,0)),0%,VLOOKUP(A72,'Données projet'!$A$165:$I$185,7,0))</f>
        <v>0</v>
      </c>
      <c r="EA72" s="162" t="str">
        <f>EXP(-LN(2)/35)*EA71+(1-EXP(-LN(2)/35))/(LN(2)/35)*DW72*DX72*VLOOKUP('Données projet'!$B$14,'Paramètres'!$A$1:$I$88,3,0)*0.475*44/12</f>
        <v>#N/A</v>
      </c>
      <c r="EB72" s="162" t="str">
        <f>EXP(-LN(2)/25)*EB71+(1-EXP(-LN(2)/25))/(LN(2)/25)*Calculateur!DW72*Calculateur!DY72*VLOOKUP('Données projet'!$B$14,'Paramètres'!$A$1:$I$88,3,0)*0.475*44/12</f>
        <v>#N/A</v>
      </c>
      <c r="EC72" s="162" t="str">
        <f>EXP(-LN(2)/2)*EC71+(1-EXP(-LN(2)/2))/(LN(2)/2)*DW72*DZ72*VLOOKUP('Données projet'!$B$14,'Paramètres'!$A$1:$I$88,3,0)*0.475*44/12</f>
        <v>#N/A</v>
      </c>
      <c r="ED72" s="163" t="str">
        <f t="shared" si="19"/>
        <v>#N/A</v>
      </c>
      <c r="EE72" s="159">
        <f>('Scénario référence'!$F$8+'Scénario référence'!$F$9+'Scénario référence'!$B$17+'Scénario référence'!$B$9+'Scénario référence'!$B$10)*70+IF((45+25*(1-EXP(-0.0175*A72)))&lt;70,'Scénario référence'!$B$16*(45+25*(1-EXP(-0.0175*A72))),70*'Scénario référence'!$B$16)+IF((32+38*(1-EXP(-0.0175*A72)))&lt;70,'Scénario référence'!$B$18*(32+38*(1-EXP(-0.0175*A72))),70*'Scénario référence'!$B$18)</f>
        <v>70</v>
      </c>
      <c r="EF72" s="151">
        <f>IF(A72&gt;30,10,('Scénario référence'!$B$16+'Scénario référence'!$B$17+'Scénario référence'!$B$18+'Scénario référence'!$B$9+'Scénario référence'!$B$10)*A72*10/30+('Scénario référence'!$F$8+'Scénario référence'!$F$9)*10)</f>
        <v>10</v>
      </c>
      <c r="EG72" s="151" t="str">
        <f>VLOOKUP(A72,'Données projet'!$A$191:$I$211,2,0)</f>
        <v>#N/A</v>
      </c>
      <c r="EH72" s="151" t="str">
        <f>VLOOKUP(A72,'Données projet'!$A$191:$I$211,9,0)</f>
        <v>#N/A</v>
      </c>
      <c r="EI72" s="151" t="str">
        <f t="array" ref="EI72">INDEX(EH:EH,MIN(IF(ISNUMBER(EH72:EH268),ROW(EH72:EH268),"")))</f>
        <v/>
      </c>
      <c r="EJ72" s="151">
        <f>IF('Données projet'!$A$192&gt;35,EJ71+EI72-ER71,IF(A72&lt;'Données projet'!$A$192,$EG$205^A72,IF(A72='Données projet'!$A$192,'Données projet'!$B$192,EJ71+EI72-ER71)))</f>
        <v>0</v>
      </c>
      <c r="EK72" s="158" t="str">
        <f>EJ72*VLOOKUP('Données projet'!$B$15,'Paramètres'!$A$1:$I$88,3,0)*VLOOKUP('Données projet'!$B$15,'Paramètres'!$A$1:$I$88,5,0)</f>
        <v>#N/A</v>
      </c>
      <c r="EL72" s="150" t="str">
        <f t="shared" si="46"/>
        <v>#N/A</v>
      </c>
      <c r="EM72" s="161" t="str">
        <f t="shared" si="20"/>
        <v>#N/A</v>
      </c>
      <c r="EN72" s="153" t="str">
        <f t="shared" si="21"/>
        <v>#N/A</v>
      </c>
      <c r="EO72" s="153" t="str">
        <f>AVERAGE(OFFSET($EN$3,0,0,'Données projet'!$E$15+1,1))-AVERAGE(OFFSET($H$3,0,0,'Données projet'!$E$15+1,1))</f>
        <v>#N/A</v>
      </c>
      <c r="EP72" s="153" t="str">
        <f t="shared" si="47"/>
        <v>#N/A</v>
      </c>
      <c r="EQ72" s="154">
        <f>IF(ISNA(VLOOKUP(A72,'Données projet'!$A$191:$I$211,3,0)),0,VLOOKUP(A72,'Données projet'!$A$191:$I$211,3,0))</f>
        <v>0</v>
      </c>
      <c r="ER72" s="154">
        <f>IF(ISNA(VLOOKUP(A72,'Données projet'!$A$191:$I$211,4,0)),0,VLOOKUP(A72,'Données projet'!$A$191:$I$211,4,0))</f>
        <v>0</v>
      </c>
      <c r="ES72" s="155">
        <f>IF(ISNA(VLOOKUP(A72,'Données projet'!$A$191:$I$211,5,0)),0%,VLOOKUP(A72,'Données projet'!$A$191:$I$211,5,0)*VLOOKUP('Données projet'!$B$15,'Paramètres'!$A$1:$I$88,7,0))</f>
        <v>0</v>
      </c>
      <c r="ET72" s="155">
        <f>IF(ISNA(VLOOKUP(A72,'Données projet'!$A$191:$I$211,6,0)),0%,VLOOKUP(A72,'Données projet'!$A$191:$I$211,6,0)*VLOOKUP('Données projet'!$B$15,'Paramètres'!$A$1:$I$88,7,0))</f>
        <v>0</v>
      </c>
      <c r="EU72" s="155">
        <f>IF(ISNA(VLOOKUP(A72,'Données projet'!$A$191:$I$211,7,0)),0%,VLOOKUP(A72,'Données projet'!$A$191:$I$211,7,0))</f>
        <v>0</v>
      </c>
      <c r="EV72" s="162" t="str">
        <f>EXP(-LN(2)/35)*EV71+(1-EXP(-LN(2)/35))/(LN(2)/35)*ER72*ES72*VLOOKUP('Données projet'!$B$15,'Paramètres'!$A$1:$I$88,3,0)*0.475*44/12</f>
        <v>#N/A</v>
      </c>
      <c r="EW72" s="162" t="str">
        <f>EXP(-LN(2)/25)*EW71+(1-EXP(-LN(2)/25))/(LN(2)/25)*Calculateur!ER72*Calculateur!ET72*VLOOKUP('Données projet'!$B$15,'Paramètres'!$A$1:$I$88,3,0)*0.475*44/12</f>
        <v>#N/A</v>
      </c>
      <c r="EX72" s="162" t="str">
        <f>EXP(-LN(2)/2)*EX71+(1-EXP(-LN(2)/2))/(LN(2)/2)*ER72*EU72*VLOOKUP('Données projet'!$B$15,'Paramètres'!$A$1:$I$88,3,0)*0.475*44/12</f>
        <v>#N/A</v>
      </c>
      <c r="EY72" s="163" t="str">
        <f t="shared" si="22"/>
        <v>#N/A</v>
      </c>
      <c r="EZ72" s="159">
        <f>('Scénario référence'!$F$8+'Scénario référence'!$F$9+'Scénario référence'!$B$17+'Scénario référence'!$B$9+'Scénario référence'!$B$10)*70+IF((45+25*(1-EXP(-0.0175*A72)))&lt;70,'Scénario référence'!$B$16*(45+25*(1-EXP(-0.0175*A72))),70*'Scénario référence'!$B$16)+IF((32+38*(1-EXP(-0.0175*A72)))&lt;70,'Scénario référence'!$B$18*(32+38*(1-EXP(-0.0175*A72))),70*'Scénario référence'!$B$18)</f>
        <v>70</v>
      </c>
      <c r="FA72" s="151">
        <f>IF(A72&gt;30,10,('Scénario référence'!$B$16+'Scénario référence'!$B$17+'Scénario référence'!$B$18+'Scénario référence'!$B$9+'Scénario référence'!$B$10)*A72*10/30+('Scénario référence'!$F$8+'Scénario référence'!$F$9)*10)</f>
        <v>10</v>
      </c>
      <c r="FB72" s="151" t="str">
        <f>VLOOKUP(A72,'Données projet'!$A$217:$I$237,2,0)</f>
        <v>#N/A</v>
      </c>
      <c r="FC72" s="151" t="str">
        <f>VLOOKUP(A72,'Données projet'!$A$217:$I$237,9,0)</f>
        <v>#N/A</v>
      </c>
      <c r="FD72" s="151" t="str">
        <f t="array" ref="FD72">INDEX(FC:FC,MIN(IF(ISNUMBER(FC72:FC268),ROW(FC72:FC268),"")))</f>
        <v/>
      </c>
      <c r="FE72" s="151">
        <f>IF('Données projet'!$A$218&gt;35,FE71+FD72-FM71,IF(A72&lt;'Données projet'!$A$218,$FB$205^A72,IF(A72='Données projet'!$A$218,'Données projet'!$B$218,FE71+FD72-FM71)))</f>
        <v>0</v>
      </c>
      <c r="FF72" s="158" t="str">
        <f>FE72*VLOOKUP('Données projet'!$B$16,'Paramètres'!$A$1:$I$88,3,0)*VLOOKUP('Données projet'!$B$16,'Paramètres'!$A$1:$I$88,5,0)</f>
        <v>#N/A</v>
      </c>
      <c r="FG72" s="150" t="str">
        <f t="shared" si="48"/>
        <v>#N/A</v>
      </c>
      <c r="FH72" s="161" t="str">
        <f t="shared" si="23"/>
        <v>#N/A</v>
      </c>
      <c r="FI72" s="153" t="str">
        <f t="shared" si="24"/>
        <v>#N/A</v>
      </c>
      <c r="FJ72" s="153" t="str">
        <f>AVERAGE(OFFSET($FI$3,0,0,'Données projet'!$E$16+1,1))-AVERAGE(OFFSET($H$3,0,0,'Données projet'!$E$16+1,1))</f>
        <v>#N/A</v>
      </c>
      <c r="FK72" s="153" t="str">
        <f t="shared" si="49"/>
        <v>#N/A</v>
      </c>
      <c r="FL72" s="154">
        <f>IF(ISNA(VLOOKUP(A72,'Données projet'!$A$217:$I$237,3,0)),0,VLOOKUP(A72,'Données projet'!$A$217:$I$237,3,0))</f>
        <v>0</v>
      </c>
      <c r="FM72" s="154">
        <f>IF(ISNA(VLOOKUP(A72,'Données projet'!$A$217:$I$237,4,0)),0,VLOOKUP(A72,'Données projet'!$A$217:$I$237,4,0))</f>
        <v>0</v>
      </c>
      <c r="FN72" s="155">
        <f>IF(ISNA(VLOOKUP(A72,'Données projet'!$A$217:$I$237,5,0)),0%,VLOOKUP(A72,'Données projet'!$A$217:$I$237,5,0)*VLOOKUP('Données projet'!$B$16,'Paramètres'!$A$1:$I$88,7,0))</f>
        <v>0</v>
      </c>
      <c r="FO72" s="155">
        <f>IF(ISNA(VLOOKUP(A72,'Données projet'!$A$217:$I$237,6,0)),0%,VLOOKUP(A72,'Données projet'!$A$217:$I$237,6,0)*VLOOKUP('Données projet'!$B$16,'Paramètres'!$A$1:$I$88,7,0))</f>
        <v>0</v>
      </c>
      <c r="FP72" s="155">
        <f>IF(ISNA(VLOOKUP(A72,'Données projet'!$A$217:$I$237,7,0)),0%,VLOOKUP(A72,'Données projet'!$A$217:$I$237,7,0))</f>
        <v>0</v>
      </c>
      <c r="FQ72" s="162" t="str">
        <f>EXP(-LN(2)/35)*FQ71+(1-EXP(-LN(2)/35))/(LN(2)/35)*FM72*FN72*VLOOKUP('Données projet'!$B$16,'Paramètres'!$A$1:$I$88,3,0)*0.475*44/12</f>
        <v>#N/A</v>
      </c>
      <c r="FR72" s="162" t="str">
        <f>EXP(-LN(2)/25)*FR71+(1-EXP(-LN(2)/25))/(LN(2)/25)*Calculateur!FM72*Calculateur!FO72*VLOOKUP('Données projet'!$B$16,'Paramètres'!$A$1:$I$88,3,0)*0.475*44/12</f>
        <v>#N/A</v>
      </c>
      <c r="FS72" s="162" t="str">
        <f>EXP(-LN(2)/2)*FS71+(1-EXP(-LN(2)/2))/(LN(2)/2)*FM72*FP72*VLOOKUP('Données projet'!$B$16,'Paramètres'!$A$1:$I$88,3,0)*0.475*44/12</f>
        <v>#N/A</v>
      </c>
      <c r="FT72" s="163" t="str">
        <f t="shared" si="25"/>
        <v>#N/A</v>
      </c>
      <c r="FU72" s="159">
        <f>('Scénario référence'!$F$8+'Scénario référence'!$F$9+'Scénario référence'!$B$17+'Scénario référence'!$B$9+'Scénario référence'!$B$10)*70+IF((45+25*(1-EXP(-0.0175*A72)))&lt;70,'Scénario référence'!$B$16*(45+25*(1-EXP(-0.0175*A72))),70*'Scénario référence'!$B$16)+IF((32+38*(1-EXP(-0.0175*A72)))&lt;70,'Scénario référence'!$B$18*(32+38*(1-EXP(-0.0175*A72))),70*'Scénario référence'!$B$18)</f>
        <v>70</v>
      </c>
      <c r="FV72" s="151">
        <f>IF(A72&gt;30,10,('Scénario référence'!$B$16+'Scénario référence'!$B$17+'Scénario référence'!$B$18+'Scénario référence'!$B$9+'Scénario référence'!$B$10)*A72*10/30+('Scénario référence'!$F$8+'Scénario référence'!$F$9)*10)</f>
        <v>10</v>
      </c>
      <c r="FW72" s="151" t="str">
        <f>VLOOKUP(A72,'Données projet'!$A$243:$I$263,2,0)</f>
        <v>#N/A</v>
      </c>
      <c r="FX72" s="151" t="str">
        <f>VLOOKUP(A72,'Données projet'!$A$243:$I$263,9,0)</f>
        <v>#N/A</v>
      </c>
      <c r="FY72" s="151" t="str">
        <f t="array" ref="FY72">INDEX(FX:FX,MIN(IF(ISNUMBER(FX72:FX268),ROW(FX72:FX268),"")))</f>
        <v/>
      </c>
      <c r="FZ72" s="151">
        <f>IF('Données projet'!$A$244&gt;35,FZ71+FY72-GH71,IF(A72&lt;'Données projet'!$A$244,$FW$205^A72,IF(A72='Données projet'!$A$244,'Données projet'!$B$244,FZ71+FY72-GH71)))</f>
        <v>0</v>
      </c>
      <c r="GA72" s="158" t="str">
        <f>FZ72*VLOOKUP('Données projet'!$B$17,'Paramètres'!$A$1:$I$88,3,0)*VLOOKUP('Données projet'!$B$17,'Paramètres'!$A$1:$I$88,5,0)</f>
        <v>#N/A</v>
      </c>
      <c r="GB72" s="150" t="str">
        <f t="shared" si="50"/>
        <v>#N/A</v>
      </c>
      <c r="GC72" s="161" t="str">
        <f t="shared" si="26"/>
        <v>#N/A</v>
      </c>
      <c r="GD72" s="153" t="str">
        <f t="shared" si="27"/>
        <v>#N/A</v>
      </c>
      <c r="GE72" s="153" t="str">
        <f>AVERAGE(OFFSET($GD$3,0,0,'Données projet'!$E$17+1,1))-AVERAGE(OFFSET($H$3,0,0,'Données projet'!$E$17+1,1))</f>
        <v>#N/A</v>
      </c>
      <c r="GF72" s="153" t="str">
        <f t="shared" si="51"/>
        <v>#N/A</v>
      </c>
      <c r="GG72" s="154">
        <f>IF(ISNA(VLOOKUP(A72,'Données projet'!$A$243:$I$263,3,0)),0,VLOOKUP(A72,'Données projet'!$A$243:$I$263,3,0))</f>
        <v>0</v>
      </c>
      <c r="GH72" s="154">
        <f>IF(ISNA(VLOOKUP(A72,'Données projet'!$A$243:$I$263,4,0)),0,VLOOKUP(A72,'Données projet'!$A$243:$I$263,4,0))</f>
        <v>0</v>
      </c>
      <c r="GI72" s="155">
        <f>IF(ISNA(VLOOKUP(A72,'Données projet'!$A$243:$I$263,5,0)),0%,VLOOKUP(A72,'Données projet'!$A$243:$I$263,5,0)*VLOOKUP('Données projet'!$B$17,'Paramètres'!$A$1:$I$88,7,0))</f>
        <v>0</v>
      </c>
      <c r="GJ72" s="155">
        <f>IF(ISNA(VLOOKUP(A72,'Données projet'!$A$243:$I$263,6,0)),0%,VLOOKUP(A72,'Données projet'!$A$243:$I$263,6,0)*VLOOKUP('Données projet'!$B$17,'Paramètres'!$A$1:$I$88,7,0))</f>
        <v>0</v>
      </c>
      <c r="GK72" s="155">
        <f>IF(ISNA(VLOOKUP(A72,'Données projet'!$A$243:$I$263,7,0)),0%,VLOOKUP(A72,'Données projet'!$A$243:$I$263,7,0))</f>
        <v>0</v>
      </c>
      <c r="GL72" s="162" t="str">
        <f>EXP(-LN(2)/35)*GL71+(1-EXP(-LN(2)/35))/(LN(2)/35)*GH72*GI72*VLOOKUP('Données projet'!$B$17,'Paramètres'!$A$1:$I$88,3,0)*0.475*44/12</f>
        <v>#N/A</v>
      </c>
      <c r="GM72" s="162" t="str">
        <f>EXP(-LN(2)/25)*GM71+(1-EXP(-LN(2)/25))/(LN(2)/25)*Calculateur!GH72*Calculateur!GJ72*VLOOKUP('Données projet'!$B$17,'Paramètres'!$A$1:$I$88,3,0)*0.475*44/12</f>
        <v>#N/A</v>
      </c>
      <c r="GN72" s="162" t="str">
        <f>EXP(-LN(2)/2)*GN71+(1-EXP(-LN(2)/2))/(LN(2)/2)*GH72*GK72*VLOOKUP('Données projet'!$B$17,'Paramètres'!$A$1:$I$88,3,0)*0.475*44/12</f>
        <v>#N/A</v>
      </c>
      <c r="GO72" s="162" t="str">
        <f t="shared" si="28"/>
        <v>#N/A</v>
      </c>
      <c r="GP72" s="159">
        <f>('Scénario référence'!$F$8+'Scénario référence'!$F$9+'Scénario référence'!$B$17+'Scénario référence'!$B$9+'Scénario référence'!$B$10)*70+IF((45+25*(1-EXP(-0.0175*A72)))&lt;70,'Scénario référence'!$B$16*(45+25*(1-EXP(-0.0175*A72))),70*'Scénario référence'!$B$16)+IF((32+38*(1-EXP(-0.0175*A72)))&lt;70,'Scénario référence'!$B$18*(32+38*(1-EXP(-0.0175*A72))),70*'Scénario référence'!$B$18)</f>
        <v>70</v>
      </c>
      <c r="GQ72" s="151">
        <f>IF(A72&gt;30,10,('Scénario référence'!$B$16+'Scénario référence'!$B$17+'Scénario référence'!$B$18+'Scénario référence'!$B$9+'Scénario référence'!$B$10)*A72*10/30+('Scénario référence'!$F$8+'Scénario référence'!$F$9)*10)</f>
        <v>10</v>
      </c>
      <c r="GR72" s="151" t="str">
        <f>VLOOKUP(A72,'Données projet'!$A$269:$I$289,2,0)</f>
        <v>#N/A</v>
      </c>
      <c r="GS72" s="151" t="str">
        <f>VLOOKUP(A72,'Données projet'!$A$269:$I$289,9,0)</f>
        <v>#N/A</v>
      </c>
      <c r="GT72" s="151" t="str">
        <f t="array" ref="GT72">INDEX(GS:GS,MIN(IF(ISNUMBER(GS72:GS268),ROW(GS72:GS268),"")))</f>
        <v/>
      </c>
      <c r="GU72" s="151">
        <f>IF('Données projet'!$A$270&gt;35,GU71+GT72-HC71,IF(A72&lt;'Données projet'!$A$270,$GR$205^A72,IF(A72='Données projet'!$A$270,'Données projet'!$B$270,GU71+GT72-HC71)))</f>
        <v>0</v>
      </c>
      <c r="GV72" s="158" t="str">
        <f>GU72*VLOOKUP('Données projet'!$B$18,'Paramètres'!$A$1:$I$88,3,0)*VLOOKUP('Données projet'!$B$18,'Paramètres'!$A$1:$I$88,5,0)</f>
        <v>#N/A</v>
      </c>
      <c r="GW72" s="150" t="str">
        <f t="shared" si="52"/>
        <v>#N/A</v>
      </c>
      <c r="GX72" s="161" t="str">
        <f t="shared" si="29"/>
        <v>#N/A</v>
      </c>
      <c r="GY72" s="153" t="str">
        <f t="shared" si="30"/>
        <v>#N/A</v>
      </c>
      <c r="GZ72" s="153" t="str">
        <f>AVERAGE(OFFSET($GY$3,0,0,'Données projet'!$E$18+1,1))-AVERAGE(OFFSET($H$3,0,0,'Données projet'!$E$18+1,1))</f>
        <v>#N/A</v>
      </c>
      <c r="HA72" s="153" t="str">
        <f t="shared" si="53"/>
        <v>#N/A</v>
      </c>
      <c r="HB72" s="154">
        <f>IF(ISNA(VLOOKUP(A72,'Données projet'!$A$269:$I$289,3,0)),0,VLOOKUP(A72,'Données projet'!$A$269:$I$289,3,0))</f>
        <v>0</v>
      </c>
      <c r="HC72" s="154">
        <f>IF(ISNA(VLOOKUP(A72,'Données projet'!$A$269:$I$289,4,0)),0,VLOOKUP(A72,'Données projet'!$A$269:$I$289,4,0))</f>
        <v>0</v>
      </c>
      <c r="HD72" s="155">
        <f>IF(ISNA(VLOOKUP(A72,'Données projet'!$A$269:$I$289,5,0)),0%,VLOOKUP(A72,'Données projet'!$A$269:$I$289,5,0)*VLOOKUP('Données projet'!$B$18,'Paramètres'!$A$1:$I$88,7,0))</f>
        <v>0</v>
      </c>
      <c r="HE72" s="155">
        <f>IF(ISNA(VLOOKUP(A72,'Données projet'!$A$269:$I$289,6,0)),0%,VLOOKUP(A72,'Données projet'!$A$269:$I$289,6,0)*VLOOKUP('Données projet'!$B$18,'Paramètres'!$A$1:$I$88,7,0))</f>
        <v>0</v>
      </c>
      <c r="HF72" s="155">
        <f>IF(ISNA(VLOOKUP(A72,'Données projet'!$A$269:$I$289,7,0)),0%,VLOOKUP(A72,'Données projet'!$A$269:$I$289,7,0))</f>
        <v>0</v>
      </c>
      <c r="HG72" s="162" t="str">
        <f>EXP(-LN(2)/35)*HG71+(1-EXP(-LN(2)/35))/(LN(2)/35)*HC72*HD72*VLOOKUP('Données projet'!$B$18,'Paramètres'!$A$1:$I$88,3,0)*0.475*44/12</f>
        <v>#N/A</v>
      </c>
      <c r="HH72" s="162" t="str">
        <f>EXP(-LN(2)/25)*HH71+(1-EXP(-LN(2)/25))/(LN(2)/25)*Calculateur!HC72*Calculateur!HE72*VLOOKUP('Données projet'!$B$18,'Paramètres'!$A$1:$I$88,3,0)*0.475*44/12</f>
        <v>#N/A</v>
      </c>
      <c r="HI72" s="162" t="str">
        <f>EXP(-LN(2)/2)*HI71+(1-EXP(-LN(2)/2))/(LN(2)/2)*HC72*HF72*VLOOKUP('Données projet'!$B$18,'Paramètres'!$A$1:$I$88,3,0)*0.475*44/12</f>
        <v>#N/A</v>
      </c>
      <c r="HJ72" s="163" t="str">
        <f t="shared" si="31"/>
        <v>#N/A</v>
      </c>
    </row>
    <row r="73" ht="15.75" customHeight="1">
      <c r="A73" s="145">
        <f t="shared" si="32"/>
        <v>70</v>
      </c>
      <c r="B73" s="146">
        <f>'Scénario référence'!$B$16*5+'Scénario référence'!$B$17*0+'Scénario référence'!$B$18*5</f>
        <v>0</v>
      </c>
      <c r="C73" s="160">
        <f>Calculateur!C72+'Scénario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73" s="147">
        <f t="shared" si="33"/>
        <v>0</v>
      </c>
      <c r="E73" s="147">
        <f>'Scénario référence'!$B$16*45+('Scénario référence'!$B$17+'Scénario référence'!$F$8+'Scénario référence'!$F$9+'Scénario référence'!$B$10+'Scénario référence'!$B$9)*70+'Scénario référence'!$B$18*32</f>
        <v>70</v>
      </c>
      <c r="F73" s="147">
        <f>IF(OR('Scénario référence'!$F$8&gt;0,'Scénario référence'!$F$9&gt;0),('Scénario référence'!$F$8+'Scénario référence'!$F$9)*10,0)</f>
        <v>0</v>
      </c>
      <c r="G73" s="147">
        <f>'Scénario référence'!$B$8*B73*44/12+'Scénario référence'!$B$9*(C73+D73)/0.475*44/12+'Scénario référence'!$B$10*(C73+D73)/0.475*44/12+'Scénario référence'!$F$8*(C73+D73)/0.475*44/12+'Scénario référence'!$F$9*(C73+D73)/0.475*44/12</f>
        <v>0</v>
      </c>
      <c r="H73" s="148">
        <f t="shared" si="1"/>
        <v>256.6666667</v>
      </c>
      <c r="I73" s="149">
        <f>('Scénario référence'!$F$8+'Scénario référence'!$F$9+'Scénario référence'!$B$17+'Scénario référence'!$B$9+'Scénario référence'!$B$10)*70+IF((45+25*(1-EXP(-0.0175*A73)))&lt;70,'Scénario référence'!$B$16*(45+25*(1-EXP(-0.0175*A73))),70*'Scénario référence'!$B$16)+IF((32+38*(1-EXP(-0.0175*A73)))&lt;70,'Scénario référence'!$B$18*(32+38*(1-EXP(-0.0175*A73))),70*'Scénario référence'!$B$18)</f>
        <v>70</v>
      </c>
      <c r="J73" s="150">
        <f>IF(A73&gt;30,10,('Scénario référence'!$B$16+'Scénario référence'!$B$17+'Scénario référence'!$B$18+'Scénario référence'!$B$9+'Scénario référence'!$B$10)*A73*10/30+('Scénario référence'!$F$8+'Scénario référence'!$F$9)*10)</f>
        <v>10</v>
      </c>
      <c r="K73" s="165">
        <f>VLOOKUP(A73,'Données projet'!$A$35:$I$55,2,0)</f>
        <v>302</v>
      </c>
      <c r="L73" s="150">
        <f>VLOOKUP(A73,'Données projet'!$A$35:$I$55,9,0)</f>
        <v>8.2</v>
      </c>
      <c r="M73" s="150">
        <f t="array" ref="M73">INDEX(L:L,MIN(IF(ISNUMBER(L73:L269),ROW(L73:L269),"")))</f>
        <v>8.2</v>
      </c>
      <c r="N73" s="150">
        <f>IF('Données projet'!$A$36&gt;35,N72+M73-V72,IF(A73&lt;'Données projet'!$A$36,$K$205^A73,IF(A73='Données projet'!$A$36,'Données projet'!$B$36,N72+M73-V72)))</f>
        <v>302</v>
      </c>
      <c r="O73" s="150">
        <f>N73*VLOOKUP('Données projet'!$B$9,'Paramètres'!$A$1:$I$88,3,0)*VLOOKUP('Données projet'!$B$9,'Paramètres'!$A$1:$I$88,5,0)</f>
        <v>273.2496</v>
      </c>
      <c r="P73" s="150">
        <f t="shared" si="34"/>
        <v>65.5384355</v>
      </c>
      <c r="Q73" s="161">
        <f t="shared" si="2"/>
        <v>590.0558285</v>
      </c>
      <c r="R73" s="153">
        <f t="shared" si="3"/>
        <v>883.3891618</v>
      </c>
      <c r="S73" s="153">
        <f>AVERAGE(OFFSET($R$3,0,0,'Données projet'!$E$9+1,1))-AVERAGE(OFFSET($H$3,0,0,'Données projet'!$E$9+1,1))</f>
        <v>439.1985427</v>
      </c>
      <c r="T73" s="153">
        <f t="shared" si="35"/>
        <v>278.2174123</v>
      </c>
      <c r="U73" s="154">
        <f>IF(ISNA(VLOOKUP(A73,'Données projet'!$A$35:$I$55,3,0)),0,VLOOKUP(A73,'Données projet'!$A$35:$I$55,3,0))</f>
        <v>11</v>
      </c>
      <c r="V73" s="164">
        <f>IF(ISNA(VLOOKUP(A73,'Données projet'!$A$35:$I$55,4,0)),0,VLOOKUP(A73,'Données projet'!$A$35:$I$55,4,0))</f>
        <v>28</v>
      </c>
      <c r="W73" s="155">
        <f>IF(ISNA(VLOOKUP(A73,'Données projet'!$A$35:$I$55,5,0)),0%,VLOOKUP(A73,'Données projet'!$A$35:$I$55,5,0)*VLOOKUP('Données projet'!$B$9,'Paramètres'!$A$1:$I$88,7,0))</f>
        <v>0</v>
      </c>
      <c r="X73" s="155">
        <f>IF(ISNA(VLOOKUP(A73,'Données projet'!$A$35:$I$55,6,0)),0%,VLOOKUP(A73,'Données projet'!$A$35:$I$55,6,0)*VLOOKUP('Données projet'!$B$9,'Paramètres'!$A$1:$I$88,7,0))</f>
        <v>0</v>
      </c>
      <c r="Y73" s="155" t="str">
        <f>IF(ISNA(VLOOKUP(A73,'Données projet'!$A$35:$I$55,7,0)),0%,VLOOKUP(A73,'Données projet'!$A$35:$I$55,7,0))</f>
        <v/>
      </c>
      <c r="Z73" s="162">
        <f>EXP(-LN(2)/35)*Z72+(1-EXP(-LN(2)/35))/(LN(2)/35)*V73*W73*VLOOKUP('Données projet'!$B$9,'Paramètres'!$A$1:$I$88,3,0)*0.475*44/12</f>
        <v>0</v>
      </c>
      <c r="AA73" s="162">
        <f>EXP(-LN(2)/25)*AA72+(1-EXP(-LN(2)/25))/(LN(2)/25)*Calculateur!V73*Calculateur!X73*VLOOKUP('Données projet'!$B$9,'Paramètres'!$A$1:$I$88,3,0)*0.475*44/12</f>
        <v>1.480349584</v>
      </c>
      <c r="AB73" s="162">
        <f>EXP(-LN(2)/2)*AB72+(1-EXP(-LN(2)/2))/(LN(2)/2)*V73*Y73*VLOOKUP('Données projet'!$B$9,'Paramètres'!$A$1:$I$88,3,0)*0.475*44/12</f>
        <v>0</v>
      </c>
      <c r="AC73" s="163">
        <f t="shared" si="4"/>
        <v>1.480349584</v>
      </c>
      <c r="AD73" s="150">
        <f>('Scénario référence'!$F$8+'Scénario référence'!$F$9+'Scénario référence'!$B$17+'Scénario référence'!$B$9+'Scénario référence'!$B$10)*70+IF((45+25*(1-EXP(-0.0175*A73)))&lt;70,'Scénario référence'!$B$16*(45+25*(1-EXP(-0.0175*A73))),70*'Scénario référence'!$B$16)+IF((32+38*(1-EXP(-0.0175*A73)))&lt;70,'Scénario référence'!$B$18*(32+38*(1-EXP(-0.0175*A73))),70*'Scénario référence'!$B$18)</f>
        <v>70</v>
      </c>
      <c r="AE73" s="150">
        <f>IF(A73&gt;30,10,('Scénario référence'!$B$16+'Scénario référence'!$B$17+'Scénario référence'!$B$18+'Scénario référence'!$B$9+'Scénario référence'!$B$10)*A73*10/30+('Scénario référence'!$F$8+'Scénario référence'!$F$9)*10)</f>
        <v>10</v>
      </c>
      <c r="AF73" s="151">
        <f>VLOOKUP(A73,'Données projet'!$A$61:$I$81,2,0)</f>
        <v>366</v>
      </c>
      <c r="AG73" s="150">
        <f>VLOOKUP(A73,'Données projet'!$A$61:$I$81,9,0)</f>
        <v>5.2</v>
      </c>
      <c r="AH73" s="150">
        <f t="array" ref="AH73">INDEX(AG:AG,MIN(IF(ISNUMBER(AG73:AG269),ROW(AG73:AG269),"")))</f>
        <v>5.2</v>
      </c>
      <c r="AI73" s="150">
        <f>IF('Données projet'!$A$62&gt;35,AI72+AH73-AQ72,IF(A73&lt;'Données projet'!$A$62,$AF$205^A73,IF(A73='Données projet'!$A$62,'Données projet'!$B$62,AI72+AH73-AQ72)))</f>
        <v>366</v>
      </c>
      <c r="AJ73" s="150">
        <f>AI73*VLOOKUP('Données projet'!$B$10,'Paramètres'!$A$1:$I$88,3,0)*VLOOKUP('Données projet'!$B$10,'Paramètres'!$A$1:$I$88,5,0)</f>
        <v>291.1896</v>
      </c>
      <c r="AK73" s="150">
        <f t="shared" si="36"/>
        <v>69.32627326</v>
      </c>
      <c r="AL73" s="161">
        <f t="shared" si="5"/>
        <v>627.8984793</v>
      </c>
      <c r="AM73" s="153">
        <f t="shared" si="6"/>
        <v>921.2318126</v>
      </c>
      <c r="AN73" s="153">
        <f>AVERAGE(OFFSET($AM$3,0,0,'Données projet'!$E$10+1,1))-AVERAGE(OFFSET($H$3,0,0,'Données projet'!$E$10+1,1))</f>
        <v>405.6113614</v>
      </c>
      <c r="AO73" s="153">
        <f t="shared" si="37"/>
        <v>393.0787141</v>
      </c>
      <c r="AP73" s="154">
        <f>IF(ISNA(VLOOKUP(A73,'Données projet'!$A$61:$I$81,3,0)),0,VLOOKUP(A73,'Données projet'!$A$61:$I$81,3,0))</f>
        <v>13</v>
      </c>
      <c r="AQ73" s="164">
        <f>IF(ISNA(VLOOKUP(A73,'Données projet'!$A$61:$I$81,4,0)),0,VLOOKUP(A73,'Données projet'!$A$61:$I$81,4,0))</f>
        <v>15</v>
      </c>
      <c r="AR73" s="155">
        <f>IF(ISNA(VLOOKUP(A73,'Données projet'!$A$61:$I$81,5,0)),0%,VLOOKUP(A73,'Données projet'!$A$61:$I$81,5,0)*VLOOKUP('Données projet'!$B$10,'Paramètres'!$A$1:$I$88,7,0))</f>
        <v>0</v>
      </c>
      <c r="AS73" s="155">
        <f>IF(ISNA(VLOOKUP(A73,'Données projet'!$A$61:$I$81,6,0)),0%,VLOOKUP(A73,'Données projet'!$A$61:$I$81,6,0)*VLOOKUP('Données projet'!$B$10,'Paramètres'!$A$1:$I$88,7,0))</f>
        <v>0</v>
      </c>
      <c r="AT73" s="155" t="str">
        <f>IF(ISNA(VLOOKUP(A73,'Données projet'!$A$61:$I$81,7,0)),0%,VLOOKUP(A73,'Données projet'!$A$61:$I$81,7,0))</f>
        <v/>
      </c>
      <c r="AU73" s="162">
        <f>EXP(-LN(2)/35)*AU72+(1-EXP(-LN(2)/35))/(LN(2)/35)*AQ73*AR73*VLOOKUP('Données projet'!$B$10,'Paramètres'!$A$1:$I$88,3,0)*0.475*44/12</f>
        <v>0</v>
      </c>
      <c r="AV73" s="162">
        <f>EXP(-LN(2)/25)*AV72+(1-EXP(-LN(2)/25))/(LN(2)/25)*Calculateur!AQ73*Calculateur!AS73*VLOOKUP('Données projet'!$B$10,'Paramètres'!$A$1:$I$88,3,0)*0.475*44/12</f>
        <v>6.016517028</v>
      </c>
      <c r="AW73" s="162">
        <f>EXP(-LN(2)/2)*AW72+(1-EXP(-LN(2)/2))/(LN(2)/2)*AQ73*AT73*VLOOKUP('Données projet'!$B$10,'Paramètres'!$A$1:$I$88,3,0)*0.475*44/12</f>
        <v>0.0000005528566398</v>
      </c>
      <c r="AX73" s="162">
        <f t="shared" si="7"/>
        <v>6.016517581</v>
      </c>
      <c r="AY73" s="157">
        <f>('Scénario référence'!$F$8+'Scénario référence'!$F$9+'Scénario référence'!$B$17+'Scénario référence'!$B$9+'Scénario référence'!$B$10)*70+IF((45+25*(1-EXP(-0.0175*A73)))&lt;70,'Scénario référence'!$B$16*(45+25*(1-EXP(-0.0175*A73))),70*'Scénario référence'!$B$16)+IF((32+38*(1-EXP(-0.0175*A73)))&lt;70,'Scénario référence'!$B$18*(32+38*(1-EXP(-0.0175*A73))),70*'Scénario référence'!$B$18)</f>
        <v>70</v>
      </c>
      <c r="AZ73" s="151">
        <f>IF(A73&gt;30,10,('Scénario référence'!$B$16+'Scénario référence'!$B$17+'Scénario référence'!$B$18+'Scénario référence'!$B$9+'Scénario référence'!$B$10)*A73*10/30+('Scénario référence'!$F$8+'Scénario référence'!$F$9)*10)</f>
        <v>10</v>
      </c>
      <c r="BA73" s="151" t="str">
        <f>VLOOKUP(A73,'Données projet'!$A$87:$I$107,2,0)</f>
        <v>#N/A</v>
      </c>
      <c r="BB73" s="150" t="str">
        <f>VLOOKUP(A73,'Données projet'!$A$87:$I$107,9,0)</f>
        <v>#N/A</v>
      </c>
      <c r="BC73" s="150" t="str">
        <f t="array" ref="BC73">INDEX(BB:BB,MIN(IF(ISNUMBER(BB73:BB269),ROW(BB73:BB269),"")))</f>
        <v/>
      </c>
      <c r="BD73" s="150">
        <f>IF('Données projet'!$A$88&gt;35,BD72+BC73-BL72,IF(A73&lt;'Données projet'!$A$88,$BA$205^A73,IF(A73='Données projet'!$A$88,'Données projet'!$B$88,BD72+BC73-BL72)))</f>
        <v>0</v>
      </c>
      <c r="BE73" s="150">
        <f>BD73*VLOOKUP('Données projet'!$B$11,'Paramètres'!$A$1:$I$88,3,0)*VLOOKUP('Données projet'!$B$11,'Paramètres'!$A$1:$I$88,5,0)</f>
        <v>0</v>
      </c>
      <c r="BF73" s="150" t="str">
        <f t="shared" si="38"/>
        <v>#NUM!</v>
      </c>
      <c r="BG73" s="161" t="str">
        <f t="shared" si="8"/>
        <v>#NUM!</v>
      </c>
      <c r="BH73" s="153" t="str">
        <f t="shared" si="9"/>
        <v>#NUM!</v>
      </c>
      <c r="BI73" s="153">
        <f>AVERAGE(OFFSET($BH$3,0,0,'Données projet'!$E$11+1,1))-AVERAGE(OFFSET($H$3,0,0,'Données projet'!$E$11+1,1))</f>
        <v>0</v>
      </c>
      <c r="BJ73" s="153">
        <f t="shared" si="39"/>
        <v>0</v>
      </c>
      <c r="BK73" s="154">
        <f>IF(ISNA(VLOOKUP(A73,'Données projet'!$A$87:$I$107,3,0)),0,VLOOKUP(A73,'Données projet'!$A$87:$I$107,3,0))</f>
        <v>0</v>
      </c>
      <c r="BL73" s="154">
        <f>IF(ISNA(VLOOKUP(A73,'Données projet'!$A$87:$I$107,4,0)),0,VLOOKUP(A73,'Données projet'!$A$87:$I$107,4,0))</f>
        <v>0</v>
      </c>
      <c r="BM73" s="155">
        <f>IF(ISNA(VLOOKUP(A73,'Données projet'!$A$87:$I$107,5,0)),0%,VLOOKUP(A73,'Données projet'!$A$87:$I$107,5,0)*VLOOKUP('Données projet'!$B$11,'Paramètres'!$A$1:$I$88,7,0))</f>
        <v>0</v>
      </c>
      <c r="BN73" s="155">
        <f>IF(ISNA(VLOOKUP(A73,'Données projet'!$A$87:$I$107,6,0)),0%,VLOOKUP(A73,'Données projet'!$A$87:$I$107,6,0)*VLOOKUP('Données projet'!$B$11,'Paramètres'!$A$1:$I$88,7,0))</f>
        <v>0</v>
      </c>
      <c r="BO73" s="155">
        <f>IF(ISNA(VLOOKUP(A73,'Données projet'!$A$87:$I$107,7,0)),0%,VLOOKUP(A73,'Données projet'!$A$87:$I$107,7,0))</f>
        <v>0</v>
      </c>
      <c r="BP73" s="162">
        <f>EXP(-LN(2)/35)*BP72+(1-EXP(-LN(2)/35))/(LN(2)/35)*BL73*BM73*VLOOKUP('Données projet'!$B$11,'Paramètres'!$A$1:$I$88,3,0)*0.475*44/12</f>
        <v>0</v>
      </c>
      <c r="BQ73" s="162">
        <f>EXP(-LN(2)/25)*BQ72+(1-EXP(-LN(2)/25))/(LN(2)/25)*Calculateur!BL73*Calculateur!BN73*VLOOKUP('Données projet'!$B$11,'Paramètres'!$A$1:$I$88,3,0)*0.475*44/12</f>
        <v>0</v>
      </c>
      <c r="BR73" s="162">
        <f>EXP(-LN(2)/2)*BR72+(1-EXP(-LN(2)/2))/(LN(2)/2)*BL73*BO73*VLOOKUP('Données projet'!$B$11,'Paramètres'!$A$1:$I$88,3,0)*0.475*44/12</f>
        <v>0</v>
      </c>
      <c r="BS73" s="163">
        <f t="shared" si="10"/>
        <v>0</v>
      </c>
      <c r="BT73" s="159">
        <f>('Scénario référence'!$F$8+'Scénario référence'!$F$9+'Scénario référence'!$B$17+'Scénario référence'!$B$9+'Scénario référence'!$B$10)*70+IF((45+25*(1-EXP(-0.0175*A73)))&lt;70,'Scénario référence'!$B$16*(45+25*(1-EXP(-0.0175*A73))),70*'Scénario référence'!$B$16)+IF((32+38*(1-EXP(-0.0175*A73)))&lt;70,'Scénario référence'!$B$18*(32+38*(1-EXP(-0.0175*A73))),70*'Scénario référence'!$B$18)</f>
        <v>70</v>
      </c>
      <c r="BU73" s="151">
        <f>IF(A73&gt;30,10,('Scénario référence'!$B$16+'Scénario référence'!$B$17+'Scénario référence'!$B$18+'Scénario référence'!$B$9+'Scénario référence'!$B$10)*A73*10/30+('Scénario référence'!$F$8+'Scénario référence'!$F$9)*10)</f>
        <v>10</v>
      </c>
      <c r="BV73" s="151" t="str">
        <f>VLOOKUP(A73,'Données projet'!$A$113:$I$133,2,0)</f>
        <v>#N/A</v>
      </c>
      <c r="BW73" s="150" t="str">
        <f>VLOOKUP(A73,'Données projet'!$A$113:$I$133,9,0)</f>
        <v>#N/A</v>
      </c>
      <c r="BX73" s="150" t="str">
        <f t="array" ref="BX73">INDEX(BW:BW,MIN(IF(ISNUMBER(BW73:BW269),ROW(BW73:BW269),"")))</f>
        <v/>
      </c>
      <c r="BY73" s="150">
        <f>IF('Données projet'!$A$114&gt;35,BY72+BX73-CG72,IF(A73&lt;'Données projet'!$A$114,$BV$205^A73,IF(A73='Données projet'!$A$114,'Données projet'!$B$114,BY72+BX73-CG72)))</f>
        <v>0</v>
      </c>
      <c r="BZ73" s="150" t="str">
        <f>BY73*VLOOKUP('Données projet'!$B$12,'Paramètres'!$A$1:$I$88,3,0)*VLOOKUP('Données projet'!$B$12,'Paramètres'!$A$1:$I$88,5,0)</f>
        <v>#N/A</v>
      </c>
      <c r="CA73" s="150" t="str">
        <f t="shared" si="40"/>
        <v>#N/A</v>
      </c>
      <c r="CB73" s="161" t="str">
        <f t="shared" si="11"/>
        <v>#N/A</v>
      </c>
      <c r="CC73" s="153" t="str">
        <f t="shared" si="12"/>
        <v>#N/A</v>
      </c>
      <c r="CD73" s="153" t="str">
        <f>AVERAGE(OFFSET($CC$3,0,0,'Données projet'!$E$12+1,1))-AVERAGE(OFFSET($H$3,0,0,'Données projet'!$E$12+1,1))</f>
        <v>#N/A</v>
      </c>
      <c r="CE73" s="153" t="str">
        <f t="shared" si="41"/>
        <v>#N/A</v>
      </c>
      <c r="CF73" s="154">
        <f>IF(ISNA(VLOOKUP(A73,'Données projet'!$A$113:$I$133,3,0)),0,VLOOKUP(A73,'Données projet'!$A$113:$I$133,3,0))</f>
        <v>0</v>
      </c>
      <c r="CG73" s="154">
        <f>IF(ISNA(VLOOKUP(A73,'Données projet'!$A$113:$I$133,4,0)),0,VLOOKUP(A73,'Données projet'!$A$113:$I$133,4,0))</f>
        <v>0</v>
      </c>
      <c r="CH73" s="155">
        <f>IF(ISNA(VLOOKUP(A73,'Données projet'!$A$113:$I$133,5,0)),0%,VLOOKUP(A73,'Données projet'!$A$113:$I$133,5,0)*VLOOKUP('Données projet'!$B$12,'Paramètres'!$A$1:$I$88,7,0))</f>
        <v>0</v>
      </c>
      <c r="CI73" s="155">
        <f>IF(ISNA(VLOOKUP(A73,'Données projet'!$A$113:$I$133,6,0)),0%,VLOOKUP(A73,'Données projet'!$A$113:$I$133,6,0)*VLOOKUP('Données projet'!$B$12,'Paramètres'!$A$1:$I$88,7,0))</f>
        <v>0</v>
      </c>
      <c r="CJ73" s="155">
        <f>IF(ISNA(VLOOKUP(A73,'Données projet'!$A$113:$I$133,7,0)),0%,VLOOKUP(A73,'Données projet'!$A$113:$I$133,7,0))</f>
        <v>0</v>
      </c>
      <c r="CK73" s="162" t="str">
        <f>EXP(-LN(2)/35)*CK72+(1-EXP(-LN(2)/35))/(LN(2)/35)*CG73*CH73*VLOOKUP('Données projet'!$B$12,'Paramètres'!$A$1:$I$88,3,0)*0.475*44/12</f>
        <v>#N/A</v>
      </c>
      <c r="CL73" s="162" t="str">
        <f>EXP(-LN(2)/25)*CL72+(1-EXP(-LN(2)/25))/(LN(2)/25)*Calculateur!CG73*Calculateur!CI73*VLOOKUP('Données projet'!$B$12,'Paramètres'!$A$1:$I$88,3,0)*0.475*44/12</f>
        <v>#N/A</v>
      </c>
      <c r="CM73" s="162" t="str">
        <f>EXP(-LN(2)/2)*CM72+(1-EXP(-LN(2)/2))/(LN(2)/2)*CG73*CJ73*VLOOKUP('Données projet'!$B$12,'Paramètres'!$A$1:$I$88,3,0)*0.475*44/12</f>
        <v>#N/A</v>
      </c>
      <c r="CN73" s="163" t="str">
        <f t="shared" si="13"/>
        <v>#N/A</v>
      </c>
      <c r="CO73" s="159">
        <f>('Scénario référence'!$F$8+'Scénario référence'!$F$9+'Scénario référence'!$B$17+'Scénario référence'!$B$9+'Scénario référence'!$B$10)*70+IF((45+25*(1-EXP(-0.0175*A73)))&lt;70,'Scénario référence'!$B$16*(45+25*(1-EXP(-0.0175*A73))),70*'Scénario référence'!$B$16)+IF((32+38*(1-EXP(-0.0175*A73)))&lt;70,'Scénario référence'!$B$18*(32+38*(1-EXP(-0.0175*A73))),70*'Scénario référence'!$B$18)</f>
        <v>70</v>
      </c>
      <c r="CP73" s="151">
        <f>IF(A73&gt;30,10,('Scénario référence'!$B$16+'Scénario référence'!$B$17+'Scénario référence'!$B$18+'Scénario référence'!$B$9+'Scénario référence'!$B$10)*A73*10/30+('Scénario référence'!$F$8+'Scénario référence'!$F$9)*10)</f>
        <v>10</v>
      </c>
      <c r="CQ73" s="151" t="str">
        <f>VLOOKUP(A73,'Données projet'!$A$139:$I$159,2,0)</f>
        <v>#N/A</v>
      </c>
      <c r="CR73" s="151" t="str">
        <f>VLOOKUP(A73,'Données projet'!$A$139:$I$159,9,0)</f>
        <v>#N/A</v>
      </c>
      <c r="CS73" s="151" t="str">
        <f t="array" ref="CS73">INDEX(CR:CR,MIN(IF(ISNUMBER(CR73:CR269),ROW(CR73:CR269),"")))</f>
        <v/>
      </c>
      <c r="CT73" s="151">
        <f>IF('Données projet'!$A$140&gt;35,CT72+CS73-DB72,IF(A73&lt;'Données projet'!$A$140,$CQ$205^A73,IF(A73='Données projet'!$A$140,'Données projet'!$B$140,CT72+CS73-DB72)))</f>
        <v>0</v>
      </c>
      <c r="CU73" s="158" t="str">
        <f>CT73*VLOOKUP('Données projet'!$B$13,'Paramètres'!$A$1:$I$88,3,0)*VLOOKUP('Données projet'!$B$13,'Paramètres'!$A$1:$I$88,5,0)</f>
        <v>#N/A</v>
      </c>
      <c r="CV73" s="150" t="str">
        <f t="shared" si="42"/>
        <v>#N/A</v>
      </c>
      <c r="CW73" s="161" t="str">
        <f t="shared" si="14"/>
        <v>#N/A</v>
      </c>
      <c r="CX73" s="153" t="str">
        <f t="shared" si="15"/>
        <v>#N/A</v>
      </c>
      <c r="CY73" s="153" t="str">
        <f>AVERAGE(OFFSET($CX$3,0,0,'Données projet'!$E$13+1,1))-AVERAGE(OFFSET($H$3,0,0,'Données projet'!$E$13+1,1))</f>
        <v>#N/A</v>
      </c>
      <c r="CZ73" s="153" t="str">
        <f t="shared" si="43"/>
        <v>#N/A</v>
      </c>
      <c r="DA73" s="154">
        <f>IF(ISNA(VLOOKUP(A73,'Données projet'!$A$139:$I$159,3,0)),0,VLOOKUP(A73,'Données projet'!$A$139:$I$159,3,0))</f>
        <v>0</v>
      </c>
      <c r="DB73" s="154">
        <f>IF(ISNA(VLOOKUP(A73,'Données projet'!$A$139:$I$159,4,0)),0,VLOOKUP(A73,'Données projet'!$A$139:$I$159,4,0))</f>
        <v>0</v>
      </c>
      <c r="DC73" s="155">
        <f>IF(ISNA(VLOOKUP(A73,'Données projet'!$A$139:$I$159,5,0)),0%,VLOOKUP(A73,'Données projet'!$A$139:$I$159,5,0)*VLOOKUP('Données projet'!$B$13,'Paramètres'!$A$1:$I$88,7,0))</f>
        <v>0</v>
      </c>
      <c r="DD73" s="155">
        <f>IF(ISNA(VLOOKUP(A73,'Données projet'!$A$139:$I$159,6,0)),0%,VLOOKUP(A73,'Données projet'!$A$139:$I$159,6,0)*VLOOKUP('Données projet'!$B$13,'Paramètres'!$A$1:$I$88,7,0))</f>
        <v>0</v>
      </c>
      <c r="DE73" s="155">
        <f>IF(ISNA(VLOOKUP(A73,'Données projet'!$A$139:$I$159,7,0)),0%,VLOOKUP(A73,'Données projet'!$A$139:$I$159,7,0))</f>
        <v>0</v>
      </c>
      <c r="DF73" s="162" t="str">
        <f>EXP(-LN(2)/35)*DF72+(1-EXP(-LN(2)/35))/(LN(2)/35)*DB73*DC73*VLOOKUP('Données projet'!$B$13,'Paramètres'!$A$1:$I$88,3,0)*0.475*44/12</f>
        <v>#N/A</v>
      </c>
      <c r="DG73" s="162" t="str">
        <f>EXP(-LN(2)/25)*DG72+(1-EXP(-LN(2)/25))/(LN(2)/25)*Calculateur!DB73*Calculateur!DD73*VLOOKUP('Données projet'!$B$13,'Paramètres'!$A$1:$I$88,3,0)*0.475*44/12</f>
        <v>#N/A</v>
      </c>
      <c r="DH73" s="162" t="str">
        <f>EXP(-LN(2)/2)*DH72+(1-EXP(-LN(2)/2))/(LN(2)/2)*DB73*DE73*VLOOKUP('Données projet'!$B$13,'Paramètres'!$A$1:$I$88,3,0)*0.475*44/12</f>
        <v>#N/A</v>
      </c>
      <c r="DI73" s="163" t="str">
        <f t="shared" si="16"/>
        <v>#N/A</v>
      </c>
      <c r="DJ73" s="159">
        <f>('Scénario référence'!$F$8+'Scénario référence'!$F$9+'Scénario référence'!$B$17+'Scénario référence'!$B$9+'Scénario référence'!$B$10)*70+IF((45+25*(1-EXP(-0.0175*A73)))&lt;70,'Scénario référence'!$B$16*(45+25*(1-EXP(-0.0175*A73))),70*'Scénario référence'!$B$16)+IF((32+38*(1-EXP(-0.0175*A73)))&lt;70,'Scénario référence'!$B$18*(32+38*(1-EXP(-0.0175*A73))),70*'Scénario référence'!$B$18)</f>
        <v>70</v>
      </c>
      <c r="DK73" s="151">
        <f>IF(A73&gt;30,10,('Scénario référence'!$B$16+'Scénario référence'!$B$17+'Scénario référence'!$B$18+'Scénario référence'!$B$9+'Scénario référence'!$B$10)*A73*10/30+('Scénario référence'!$F$8+'Scénario référence'!$F$9)*10)</f>
        <v>10</v>
      </c>
      <c r="DL73" s="151" t="str">
        <f>VLOOKUP(A73,'Données projet'!$A$165:$I$185,2,0)</f>
        <v>#N/A</v>
      </c>
      <c r="DM73" s="151" t="str">
        <f>VLOOKUP(A73,'Données projet'!$A$165:$I$185,9,0)</f>
        <v>#N/A</v>
      </c>
      <c r="DN73" s="151" t="str">
        <f t="array" ref="DN73">INDEX(DM:DM,MIN(IF(ISNUMBER(DM73:DM269),ROW(DM73:DM269),"")))</f>
        <v/>
      </c>
      <c r="DO73" s="151">
        <f>IF('Données projet'!$A$166&gt;35,DO72+DN73-DW72,IF(A73&lt;'Données projet'!$A$166,$DL$205^A73,IF(A73='Données projet'!$A$166,'Données projet'!$B$166,DO72+DN73-DW72)))</f>
        <v>0</v>
      </c>
      <c r="DP73" s="158" t="str">
        <f>DO73*VLOOKUP('Données projet'!$B$14,'Paramètres'!$A$1:$I$88,3,0)*VLOOKUP('Données projet'!$B$14,'Paramètres'!$A$1:$I$88,5,0)</f>
        <v>#N/A</v>
      </c>
      <c r="DQ73" s="150" t="str">
        <f t="shared" si="44"/>
        <v>#N/A</v>
      </c>
      <c r="DR73" s="161" t="str">
        <f t="shared" si="17"/>
        <v>#N/A</v>
      </c>
      <c r="DS73" s="153" t="str">
        <f t="shared" si="18"/>
        <v>#N/A</v>
      </c>
      <c r="DT73" s="153" t="str">
        <f>AVERAGE(OFFSET($DS$3,0,0,'Données projet'!$E$14+1,1))-AVERAGE(OFFSET($H$3,0,0,'Données projet'!$E$14+1,1))</f>
        <v>#N/A</v>
      </c>
      <c r="DU73" s="153" t="str">
        <f t="shared" si="45"/>
        <v>#N/A</v>
      </c>
      <c r="DV73" s="154">
        <f>IF(ISNA(VLOOKUP(A73,'Données projet'!$A$165:$I$185,3,0)),0,VLOOKUP(A73,'Données projet'!$A$165:$I$185,3,0))</f>
        <v>0</v>
      </c>
      <c r="DW73" s="154">
        <f>IF(ISNA(VLOOKUP(A73,'Données projet'!$A$165:$I$185,4,0)),0,VLOOKUP(A73,'Données projet'!$A$165:$I$185,4,0))</f>
        <v>0</v>
      </c>
      <c r="DX73" s="155">
        <f>IF(ISNA(VLOOKUP(A73,'Données projet'!$A$165:$I$185,5,0)),0%,VLOOKUP(A73,'Données projet'!$A$165:$I$185,5,0)*VLOOKUP('Données projet'!$B$14,'Paramètres'!$A$1:$I$88,7,0))</f>
        <v>0</v>
      </c>
      <c r="DY73" s="155">
        <f>IF(ISNA(VLOOKUP(A73,'Données projet'!$A$165:$I$185,6,0)),0%,VLOOKUP(A73,'Données projet'!$A$165:$I$185,6,0)*VLOOKUP('Données projet'!$B$14,'Paramètres'!$A$1:$I$88,7,0))</f>
        <v>0</v>
      </c>
      <c r="DZ73" s="155">
        <f>IF(ISNA(VLOOKUP(A73,'Données projet'!$A$165:$I$185,7,0)),0%,VLOOKUP(A73,'Données projet'!$A$165:$I$185,7,0))</f>
        <v>0</v>
      </c>
      <c r="EA73" s="162" t="str">
        <f>EXP(-LN(2)/35)*EA72+(1-EXP(-LN(2)/35))/(LN(2)/35)*DW73*DX73*VLOOKUP('Données projet'!$B$14,'Paramètres'!$A$1:$I$88,3,0)*0.475*44/12</f>
        <v>#N/A</v>
      </c>
      <c r="EB73" s="162" t="str">
        <f>EXP(-LN(2)/25)*EB72+(1-EXP(-LN(2)/25))/(LN(2)/25)*Calculateur!DW73*Calculateur!DY73*VLOOKUP('Données projet'!$B$14,'Paramètres'!$A$1:$I$88,3,0)*0.475*44/12</f>
        <v>#N/A</v>
      </c>
      <c r="EC73" s="162" t="str">
        <f>EXP(-LN(2)/2)*EC72+(1-EXP(-LN(2)/2))/(LN(2)/2)*DW73*DZ73*VLOOKUP('Données projet'!$B$14,'Paramètres'!$A$1:$I$88,3,0)*0.475*44/12</f>
        <v>#N/A</v>
      </c>
      <c r="ED73" s="163" t="str">
        <f t="shared" si="19"/>
        <v>#N/A</v>
      </c>
      <c r="EE73" s="159">
        <f>('Scénario référence'!$F$8+'Scénario référence'!$F$9+'Scénario référence'!$B$17+'Scénario référence'!$B$9+'Scénario référence'!$B$10)*70+IF((45+25*(1-EXP(-0.0175*A73)))&lt;70,'Scénario référence'!$B$16*(45+25*(1-EXP(-0.0175*A73))),70*'Scénario référence'!$B$16)+IF((32+38*(1-EXP(-0.0175*A73)))&lt;70,'Scénario référence'!$B$18*(32+38*(1-EXP(-0.0175*A73))),70*'Scénario référence'!$B$18)</f>
        <v>70</v>
      </c>
      <c r="EF73" s="151">
        <f>IF(A73&gt;30,10,('Scénario référence'!$B$16+'Scénario référence'!$B$17+'Scénario référence'!$B$18+'Scénario référence'!$B$9+'Scénario référence'!$B$10)*A73*10/30+('Scénario référence'!$F$8+'Scénario référence'!$F$9)*10)</f>
        <v>10</v>
      </c>
      <c r="EG73" s="151" t="str">
        <f>VLOOKUP(A73,'Données projet'!$A$191:$I$211,2,0)</f>
        <v>#N/A</v>
      </c>
      <c r="EH73" s="151" t="str">
        <f>VLOOKUP(A73,'Données projet'!$A$191:$I$211,9,0)</f>
        <v>#N/A</v>
      </c>
      <c r="EI73" s="151" t="str">
        <f t="array" ref="EI73">INDEX(EH:EH,MIN(IF(ISNUMBER(EH73:EH269),ROW(EH73:EH269),"")))</f>
        <v/>
      </c>
      <c r="EJ73" s="151">
        <f>IF('Données projet'!$A$192&gt;35,EJ72+EI73-ER72,IF(A73&lt;'Données projet'!$A$192,$EG$205^A73,IF(A73='Données projet'!$A$192,'Données projet'!$B$192,EJ72+EI73-ER72)))</f>
        <v>0</v>
      </c>
      <c r="EK73" s="158" t="str">
        <f>EJ73*VLOOKUP('Données projet'!$B$15,'Paramètres'!$A$1:$I$88,3,0)*VLOOKUP('Données projet'!$B$15,'Paramètres'!$A$1:$I$88,5,0)</f>
        <v>#N/A</v>
      </c>
      <c r="EL73" s="150" t="str">
        <f t="shared" si="46"/>
        <v>#N/A</v>
      </c>
      <c r="EM73" s="161" t="str">
        <f t="shared" si="20"/>
        <v>#N/A</v>
      </c>
      <c r="EN73" s="153" t="str">
        <f t="shared" si="21"/>
        <v>#N/A</v>
      </c>
      <c r="EO73" s="153" t="str">
        <f>AVERAGE(OFFSET($EN$3,0,0,'Données projet'!$E$15+1,1))-AVERAGE(OFFSET($H$3,0,0,'Données projet'!$E$15+1,1))</f>
        <v>#N/A</v>
      </c>
      <c r="EP73" s="153" t="str">
        <f t="shared" si="47"/>
        <v>#N/A</v>
      </c>
      <c r="EQ73" s="154">
        <f>IF(ISNA(VLOOKUP(A73,'Données projet'!$A$191:$I$211,3,0)),0,VLOOKUP(A73,'Données projet'!$A$191:$I$211,3,0))</f>
        <v>0</v>
      </c>
      <c r="ER73" s="154">
        <f>IF(ISNA(VLOOKUP(A73,'Données projet'!$A$191:$I$211,4,0)),0,VLOOKUP(A73,'Données projet'!$A$191:$I$211,4,0))</f>
        <v>0</v>
      </c>
      <c r="ES73" s="155">
        <f>IF(ISNA(VLOOKUP(A73,'Données projet'!$A$191:$I$211,5,0)),0%,VLOOKUP(A73,'Données projet'!$A$191:$I$211,5,0)*VLOOKUP('Données projet'!$B$15,'Paramètres'!$A$1:$I$88,7,0))</f>
        <v>0</v>
      </c>
      <c r="ET73" s="155">
        <f>IF(ISNA(VLOOKUP(A73,'Données projet'!$A$191:$I$211,6,0)),0%,VLOOKUP(A73,'Données projet'!$A$191:$I$211,6,0)*VLOOKUP('Données projet'!$B$15,'Paramètres'!$A$1:$I$88,7,0))</f>
        <v>0</v>
      </c>
      <c r="EU73" s="155">
        <f>IF(ISNA(VLOOKUP(A73,'Données projet'!$A$191:$I$211,7,0)),0%,VLOOKUP(A73,'Données projet'!$A$191:$I$211,7,0))</f>
        <v>0</v>
      </c>
      <c r="EV73" s="162" t="str">
        <f>EXP(-LN(2)/35)*EV72+(1-EXP(-LN(2)/35))/(LN(2)/35)*ER73*ES73*VLOOKUP('Données projet'!$B$15,'Paramètres'!$A$1:$I$88,3,0)*0.475*44/12</f>
        <v>#N/A</v>
      </c>
      <c r="EW73" s="162" t="str">
        <f>EXP(-LN(2)/25)*EW72+(1-EXP(-LN(2)/25))/(LN(2)/25)*Calculateur!ER73*Calculateur!ET73*VLOOKUP('Données projet'!$B$15,'Paramètres'!$A$1:$I$88,3,0)*0.475*44/12</f>
        <v>#N/A</v>
      </c>
      <c r="EX73" s="162" t="str">
        <f>EXP(-LN(2)/2)*EX72+(1-EXP(-LN(2)/2))/(LN(2)/2)*ER73*EU73*VLOOKUP('Données projet'!$B$15,'Paramètres'!$A$1:$I$88,3,0)*0.475*44/12</f>
        <v>#N/A</v>
      </c>
      <c r="EY73" s="163" t="str">
        <f t="shared" si="22"/>
        <v>#N/A</v>
      </c>
      <c r="EZ73" s="159">
        <f>('Scénario référence'!$F$8+'Scénario référence'!$F$9+'Scénario référence'!$B$17+'Scénario référence'!$B$9+'Scénario référence'!$B$10)*70+IF((45+25*(1-EXP(-0.0175*A73)))&lt;70,'Scénario référence'!$B$16*(45+25*(1-EXP(-0.0175*A73))),70*'Scénario référence'!$B$16)+IF((32+38*(1-EXP(-0.0175*A73)))&lt;70,'Scénario référence'!$B$18*(32+38*(1-EXP(-0.0175*A73))),70*'Scénario référence'!$B$18)</f>
        <v>70</v>
      </c>
      <c r="FA73" s="151">
        <f>IF(A73&gt;30,10,('Scénario référence'!$B$16+'Scénario référence'!$B$17+'Scénario référence'!$B$18+'Scénario référence'!$B$9+'Scénario référence'!$B$10)*A73*10/30+('Scénario référence'!$F$8+'Scénario référence'!$F$9)*10)</f>
        <v>10</v>
      </c>
      <c r="FB73" s="151" t="str">
        <f>VLOOKUP(A73,'Données projet'!$A$217:$I$237,2,0)</f>
        <v>#N/A</v>
      </c>
      <c r="FC73" s="151" t="str">
        <f>VLOOKUP(A73,'Données projet'!$A$217:$I$237,9,0)</f>
        <v>#N/A</v>
      </c>
      <c r="FD73" s="151" t="str">
        <f t="array" ref="FD73">INDEX(FC:FC,MIN(IF(ISNUMBER(FC73:FC269),ROW(FC73:FC269),"")))</f>
        <v/>
      </c>
      <c r="FE73" s="151">
        <f>IF('Données projet'!$A$218&gt;35,FE72+FD73-FM72,IF(A73&lt;'Données projet'!$A$218,$FB$205^A73,IF(A73='Données projet'!$A$218,'Données projet'!$B$218,FE72+FD73-FM72)))</f>
        <v>0</v>
      </c>
      <c r="FF73" s="158" t="str">
        <f>FE73*VLOOKUP('Données projet'!$B$16,'Paramètres'!$A$1:$I$88,3,0)*VLOOKUP('Données projet'!$B$16,'Paramètres'!$A$1:$I$88,5,0)</f>
        <v>#N/A</v>
      </c>
      <c r="FG73" s="150" t="str">
        <f t="shared" si="48"/>
        <v>#N/A</v>
      </c>
      <c r="FH73" s="161" t="str">
        <f t="shared" si="23"/>
        <v>#N/A</v>
      </c>
      <c r="FI73" s="153" t="str">
        <f t="shared" si="24"/>
        <v>#N/A</v>
      </c>
      <c r="FJ73" s="153" t="str">
        <f>AVERAGE(OFFSET($FI$3,0,0,'Données projet'!$E$16+1,1))-AVERAGE(OFFSET($H$3,0,0,'Données projet'!$E$16+1,1))</f>
        <v>#N/A</v>
      </c>
      <c r="FK73" s="153" t="str">
        <f t="shared" si="49"/>
        <v>#N/A</v>
      </c>
      <c r="FL73" s="154">
        <f>IF(ISNA(VLOOKUP(A73,'Données projet'!$A$217:$I$237,3,0)),0,VLOOKUP(A73,'Données projet'!$A$217:$I$237,3,0))</f>
        <v>0</v>
      </c>
      <c r="FM73" s="154">
        <f>IF(ISNA(VLOOKUP(A73,'Données projet'!$A$217:$I$237,4,0)),0,VLOOKUP(A73,'Données projet'!$A$217:$I$237,4,0))</f>
        <v>0</v>
      </c>
      <c r="FN73" s="155">
        <f>IF(ISNA(VLOOKUP(A73,'Données projet'!$A$217:$I$237,5,0)),0%,VLOOKUP(A73,'Données projet'!$A$217:$I$237,5,0)*VLOOKUP('Données projet'!$B$16,'Paramètres'!$A$1:$I$88,7,0))</f>
        <v>0</v>
      </c>
      <c r="FO73" s="155">
        <f>IF(ISNA(VLOOKUP(A73,'Données projet'!$A$217:$I$237,6,0)),0%,VLOOKUP(A73,'Données projet'!$A$217:$I$237,6,0)*VLOOKUP('Données projet'!$B$16,'Paramètres'!$A$1:$I$88,7,0))</f>
        <v>0</v>
      </c>
      <c r="FP73" s="155">
        <f>IF(ISNA(VLOOKUP(A73,'Données projet'!$A$217:$I$237,7,0)),0%,VLOOKUP(A73,'Données projet'!$A$217:$I$237,7,0))</f>
        <v>0</v>
      </c>
      <c r="FQ73" s="162" t="str">
        <f>EXP(-LN(2)/35)*FQ72+(1-EXP(-LN(2)/35))/(LN(2)/35)*FM73*FN73*VLOOKUP('Données projet'!$B$16,'Paramètres'!$A$1:$I$88,3,0)*0.475*44/12</f>
        <v>#N/A</v>
      </c>
      <c r="FR73" s="162" t="str">
        <f>EXP(-LN(2)/25)*FR72+(1-EXP(-LN(2)/25))/(LN(2)/25)*Calculateur!FM73*Calculateur!FO73*VLOOKUP('Données projet'!$B$16,'Paramètres'!$A$1:$I$88,3,0)*0.475*44/12</f>
        <v>#N/A</v>
      </c>
      <c r="FS73" s="162" t="str">
        <f>EXP(-LN(2)/2)*FS72+(1-EXP(-LN(2)/2))/(LN(2)/2)*FM73*FP73*VLOOKUP('Données projet'!$B$16,'Paramètres'!$A$1:$I$88,3,0)*0.475*44/12</f>
        <v>#N/A</v>
      </c>
      <c r="FT73" s="163" t="str">
        <f t="shared" si="25"/>
        <v>#N/A</v>
      </c>
      <c r="FU73" s="159">
        <f>('Scénario référence'!$F$8+'Scénario référence'!$F$9+'Scénario référence'!$B$17+'Scénario référence'!$B$9+'Scénario référence'!$B$10)*70+IF((45+25*(1-EXP(-0.0175*A73)))&lt;70,'Scénario référence'!$B$16*(45+25*(1-EXP(-0.0175*A73))),70*'Scénario référence'!$B$16)+IF((32+38*(1-EXP(-0.0175*A73)))&lt;70,'Scénario référence'!$B$18*(32+38*(1-EXP(-0.0175*A73))),70*'Scénario référence'!$B$18)</f>
        <v>70</v>
      </c>
      <c r="FV73" s="151">
        <f>IF(A73&gt;30,10,('Scénario référence'!$B$16+'Scénario référence'!$B$17+'Scénario référence'!$B$18+'Scénario référence'!$B$9+'Scénario référence'!$B$10)*A73*10/30+('Scénario référence'!$F$8+'Scénario référence'!$F$9)*10)</f>
        <v>10</v>
      </c>
      <c r="FW73" s="151" t="str">
        <f>VLOOKUP(A73,'Données projet'!$A$243:$I$263,2,0)</f>
        <v>#N/A</v>
      </c>
      <c r="FX73" s="151" t="str">
        <f>VLOOKUP(A73,'Données projet'!$A$243:$I$263,9,0)</f>
        <v>#N/A</v>
      </c>
      <c r="FY73" s="151" t="str">
        <f t="array" ref="FY73">INDEX(FX:FX,MIN(IF(ISNUMBER(FX73:FX269),ROW(FX73:FX269),"")))</f>
        <v/>
      </c>
      <c r="FZ73" s="151">
        <f>IF('Données projet'!$A$244&gt;35,FZ72+FY73-GH72,IF(A73&lt;'Données projet'!$A$244,$FW$205^A73,IF(A73='Données projet'!$A$244,'Données projet'!$B$244,FZ72+FY73-GH72)))</f>
        <v>0</v>
      </c>
      <c r="GA73" s="158" t="str">
        <f>FZ73*VLOOKUP('Données projet'!$B$17,'Paramètres'!$A$1:$I$88,3,0)*VLOOKUP('Données projet'!$B$17,'Paramètres'!$A$1:$I$88,5,0)</f>
        <v>#N/A</v>
      </c>
      <c r="GB73" s="150" t="str">
        <f t="shared" si="50"/>
        <v>#N/A</v>
      </c>
      <c r="GC73" s="161" t="str">
        <f t="shared" si="26"/>
        <v>#N/A</v>
      </c>
      <c r="GD73" s="153" t="str">
        <f t="shared" si="27"/>
        <v>#N/A</v>
      </c>
      <c r="GE73" s="153" t="str">
        <f>AVERAGE(OFFSET($GD$3,0,0,'Données projet'!$E$17+1,1))-AVERAGE(OFFSET($H$3,0,0,'Données projet'!$E$17+1,1))</f>
        <v>#N/A</v>
      </c>
      <c r="GF73" s="153" t="str">
        <f t="shared" si="51"/>
        <v>#N/A</v>
      </c>
      <c r="GG73" s="154">
        <f>IF(ISNA(VLOOKUP(A73,'Données projet'!$A$243:$I$263,3,0)),0,VLOOKUP(A73,'Données projet'!$A$243:$I$263,3,0))</f>
        <v>0</v>
      </c>
      <c r="GH73" s="154">
        <f>IF(ISNA(VLOOKUP(A73,'Données projet'!$A$243:$I$263,4,0)),0,VLOOKUP(A73,'Données projet'!$A$243:$I$263,4,0))</f>
        <v>0</v>
      </c>
      <c r="GI73" s="155">
        <f>IF(ISNA(VLOOKUP(A73,'Données projet'!$A$243:$I$263,5,0)),0%,VLOOKUP(A73,'Données projet'!$A$243:$I$263,5,0)*VLOOKUP('Données projet'!$B$17,'Paramètres'!$A$1:$I$88,7,0))</f>
        <v>0</v>
      </c>
      <c r="GJ73" s="155">
        <f>IF(ISNA(VLOOKUP(A73,'Données projet'!$A$243:$I$263,6,0)),0%,VLOOKUP(A73,'Données projet'!$A$243:$I$263,6,0)*VLOOKUP('Données projet'!$B$17,'Paramètres'!$A$1:$I$88,7,0))</f>
        <v>0</v>
      </c>
      <c r="GK73" s="155">
        <f>IF(ISNA(VLOOKUP(A73,'Données projet'!$A$243:$I$263,7,0)),0%,VLOOKUP(A73,'Données projet'!$A$243:$I$263,7,0))</f>
        <v>0</v>
      </c>
      <c r="GL73" s="162" t="str">
        <f>EXP(-LN(2)/35)*GL72+(1-EXP(-LN(2)/35))/(LN(2)/35)*GH73*GI73*VLOOKUP('Données projet'!$B$17,'Paramètres'!$A$1:$I$88,3,0)*0.475*44/12</f>
        <v>#N/A</v>
      </c>
      <c r="GM73" s="162" t="str">
        <f>EXP(-LN(2)/25)*GM72+(1-EXP(-LN(2)/25))/(LN(2)/25)*Calculateur!GH73*Calculateur!GJ73*VLOOKUP('Données projet'!$B$17,'Paramètres'!$A$1:$I$88,3,0)*0.475*44/12</f>
        <v>#N/A</v>
      </c>
      <c r="GN73" s="162" t="str">
        <f>EXP(-LN(2)/2)*GN72+(1-EXP(-LN(2)/2))/(LN(2)/2)*GH73*GK73*VLOOKUP('Données projet'!$B$17,'Paramètres'!$A$1:$I$88,3,0)*0.475*44/12</f>
        <v>#N/A</v>
      </c>
      <c r="GO73" s="162" t="str">
        <f t="shared" si="28"/>
        <v>#N/A</v>
      </c>
      <c r="GP73" s="159">
        <f>('Scénario référence'!$F$8+'Scénario référence'!$F$9+'Scénario référence'!$B$17+'Scénario référence'!$B$9+'Scénario référence'!$B$10)*70+IF((45+25*(1-EXP(-0.0175*A73)))&lt;70,'Scénario référence'!$B$16*(45+25*(1-EXP(-0.0175*A73))),70*'Scénario référence'!$B$16)+IF((32+38*(1-EXP(-0.0175*A73)))&lt;70,'Scénario référence'!$B$18*(32+38*(1-EXP(-0.0175*A73))),70*'Scénario référence'!$B$18)</f>
        <v>70</v>
      </c>
      <c r="GQ73" s="151">
        <f>IF(A73&gt;30,10,('Scénario référence'!$B$16+'Scénario référence'!$B$17+'Scénario référence'!$B$18+'Scénario référence'!$B$9+'Scénario référence'!$B$10)*A73*10/30+('Scénario référence'!$F$8+'Scénario référence'!$F$9)*10)</f>
        <v>10</v>
      </c>
      <c r="GR73" s="151" t="str">
        <f>VLOOKUP(A73,'Données projet'!$A$269:$I$289,2,0)</f>
        <v>#N/A</v>
      </c>
      <c r="GS73" s="151" t="str">
        <f>VLOOKUP(A73,'Données projet'!$A$269:$I$289,9,0)</f>
        <v>#N/A</v>
      </c>
      <c r="GT73" s="151" t="str">
        <f t="array" ref="GT73">INDEX(GS:GS,MIN(IF(ISNUMBER(GS73:GS269),ROW(GS73:GS269),"")))</f>
        <v/>
      </c>
      <c r="GU73" s="151">
        <f>IF('Données projet'!$A$270&gt;35,GU72+GT73-HC72,IF(A73&lt;'Données projet'!$A$270,$GR$205^A73,IF(A73='Données projet'!$A$270,'Données projet'!$B$270,GU72+GT73-HC72)))</f>
        <v>0</v>
      </c>
      <c r="GV73" s="158" t="str">
        <f>GU73*VLOOKUP('Données projet'!$B$18,'Paramètres'!$A$1:$I$88,3,0)*VLOOKUP('Données projet'!$B$18,'Paramètres'!$A$1:$I$88,5,0)</f>
        <v>#N/A</v>
      </c>
      <c r="GW73" s="150" t="str">
        <f t="shared" si="52"/>
        <v>#N/A</v>
      </c>
      <c r="GX73" s="161" t="str">
        <f t="shared" si="29"/>
        <v>#N/A</v>
      </c>
      <c r="GY73" s="153" t="str">
        <f t="shared" si="30"/>
        <v>#N/A</v>
      </c>
      <c r="GZ73" s="153" t="str">
        <f>AVERAGE(OFFSET($GY$3,0,0,'Données projet'!$E$18+1,1))-AVERAGE(OFFSET($H$3,0,0,'Données projet'!$E$18+1,1))</f>
        <v>#N/A</v>
      </c>
      <c r="HA73" s="153" t="str">
        <f t="shared" si="53"/>
        <v>#N/A</v>
      </c>
      <c r="HB73" s="154">
        <f>IF(ISNA(VLOOKUP(A73,'Données projet'!$A$269:$I$289,3,0)),0,VLOOKUP(A73,'Données projet'!$A$269:$I$289,3,0))</f>
        <v>0</v>
      </c>
      <c r="HC73" s="154">
        <f>IF(ISNA(VLOOKUP(A73,'Données projet'!$A$269:$I$289,4,0)),0,VLOOKUP(A73,'Données projet'!$A$269:$I$289,4,0))</f>
        <v>0</v>
      </c>
      <c r="HD73" s="155">
        <f>IF(ISNA(VLOOKUP(A73,'Données projet'!$A$269:$I$289,5,0)),0%,VLOOKUP(A73,'Données projet'!$A$269:$I$289,5,0)*VLOOKUP('Données projet'!$B$18,'Paramètres'!$A$1:$I$88,7,0))</f>
        <v>0</v>
      </c>
      <c r="HE73" s="155">
        <f>IF(ISNA(VLOOKUP(A73,'Données projet'!$A$269:$I$289,6,0)),0%,VLOOKUP(A73,'Données projet'!$A$269:$I$289,6,0)*VLOOKUP('Données projet'!$B$18,'Paramètres'!$A$1:$I$88,7,0))</f>
        <v>0</v>
      </c>
      <c r="HF73" s="155">
        <f>IF(ISNA(VLOOKUP(A73,'Données projet'!$A$269:$I$289,7,0)),0%,VLOOKUP(A73,'Données projet'!$A$269:$I$289,7,0))</f>
        <v>0</v>
      </c>
      <c r="HG73" s="162" t="str">
        <f>EXP(-LN(2)/35)*HG72+(1-EXP(-LN(2)/35))/(LN(2)/35)*HC73*HD73*VLOOKUP('Données projet'!$B$18,'Paramètres'!$A$1:$I$88,3,0)*0.475*44/12</f>
        <v>#N/A</v>
      </c>
      <c r="HH73" s="162" t="str">
        <f>EXP(-LN(2)/25)*HH72+(1-EXP(-LN(2)/25))/(LN(2)/25)*Calculateur!HC73*Calculateur!HE73*VLOOKUP('Données projet'!$B$18,'Paramètres'!$A$1:$I$88,3,0)*0.475*44/12</f>
        <v>#N/A</v>
      </c>
      <c r="HI73" s="162" t="str">
        <f>EXP(-LN(2)/2)*HI72+(1-EXP(-LN(2)/2))/(LN(2)/2)*HC73*HF73*VLOOKUP('Données projet'!$B$18,'Paramètres'!$A$1:$I$88,3,0)*0.475*44/12</f>
        <v>#N/A</v>
      </c>
      <c r="HJ73" s="163" t="str">
        <f t="shared" si="31"/>
        <v>#N/A</v>
      </c>
    </row>
    <row r="74" ht="15.75" customHeight="1">
      <c r="A74" s="145">
        <f t="shared" si="32"/>
        <v>71</v>
      </c>
      <c r="B74" s="146">
        <f>'Scénario référence'!$B$16*5+'Scénario référence'!$B$17*0+'Scénario référence'!$B$18*5</f>
        <v>0</v>
      </c>
      <c r="C74" s="160">
        <f>Calculateur!C73+'Scénario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74" s="147">
        <f t="shared" si="33"/>
        <v>0</v>
      </c>
      <c r="E74" s="147">
        <f>'Scénario référence'!$B$16*45+('Scénario référence'!$B$17+'Scénario référence'!$F$8+'Scénario référence'!$F$9+'Scénario référence'!$B$10+'Scénario référence'!$B$9)*70+'Scénario référence'!$B$18*32</f>
        <v>70</v>
      </c>
      <c r="F74" s="147">
        <f>IF(OR('Scénario référence'!$F$8&gt;0,'Scénario référence'!$F$9&gt;0),('Scénario référence'!$F$8+'Scénario référence'!$F$9)*10,0)</f>
        <v>0</v>
      </c>
      <c r="G74" s="147">
        <f>'Scénario référence'!$B$8*B74*44/12+'Scénario référence'!$B$9*(C74+D74)/0.475*44/12+'Scénario référence'!$B$10*(C74+D74)/0.475*44/12+'Scénario référence'!$F$8*(C74+D74)/0.475*44/12+'Scénario référence'!$F$9*(C74+D74)/0.475*44/12</f>
        <v>0</v>
      </c>
      <c r="H74" s="148">
        <f t="shared" si="1"/>
        <v>256.6666667</v>
      </c>
      <c r="I74" s="149">
        <f>('Scénario référence'!$F$8+'Scénario référence'!$F$9+'Scénario référence'!$B$17+'Scénario référence'!$B$9+'Scénario référence'!$B$10)*70+IF((45+25*(1-EXP(-0.0175*A74)))&lt;70,'Scénario référence'!$B$16*(45+25*(1-EXP(-0.0175*A74))),70*'Scénario référence'!$B$16)+IF((32+38*(1-EXP(-0.0175*A74)))&lt;70,'Scénario référence'!$B$18*(32+38*(1-EXP(-0.0175*A74))),70*'Scénario référence'!$B$18)</f>
        <v>70</v>
      </c>
      <c r="J74" s="150">
        <f>IF(A74&gt;30,10,('Scénario référence'!$B$16+'Scénario référence'!$B$17+'Scénario référence'!$B$18+'Scénario référence'!$B$9+'Scénario référence'!$B$10)*A74*10/30+('Scénario référence'!$F$8+'Scénario référence'!$F$9)*10)</f>
        <v>10</v>
      </c>
      <c r="K74" s="151" t="str">
        <f>VLOOKUP(A74,'Données projet'!$A$35:$I$55,2,0)</f>
        <v>#N/A</v>
      </c>
      <c r="L74" s="151" t="str">
        <f>VLOOKUP(A74,'Données projet'!$A$35:$I$55,9,0)</f>
        <v>#N/A</v>
      </c>
      <c r="M74" s="150">
        <f t="array" ref="M74">INDEX(L:L,MIN(IF(ISNUMBER(L74:L270),ROW(L74:L270),"")))</f>
        <v>7.6</v>
      </c>
      <c r="N74" s="150">
        <f>IF('Données projet'!$A$36&gt;35,N73+M74-V73,IF(A74&lt;'Données projet'!$A$36,$K$205^A74,IF(A74='Données projet'!$A$36,'Données projet'!$B$36,N73+M74-V73)))</f>
        <v>281.6</v>
      </c>
      <c r="O74" s="150">
        <f>N74*VLOOKUP('Données projet'!$B$9,'Paramètres'!$A$1:$I$88,3,0)*VLOOKUP('Données projet'!$B$9,'Paramètres'!$A$1:$I$88,5,0)</f>
        <v>254.79168</v>
      </c>
      <c r="P74" s="150">
        <f t="shared" si="34"/>
        <v>61.61087051</v>
      </c>
      <c r="Q74" s="161">
        <f t="shared" si="2"/>
        <v>551.0677755</v>
      </c>
      <c r="R74" s="153">
        <f t="shared" si="3"/>
        <v>844.4011088</v>
      </c>
      <c r="S74" s="153">
        <f>AVERAGE(OFFSET($R$3,0,0,'Données projet'!$E$9+1,1))-AVERAGE(OFFSET($H$3,0,0,'Données projet'!$E$9+1,1))</f>
        <v>439.1985427</v>
      </c>
      <c r="T74" s="153">
        <f t="shared" si="35"/>
        <v>278.2174123</v>
      </c>
      <c r="U74" s="154">
        <f>IF(ISNA(VLOOKUP(A74,'Données projet'!$A$35:$I$55,3,0)),0,VLOOKUP(A74,'Données projet'!$A$35:$I$55,3,0))</f>
        <v>0</v>
      </c>
      <c r="V74" s="154">
        <f>IF(ISNA(VLOOKUP(A74,'Données projet'!$A$35:$I$55,4,0)),0,VLOOKUP(A74,'Données projet'!$A$35:$I$55,4,0))</f>
        <v>0</v>
      </c>
      <c r="W74" s="155">
        <f>IF(ISNA(VLOOKUP(A74,'Données projet'!$A$35:$I$55,5,0)),0%,VLOOKUP(A74,'Données projet'!$A$35:$I$55,5,0)*VLOOKUP('Données projet'!$B$9,'Paramètres'!$A$1:$I$88,7,0))</f>
        <v>0</v>
      </c>
      <c r="X74" s="155">
        <f>IF(ISNA(VLOOKUP(A74,'Données projet'!$A$35:$I$55,6,0)),0%,VLOOKUP(A74,'Données projet'!$A$35:$I$55,6,0)*VLOOKUP('Données projet'!$B$9,'Paramètres'!$A$1:$I$88,7,0))</f>
        <v>0</v>
      </c>
      <c r="Y74" s="155">
        <f>IF(ISNA(VLOOKUP(A74,'Données projet'!$A$35:$I$55,7,0)),0%,VLOOKUP(A74,'Données projet'!$A$35:$I$55,7,0))</f>
        <v>0</v>
      </c>
      <c r="Z74" s="162">
        <f>EXP(-LN(2)/35)*Z73+(1-EXP(-LN(2)/35))/(LN(2)/35)*V74*W74*VLOOKUP('Données projet'!$B$9,'Paramètres'!$A$1:$I$88,3,0)*0.475*44/12</f>
        <v>0</v>
      </c>
      <c r="AA74" s="162">
        <f>EXP(-LN(2)/25)*AA73+(1-EXP(-LN(2)/25))/(LN(2)/25)*Calculateur!V74*Calculateur!X74*VLOOKUP('Données projet'!$B$9,'Paramètres'!$A$1:$I$88,3,0)*0.475*44/12</f>
        <v>1.439869346</v>
      </c>
      <c r="AB74" s="162">
        <f>EXP(-LN(2)/2)*AB73+(1-EXP(-LN(2)/2))/(LN(2)/2)*V74*Y74*VLOOKUP('Données projet'!$B$9,'Paramètres'!$A$1:$I$88,3,0)*0.475*44/12</f>
        <v>0</v>
      </c>
      <c r="AC74" s="163">
        <f t="shared" si="4"/>
        <v>1.439869346</v>
      </c>
      <c r="AD74" s="150">
        <f>('Scénario référence'!$F$8+'Scénario référence'!$F$9+'Scénario référence'!$B$17+'Scénario référence'!$B$9+'Scénario référence'!$B$10)*70+IF((45+25*(1-EXP(-0.0175*A74)))&lt;70,'Scénario référence'!$B$16*(45+25*(1-EXP(-0.0175*A74))),70*'Scénario référence'!$B$16)+IF((32+38*(1-EXP(-0.0175*A74)))&lt;70,'Scénario référence'!$B$18*(32+38*(1-EXP(-0.0175*A74))),70*'Scénario référence'!$B$18)</f>
        <v>70</v>
      </c>
      <c r="AE74" s="150">
        <f>IF(A74&gt;30,10,('Scénario référence'!$B$16+'Scénario référence'!$B$17+'Scénario référence'!$B$18+'Scénario référence'!$B$9+'Scénario référence'!$B$10)*A74*10/30+('Scénario référence'!$F$8+'Scénario référence'!$F$9)*10)</f>
        <v>10</v>
      </c>
      <c r="AF74" s="151" t="str">
        <f>VLOOKUP(A74,'Données projet'!$A$61:$I$81,2,0)</f>
        <v>#N/A</v>
      </c>
      <c r="AG74" s="151" t="str">
        <f>VLOOKUP(A74,'Données projet'!$A$61:$I$81,9,0)</f>
        <v>#N/A</v>
      </c>
      <c r="AH74" s="151">
        <f t="array" ref="AH74">INDEX(AG:AG,MIN(IF(ISNUMBER(AG74:AG270),ROW(AG74:AG270),"")))</f>
        <v>4.8</v>
      </c>
      <c r="AI74" s="150">
        <f>IF('Données projet'!$A$62&gt;35,AI73+AH74-AQ73,IF(A74&lt;'Données projet'!$A$62,$AF$205^A74,IF(A74='Données projet'!$A$62,'Données projet'!$B$62,AI73+AH74-AQ73)))</f>
        <v>355.8</v>
      </c>
      <c r="AJ74" s="150">
        <f>AI74*VLOOKUP('Données projet'!$B$10,'Paramètres'!$A$1:$I$88,3,0)*VLOOKUP('Données projet'!$B$10,'Paramètres'!$A$1:$I$88,5,0)</f>
        <v>283.07448</v>
      </c>
      <c r="AK74" s="150">
        <f t="shared" si="36"/>
        <v>67.61632136</v>
      </c>
      <c r="AL74" s="161">
        <f t="shared" si="5"/>
        <v>610.786479</v>
      </c>
      <c r="AM74" s="153">
        <f t="shared" si="6"/>
        <v>904.1198124</v>
      </c>
      <c r="AN74" s="153">
        <f>AVERAGE(OFFSET($AM$3,0,0,'Données projet'!$E$10+1,1))-AVERAGE(OFFSET($H$3,0,0,'Données projet'!$E$10+1,1))</f>
        <v>405.6113614</v>
      </c>
      <c r="AO74" s="153">
        <f t="shared" si="37"/>
        <v>393.0787141</v>
      </c>
      <c r="AP74" s="154">
        <f>IF(ISNA(VLOOKUP(A74,'Données projet'!$A$61:$I$81,3,0)),0,VLOOKUP(A74,'Données projet'!$A$61:$I$81,3,0))</f>
        <v>0</v>
      </c>
      <c r="AQ74" s="154">
        <f>IF(ISNA(VLOOKUP(A74,'Données projet'!$A$61:$I$81,4,0)),0,VLOOKUP(A74,'Données projet'!$A$61:$I$81,4,0))</f>
        <v>0</v>
      </c>
      <c r="AR74" s="155">
        <f>IF(ISNA(VLOOKUP(A74,'Données projet'!$A$61:$I$81,5,0)),0%,VLOOKUP(A74,'Données projet'!$A$61:$I$81,5,0)*VLOOKUP('Données projet'!$B$10,'Paramètres'!$A$1:$I$88,7,0))</f>
        <v>0</v>
      </c>
      <c r="AS74" s="155">
        <f>IF(ISNA(VLOOKUP(A74,'Données projet'!$A$61:$I$81,6,0)),0%,VLOOKUP(A74,'Données projet'!$A$61:$I$81,6,0)*VLOOKUP('Données projet'!$B$10,'Paramètres'!$A$1:$I$88,7,0))</f>
        <v>0</v>
      </c>
      <c r="AT74" s="155">
        <f>IF(ISNA(VLOOKUP(A74,'Données projet'!$A$61:$I$81,7,0)),0%,VLOOKUP(A74,'Données projet'!$A$61:$I$81,7,0))</f>
        <v>0</v>
      </c>
      <c r="AU74" s="162">
        <f>EXP(-LN(2)/35)*AU73+(1-EXP(-LN(2)/35))/(LN(2)/35)*AQ74*AR74*VLOOKUP('Données projet'!$B$10,'Paramètres'!$A$1:$I$88,3,0)*0.475*44/12</f>
        <v>0</v>
      </c>
      <c r="AV74" s="162">
        <f>EXP(-LN(2)/25)*AV73+(1-EXP(-LN(2)/25))/(LN(2)/25)*Calculateur!AQ74*Calculateur!AS74*VLOOKUP('Données projet'!$B$10,'Paramètres'!$A$1:$I$88,3,0)*0.475*44/12</f>
        <v>5.851995053</v>
      </c>
      <c r="AW74" s="162">
        <f>EXP(-LN(2)/2)*AW73+(1-EXP(-LN(2)/2))/(LN(2)/2)*AQ74*AT74*VLOOKUP('Données projet'!$B$10,'Paramètres'!$A$1:$I$88,3,0)*0.475*44/12</f>
        <v>0.000000390928679</v>
      </c>
      <c r="AX74" s="162">
        <f t="shared" si="7"/>
        <v>5.851995444</v>
      </c>
      <c r="AY74" s="157">
        <f>('Scénario référence'!$F$8+'Scénario référence'!$F$9+'Scénario référence'!$B$17+'Scénario référence'!$B$9+'Scénario référence'!$B$10)*70+IF((45+25*(1-EXP(-0.0175*A74)))&lt;70,'Scénario référence'!$B$16*(45+25*(1-EXP(-0.0175*A74))),70*'Scénario référence'!$B$16)+IF((32+38*(1-EXP(-0.0175*A74)))&lt;70,'Scénario référence'!$B$18*(32+38*(1-EXP(-0.0175*A74))),70*'Scénario référence'!$B$18)</f>
        <v>70</v>
      </c>
      <c r="AZ74" s="151">
        <f>IF(A74&gt;30,10,('Scénario référence'!$B$16+'Scénario référence'!$B$17+'Scénario référence'!$B$18+'Scénario référence'!$B$9+'Scénario référence'!$B$10)*A74*10/30+('Scénario référence'!$F$8+'Scénario référence'!$F$9)*10)</f>
        <v>10</v>
      </c>
      <c r="BA74" s="151" t="str">
        <f>VLOOKUP(A74,'Données projet'!$A$87:$I$107,2,0)</f>
        <v>#N/A</v>
      </c>
      <c r="BB74" s="151" t="str">
        <f>VLOOKUP(A74,'Données projet'!$A$87:$I$107,9,0)</f>
        <v>#N/A</v>
      </c>
      <c r="BC74" s="150" t="str">
        <f t="array" ref="BC74">INDEX(BB:BB,MIN(IF(ISNUMBER(BB74:BB270),ROW(BB74:BB270),"")))</f>
        <v/>
      </c>
      <c r="BD74" s="150">
        <f>IF('Données projet'!$A$88&gt;35,BD73+BC74-BL73,IF(A74&lt;'Données projet'!$A$88,$BA$205^A74,IF(A74='Données projet'!$A$88,'Données projet'!$B$88,BD73+BC74-BL73)))</f>
        <v>0</v>
      </c>
      <c r="BE74" s="150">
        <f>BD74*VLOOKUP('Données projet'!$B$11,'Paramètres'!$A$1:$I$88,3,0)*VLOOKUP('Données projet'!$B$11,'Paramètres'!$A$1:$I$88,5,0)</f>
        <v>0</v>
      </c>
      <c r="BF74" s="150" t="str">
        <f t="shared" si="38"/>
        <v>#NUM!</v>
      </c>
      <c r="BG74" s="161" t="str">
        <f t="shared" si="8"/>
        <v>#NUM!</v>
      </c>
      <c r="BH74" s="153" t="str">
        <f t="shared" si="9"/>
        <v>#NUM!</v>
      </c>
      <c r="BI74" s="153">
        <f>AVERAGE(OFFSET($BH$3,0,0,'Données projet'!$E$11+1,1))-AVERAGE(OFFSET($H$3,0,0,'Données projet'!$E$11+1,1))</f>
        <v>0</v>
      </c>
      <c r="BJ74" s="153">
        <f t="shared" si="39"/>
        <v>0</v>
      </c>
      <c r="BK74" s="154">
        <f>IF(ISNA(VLOOKUP(A74,'Données projet'!$A$87:$I$107,3,0)),0,VLOOKUP(A74,'Données projet'!$A$87:$I$107,3,0))</f>
        <v>0</v>
      </c>
      <c r="BL74" s="154">
        <f>IF(ISNA(VLOOKUP(A74,'Données projet'!$A$87:$I$107,4,0)),0,VLOOKUP(A74,'Données projet'!$A$87:$I$107,4,0))</f>
        <v>0</v>
      </c>
      <c r="BM74" s="155">
        <f>IF(ISNA(VLOOKUP(A74,'Données projet'!$A$87:$I$107,5,0)),0%,VLOOKUP(A74,'Données projet'!$A$87:$I$107,5,0)*VLOOKUP('Données projet'!$B$11,'Paramètres'!$A$1:$I$88,7,0))</f>
        <v>0</v>
      </c>
      <c r="BN74" s="155">
        <f>IF(ISNA(VLOOKUP(A74,'Données projet'!$A$87:$I$107,6,0)),0%,VLOOKUP(A74,'Données projet'!$A$87:$I$107,6,0)*VLOOKUP('Données projet'!$B$11,'Paramètres'!$A$1:$I$88,7,0))</f>
        <v>0</v>
      </c>
      <c r="BO74" s="155">
        <f>IF(ISNA(VLOOKUP(A74,'Données projet'!$A$87:$I$107,7,0)),0%,VLOOKUP(A74,'Données projet'!$A$87:$I$107,7,0))</f>
        <v>0</v>
      </c>
      <c r="BP74" s="162">
        <f>EXP(-LN(2)/35)*BP73+(1-EXP(-LN(2)/35))/(LN(2)/35)*BL74*BM74*VLOOKUP('Données projet'!$B$11,'Paramètres'!$A$1:$I$88,3,0)*0.475*44/12</f>
        <v>0</v>
      </c>
      <c r="BQ74" s="162">
        <f>EXP(-LN(2)/25)*BQ73+(1-EXP(-LN(2)/25))/(LN(2)/25)*Calculateur!BL74*Calculateur!BN74*VLOOKUP('Données projet'!$B$11,'Paramètres'!$A$1:$I$88,3,0)*0.475*44/12</f>
        <v>0</v>
      </c>
      <c r="BR74" s="162">
        <f>EXP(-LN(2)/2)*BR73+(1-EXP(-LN(2)/2))/(LN(2)/2)*BL74*BO74*VLOOKUP('Données projet'!$B$11,'Paramètres'!$A$1:$I$88,3,0)*0.475*44/12</f>
        <v>0</v>
      </c>
      <c r="BS74" s="163">
        <f t="shared" si="10"/>
        <v>0</v>
      </c>
      <c r="BT74" s="159">
        <f>('Scénario référence'!$F$8+'Scénario référence'!$F$9+'Scénario référence'!$B$17+'Scénario référence'!$B$9+'Scénario référence'!$B$10)*70+IF((45+25*(1-EXP(-0.0175*A74)))&lt;70,'Scénario référence'!$B$16*(45+25*(1-EXP(-0.0175*A74))),70*'Scénario référence'!$B$16)+IF((32+38*(1-EXP(-0.0175*A74)))&lt;70,'Scénario référence'!$B$18*(32+38*(1-EXP(-0.0175*A74))),70*'Scénario référence'!$B$18)</f>
        <v>70</v>
      </c>
      <c r="BU74" s="151">
        <f>IF(A74&gt;30,10,('Scénario référence'!$B$16+'Scénario référence'!$B$17+'Scénario référence'!$B$18+'Scénario référence'!$B$9+'Scénario référence'!$B$10)*A74*10/30+('Scénario référence'!$F$8+'Scénario référence'!$F$9)*10)</f>
        <v>10</v>
      </c>
      <c r="BV74" s="151" t="str">
        <f>VLOOKUP(A74,'Données projet'!$A$113:$I$133,2,0)</f>
        <v>#N/A</v>
      </c>
      <c r="BW74" s="151" t="str">
        <f>VLOOKUP(A74,'Données projet'!$A$113:$I$133,9,0)</f>
        <v>#N/A</v>
      </c>
      <c r="BX74" s="150" t="str">
        <f t="array" ref="BX74">INDEX(BW:BW,MIN(IF(ISNUMBER(BW74:BW270),ROW(BW74:BW270),"")))</f>
        <v/>
      </c>
      <c r="BY74" s="150">
        <f>IF('Données projet'!$A$114&gt;35,BY73+BX74-CG73,IF(A74&lt;'Données projet'!$A$114,$BV$205^A74,IF(A74='Données projet'!$A$114,'Données projet'!$B$114,BY73+BX74-CG73)))</f>
        <v>0</v>
      </c>
      <c r="BZ74" s="150" t="str">
        <f>BY74*VLOOKUP('Données projet'!$B$12,'Paramètres'!$A$1:$I$88,3,0)*VLOOKUP('Données projet'!$B$12,'Paramètres'!$A$1:$I$88,5,0)</f>
        <v>#N/A</v>
      </c>
      <c r="CA74" s="150" t="str">
        <f t="shared" si="40"/>
        <v>#N/A</v>
      </c>
      <c r="CB74" s="161" t="str">
        <f t="shared" si="11"/>
        <v>#N/A</v>
      </c>
      <c r="CC74" s="153" t="str">
        <f t="shared" si="12"/>
        <v>#N/A</v>
      </c>
      <c r="CD74" s="153" t="str">
        <f>AVERAGE(OFFSET($CC$3,0,0,'Données projet'!$E$12+1,1))-AVERAGE(OFFSET($H$3,0,0,'Données projet'!$E$12+1,1))</f>
        <v>#N/A</v>
      </c>
      <c r="CE74" s="153" t="str">
        <f t="shared" si="41"/>
        <v>#N/A</v>
      </c>
      <c r="CF74" s="154">
        <f>IF(ISNA(VLOOKUP(A74,'Données projet'!$A$113:$I$133,3,0)),0,VLOOKUP(A74,'Données projet'!$A$113:$I$133,3,0))</f>
        <v>0</v>
      </c>
      <c r="CG74" s="154">
        <f>IF(ISNA(VLOOKUP(A74,'Données projet'!$A$113:$I$133,4,0)),0,VLOOKUP(A74,'Données projet'!$A$113:$I$133,4,0))</f>
        <v>0</v>
      </c>
      <c r="CH74" s="155">
        <f>IF(ISNA(VLOOKUP(A74,'Données projet'!$A$113:$I$133,5,0)),0%,VLOOKUP(A74,'Données projet'!$A$113:$I$133,5,0)*VLOOKUP('Données projet'!$B$12,'Paramètres'!$A$1:$I$88,7,0))</f>
        <v>0</v>
      </c>
      <c r="CI74" s="155">
        <f>IF(ISNA(VLOOKUP(A74,'Données projet'!$A$113:$I$133,6,0)),0%,VLOOKUP(A74,'Données projet'!$A$113:$I$133,6,0)*VLOOKUP('Données projet'!$B$12,'Paramètres'!$A$1:$I$88,7,0))</f>
        <v>0</v>
      </c>
      <c r="CJ74" s="155">
        <f>IF(ISNA(VLOOKUP(A74,'Données projet'!$A$113:$I$133,7,0)),0%,VLOOKUP(A74,'Données projet'!$A$113:$I$133,7,0))</f>
        <v>0</v>
      </c>
      <c r="CK74" s="162" t="str">
        <f>EXP(-LN(2)/35)*CK73+(1-EXP(-LN(2)/35))/(LN(2)/35)*CG74*CH74*VLOOKUP('Données projet'!$B$12,'Paramètres'!$A$1:$I$88,3,0)*0.475*44/12</f>
        <v>#N/A</v>
      </c>
      <c r="CL74" s="162" t="str">
        <f>EXP(-LN(2)/25)*CL73+(1-EXP(-LN(2)/25))/(LN(2)/25)*Calculateur!CG74*Calculateur!CI74*VLOOKUP('Données projet'!$B$12,'Paramètres'!$A$1:$I$88,3,0)*0.475*44/12</f>
        <v>#N/A</v>
      </c>
      <c r="CM74" s="162" t="str">
        <f>EXP(-LN(2)/2)*CM73+(1-EXP(-LN(2)/2))/(LN(2)/2)*CG74*CJ74*VLOOKUP('Données projet'!$B$12,'Paramètres'!$A$1:$I$88,3,0)*0.475*44/12</f>
        <v>#N/A</v>
      </c>
      <c r="CN74" s="163" t="str">
        <f t="shared" si="13"/>
        <v>#N/A</v>
      </c>
      <c r="CO74" s="159">
        <f>('Scénario référence'!$F$8+'Scénario référence'!$F$9+'Scénario référence'!$B$17+'Scénario référence'!$B$9+'Scénario référence'!$B$10)*70+IF((45+25*(1-EXP(-0.0175*A74)))&lt;70,'Scénario référence'!$B$16*(45+25*(1-EXP(-0.0175*A74))),70*'Scénario référence'!$B$16)+IF((32+38*(1-EXP(-0.0175*A74)))&lt;70,'Scénario référence'!$B$18*(32+38*(1-EXP(-0.0175*A74))),70*'Scénario référence'!$B$18)</f>
        <v>70</v>
      </c>
      <c r="CP74" s="151">
        <f>IF(A74&gt;30,10,('Scénario référence'!$B$16+'Scénario référence'!$B$17+'Scénario référence'!$B$18+'Scénario référence'!$B$9+'Scénario référence'!$B$10)*A74*10/30+('Scénario référence'!$F$8+'Scénario référence'!$F$9)*10)</f>
        <v>10</v>
      </c>
      <c r="CQ74" s="151" t="str">
        <f>VLOOKUP(A74,'Données projet'!$A$139:$I$159,2,0)</f>
        <v>#N/A</v>
      </c>
      <c r="CR74" s="151" t="str">
        <f>VLOOKUP(A74,'Données projet'!$A$139:$I$159,9,0)</f>
        <v>#N/A</v>
      </c>
      <c r="CS74" s="151" t="str">
        <f t="array" ref="CS74">INDEX(CR:CR,MIN(IF(ISNUMBER(CR74:CR270),ROW(CR74:CR270),"")))</f>
        <v/>
      </c>
      <c r="CT74" s="151">
        <f>IF('Données projet'!$A$140&gt;35,CT73+CS74-DB73,IF(A74&lt;'Données projet'!$A$140,$CQ$205^A74,IF(A74='Données projet'!$A$140,'Données projet'!$B$140,CT73+CS74-DB73)))</f>
        <v>0</v>
      </c>
      <c r="CU74" s="158" t="str">
        <f>CT74*VLOOKUP('Données projet'!$B$13,'Paramètres'!$A$1:$I$88,3,0)*VLOOKUP('Données projet'!$B$13,'Paramètres'!$A$1:$I$88,5,0)</f>
        <v>#N/A</v>
      </c>
      <c r="CV74" s="150" t="str">
        <f t="shared" si="42"/>
        <v>#N/A</v>
      </c>
      <c r="CW74" s="161" t="str">
        <f t="shared" si="14"/>
        <v>#N/A</v>
      </c>
      <c r="CX74" s="153" t="str">
        <f t="shared" si="15"/>
        <v>#N/A</v>
      </c>
      <c r="CY74" s="153" t="str">
        <f>AVERAGE(OFFSET($CX$3,0,0,'Données projet'!$E$13+1,1))-AVERAGE(OFFSET($H$3,0,0,'Données projet'!$E$13+1,1))</f>
        <v>#N/A</v>
      </c>
      <c r="CZ74" s="153" t="str">
        <f t="shared" si="43"/>
        <v>#N/A</v>
      </c>
      <c r="DA74" s="154">
        <f>IF(ISNA(VLOOKUP(A74,'Données projet'!$A$139:$I$159,3,0)),0,VLOOKUP(A74,'Données projet'!$A$139:$I$159,3,0))</f>
        <v>0</v>
      </c>
      <c r="DB74" s="154">
        <f>IF(ISNA(VLOOKUP(A74,'Données projet'!$A$139:$I$159,4,0)),0,VLOOKUP(A74,'Données projet'!$A$139:$I$159,4,0))</f>
        <v>0</v>
      </c>
      <c r="DC74" s="155">
        <f>IF(ISNA(VLOOKUP(A74,'Données projet'!$A$139:$I$159,5,0)),0%,VLOOKUP(A74,'Données projet'!$A$139:$I$159,5,0)*VLOOKUP('Données projet'!$B$13,'Paramètres'!$A$1:$I$88,7,0))</f>
        <v>0</v>
      </c>
      <c r="DD74" s="155">
        <f>IF(ISNA(VLOOKUP(A74,'Données projet'!$A$139:$I$159,6,0)),0%,VLOOKUP(A74,'Données projet'!$A$139:$I$159,6,0)*VLOOKUP('Données projet'!$B$13,'Paramètres'!$A$1:$I$88,7,0))</f>
        <v>0</v>
      </c>
      <c r="DE74" s="155">
        <f>IF(ISNA(VLOOKUP(A74,'Données projet'!$A$139:$I$159,7,0)),0%,VLOOKUP(A74,'Données projet'!$A$139:$I$159,7,0))</f>
        <v>0</v>
      </c>
      <c r="DF74" s="162" t="str">
        <f>EXP(-LN(2)/35)*DF73+(1-EXP(-LN(2)/35))/(LN(2)/35)*DB74*DC74*VLOOKUP('Données projet'!$B$13,'Paramètres'!$A$1:$I$88,3,0)*0.475*44/12</f>
        <v>#N/A</v>
      </c>
      <c r="DG74" s="162" t="str">
        <f>EXP(-LN(2)/25)*DG73+(1-EXP(-LN(2)/25))/(LN(2)/25)*Calculateur!DB74*Calculateur!DD74*VLOOKUP('Données projet'!$B$13,'Paramètres'!$A$1:$I$88,3,0)*0.475*44/12</f>
        <v>#N/A</v>
      </c>
      <c r="DH74" s="162" t="str">
        <f>EXP(-LN(2)/2)*DH73+(1-EXP(-LN(2)/2))/(LN(2)/2)*DB74*DE74*VLOOKUP('Données projet'!$B$13,'Paramètres'!$A$1:$I$88,3,0)*0.475*44/12</f>
        <v>#N/A</v>
      </c>
      <c r="DI74" s="163" t="str">
        <f t="shared" si="16"/>
        <v>#N/A</v>
      </c>
      <c r="DJ74" s="159">
        <f>('Scénario référence'!$F$8+'Scénario référence'!$F$9+'Scénario référence'!$B$17+'Scénario référence'!$B$9+'Scénario référence'!$B$10)*70+IF((45+25*(1-EXP(-0.0175*A74)))&lt;70,'Scénario référence'!$B$16*(45+25*(1-EXP(-0.0175*A74))),70*'Scénario référence'!$B$16)+IF((32+38*(1-EXP(-0.0175*A74)))&lt;70,'Scénario référence'!$B$18*(32+38*(1-EXP(-0.0175*A74))),70*'Scénario référence'!$B$18)</f>
        <v>70</v>
      </c>
      <c r="DK74" s="151">
        <f>IF(A74&gt;30,10,('Scénario référence'!$B$16+'Scénario référence'!$B$17+'Scénario référence'!$B$18+'Scénario référence'!$B$9+'Scénario référence'!$B$10)*A74*10/30+('Scénario référence'!$F$8+'Scénario référence'!$F$9)*10)</f>
        <v>10</v>
      </c>
      <c r="DL74" s="151" t="str">
        <f>VLOOKUP(A74,'Données projet'!$A$165:$I$185,2,0)</f>
        <v>#N/A</v>
      </c>
      <c r="DM74" s="151" t="str">
        <f>VLOOKUP(A74,'Données projet'!$A$165:$I$185,9,0)</f>
        <v>#N/A</v>
      </c>
      <c r="DN74" s="151" t="str">
        <f t="array" ref="DN74">INDEX(DM:DM,MIN(IF(ISNUMBER(DM74:DM270),ROW(DM74:DM270),"")))</f>
        <v/>
      </c>
      <c r="DO74" s="151">
        <f>IF('Données projet'!$A$166&gt;35,DO73+DN74-DW73,IF(A74&lt;'Données projet'!$A$166,$DL$205^A74,IF(A74='Données projet'!$A$166,'Données projet'!$B$166,DO73+DN74-DW73)))</f>
        <v>0</v>
      </c>
      <c r="DP74" s="158" t="str">
        <f>DO74*VLOOKUP('Données projet'!$B$14,'Paramètres'!$A$1:$I$88,3,0)*VLOOKUP('Données projet'!$B$14,'Paramètres'!$A$1:$I$88,5,0)</f>
        <v>#N/A</v>
      </c>
      <c r="DQ74" s="150" t="str">
        <f t="shared" si="44"/>
        <v>#N/A</v>
      </c>
      <c r="DR74" s="161" t="str">
        <f t="shared" si="17"/>
        <v>#N/A</v>
      </c>
      <c r="DS74" s="153" t="str">
        <f t="shared" si="18"/>
        <v>#N/A</v>
      </c>
      <c r="DT74" s="153" t="str">
        <f>AVERAGE(OFFSET($DS$3,0,0,'Données projet'!$E$14+1,1))-AVERAGE(OFFSET($H$3,0,0,'Données projet'!$E$14+1,1))</f>
        <v>#N/A</v>
      </c>
      <c r="DU74" s="153" t="str">
        <f t="shared" si="45"/>
        <v>#N/A</v>
      </c>
      <c r="DV74" s="154">
        <f>IF(ISNA(VLOOKUP(A74,'Données projet'!$A$165:$I$185,3,0)),0,VLOOKUP(A74,'Données projet'!$A$165:$I$185,3,0))</f>
        <v>0</v>
      </c>
      <c r="DW74" s="154">
        <f>IF(ISNA(VLOOKUP(A74,'Données projet'!$A$165:$I$185,4,0)),0,VLOOKUP(A74,'Données projet'!$A$165:$I$185,4,0))</f>
        <v>0</v>
      </c>
      <c r="DX74" s="155">
        <f>IF(ISNA(VLOOKUP(A74,'Données projet'!$A$165:$I$185,5,0)),0%,VLOOKUP(A74,'Données projet'!$A$165:$I$185,5,0)*VLOOKUP('Données projet'!$B$14,'Paramètres'!$A$1:$I$88,7,0))</f>
        <v>0</v>
      </c>
      <c r="DY74" s="155">
        <f>IF(ISNA(VLOOKUP(A74,'Données projet'!$A$165:$I$185,6,0)),0%,VLOOKUP(A74,'Données projet'!$A$165:$I$185,6,0)*VLOOKUP('Données projet'!$B$14,'Paramètres'!$A$1:$I$88,7,0))</f>
        <v>0</v>
      </c>
      <c r="DZ74" s="155">
        <f>IF(ISNA(VLOOKUP(A74,'Données projet'!$A$165:$I$185,7,0)),0%,VLOOKUP(A74,'Données projet'!$A$165:$I$185,7,0))</f>
        <v>0</v>
      </c>
      <c r="EA74" s="162" t="str">
        <f>EXP(-LN(2)/35)*EA73+(1-EXP(-LN(2)/35))/(LN(2)/35)*DW74*DX74*VLOOKUP('Données projet'!$B$14,'Paramètres'!$A$1:$I$88,3,0)*0.475*44/12</f>
        <v>#N/A</v>
      </c>
      <c r="EB74" s="162" t="str">
        <f>EXP(-LN(2)/25)*EB73+(1-EXP(-LN(2)/25))/(LN(2)/25)*Calculateur!DW74*Calculateur!DY74*VLOOKUP('Données projet'!$B$14,'Paramètres'!$A$1:$I$88,3,0)*0.475*44/12</f>
        <v>#N/A</v>
      </c>
      <c r="EC74" s="162" t="str">
        <f>EXP(-LN(2)/2)*EC73+(1-EXP(-LN(2)/2))/(LN(2)/2)*DW74*DZ74*VLOOKUP('Données projet'!$B$14,'Paramètres'!$A$1:$I$88,3,0)*0.475*44/12</f>
        <v>#N/A</v>
      </c>
      <c r="ED74" s="163" t="str">
        <f t="shared" si="19"/>
        <v>#N/A</v>
      </c>
      <c r="EE74" s="159">
        <f>('Scénario référence'!$F$8+'Scénario référence'!$F$9+'Scénario référence'!$B$17+'Scénario référence'!$B$9+'Scénario référence'!$B$10)*70+IF((45+25*(1-EXP(-0.0175*A74)))&lt;70,'Scénario référence'!$B$16*(45+25*(1-EXP(-0.0175*A74))),70*'Scénario référence'!$B$16)+IF((32+38*(1-EXP(-0.0175*A74)))&lt;70,'Scénario référence'!$B$18*(32+38*(1-EXP(-0.0175*A74))),70*'Scénario référence'!$B$18)</f>
        <v>70</v>
      </c>
      <c r="EF74" s="151">
        <f>IF(A74&gt;30,10,('Scénario référence'!$B$16+'Scénario référence'!$B$17+'Scénario référence'!$B$18+'Scénario référence'!$B$9+'Scénario référence'!$B$10)*A74*10/30+('Scénario référence'!$F$8+'Scénario référence'!$F$9)*10)</f>
        <v>10</v>
      </c>
      <c r="EG74" s="151" t="str">
        <f>VLOOKUP(A74,'Données projet'!$A$191:$I$211,2,0)</f>
        <v>#N/A</v>
      </c>
      <c r="EH74" s="151" t="str">
        <f>VLOOKUP(A74,'Données projet'!$A$191:$I$211,9,0)</f>
        <v>#N/A</v>
      </c>
      <c r="EI74" s="151" t="str">
        <f t="array" ref="EI74">INDEX(EH:EH,MIN(IF(ISNUMBER(EH74:EH270),ROW(EH74:EH270),"")))</f>
        <v/>
      </c>
      <c r="EJ74" s="151">
        <f>IF('Données projet'!$A$192&gt;35,EJ73+EI74-ER73,IF(A74&lt;'Données projet'!$A$192,$EG$205^A74,IF(A74='Données projet'!$A$192,'Données projet'!$B$192,EJ73+EI74-ER73)))</f>
        <v>0</v>
      </c>
      <c r="EK74" s="158" t="str">
        <f>EJ74*VLOOKUP('Données projet'!$B$15,'Paramètres'!$A$1:$I$88,3,0)*VLOOKUP('Données projet'!$B$15,'Paramètres'!$A$1:$I$88,5,0)</f>
        <v>#N/A</v>
      </c>
      <c r="EL74" s="150" t="str">
        <f t="shared" si="46"/>
        <v>#N/A</v>
      </c>
      <c r="EM74" s="161" t="str">
        <f t="shared" si="20"/>
        <v>#N/A</v>
      </c>
      <c r="EN74" s="153" t="str">
        <f t="shared" si="21"/>
        <v>#N/A</v>
      </c>
      <c r="EO74" s="153" t="str">
        <f>AVERAGE(OFFSET($EN$3,0,0,'Données projet'!$E$15+1,1))-AVERAGE(OFFSET($H$3,0,0,'Données projet'!$E$15+1,1))</f>
        <v>#N/A</v>
      </c>
      <c r="EP74" s="153" t="str">
        <f t="shared" si="47"/>
        <v>#N/A</v>
      </c>
      <c r="EQ74" s="154">
        <f>IF(ISNA(VLOOKUP(A74,'Données projet'!$A$191:$I$211,3,0)),0,VLOOKUP(A74,'Données projet'!$A$191:$I$211,3,0))</f>
        <v>0</v>
      </c>
      <c r="ER74" s="154">
        <f>IF(ISNA(VLOOKUP(A74,'Données projet'!$A$191:$I$211,4,0)),0,VLOOKUP(A74,'Données projet'!$A$191:$I$211,4,0))</f>
        <v>0</v>
      </c>
      <c r="ES74" s="155">
        <f>IF(ISNA(VLOOKUP(A74,'Données projet'!$A$191:$I$211,5,0)),0%,VLOOKUP(A74,'Données projet'!$A$191:$I$211,5,0)*VLOOKUP('Données projet'!$B$15,'Paramètres'!$A$1:$I$88,7,0))</f>
        <v>0</v>
      </c>
      <c r="ET74" s="155">
        <f>IF(ISNA(VLOOKUP(A74,'Données projet'!$A$191:$I$211,6,0)),0%,VLOOKUP(A74,'Données projet'!$A$191:$I$211,6,0)*VLOOKUP('Données projet'!$B$15,'Paramètres'!$A$1:$I$88,7,0))</f>
        <v>0</v>
      </c>
      <c r="EU74" s="155">
        <f>IF(ISNA(VLOOKUP(A74,'Données projet'!$A$191:$I$211,7,0)),0%,VLOOKUP(A74,'Données projet'!$A$191:$I$211,7,0))</f>
        <v>0</v>
      </c>
      <c r="EV74" s="162" t="str">
        <f>EXP(-LN(2)/35)*EV73+(1-EXP(-LN(2)/35))/(LN(2)/35)*ER74*ES74*VLOOKUP('Données projet'!$B$15,'Paramètres'!$A$1:$I$88,3,0)*0.475*44/12</f>
        <v>#N/A</v>
      </c>
      <c r="EW74" s="162" t="str">
        <f>EXP(-LN(2)/25)*EW73+(1-EXP(-LN(2)/25))/(LN(2)/25)*Calculateur!ER74*Calculateur!ET74*VLOOKUP('Données projet'!$B$15,'Paramètres'!$A$1:$I$88,3,0)*0.475*44/12</f>
        <v>#N/A</v>
      </c>
      <c r="EX74" s="162" t="str">
        <f>EXP(-LN(2)/2)*EX73+(1-EXP(-LN(2)/2))/(LN(2)/2)*ER74*EU74*VLOOKUP('Données projet'!$B$15,'Paramètres'!$A$1:$I$88,3,0)*0.475*44/12</f>
        <v>#N/A</v>
      </c>
      <c r="EY74" s="163" t="str">
        <f t="shared" si="22"/>
        <v>#N/A</v>
      </c>
      <c r="EZ74" s="159">
        <f>('Scénario référence'!$F$8+'Scénario référence'!$F$9+'Scénario référence'!$B$17+'Scénario référence'!$B$9+'Scénario référence'!$B$10)*70+IF((45+25*(1-EXP(-0.0175*A74)))&lt;70,'Scénario référence'!$B$16*(45+25*(1-EXP(-0.0175*A74))),70*'Scénario référence'!$B$16)+IF((32+38*(1-EXP(-0.0175*A74)))&lt;70,'Scénario référence'!$B$18*(32+38*(1-EXP(-0.0175*A74))),70*'Scénario référence'!$B$18)</f>
        <v>70</v>
      </c>
      <c r="FA74" s="151">
        <f>IF(A74&gt;30,10,('Scénario référence'!$B$16+'Scénario référence'!$B$17+'Scénario référence'!$B$18+'Scénario référence'!$B$9+'Scénario référence'!$B$10)*A74*10/30+('Scénario référence'!$F$8+'Scénario référence'!$F$9)*10)</f>
        <v>10</v>
      </c>
      <c r="FB74" s="151" t="str">
        <f>VLOOKUP(A74,'Données projet'!$A$217:$I$237,2,0)</f>
        <v>#N/A</v>
      </c>
      <c r="FC74" s="151" t="str">
        <f>VLOOKUP(A74,'Données projet'!$A$217:$I$237,9,0)</f>
        <v>#N/A</v>
      </c>
      <c r="FD74" s="151" t="str">
        <f t="array" ref="FD74">INDEX(FC:FC,MIN(IF(ISNUMBER(FC74:FC270),ROW(FC74:FC270),"")))</f>
        <v/>
      </c>
      <c r="FE74" s="151">
        <f>IF('Données projet'!$A$218&gt;35,FE73+FD74-FM73,IF(A74&lt;'Données projet'!$A$218,$FB$205^A74,IF(A74='Données projet'!$A$218,'Données projet'!$B$218,FE73+FD74-FM73)))</f>
        <v>0</v>
      </c>
      <c r="FF74" s="158" t="str">
        <f>FE74*VLOOKUP('Données projet'!$B$16,'Paramètres'!$A$1:$I$88,3,0)*VLOOKUP('Données projet'!$B$16,'Paramètres'!$A$1:$I$88,5,0)</f>
        <v>#N/A</v>
      </c>
      <c r="FG74" s="150" t="str">
        <f t="shared" si="48"/>
        <v>#N/A</v>
      </c>
      <c r="FH74" s="161" t="str">
        <f t="shared" si="23"/>
        <v>#N/A</v>
      </c>
      <c r="FI74" s="153" t="str">
        <f t="shared" si="24"/>
        <v>#N/A</v>
      </c>
      <c r="FJ74" s="153" t="str">
        <f>AVERAGE(OFFSET($FI$3,0,0,'Données projet'!$E$16+1,1))-AVERAGE(OFFSET($H$3,0,0,'Données projet'!$E$16+1,1))</f>
        <v>#N/A</v>
      </c>
      <c r="FK74" s="153" t="str">
        <f t="shared" si="49"/>
        <v>#N/A</v>
      </c>
      <c r="FL74" s="154">
        <f>IF(ISNA(VLOOKUP(A74,'Données projet'!$A$217:$I$237,3,0)),0,VLOOKUP(A74,'Données projet'!$A$217:$I$237,3,0))</f>
        <v>0</v>
      </c>
      <c r="FM74" s="154">
        <f>IF(ISNA(VLOOKUP(A74,'Données projet'!$A$217:$I$237,4,0)),0,VLOOKUP(A74,'Données projet'!$A$217:$I$237,4,0))</f>
        <v>0</v>
      </c>
      <c r="FN74" s="155">
        <f>IF(ISNA(VLOOKUP(A74,'Données projet'!$A$217:$I$237,5,0)),0%,VLOOKUP(A74,'Données projet'!$A$217:$I$237,5,0)*VLOOKUP('Données projet'!$B$16,'Paramètres'!$A$1:$I$88,7,0))</f>
        <v>0</v>
      </c>
      <c r="FO74" s="155">
        <f>IF(ISNA(VLOOKUP(A74,'Données projet'!$A$217:$I$237,6,0)),0%,VLOOKUP(A74,'Données projet'!$A$217:$I$237,6,0)*VLOOKUP('Données projet'!$B$16,'Paramètres'!$A$1:$I$88,7,0))</f>
        <v>0</v>
      </c>
      <c r="FP74" s="155">
        <f>IF(ISNA(VLOOKUP(A74,'Données projet'!$A$217:$I$237,7,0)),0%,VLOOKUP(A74,'Données projet'!$A$217:$I$237,7,0))</f>
        <v>0</v>
      </c>
      <c r="FQ74" s="162" t="str">
        <f>EXP(-LN(2)/35)*FQ73+(1-EXP(-LN(2)/35))/(LN(2)/35)*FM74*FN74*VLOOKUP('Données projet'!$B$16,'Paramètres'!$A$1:$I$88,3,0)*0.475*44/12</f>
        <v>#N/A</v>
      </c>
      <c r="FR74" s="162" t="str">
        <f>EXP(-LN(2)/25)*FR73+(1-EXP(-LN(2)/25))/(LN(2)/25)*Calculateur!FM74*Calculateur!FO74*VLOOKUP('Données projet'!$B$16,'Paramètres'!$A$1:$I$88,3,0)*0.475*44/12</f>
        <v>#N/A</v>
      </c>
      <c r="FS74" s="162" t="str">
        <f>EXP(-LN(2)/2)*FS73+(1-EXP(-LN(2)/2))/(LN(2)/2)*FM74*FP74*VLOOKUP('Données projet'!$B$16,'Paramètres'!$A$1:$I$88,3,0)*0.475*44/12</f>
        <v>#N/A</v>
      </c>
      <c r="FT74" s="163" t="str">
        <f t="shared" si="25"/>
        <v>#N/A</v>
      </c>
      <c r="FU74" s="159">
        <f>('Scénario référence'!$F$8+'Scénario référence'!$F$9+'Scénario référence'!$B$17+'Scénario référence'!$B$9+'Scénario référence'!$B$10)*70+IF((45+25*(1-EXP(-0.0175*A74)))&lt;70,'Scénario référence'!$B$16*(45+25*(1-EXP(-0.0175*A74))),70*'Scénario référence'!$B$16)+IF((32+38*(1-EXP(-0.0175*A74)))&lt;70,'Scénario référence'!$B$18*(32+38*(1-EXP(-0.0175*A74))),70*'Scénario référence'!$B$18)</f>
        <v>70</v>
      </c>
      <c r="FV74" s="151">
        <f>IF(A74&gt;30,10,('Scénario référence'!$B$16+'Scénario référence'!$B$17+'Scénario référence'!$B$18+'Scénario référence'!$B$9+'Scénario référence'!$B$10)*A74*10/30+('Scénario référence'!$F$8+'Scénario référence'!$F$9)*10)</f>
        <v>10</v>
      </c>
      <c r="FW74" s="151" t="str">
        <f>VLOOKUP(A74,'Données projet'!$A$243:$I$263,2,0)</f>
        <v>#N/A</v>
      </c>
      <c r="FX74" s="151" t="str">
        <f>VLOOKUP(A74,'Données projet'!$A$243:$I$263,9,0)</f>
        <v>#N/A</v>
      </c>
      <c r="FY74" s="151" t="str">
        <f t="array" ref="FY74">INDEX(FX:FX,MIN(IF(ISNUMBER(FX74:FX270),ROW(FX74:FX270),"")))</f>
        <v/>
      </c>
      <c r="FZ74" s="151">
        <f>IF('Données projet'!$A$244&gt;35,FZ73+FY74-GH73,IF(A74&lt;'Données projet'!$A$244,$FW$205^A74,IF(A74='Données projet'!$A$244,'Données projet'!$B$244,FZ73+FY74-GH73)))</f>
        <v>0</v>
      </c>
      <c r="GA74" s="158" t="str">
        <f>FZ74*VLOOKUP('Données projet'!$B$17,'Paramètres'!$A$1:$I$88,3,0)*VLOOKUP('Données projet'!$B$17,'Paramètres'!$A$1:$I$88,5,0)</f>
        <v>#N/A</v>
      </c>
      <c r="GB74" s="150" t="str">
        <f t="shared" si="50"/>
        <v>#N/A</v>
      </c>
      <c r="GC74" s="161" t="str">
        <f t="shared" si="26"/>
        <v>#N/A</v>
      </c>
      <c r="GD74" s="153" t="str">
        <f t="shared" si="27"/>
        <v>#N/A</v>
      </c>
      <c r="GE74" s="153" t="str">
        <f>AVERAGE(OFFSET($GD$3,0,0,'Données projet'!$E$17+1,1))-AVERAGE(OFFSET($H$3,0,0,'Données projet'!$E$17+1,1))</f>
        <v>#N/A</v>
      </c>
      <c r="GF74" s="153" t="str">
        <f t="shared" si="51"/>
        <v>#N/A</v>
      </c>
      <c r="GG74" s="154">
        <f>IF(ISNA(VLOOKUP(A74,'Données projet'!$A$243:$I$263,3,0)),0,VLOOKUP(A74,'Données projet'!$A$243:$I$263,3,0))</f>
        <v>0</v>
      </c>
      <c r="GH74" s="154">
        <f>IF(ISNA(VLOOKUP(A74,'Données projet'!$A$243:$I$263,4,0)),0,VLOOKUP(A74,'Données projet'!$A$243:$I$263,4,0))</f>
        <v>0</v>
      </c>
      <c r="GI74" s="155">
        <f>IF(ISNA(VLOOKUP(A74,'Données projet'!$A$243:$I$263,5,0)),0%,VLOOKUP(A74,'Données projet'!$A$243:$I$263,5,0)*VLOOKUP('Données projet'!$B$17,'Paramètres'!$A$1:$I$88,7,0))</f>
        <v>0</v>
      </c>
      <c r="GJ74" s="155">
        <f>IF(ISNA(VLOOKUP(A74,'Données projet'!$A$243:$I$263,6,0)),0%,VLOOKUP(A74,'Données projet'!$A$243:$I$263,6,0)*VLOOKUP('Données projet'!$B$17,'Paramètres'!$A$1:$I$88,7,0))</f>
        <v>0</v>
      </c>
      <c r="GK74" s="155">
        <f>IF(ISNA(VLOOKUP(A74,'Données projet'!$A$243:$I$263,7,0)),0%,VLOOKUP(A74,'Données projet'!$A$243:$I$263,7,0))</f>
        <v>0</v>
      </c>
      <c r="GL74" s="162" t="str">
        <f>EXP(-LN(2)/35)*GL73+(1-EXP(-LN(2)/35))/(LN(2)/35)*GH74*GI74*VLOOKUP('Données projet'!$B$17,'Paramètres'!$A$1:$I$88,3,0)*0.475*44/12</f>
        <v>#N/A</v>
      </c>
      <c r="GM74" s="162" t="str">
        <f>EXP(-LN(2)/25)*GM73+(1-EXP(-LN(2)/25))/(LN(2)/25)*Calculateur!GH74*Calculateur!GJ74*VLOOKUP('Données projet'!$B$17,'Paramètres'!$A$1:$I$88,3,0)*0.475*44/12</f>
        <v>#N/A</v>
      </c>
      <c r="GN74" s="162" t="str">
        <f>EXP(-LN(2)/2)*GN73+(1-EXP(-LN(2)/2))/(LN(2)/2)*GH74*GK74*VLOOKUP('Données projet'!$B$17,'Paramètres'!$A$1:$I$88,3,0)*0.475*44/12</f>
        <v>#N/A</v>
      </c>
      <c r="GO74" s="162" t="str">
        <f t="shared" si="28"/>
        <v>#N/A</v>
      </c>
      <c r="GP74" s="159">
        <f>('Scénario référence'!$F$8+'Scénario référence'!$F$9+'Scénario référence'!$B$17+'Scénario référence'!$B$9+'Scénario référence'!$B$10)*70+IF((45+25*(1-EXP(-0.0175*A74)))&lt;70,'Scénario référence'!$B$16*(45+25*(1-EXP(-0.0175*A74))),70*'Scénario référence'!$B$16)+IF((32+38*(1-EXP(-0.0175*A74)))&lt;70,'Scénario référence'!$B$18*(32+38*(1-EXP(-0.0175*A74))),70*'Scénario référence'!$B$18)</f>
        <v>70</v>
      </c>
      <c r="GQ74" s="151">
        <f>IF(A74&gt;30,10,('Scénario référence'!$B$16+'Scénario référence'!$B$17+'Scénario référence'!$B$18+'Scénario référence'!$B$9+'Scénario référence'!$B$10)*A74*10/30+('Scénario référence'!$F$8+'Scénario référence'!$F$9)*10)</f>
        <v>10</v>
      </c>
      <c r="GR74" s="151" t="str">
        <f>VLOOKUP(A74,'Données projet'!$A$269:$I$289,2,0)</f>
        <v>#N/A</v>
      </c>
      <c r="GS74" s="151" t="str">
        <f>VLOOKUP(A74,'Données projet'!$A$269:$I$289,9,0)</f>
        <v>#N/A</v>
      </c>
      <c r="GT74" s="151" t="str">
        <f t="array" ref="GT74">INDEX(GS:GS,MIN(IF(ISNUMBER(GS74:GS270),ROW(GS74:GS270),"")))</f>
        <v/>
      </c>
      <c r="GU74" s="151">
        <f>IF('Données projet'!$A$270&gt;35,GU73+GT74-HC73,IF(A74&lt;'Données projet'!$A$270,$GR$205^A74,IF(A74='Données projet'!$A$270,'Données projet'!$B$270,GU73+GT74-HC73)))</f>
        <v>0</v>
      </c>
      <c r="GV74" s="158" t="str">
        <f>GU74*VLOOKUP('Données projet'!$B$18,'Paramètres'!$A$1:$I$88,3,0)*VLOOKUP('Données projet'!$B$18,'Paramètres'!$A$1:$I$88,5,0)</f>
        <v>#N/A</v>
      </c>
      <c r="GW74" s="150" t="str">
        <f t="shared" si="52"/>
        <v>#N/A</v>
      </c>
      <c r="GX74" s="161" t="str">
        <f t="shared" si="29"/>
        <v>#N/A</v>
      </c>
      <c r="GY74" s="153" t="str">
        <f t="shared" si="30"/>
        <v>#N/A</v>
      </c>
      <c r="GZ74" s="153" t="str">
        <f>AVERAGE(OFFSET($GY$3,0,0,'Données projet'!$E$18+1,1))-AVERAGE(OFFSET($H$3,0,0,'Données projet'!$E$18+1,1))</f>
        <v>#N/A</v>
      </c>
      <c r="HA74" s="153" t="str">
        <f t="shared" si="53"/>
        <v>#N/A</v>
      </c>
      <c r="HB74" s="154">
        <f>IF(ISNA(VLOOKUP(A74,'Données projet'!$A$269:$I$289,3,0)),0,VLOOKUP(A74,'Données projet'!$A$269:$I$289,3,0))</f>
        <v>0</v>
      </c>
      <c r="HC74" s="154">
        <f>IF(ISNA(VLOOKUP(A74,'Données projet'!$A$269:$I$289,4,0)),0,VLOOKUP(A74,'Données projet'!$A$269:$I$289,4,0))</f>
        <v>0</v>
      </c>
      <c r="HD74" s="155">
        <f>IF(ISNA(VLOOKUP(A74,'Données projet'!$A$269:$I$289,5,0)),0%,VLOOKUP(A74,'Données projet'!$A$269:$I$289,5,0)*VLOOKUP('Données projet'!$B$18,'Paramètres'!$A$1:$I$88,7,0))</f>
        <v>0</v>
      </c>
      <c r="HE74" s="155">
        <f>IF(ISNA(VLOOKUP(A74,'Données projet'!$A$269:$I$289,6,0)),0%,VLOOKUP(A74,'Données projet'!$A$269:$I$289,6,0)*VLOOKUP('Données projet'!$B$18,'Paramètres'!$A$1:$I$88,7,0))</f>
        <v>0</v>
      </c>
      <c r="HF74" s="155">
        <f>IF(ISNA(VLOOKUP(A74,'Données projet'!$A$269:$I$289,7,0)),0%,VLOOKUP(A74,'Données projet'!$A$269:$I$289,7,0))</f>
        <v>0</v>
      </c>
      <c r="HG74" s="162" t="str">
        <f>EXP(-LN(2)/35)*HG73+(1-EXP(-LN(2)/35))/(LN(2)/35)*HC74*HD74*VLOOKUP('Données projet'!$B$18,'Paramètres'!$A$1:$I$88,3,0)*0.475*44/12</f>
        <v>#N/A</v>
      </c>
      <c r="HH74" s="162" t="str">
        <f>EXP(-LN(2)/25)*HH73+(1-EXP(-LN(2)/25))/(LN(2)/25)*Calculateur!HC74*Calculateur!HE74*VLOOKUP('Données projet'!$B$18,'Paramètres'!$A$1:$I$88,3,0)*0.475*44/12</f>
        <v>#N/A</v>
      </c>
      <c r="HI74" s="162" t="str">
        <f>EXP(-LN(2)/2)*HI73+(1-EXP(-LN(2)/2))/(LN(2)/2)*HC74*HF74*VLOOKUP('Données projet'!$B$18,'Paramètres'!$A$1:$I$88,3,0)*0.475*44/12</f>
        <v>#N/A</v>
      </c>
      <c r="HJ74" s="163" t="str">
        <f t="shared" si="31"/>
        <v>#N/A</v>
      </c>
    </row>
    <row r="75" ht="15.75" customHeight="1">
      <c r="A75" s="145">
        <f t="shared" si="32"/>
        <v>72</v>
      </c>
      <c r="B75" s="146">
        <f>'Scénario référence'!$B$16*5+'Scénario référence'!$B$17*0+'Scénario référence'!$B$18*5</f>
        <v>0</v>
      </c>
      <c r="C75" s="160">
        <f>Calculateur!C74+'Scénario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75" s="147">
        <f t="shared" si="33"/>
        <v>0</v>
      </c>
      <c r="E75" s="147">
        <f>'Scénario référence'!$B$16*45+('Scénario référence'!$B$17+'Scénario référence'!$F$8+'Scénario référence'!$F$9+'Scénario référence'!$B$10+'Scénario référence'!$B$9)*70+'Scénario référence'!$B$18*32</f>
        <v>70</v>
      </c>
      <c r="F75" s="147">
        <f>IF(OR('Scénario référence'!$F$8&gt;0,'Scénario référence'!$F$9&gt;0),('Scénario référence'!$F$8+'Scénario référence'!$F$9)*10,0)</f>
        <v>0</v>
      </c>
      <c r="G75" s="147">
        <f>'Scénario référence'!$B$8*B75*44/12+'Scénario référence'!$B$9*(C75+D75)/0.475*44/12+'Scénario référence'!$B$10*(C75+D75)/0.475*44/12+'Scénario référence'!$F$8*(C75+D75)/0.475*44/12+'Scénario référence'!$F$9*(C75+D75)/0.475*44/12</f>
        <v>0</v>
      </c>
      <c r="H75" s="148">
        <f t="shared" si="1"/>
        <v>256.6666667</v>
      </c>
      <c r="I75" s="149">
        <f>('Scénario référence'!$F$8+'Scénario référence'!$F$9+'Scénario référence'!$B$17+'Scénario référence'!$B$9+'Scénario référence'!$B$10)*70+IF((45+25*(1-EXP(-0.0175*A75)))&lt;70,'Scénario référence'!$B$16*(45+25*(1-EXP(-0.0175*A75))),70*'Scénario référence'!$B$16)+IF((32+38*(1-EXP(-0.0175*A75)))&lt;70,'Scénario référence'!$B$18*(32+38*(1-EXP(-0.0175*A75))),70*'Scénario référence'!$B$18)</f>
        <v>70</v>
      </c>
      <c r="J75" s="150">
        <f>IF(A75&gt;30,10,('Scénario référence'!$B$16+'Scénario référence'!$B$17+'Scénario référence'!$B$18+'Scénario référence'!$B$9+'Scénario référence'!$B$10)*A75*10/30+('Scénario référence'!$F$8+'Scénario référence'!$F$9)*10)</f>
        <v>10</v>
      </c>
      <c r="K75" s="151" t="str">
        <f>VLOOKUP(A75,'Données projet'!$A$35:$I$55,2,0)</f>
        <v>#N/A</v>
      </c>
      <c r="L75" s="151" t="str">
        <f>VLOOKUP(A75,'Données projet'!$A$35:$I$55,9,0)</f>
        <v>#N/A</v>
      </c>
      <c r="M75" s="150">
        <f t="array" ref="M75">INDEX(L:L,MIN(IF(ISNUMBER(L75:L271),ROW(L75:L271),"")))</f>
        <v>7.6</v>
      </c>
      <c r="N75" s="150">
        <f>IF('Données projet'!$A$36&gt;35,N74+M75-V74,IF(A75&lt;'Données projet'!$A$36,$K$205^A75,IF(A75='Données projet'!$A$36,'Données projet'!$B$36,N74+M75-V74)))</f>
        <v>289.2</v>
      </c>
      <c r="O75" s="150">
        <f>N75*VLOOKUP('Données projet'!$B$9,'Paramètres'!$A$1:$I$88,3,0)*VLOOKUP('Données projet'!$B$9,'Paramètres'!$A$1:$I$88,5,0)</f>
        <v>261.66816</v>
      </c>
      <c r="P75" s="150">
        <f t="shared" si="34"/>
        <v>63.07782979</v>
      </c>
      <c r="Q75" s="161">
        <f t="shared" si="2"/>
        <v>565.5992656</v>
      </c>
      <c r="R75" s="153">
        <f t="shared" si="3"/>
        <v>858.9325989</v>
      </c>
      <c r="S75" s="153">
        <f>AVERAGE(OFFSET($R$3,0,0,'Données projet'!$E$9+1,1))-AVERAGE(OFFSET($H$3,0,0,'Données projet'!$E$9+1,1))</f>
        <v>439.1985427</v>
      </c>
      <c r="T75" s="153">
        <f t="shared" si="35"/>
        <v>278.2174123</v>
      </c>
      <c r="U75" s="154">
        <f>IF(ISNA(VLOOKUP(A75,'Données projet'!$A$35:$I$55,3,0)),0,VLOOKUP(A75,'Données projet'!$A$35:$I$55,3,0))</f>
        <v>0</v>
      </c>
      <c r="V75" s="154">
        <f>IF(ISNA(VLOOKUP(A75,'Données projet'!$A$35:$I$55,4,0)),0,VLOOKUP(A75,'Données projet'!$A$35:$I$55,4,0))</f>
        <v>0</v>
      </c>
      <c r="W75" s="155">
        <f>IF(ISNA(VLOOKUP(A75,'Données projet'!$A$35:$I$55,5,0)),0%,VLOOKUP(A75,'Données projet'!$A$35:$I$55,5,0)*VLOOKUP('Données projet'!$B$9,'Paramètres'!$A$1:$I$88,7,0))</f>
        <v>0</v>
      </c>
      <c r="X75" s="155">
        <f>IF(ISNA(VLOOKUP(A75,'Données projet'!$A$35:$I$55,6,0)),0%,VLOOKUP(A75,'Données projet'!$A$35:$I$55,6,0)*VLOOKUP('Données projet'!$B$9,'Paramètres'!$A$1:$I$88,7,0))</f>
        <v>0</v>
      </c>
      <c r="Y75" s="155">
        <f>IF(ISNA(VLOOKUP(A75,'Données projet'!$A$35:$I$55,7,0)),0%,VLOOKUP(A75,'Données projet'!$A$35:$I$55,7,0))</f>
        <v>0</v>
      </c>
      <c r="Z75" s="162">
        <f>EXP(-LN(2)/35)*Z74+(1-EXP(-LN(2)/35))/(LN(2)/35)*V75*W75*VLOOKUP('Données projet'!$B$9,'Paramètres'!$A$1:$I$88,3,0)*0.475*44/12</f>
        <v>0</v>
      </c>
      <c r="AA75" s="162">
        <f>EXP(-LN(2)/25)*AA74+(1-EXP(-LN(2)/25))/(LN(2)/25)*Calculateur!V75*Calculateur!X75*VLOOKUP('Données projet'!$B$9,'Paramètres'!$A$1:$I$88,3,0)*0.475*44/12</f>
        <v>1.400496043</v>
      </c>
      <c r="AB75" s="162">
        <f>EXP(-LN(2)/2)*AB74+(1-EXP(-LN(2)/2))/(LN(2)/2)*V75*Y75*VLOOKUP('Données projet'!$B$9,'Paramètres'!$A$1:$I$88,3,0)*0.475*44/12</f>
        <v>0</v>
      </c>
      <c r="AC75" s="163">
        <f t="shared" si="4"/>
        <v>1.400496043</v>
      </c>
      <c r="AD75" s="150">
        <f>('Scénario référence'!$F$8+'Scénario référence'!$F$9+'Scénario référence'!$B$17+'Scénario référence'!$B$9+'Scénario référence'!$B$10)*70+IF((45+25*(1-EXP(-0.0175*A75)))&lt;70,'Scénario référence'!$B$16*(45+25*(1-EXP(-0.0175*A75))),70*'Scénario référence'!$B$16)+IF((32+38*(1-EXP(-0.0175*A75)))&lt;70,'Scénario référence'!$B$18*(32+38*(1-EXP(-0.0175*A75))),70*'Scénario référence'!$B$18)</f>
        <v>70</v>
      </c>
      <c r="AE75" s="150">
        <f>IF(A75&gt;30,10,('Scénario référence'!$B$16+'Scénario référence'!$B$17+'Scénario référence'!$B$18+'Scénario référence'!$B$9+'Scénario référence'!$B$10)*A75*10/30+('Scénario référence'!$F$8+'Scénario référence'!$F$9)*10)</f>
        <v>10</v>
      </c>
      <c r="AF75" s="151" t="str">
        <f>VLOOKUP(A75,'Données projet'!$A$61:$I$81,2,0)</f>
        <v>#N/A</v>
      </c>
      <c r="AG75" s="151" t="str">
        <f>VLOOKUP(A75,'Données projet'!$A$61:$I$81,9,0)</f>
        <v>#N/A</v>
      </c>
      <c r="AH75" s="151">
        <f t="array" ref="AH75">INDEX(AG:AG,MIN(IF(ISNUMBER(AG75:AG271),ROW(AG75:AG271),"")))</f>
        <v>4.8</v>
      </c>
      <c r="AI75" s="150">
        <f>IF('Données projet'!$A$62&gt;35,AI74+AH75-AQ74,IF(A75&lt;'Données projet'!$A$62,$AF$205^A75,IF(A75='Données projet'!$A$62,'Données projet'!$B$62,AI74+AH75-AQ74)))</f>
        <v>360.6</v>
      </c>
      <c r="AJ75" s="150">
        <f>AI75*VLOOKUP('Données projet'!$B$10,'Paramètres'!$A$1:$I$88,3,0)*VLOOKUP('Données projet'!$B$10,'Paramètres'!$A$1:$I$88,5,0)</f>
        <v>286.89336</v>
      </c>
      <c r="AK75" s="150">
        <f t="shared" si="36"/>
        <v>68.42170558</v>
      </c>
      <c r="AL75" s="161">
        <f t="shared" si="5"/>
        <v>618.8404059</v>
      </c>
      <c r="AM75" s="153">
        <f t="shared" si="6"/>
        <v>912.1737392</v>
      </c>
      <c r="AN75" s="153">
        <f>AVERAGE(OFFSET($AM$3,0,0,'Données projet'!$E$10+1,1))-AVERAGE(OFFSET($H$3,0,0,'Données projet'!$E$10+1,1))</f>
        <v>405.6113614</v>
      </c>
      <c r="AO75" s="153">
        <f t="shared" si="37"/>
        <v>393.0787141</v>
      </c>
      <c r="AP75" s="154">
        <f>IF(ISNA(VLOOKUP(A75,'Données projet'!$A$61:$I$81,3,0)),0,VLOOKUP(A75,'Données projet'!$A$61:$I$81,3,0))</f>
        <v>0</v>
      </c>
      <c r="AQ75" s="154">
        <f>IF(ISNA(VLOOKUP(A75,'Données projet'!$A$61:$I$81,4,0)),0,VLOOKUP(A75,'Données projet'!$A$61:$I$81,4,0))</f>
        <v>0</v>
      </c>
      <c r="AR75" s="155">
        <f>IF(ISNA(VLOOKUP(A75,'Données projet'!$A$61:$I$81,5,0)),0%,VLOOKUP(A75,'Données projet'!$A$61:$I$81,5,0)*VLOOKUP('Données projet'!$B$10,'Paramètres'!$A$1:$I$88,7,0))</f>
        <v>0</v>
      </c>
      <c r="AS75" s="155">
        <f>IF(ISNA(VLOOKUP(A75,'Données projet'!$A$61:$I$81,6,0)),0%,VLOOKUP(A75,'Données projet'!$A$61:$I$81,6,0)*VLOOKUP('Données projet'!$B$10,'Paramètres'!$A$1:$I$88,7,0))</f>
        <v>0</v>
      </c>
      <c r="AT75" s="155">
        <f>IF(ISNA(VLOOKUP(A75,'Données projet'!$A$61:$I$81,7,0)),0%,VLOOKUP(A75,'Données projet'!$A$61:$I$81,7,0))</f>
        <v>0</v>
      </c>
      <c r="AU75" s="162">
        <f>EXP(-LN(2)/35)*AU74+(1-EXP(-LN(2)/35))/(LN(2)/35)*AQ75*AR75*VLOOKUP('Données projet'!$B$10,'Paramètres'!$A$1:$I$88,3,0)*0.475*44/12</f>
        <v>0</v>
      </c>
      <c r="AV75" s="162">
        <f>EXP(-LN(2)/25)*AV74+(1-EXP(-LN(2)/25))/(LN(2)/25)*Calculateur!AQ75*Calculateur!AS75*VLOOKUP('Données projet'!$B$10,'Paramètres'!$A$1:$I$88,3,0)*0.475*44/12</f>
        <v>5.691971941</v>
      </c>
      <c r="AW75" s="162">
        <f>EXP(-LN(2)/2)*AW74+(1-EXP(-LN(2)/2))/(LN(2)/2)*AQ75*AT75*VLOOKUP('Données projet'!$B$10,'Paramètres'!$A$1:$I$88,3,0)*0.475*44/12</f>
        <v>0.0000002764283199</v>
      </c>
      <c r="AX75" s="162">
        <f t="shared" si="7"/>
        <v>5.691972217</v>
      </c>
      <c r="AY75" s="157">
        <f>('Scénario référence'!$F$8+'Scénario référence'!$F$9+'Scénario référence'!$B$17+'Scénario référence'!$B$9+'Scénario référence'!$B$10)*70+IF((45+25*(1-EXP(-0.0175*A75)))&lt;70,'Scénario référence'!$B$16*(45+25*(1-EXP(-0.0175*A75))),70*'Scénario référence'!$B$16)+IF((32+38*(1-EXP(-0.0175*A75)))&lt;70,'Scénario référence'!$B$18*(32+38*(1-EXP(-0.0175*A75))),70*'Scénario référence'!$B$18)</f>
        <v>70</v>
      </c>
      <c r="AZ75" s="151">
        <f>IF(A75&gt;30,10,('Scénario référence'!$B$16+'Scénario référence'!$B$17+'Scénario référence'!$B$18+'Scénario référence'!$B$9+'Scénario référence'!$B$10)*A75*10/30+('Scénario référence'!$F$8+'Scénario référence'!$F$9)*10)</f>
        <v>10</v>
      </c>
      <c r="BA75" s="151" t="str">
        <f>VLOOKUP(A75,'Données projet'!$A$87:$I$107,2,0)</f>
        <v>#N/A</v>
      </c>
      <c r="BB75" s="151" t="str">
        <f>VLOOKUP(A75,'Données projet'!$A$87:$I$107,9,0)</f>
        <v>#N/A</v>
      </c>
      <c r="BC75" s="150" t="str">
        <f t="array" ref="BC75">INDEX(BB:BB,MIN(IF(ISNUMBER(BB75:BB271),ROW(BB75:BB271),"")))</f>
        <v/>
      </c>
      <c r="BD75" s="150">
        <f>IF('Données projet'!$A$88&gt;35,BD74+BC75-BL74,IF(A75&lt;'Données projet'!$A$88,$BA$205^A75,IF(A75='Données projet'!$A$88,'Données projet'!$B$88,BD74+BC75-BL74)))</f>
        <v>0</v>
      </c>
      <c r="BE75" s="150">
        <f>BD75*VLOOKUP('Données projet'!$B$11,'Paramètres'!$A$1:$I$88,3,0)*VLOOKUP('Données projet'!$B$11,'Paramètres'!$A$1:$I$88,5,0)</f>
        <v>0</v>
      </c>
      <c r="BF75" s="150" t="str">
        <f t="shared" si="38"/>
        <v>#NUM!</v>
      </c>
      <c r="BG75" s="161" t="str">
        <f t="shared" si="8"/>
        <v>#NUM!</v>
      </c>
      <c r="BH75" s="153" t="str">
        <f t="shared" si="9"/>
        <v>#NUM!</v>
      </c>
      <c r="BI75" s="153">
        <f>AVERAGE(OFFSET($BH$3,0,0,'Données projet'!$E$11+1,1))-AVERAGE(OFFSET($H$3,0,0,'Données projet'!$E$11+1,1))</f>
        <v>0</v>
      </c>
      <c r="BJ75" s="153">
        <f t="shared" si="39"/>
        <v>0</v>
      </c>
      <c r="BK75" s="154">
        <f>IF(ISNA(VLOOKUP(A75,'Données projet'!$A$87:$I$107,3,0)),0,VLOOKUP(A75,'Données projet'!$A$87:$I$107,3,0))</f>
        <v>0</v>
      </c>
      <c r="BL75" s="154">
        <f>IF(ISNA(VLOOKUP(A75,'Données projet'!$A$87:$I$107,4,0)),0,VLOOKUP(A75,'Données projet'!$A$87:$I$107,4,0))</f>
        <v>0</v>
      </c>
      <c r="BM75" s="155">
        <f>IF(ISNA(VLOOKUP(A75,'Données projet'!$A$87:$I$107,5,0)),0%,VLOOKUP(A75,'Données projet'!$A$87:$I$107,5,0)*VLOOKUP('Données projet'!$B$11,'Paramètres'!$A$1:$I$88,7,0))</f>
        <v>0</v>
      </c>
      <c r="BN75" s="155">
        <f>IF(ISNA(VLOOKUP(A75,'Données projet'!$A$87:$I$107,6,0)),0%,VLOOKUP(A75,'Données projet'!$A$87:$I$107,6,0)*VLOOKUP('Données projet'!$B$11,'Paramètres'!$A$1:$I$88,7,0))</f>
        <v>0</v>
      </c>
      <c r="BO75" s="155">
        <f>IF(ISNA(VLOOKUP(A75,'Données projet'!$A$87:$I$107,7,0)),0%,VLOOKUP(A75,'Données projet'!$A$87:$I$107,7,0))</f>
        <v>0</v>
      </c>
      <c r="BP75" s="162">
        <f>EXP(-LN(2)/35)*BP74+(1-EXP(-LN(2)/35))/(LN(2)/35)*BL75*BM75*VLOOKUP('Données projet'!$B$11,'Paramètres'!$A$1:$I$88,3,0)*0.475*44/12</f>
        <v>0</v>
      </c>
      <c r="BQ75" s="162">
        <f>EXP(-LN(2)/25)*BQ74+(1-EXP(-LN(2)/25))/(LN(2)/25)*Calculateur!BL75*Calculateur!BN75*VLOOKUP('Données projet'!$B$11,'Paramètres'!$A$1:$I$88,3,0)*0.475*44/12</f>
        <v>0</v>
      </c>
      <c r="BR75" s="162">
        <f>EXP(-LN(2)/2)*BR74+(1-EXP(-LN(2)/2))/(LN(2)/2)*BL75*BO75*VLOOKUP('Données projet'!$B$11,'Paramètres'!$A$1:$I$88,3,0)*0.475*44/12</f>
        <v>0</v>
      </c>
      <c r="BS75" s="163">
        <f t="shared" si="10"/>
        <v>0</v>
      </c>
      <c r="BT75" s="159">
        <f>('Scénario référence'!$F$8+'Scénario référence'!$F$9+'Scénario référence'!$B$17+'Scénario référence'!$B$9+'Scénario référence'!$B$10)*70+IF((45+25*(1-EXP(-0.0175*A75)))&lt;70,'Scénario référence'!$B$16*(45+25*(1-EXP(-0.0175*A75))),70*'Scénario référence'!$B$16)+IF((32+38*(1-EXP(-0.0175*A75)))&lt;70,'Scénario référence'!$B$18*(32+38*(1-EXP(-0.0175*A75))),70*'Scénario référence'!$B$18)</f>
        <v>70</v>
      </c>
      <c r="BU75" s="151">
        <f>IF(A75&gt;30,10,('Scénario référence'!$B$16+'Scénario référence'!$B$17+'Scénario référence'!$B$18+'Scénario référence'!$B$9+'Scénario référence'!$B$10)*A75*10/30+('Scénario référence'!$F$8+'Scénario référence'!$F$9)*10)</f>
        <v>10</v>
      </c>
      <c r="BV75" s="151" t="str">
        <f>VLOOKUP(A75,'Données projet'!$A$113:$I$133,2,0)</f>
        <v>#N/A</v>
      </c>
      <c r="BW75" s="151" t="str">
        <f>VLOOKUP(A75,'Données projet'!$A$113:$I$133,9,0)</f>
        <v>#N/A</v>
      </c>
      <c r="BX75" s="150" t="str">
        <f t="array" ref="BX75">INDEX(BW:BW,MIN(IF(ISNUMBER(BW75:BW271),ROW(BW75:BW271),"")))</f>
        <v/>
      </c>
      <c r="BY75" s="150">
        <f>IF('Données projet'!$A$114&gt;35,BY74+BX75-CG74,IF(A75&lt;'Données projet'!$A$114,$BV$205^A75,IF(A75='Données projet'!$A$114,'Données projet'!$B$114,BY74+BX75-CG74)))</f>
        <v>0</v>
      </c>
      <c r="BZ75" s="150" t="str">
        <f>BY75*VLOOKUP('Données projet'!$B$12,'Paramètres'!$A$1:$I$88,3,0)*VLOOKUP('Données projet'!$B$12,'Paramètres'!$A$1:$I$88,5,0)</f>
        <v>#N/A</v>
      </c>
      <c r="CA75" s="150" t="str">
        <f t="shared" si="40"/>
        <v>#N/A</v>
      </c>
      <c r="CB75" s="161" t="str">
        <f t="shared" si="11"/>
        <v>#N/A</v>
      </c>
      <c r="CC75" s="153" t="str">
        <f t="shared" si="12"/>
        <v>#N/A</v>
      </c>
      <c r="CD75" s="153" t="str">
        <f>AVERAGE(OFFSET($CC$3,0,0,'Données projet'!$E$12+1,1))-AVERAGE(OFFSET($H$3,0,0,'Données projet'!$E$12+1,1))</f>
        <v>#N/A</v>
      </c>
      <c r="CE75" s="153" t="str">
        <f t="shared" si="41"/>
        <v>#N/A</v>
      </c>
      <c r="CF75" s="154">
        <f>IF(ISNA(VLOOKUP(A75,'Données projet'!$A$113:$I$133,3,0)),0,VLOOKUP(A75,'Données projet'!$A$113:$I$133,3,0))</f>
        <v>0</v>
      </c>
      <c r="CG75" s="154">
        <f>IF(ISNA(VLOOKUP(A75,'Données projet'!$A$113:$I$133,4,0)),0,VLOOKUP(A75,'Données projet'!$A$113:$I$133,4,0))</f>
        <v>0</v>
      </c>
      <c r="CH75" s="155">
        <f>IF(ISNA(VLOOKUP(A75,'Données projet'!$A$113:$I$133,5,0)),0%,VLOOKUP(A75,'Données projet'!$A$113:$I$133,5,0)*VLOOKUP('Données projet'!$B$12,'Paramètres'!$A$1:$I$88,7,0))</f>
        <v>0</v>
      </c>
      <c r="CI75" s="155">
        <f>IF(ISNA(VLOOKUP(A75,'Données projet'!$A$113:$I$133,6,0)),0%,VLOOKUP(A75,'Données projet'!$A$113:$I$133,6,0)*VLOOKUP('Données projet'!$B$12,'Paramètres'!$A$1:$I$88,7,0))</f>
        <v>0</v>
      </c>
      <c r="CJ75" s="155">
        <f>IF(ISNA(VLOOKUP(A75,'Données projet'!$A$113:$I$133,7,0)),0%,VLOOKUP(A75,'Données projet'!$A$113:$I$133,7,0))</f>
        <v>0</v>
      </c>
      <c r="CK75" s="162" t="str">
        <f>EXP(-LN(2)/35)*CK74+(1-EXP(-LN(2)/35))/(LN(2)/35)*CG75*CH75*VLOOKUP('Données projet'!$B$12,'Paramètres'!$A$1:$I$88,3,0)*0.475*44/12</f>
        <v>#N/A</v>
      </c>
      <c r="CL75" s="162" t="str">
        <f>EXP(-LN(2)/25)*CL74+(1-EXP(-LN(2)/25))/(LN(2)/25)*Calculateur!CG75*Calculateur!CI75*VLOOKUP('Données projet'!$B$12,'Paramètres'!$A$1:$I$88,3,0)*0.475*44/12</f>
        <v>#N/A</v>
      </c>
      <c r="CM75" s="162" t="str">
        <f>EXP(-LN(2)/2)*CM74+(1-EXP(-LN(2)/2))/(LN(2)/2)*CG75*CJ75*VLOOKUP('Données projet'!$B$12,'Paramètres'!$A$1:$I$88,3,0)*0.475*44/12</f>
        <v>#N/A</v>
      </c>
      <c r="CN75" s="163" t="str">
        <f t="shared" si="13"/>
        <v>#N/A</v>
      </c>
      <c r="CO75" s="159">
        <f>('Scénario référence'!$F$8+'Scénario référence'!$F$9+'Scénario référence'!$B$17+'Scénario référence'!$B$9+'Scénario référence'!$B$10)*70+IF((45+25*(1-EXP(-0.0175*A75)))&lt;70,'Scénario référence'!$B$16*(45+25*(1-EXP(-0.0175*A75))),70*'Scénario référence'!$B$16)+IF((32+38*(1-EXP(-0.0175*A75)))&lt;70,'Scénario référence'!$B$18*(32+38*(1-EXP(-0.0175*A75))),70*'Scénario référence'!$B$18)</f>
        <v>70</v>
      </c>
      <c r="CP75" s="151">
        <f>IF(A75&gt;30,10,('Scénario référence'!$B$16+'Scénario référence'!$B$17+'Scénario référence'!$B$18+'Scénario référence'!$B$9+'Scénario référence'!$B$10)*A75*10/30+('Scénario référence'!$F$8+'Scénario référence'!$F$9)*10)</f>
        <v>10</v>
      </c>
      <c r="CQ75" s="151" t="str">
        <f>VLOOKUP(A75,'Données projet'!$A$139:$I$159,2,0)</f>
        <v>#N/A</v>
      </c>
      <c r="CR75" s="151" t="str">
        <f>VLOOKUP(A75,'Données projet'!$A$139:$I$159,9,0)</f>
        <v>#N/A</v>
      </c>
      <c r="CS75" s="151" t="str">
        <f t="array" ref="CS75">INDEX(CR:CR,MIN(IF(ISNUMBER(CR75:CR271),ROW(CR75:CR271),"")))</f>
        <v/>
      </c>
      <c r="CT75" s="151">
        <f>IF('Données projet'!$A$140&gt;35,CT74+CS75-DB74,IF(A75&lt;'Données projet'!$A$140,$CQ$205^A75,IF(A75='Données projet'!$A$140,'Données projet'!$B$140,CT74+CS75-DB74)))</f>
        <v>0</v>
      </c>
      <c r="CU75" s="158" t="str">
        <f>CT75*VLOOKUP('Données projet'!$B$13,'Paramètres'!$A$1:$I$88,3,0)*VLOOKUP('Données projet'!$B$13,'Paramètres'!$A$1:$I$88,5,0)</f>
        <v>#N/A</v>
      </c>
      <c r="CV75" s="150" t="str">
        <f t="shared" si="42"/>
        <v>#N/A</v>
      </c>
      <c r="CW75" s="161" t="str">
        <f t="shared" si="14"/>
        <v>#N/A</v>
      </c>
      <c r="CX75" s="153" t="str">
        <f t="shared" si="15"/>
        <v>#N/A</v>
      </c>
      <c r="CY75" s="153" t="str">
        <f>AVERAGE(OFFSET($CX$3,0,0,'Données projet'!$E$13+1,1))-AVERAGE(OFFSET($H$3,0,0,'Données projet'!$E$13+1,1))</f>
        <v>#N/A</v>
      </c>
      <c r="CZ75" s="153" t="str">
        <f t="shared" si="43"/>
        <v>#N/A</v>
      </c>
      <c r="DA75" s="154">
        <f>IF(ISNA(VLOOKUP(A75,'Données projet'!$A$139:$I$159,3,0)),0,VLOOKUP(A75,'Données projet'!$A$139:$I$159,3,0))</f>
        <v>0</v>
      </c>
      <c r="DB75" s="154">
        <f>IF(ISNA(VLOOKUP(A75,'Données projet'!$A$139:$I$159,4,0)),0,VLOOKUP(A75,'Données projet'!$A$139:$I$159,4,0))</f>
        <v>0</v>
      </c>
      <c r="DC75" s="155">
        <f>IF(ISNA(VLOOKUP(A75,'Données projet'!$A$139:$I$159,5,0)),0%,VLOOKUP(A75,'Données projet'!$A$139:$I$159,5,0)*VLOOKUP('Données projet'!$B$13,'Paramètres'!$A$1:$I$88,7,0))</f>
        <v>0</v>
      </c>
      <c r="DD75" s="155">
        <f>IF(ISNA(VLOOKUP(A75,'Données projet'!$A$139:$I$159,6,0)),0%,VLOOKUP(A75,'Données projet'!$A$139:$I$159,6,0)*VLOOKUP('Données projet'!$B$13,'Paramètres'!$A$1:$I$88,7,0))</f>
        <v>0</v>
      </c>
      <c r="DE75" s="155">
        <f>IF(ISNA(VLOOKUP(A75,'Données projet'!$A$139:$I$159,7,0)),0%,VLOOKUP(A75,'Données projet'!$A$139:$I$159,7,0))</f>
        <v>0</v>
      </c>
      <c r="DF75" s="162" t="str">
        <f>EXP(-LN(2)/35)*DF74+(1-EXP(-LN(2)/35))/(LN(2)/35)*DB75*DC75*VLOOKUP('Données projet'!$B$13,'Paramètres'!$A$1:$I$88,3,0)*0.475*44/12</f>
        <v>#N/A</v>
      </c>
      <c r="DG75" s="162" t="str">
        <f>EXP(-LN(2)/25)*DG74+(1-EXP(-LN(2)/25))/(LN(2)/25)*Calculateur!DB75*Calculateur!DD75*VLOOKUP('Données projet'!$B$13,'Paramètres'!$A$1:$I$88,3,0)*0.475*44/12</f>
        <v>#N/A</v>
      </c>
      <c r="DH75" s="162" t="str">
        <f>EXP(-LN(2)/2)*DH74+(1-EXP(-LN(2)/2))/(LN(2)/2)*DB75*DE75*VLOOKUP('Données projet'!$B$13,'Paramètres'!$A$1:$I$88,3,0)*0.475*44/12</f>
        <v>#N/A</v>
      </c>
      <c r="DI75" s="163" t="str">
        <f t="shared" si="16"/>
        <v>#N/A</v>
      </c>
      <c r="DJ75" s="159">
        <f>('Scénario référence'!$F$8+'Scénario référence'!$F$9+'Scénario référence'!$B$17+'Scénario référence'!$B$9+'Scénario référence'!$B$10)*70+IF((45+25*(1-EXP(-0.0175*A75)))&lt;70,'Scénario référence'!$B$16*(45+25*(1-EXP(-0.0175*A75))),70*'Scénario référence'!$B$16)+IF((32+38*(1-EXP(-0.0175*A75)))&lt;70,'Scénario référence'!$B$18*(32+38*(1-EXP(-0.0175*A75))),70*'Scénario référence'!$B$18)</f>
        <v>70</v>
      </c>
      <c r="DK75" s="151">
        <f>IF(A75&gt;30,10,('Scénario référence'!$B$16+'Scénario référence'!$B$17+'Scénario référence'!$B$18+'Scénario référence'!$B$9+'Scénario référence'!$B$10)*A75*10/30+('Scénario référence'!$F$8+'Scénario référence'!$F$9)*10)</f>
        <v>10</v>
      </c>
      <c r="DL75" s="151" t="str">
        <f>VLOOKUP(A75,'Données projet'!$A$165:$I$185,2,0)</f>
        <v>#N/A</v>
      </c>
      <c r="DM75" s="151" t="str">
        <f>VLOOKUP(A75,'Données projet'!$A$165:$I$185,9,0)</f>
        <v>#N/A</v>
      </c>
      <c r="DN75" s="151" t="str">
        <f t="array" ref="DN75">INDEX(DM:DM,MIN(IF(ISNUMBER(DM75:DM271),ROW(DM75:DM271),"")))</f>
        <v/>
      </c>
      <c r="DO75" s="151">
        <f>IF('Données projet'!$A$166&gt;35,DO74+DN75-DW74,IF(A75&lt;'Données projet'!$A$166,$DL$205^A75,IF(A75='Données projet'!$A$166,'Données projet'!$B$166,DO74+DN75-DW74)))</f>
        <v>0</v>
      </c>
      <c r="DP75" s="158" t="str">
        <f>DO75*VLOOKUP('Données projet'!$B$14,'Paramètres'!$A$1:$I$88,3,0)*VLOOKUP('Données projet'!$B$14,'Paramètres'!$A$1:$I$88,5,0)</f>
        <v>#N/A</v>
      </c>
      <c r="DQ75" s="150" t="str">
        <f t="shared" si="44"/>
        <v>#N/A</v>
      </c>
      <c r="DR75" s="161" t="str">
        <f t="shared" si="17"/>
        <v>#N/A</v>
      </c>
      <c r="DS75" s="153" t="str">
        <f t="shared" si="18"/>
        <v>#N/A</v>
      </c>
      <c r="DT75" s="153" t="str">
        <f>AVERAGE(OFFSET($DS$3,0,0,'Données projet'!$E$14+1,1))-AVERAGE(OFFSET($H$3,0,0,'Données projet'!$E$14+1,1))</f>
        <v>#N/A</v>
      </c>
      <c r="DU75" s="153" t="str">
        <f t="shared" si="45"/>
        <v>#N/A</v>
      </c>
      <c r="DV75" s="154">
        <f>IF(ISNA(VLOOKUP(A75,'Données projet'!$A$165:$I$185,3,0)),0,VLOOKUP(A75,'Données projet'!$A$165:$I$185,3,0))</f>
        <v>0</v>
      </c>
      <c r="DW75" s="154">
        <f>IF(ISNA(VLOOKUP(A75,'Données projet'!$A$165:$I$185,4,0)),0,VLOOKUP(A75,'Données projet'!$A$165:$I$185,4,0))</f>
        <v>0</v>
      </c>
      <c r="DX75" s="155">
        <f>IF(ISNA(VLOOKUP(A75,'Données projet'!$A$165:$I$185,5,0)),0%,VLOOKUP(A75,'Données projet'!$A$165:$I$185,5,0)*VLOOKUP('Données projet'!$B$14,'Paramètres'!$A$1:$I$88,7,0))</f>
        <v>0</v>
      </c>
      <c r="DY75" s="155">
        <f>IF(ISNA(VLOOKUP(A75,'Données projet'!$A$165:$I$185,6,0)),0%,VLOOKUP(A75,'Données projet'!$A$165:$I$185,6,0)*VLOOKUP('Données projet'!$B$14,'Paramètres'!$A$1:$I$88,7,0))</f>
        <v>0</v>
      </c>
      <c r="DZ75" s="155">
        <f>IF(ISNA(VLOOKUP(A75,'Données projet'!$A$165:$I$185,7,0)),0%,VLOOKUP(A75,'Données projet'!$A$165:$I$185,7,0))</f>
        <v>0</v>
      </c>
      <c r="EA75" s="162" t="str">
        <f>EXP(-LN(2)/35)*EA74+(1-EXP(-LN(2)/35))/(LN(2)/35)*DW75*DX75*VLOOKUP('Données projet'!$B$14,'Paramètres'!$A$1:$I$88,3,0)*0.475*44/12</f>
        <v>#N/A</v>
      </c>
      <c r="EB75" s="162" t="str">
        <f>EXP(-LN(2)/25)*EB74+(1-EXP(-LN(2)/25))/(LN(2)/25)*Calculateur!DW75*Calculateur!DY75*VLOOKUP('Données projet'!$B$14,'Paramètres'!$A$1:$I$88,3,0)*0.475*44/12</f>
        <v>#N/A</v>
      </c>
      <c r="EC75" s="162" t="str">
        <f>EXP(-LN(2)/2)*EC74+(1-EXP(-LN(2)/2))/(LN(2)/2)*DW75*DZ75*VLOOKUP('Données projet'!$B$14,'Paramètres'!$A$1:$I$88,3,0)*0.475*44/12</f>
        <v>#N/A</v>
      </c>
      <c r="ED75" s="163" t="str">
        <f t="shared" si="19"/>
        <v>#N/A</v>
      </c>
      <c r="EE75" s="159">
        <f>('Scénario référence'!$F$8+'Scénario référence'!$F$9+'Scénario référence'!$B$17+'Scénario référence'!$B$9+'Scénario référence'!$B$10)*70+IF((45+25*(1-EXP(-0.0175*A75)))&lt;70,'Scénario référence'!$B$16*(45+25*(1-EXP(-0.0175*A75))),70*'Scénario référence'!$B$16)+IF((32+38*(1-EXP(-0.0175*A75)))&lt;70,'Scénario référence'!$B$18*(32+38*(1-EXP(-0.0175*A75))),70*'Scénario référence'!$B$18)</f>
        <v>70</v>
      </c>
      <c r="EF75" s="151">
        <f>IF(A75&gt;30,10,('Scénario référence'!$B$16+'Scénario référence'!$B$17+'Scénario référence'!$B$18+'Scénario référence'!$B$9+'Scénario référence'!$B$10)*A75*10/30+('Scénario référence'!$F$8+'Scénario référence'!$F$9)*10)</f>
        <v>10</v>
      </c>
      <c r="EG75" s="151" t="str">
        <f>VLOOKUP(A75,'Données projet'!$A$191:$I$211,2,0)</f>
        <v>#N/A</v>
      </c>
      <c r="EH75" s="151" t="str">
        <f>VLOOKUP(A75,'Données projet'!$A$191:$I$211,9,0)</f>
        <v>#N/A</v>
      </c>
      <c r="EI75" s="151" t="str">
        <f t="array" ref="EI75">INDEX(EH:EH,MIN(IF(ISNUMBER(EH75:EH271),ROW(EH75:EH271),"")))</f>
        <v/>
      </c>
      <c r="EJ75" s="151">
        <f>IF('Données projet'!$A$192&gt;35,EJ74+EI75-ER74,IF(A75&lt;'Données projet'!$A$192,$EG$205^A75,IF(A75='Données projet'!$A$192,'Données projet'!$B$192,EJ74+EI75-ER74)))</f>
        <v>0</v>
      </c>
      <c r="EK75" s="158" t="str">
        <f>EJ75*VLOOKUP('Données projet'!$B$15,'Paramètres'!$A$1:$I$88,3,0)*VLOOKUP('Données projet'!$B$15,'Paramètres'!$A$1:$I$88,5,0)</f>
        <v>#N/A</v>
      </c>
      <c r="EL75" s="150" t="str">
        <f t="shared" si="46"/>
        <v>#N/A</v>
      </c>
      <c r="EM75" s="161" t="str">
        <f t="shared" si="20"/>
        <v>#N/A</v>
      </c>
      <c r="EN75" s="153" t="str">
        <f t="shared" si="21"/>
        <v>#N/A</v>
      </c>
      <c r="EO75" s="153" t="str">
        <f>AVERAGE(OFFSET($EN$3,0,0,'Données projet'!$E$15+1,1))-AVERAGE(OFFSET($H$3,0,0,'Données projet'!$E$15+1,1))</f>
        <v>#N/A</v>
      </c>
      <c r="EP75" s="153" t="str">
        <f t="shared" si="47"/>
        <v>#N/A</v>
      </c>
      <c r="EQ75" s="154">
        <f>IF(ISNA(VLOOKUP(A75,'Données projet'!$A$191:$I$211,3,0)),0,VLOOKUP(A75,'Données projet'!$A$191:$I$211,3,0))</f>
        <v>0</v>
      </c>
      <c r="ER75" s="154">
        <f>IF(ISNA(VLOOKUP(A75,'Données projet'!$A$191:$I$211,4,0)),0,VLOOKUP(A75,'Données projet'!$A$191:$I$211,4,0))</f>
        <v>0</v>
      </c>
      <c r="ES75" s="155">
        <f>IF(ISNA(VLOOKUP(A75,'Données projet'!$A$191:$I$211,5,0)),0%,VLOOKUP(A75,'Données projet'!$A$191:$I$211,5,0)*VLOOKUP('Données projet'!$B$15,'Paramètres'!$A$1:$I$88,7,0))</f>
        <v>0</v>
      </c>
      <c r="ET75" s="155">
        <f>IF(ISNA(VLOOKUP(A75,'Données projet'!$A$191:$I$211,6,0)),0%,VLOOKUP(A75,'Données projet'!$A$191:$I$211,6,0)*VLOOKUP('Données projet'!$B$15,'Paramètres'!$A$1:$I$88,7,0))</f>
        <v>0</v>
      </c>
      <c r="EU75" s="155">
        <f>IF(ISNA(VLOOKUP(A75,'Données projet'!$A$191:$I$211,7,0)),0%,VLOOKUP(A75,'Données projet'!$A$191:$I$211,7,0))</f>
        <v>0</v>
      </c>
      <c r="EV75" s="162" t="str">
        <f>EXP(-LN(2)/35)*EV74+(1-EXP(-LN(2)/35))/(LN(2)/35)*ER75*ES75*VLOOKUP('Données projet'!$B$15,'Paramètres'!$A$1:$I$88,3,0)*0.475*44/12</f>
        <v>#N/A</v>
      </c>
      <c r="EW75" s="162" t="str">
        <f>EXP(-LN(2)/25)*EW74+(1-EXP(-LN(2)/25))/(LN(2)/25)*Calculateur!ER75*Calculateur!ET75*VLOOKUP('Données projet'!$B$15,'Paramètres'!$A$1:$I$88,3,0)*0.475*44/12</f>
        <v>#N/A</v>
      </c>
      <c r="EX75" s="162" t="str">
        <f>EXP(-LN(2)/2)*EX74+(1-EXP(-LN(2)/2))/(LN(2)/2)*ER75*EU75*VLOOKUP('Données projet'!$B$15,'Paramètres'!$A$1:$I$88,3,0)*0.475*44/12</f>
        <v>#N/A</v>
      </c>
      <c r="EY75" s="163" t="str">
        <f t="shared" si="22"/>
        <v>#N/A</v>
      </c>
      <c r="EZ75" s="159">
        <f>('Scénario référence'!$F$8+'Scénario référence'!$F$9+'Scénario référence'!$B$17+'Scénario référence'!$B$9+'Scénario référence'!$B$10)*70+IF((45+25*(1-EXP(-0.0175*A75)))&lt;70,'Scénario référence'!$B$16*(45+25*(1-EXP(-0.0175*A75))),70*'Scénario référence'!$B$16)+IF((32+38*(1-EXP(-0.0175*A75)))&lt;70,'Scénario référence'!$B$18*(32+38*(1-EXP(-0.0175*A75))),70*'Scénario référence'!$B$18)</f>
        <v>70</v>
      </c>
      <c r="FA75" s="151">
        <f>IF(A75&gt;30,10,('Scénario référence'!$B$16+'Scénario référence'!$B$17+'Scénario référence'!$B$18+'Scénario référence'!$B$9+'Scénario référence'!$B$10)*A75*10/30+('Scénario référence'!$F$8+'Scénario référence'!$F$9)*10)</f>
        <v>10</v>
      </c>
      <c r="FB75" s="151" t="str">
        <f>VLOOKUP(A75,'Données projet'!$A$217:$I$237,2,0)</f>
        <v>#N/A</v>
      </c>
      <c r="FC75" s="151" t="str">
        <f>VLOOKUP(A75,'Données projet'!$A$217:$I$237,9,0)</f>
        <v>#N/A</v>
      </c>
      <c r="FD75" s="151" t="str">
        <f t="array" ref="FD75">INDEX(FC:FC,MIN(IF(ISNUMBER(FC75:FC271),ROW(FC75:FC271),"")))</f>
        <v/>
      </c>
      <c r="FE75" s="151">
        <f>IF('Données projet'!$A$218&gt;35,FE74+FD75-FM74,IF(A75&lt;'Données projet'!$A$218,$FB$205^A75,IF(A75='Données projet'!$A$218,'Données projet'!$B$218,FE74+FD75-FM74)))</f>
        <v>0</v>
      </c>
      <c r="FF75" s="158" t="str">
        <f>FE75*VLOOKUP('Données projet'!$B$16,'Paramètres'!$A$1:$I$88,3,0)*VLOOKUP('Données projet'!$B$16,'Paramètres'!$A$1:$I$88,5,0)</f>
        <v>#N/A</v>
      </c>
      <c r="FG75" s="150" t="str">
        <f t="shared" si="48"/>
        <v>#N/A</v>
      </c>
      <c r="FH75" s="161" t="str">
        <f t="shared" si="23"/>
        <v>#N/A</v>
      </c>
      <c r="FI75" s="153" t="str">
        <f t="shared" si="24"/>
        <v>#N/A</v>
      </c>
      <c r="FJ75" s="153" t="str">
        <f>AVERAGE(OFFSET($FI$3,0,0,'Données projet'!$E$16+1,1))-AVERAGE(OFFSET($H$3,0,0,'Données projet'!$E$16+1,1))</f>
        <v>#N/A</v>
      </c>
      <c r="FK75" s="153" t="str">
        <f t="shared" si="49"/>
        <v>#N/A</v>
      </c>
      <c r="FL75" s="154">
        <f>IF(ISNA(VLOOKUP(A75,'Données projet'!$A$217:$I$237,3,0)),0,VLOOKUP(A75,'Données projet'!$A$217:$I$237,3,0))</f>
        <v>0</v>
      </c>
      <c r="FM75" s="154">
        <f>IF(ISNA(VLOOKUP(A75,'Données projet'!$A$217:$I$237,4,0)),0,VLOOKUP(A75,'Données projet'!$A$217:$I$237,4,0))</f>
        <v>0</v>
      </c>
      <c r="FN75" s="155">
        <f>IF(ISNA(VLOOKUP(A75,'Données projet'!$A$217:$I$237,5,0)),0%,VLOOKUP(A75,'Données projet'!$A$217:$I$237,5,0)*VLOOKUP('Données projet'!$B$16,'Paramètres'!$A$1:$I$88,7,0))</f>
        <v>0</v>
      </c>
      <c r="FO75" s="155">
        <f>IF(ISNA(VLOOKUP(A75,'Données projet'!$A$217:$I$237,6,0)),0%,VLOOKUP(A75,'Données projet'!$A$217:$I$237,6,0)*VLOOKUP('Données projet'!$B$16,'Paramètres'!$A$1:$I$88,7,0))</f>
        <v>0</v>
      </c>
      <c r="FP75" s="155">
        <f>IF(ISNA(VLOOKUP(A75,'Données projet'!$A$217:$I$237,7,0)),0%,VLOOKUP(A75,'Données projet'!$A$217:$I$237,7,0))</f>
        <v>0</v>
      </c>
      <c r="FQ75" s="162" t="str">
        <f>EXP(-LN(2)/35)*FQ74+(1-EXP(-LN(2)/35))/(LN(2)/35)*FM75*FN75*VLOOKUP('Données projet'!$B$16,'Paramètres'!$A$1:$I$88,3,0)*0.475*44/12</f>
        <v>#N/A</v>
      </c>
      <c r="FR75" s="162" t="str">
        <f>EXP(-LN(2)/25)*FR74+(1-EXP(-LN(2)/25))/(LN(2)/25)*Calculateur!FM75*Calculateur!FO75*VLOOKUP('Données projet'!$B$16,'Paramètres'!$A$1:$I$88,3,0)*0.475*44/12</f>
        <v>#N/A</v>
      </c>
      <c r="FS75" s="162" t="str">
        <f>EXP(-LN(2)/2)*FS74+(1-EXP(-LN(2)/2))/(LN(2)/2)*FM75*FP75*VLOOKUP('Données projet'!$B$16,'Paramètres'!$A$1:$I$88,3,0)*0.475*44/12</f>
        <v>#N/A</v>
      </c>
      <c r="FT75" s="163" t="str">
        <f t="shared" si="25"/>
        <v>#N/A</v>
      </c>
      <c r="FU75" s="159">
        <f>('Scénario référence'!$F$8+'Scénario référence'!$F$9+'Scénario référence'!$B$17+'Scénario référence'!$B$9+'Scénario référence'!$B$10)*70+IF((45+25*(1-EXP(-0.0175*A75)))&lt;70,'Scénario référence'!$B$16*(45+25*(1-EXP(-0.0175*A75))),70*'Scénario référence'!$B$16)+IF((32+38*(1-EXP(-0.0175*A75)))&lt;70,'Scénario référence'!$B$18*(32+38*(1-EXP(-0.0175*A75))),70*'Scénario référence'!$B$18)</f>
        <v>70</v>
      </c>
      <c r="FV75" s="151">
        <f>IF(A75&gt;30,10,('Scénario référence'!$B$16+'Scénario référence'!$B$17+'Scénario référence'!$B$18+'Scénario référence'!$B$9+'Scénario référence'!$B$10)*A75*10/30+('Scénario référence'!$F$8+'Scénario référence'!$F$9)*10)</f>
        <v>10</v>
      </c>
      <c r="FW75" s="151" t="str">
        <f>VLOOKUP(A75,'Données projet'!$A$243:$I$263,2,0)</f>
        <v>#N/A</v>
      </c>
      <c r="FX75" s="151" t="str">
        <f>VLOOKUP(A75,'Données projet'!$A$243:$I$263,9,0)</f>
        <v>#N/A</v>
      </c>
      <c r="FY75" s="151" t="str">
        <f t="array" ref="FY75">INDEX(FX:FX,MIN(IF(ISNUMBER(FX75:FX271),ROW(FX75:FX271),"")))</f>
        <v/>
      </c>
      <c r="FZ75" s="151">
        <f>IF('Données projet'!$A$244&gt;35,FZ74+FY75-GH74,IF(A75&lt;'Données projet'!$A$244,$FW$205^A75,IF(A75='Données projet'!$A$244,'Données projet'!$B$244,FZ74+FY75-GH74)))</f>
        <v>0</v>
      </c>
      <c r="GA75" s="158" t="str">
        <f>FZ75*VLOOKUP('Données projet'!$B$17,'Paramètres'!$A$1:$I$88,3,0)*VLOOKUP('Données projet'!$B$17,'Paramètres'!$A$1:$I$88,5,0)</f>
        <v>#N/A</v>
      </c>
      <c r="GB75" s="150" t="str">
        <f t="shared" si="50"/>
        <v>#N/A</v>
      </c>
      <c r="GC75" s="161" t="str">
        <f t="shared" si="26"/>
        <v>#N/A</v>
      </c>
      <c r="GD75" s="153" t="str">
        <f t="shared" si="27"/>
        <v>#N/A</v>
      </c>
      <c r="GE75" s="153" t="str">
        <f>AVERAGE(OFFSET($GD$3,0,0,'Données projet'!$E$17+1,1))-AVERAGE(OFFSET($H$3,0,0,'Données projet'!$E$17+1,1))</f>
        <v>#N/A</v>
      </c>
      <c r="GF75" s="153" t="str">
        <f t="shared" si="51"/>
        <v>#N/A</v>
      </c>
      <c r="GG75" s="154">
        <f>IF(ISNA(VLOOKUP(A75,'Données projet'!$A$243:$I$263,3,0)),0,VLOOKUP(A75,'Données projet'!$A$243:$I$263,3,0))</f>
        <v>0</v>
      </c>
      <c r="GH75" s="154">
        <f>IF(ISNA(VLOOKUP(A75,'Données projet'!$A$243:$I$263,4,0)),0,VLOOKUP(A75,'Données projet'!$A$243:$I$263,4,0))</f>
        <v>0</v>
      </c>
      <c r="GI75" s="155">
        <f>IF(ISNA(VLOOKUP(A75,'Données projet'!$A$243:$I$263,5,0)),0%,VLOOKUP(A75,'Données projet'!$A$243:$I$263,5,0)*VLOOKUP('Données projet'!$B$17,'Paramètres'!$A$1:$I$88,7,0))</f>
        <v>0</v>
      </c>
      <c r="GJ75" s="155">
        <f>IF(ISNA(VLOOKUP(A75,'Données projet'!$A$243:$I$263,6,0)),0%,VLOOKUP(A75,'Données projet'!$A$243:$I$263,6,0)*VLOOKUP('Données projet'!$B$17,'Paramètres'!$A$1:$I$88,7,0))</f>
        <v>0</v>
      </c>
      <c r="GK75" s="155">
        <f>IF(ISNA(VLOOKUP(A75,'Données projet'!$A$243:$I$263,7,0)),0%,VLOOKUP(A75,'Données projet'!$A$243:$I$263,7,0))</f>
        <v>0</v>
      </c>
      <c r="GL75" s="162" t="str">
        <f>EXP(-LN(2)/35)*GL74+(1-EXP(-LN(2)/35))/(LN(2)/35)*GH75*GI75*VLOOKUP('Données projet'!$B$17,'Paramètres'!$A$1:$I$88,3,0)*0.475*44/12</f>
        <v>#N/A</v>
      </c>
      <c r="GM75" s="162" t="str">
        <f>EXP(-LN(2)/25)*GM74+(1-EXP(-LN(2)/25))/(LN(2)/25)*Calculateur!GH75*Calculateur!GJ75*VLOOKUP('Données projet'!$B$17,'Paramètres'!$A$1:$I$88,3,0)*0.475*44/12</f>
        <v>#N/A</v>
      </c>
      <c r="GN75" s="162" t="str">
        <f>EXP(-LN(2)/2)*GN74+(1-EXP(-LN(2)/2))/(LN(2)/2)*GH75*GK75*VLOOKUP('Données projet'!$B$17,'Paramètres'!$A$1:$I$88,3,0)*0.475*44/12</f>
        <v>#N/A</v>
      </c>
      <c r="GO75" s="162" t="str">
        <f t="shared" si="28"/>
        <v>#N/A</v>
      </c>
      <c r="GP75" s="159">
        <f>('Scénario référence'!$F$8+'Scénario référence'!$F$9+'Scénario référence'!$B$17+'Scénario référence'!$B$9+'Scénario référence'!$B$10)*70+IF((45+25*(1-EXP(-0.0175*A75)))&lt;70,'Scénario référence'!$B$16*(45+25*(1-EXP(-0.0175*A75))),70*'Scénario référence'!$B$16)+IF((32+38*(1-EXP(-0.0175*A75)))&lt;70,'Scénario référence'!$B$18*(32+38*(1-EXP(-0.0175*A75))),70*'Scénario référence'!$B$18)</f>
        <v>70</v>
      </c>
      <c r="GQ75" s="151">
        <f>IF(A75&gt;30,10,('Scénario référence'!$B$16+'Scénario référence'!$B$17+'Scénario référence'!$B$18+'Scénario référence'!$B$9+'Scénario référence'!$B$10)*A75*10/30+('Scénario référence'!$F$8+'Scénario référence'!$F$9)*10)</f>
        <v>10</v>
      </c>
      <c r="GR75" s="151" t="str">
        <f>VLOOKUP(A75,'Données projet'!$A$269:$I$289,2,0)</f>
        <v>#N/A</v>
      </c>
      <c r="GS75" s="151" t="str">
        <f>VLOOKUP(A75,'Données projet'!$A$269:$I$289,9,0)</f>
        <v>#N/A</v>
      </c>
      <c r="GT75" s="151" t="str">
        <f t="array" ref="GT75">INDEX(GS:GS,MIN(IF(ISNUMBER(GS75:GS271),ROW(GS75:GS271),"")))</f>
        <v/>
      </c>
      <c r="GU75" s="151">
        <f>IF('Données projet'!$A$270&gt;35,GU74+GT75-HC74,IF(A75&lt;'Données projet'!$A$270,$GR$205^A75,IF(A75='Données projet'!$A$270,'Données projet'!$B$270,GU74+GT75-HC74)))</f>
        <v>0</v>
      </c>
      <c r="GV75" s="158" t="str">
        <f>GU75*VLOOKUP('Données projet'!$B$18,'Paramètres'!$A$1:$I$88,3,0)*VLOOKUP('Données projet'!$B$18,'Paramètres'!$A$1:$I$88,5,0)</f>
        <v>#N/A</v>
      </c>
      <c r="GW75" s="150" t="str">
        <f t="shared" si="52"/>
        <v>#N/A</v>
      </c>
      <c r="GX75" s="161" t="str">
        <f t="shared" si="29"/>
        <v>#N/A</v>
      </c>
      <c r="GY75" s="153" t="str">
        <f t="shared" si="30"/>
        <v>#N/A</v>
      </c>
      <c r="GZ75" s="153" t="str">
        <f>AVERAGE(OFFSET($GY$3,0,0,'Données projet'!$E$18+1,1))-AVERAGE(OFFSET($H$3,0,0,'Données projet'!$E$18+1,1))</f>
        <v>#N/A</v>
      </c>
      <c r="HA75" s="153" t="str">
        <f t="shared" si="53"/>
        <v>#N/A</v>
      </c>
      <c r="HB75" s="154">
        <f>IF(ISNA(VLOOKUP(A75,'Données projet'!$A$269:$I$289,3,0)),0,VLOOKUP(A75,'Données projet'!$A$269:$I$289,3,0))</f>
        <v>0</v>
      </c>
      <c r="HC75" s="154">
        <f>IF(ISNA(VLOOKUP(A75,'Données projet'!$A$269:$I$289,4,0)),0,VLOOKUP(A75,'Données projet'!$A$269:$I$289,4,0))</f>
        <v>0</v>
      </c>
      <c r="HD75" s="155">
        <f>IF(ISNA(VLOOKUP(A75,'Données projet'!$A$269:$I$289,5,0)),0%,VLOOKUP(A75,'Données projet'!$A$269:$I$289,5,0)*VLOOKUP('Données projet'!$B$18,'Paramètres'!$A$1:$I$88,7,0))</f>
        <v>0</v>
      </c>
      <c r="HE75" s="155">
        <f>IF(ISNA(VLOOKUP(A75,'Données projet'!$A$269:$I$289,6,0)),0%,VLOOKUP(A75,'Données projet'!$A$269:$I$289,6,0)*VLOOKUP('Données projet'!$B$18,'Paramètres'!$A$1:$I$88,7,0))</f>
        <v>0</v>
      </c>
      <c r="HF75" s="155">
        <f>IF(ISNA(VLOOKUP(A75,'Données projet'!$A$269:$I$289,7,0)),0%,VLOOKUP(A75,'Données projet'!$A$269:$I$289,7,0))</f>
        <v>0</v>
      </c>
      <c r="HG75" s="162" t="str">
        <f>EXP(-LN(2)/35)*HG74+(1-EXP(-LN(2)/35))/(LN(2)/35)*HC75*HD75*VLOOKUP('Données projet'!$B$18,'Paramètres'!$A$1:$I$88,3,0)*0.475*44/12</f>
        <v>#N/A</v>
      </c>
      <c r="HH75" s="162" t="str">
        <f>EXP(-LN(2)/25)*HH74+(1-EXP(-LN(2)/25))/(LN(2)/25)*Calculateur!HC75*Calculateur!HE75*VLOOKUP('Données projet'!$B$18,'Paramètres'!$A$1:$I$88,3,0)*0.475*44/12</f>
        <v>#N/A</v>
      </c>
      <c r="HI75" s="162" t="str">
        <f>EXP(-LN(2)/2)*HI74+(1-EXP(-LN(2)/2))/(LN(2)/2)*HC75*HF75*VLOOKUP('Données projet'!$B$18,'Paramètres'!$A$1:$I$88,3,0)*0.475*44/12</f>
        <v>#N/A</v>
      </c>
      <c r="HJ75" s="163" t="str">
        <f t="shared" si="31"/>
        <v>#N/A</v>
      </c>
    </row>
    <row r="76" ht="15.75" customHeight="1">
      <c r="A76" s="145">
        <f t="shared" si="32"/>
        <v>73</v>
      </c>
      <c r="B76" s="146">
        <f>'Scénario référence'!$B$16*5+'Scénario référence'!$B$17*0+'Scénario référence'!$B$18*5</f>
        <v>0</v>
      </c>
      <c r="C76" s="160">
        <f>Calculateur!C75+'Scénario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76" s="147">
        <f t="shared" si="33"/>
        <v>0</v>
      </c>
      <c r="E76" s="147">
        <f>'Scénario référence'!$B$16*45+('Scénario référence'!$B$17+'Scénario référence'!$F$8+'Scénario référence'!$F$9+'Scénario référence'!$B$10+'Scénario référence'!$B$9)*70+'Scénario référence'!$B$18*32</f>
        <v>70</v>
      </c>
      <c r="F76" s="147">
        <f>IF(OR('Scénario référence'!$F$8&gt;0,'Scénario référence'!$F$9&gt;0),('Scénario référence'!$F$8+'Scénario référence'!$F$9)*10,0)</f>
        <v>0</v>
      </c>
      <c r="G76" s="147">
        <f>'Scénario référence'!$B$8*B76*44/12+'Scénario référence'!$B$9*(C76+D76)/0.475*44/12+'Scénario référence'!$B$10*(C76+D76)/0.475*44/12+'Scénario référence'!$F$8*(C76+D76)/0.475*44/12+'Scénario référence'!$F$9*(C76+D76)/0.475*44/12</f>
        <v>0</v>
      </c>
      <c r="H76" s="148">
        <f t="shared" si="1"/>
        <v>256.6666667</v>
      </c>
      <c r="I76" s="149">
        <f>('Scénario référence'!$F$8+'Scénario référence'!$F$9+'Scénario référence'!$B$17+'Scénario référence'!$B$9+'Scénario référence'!$B$10)*70+IF((45+25*(1-EXP(-0.0175*A76)))&lt;70,'Scénario référence'!$B$16*(45+25*(1-EXP(-0.0175*A76))),70*'Scénario référence'!$B$16)+IF((32+38*(1-EXP(-0.0175*A76)))&lt;70,'Scénario référence'!$B$18*(32+38*(1-EXP(-0.0175*A76))),70*'Scénario référence'!$B$18)</f>
        <v>70</v>
      </c>
      <c r="J76" s="150">
        <f>IF(A76&gt;30,10,('Scénario référence'!$B$16+'Scénario référence'!$B$17+'Scénario référence'!$B$18+'Scénario référence'!$B$9+'Scénario référence'!$B$10)*A76*10/30+('Scénario référence'!$F$8+'Scénario référence'!$F$9)*10)</f>
        <v>10</v>
      </c>
      <c r="K76" s="151" t="str">
        <f>VLOOKUP(A76,'Données projet'!$A$35:$I$55,2,0)</f>
        <v>#N/A</v>
      </c>
      <c r="L76" s="151" t="str">
        <f>VLOOKUP(A76,'Données projet'!$A$35:$I$55,9,0)</f>
        <v>#N/A</v>
      </c>
      <c r="M76" s="150">
        <f t="array" ref="M76">INDEX(L:L,MIN(IF(ISNUMBER(L76:L272),ROW(L76:L272),"")))</f>
        <v>7.6</v>
      </c>
      <c r="N76" s="150">
        <f>IF('Données projet'!$A$36&gt;35,N75+M76-V75,IF(A76&lt;'Données projet'!$A$36,$K$205^A76,IF(A76='Données projet'!$A$36,'Données projet'!$B$36,N75+M76-V75)))</f>
        <v>296.8</v>
      </c>
      <c r="O76" s="150">
        <f>N76*VLOOKUP('Données projet'!$B$9,'Paramètres'!$A$1:$I$88,3,0)*VLOOKUP('Données projet'!$B$9,'Paramètres'!$A$1:$I$88,5,0)</f>
        <v>268.54464</v>
      </c>
      <c r="P76" s="150">
        <f t="shared" si="34"/>
        <v>64.54030808</v>
      </c>
      <c r="Q76" s="161">
        <f t="shared" si="2"/>
        <v>580.1229512</v>
      </c>
      <c r="R76" s="153">
        <f t="shared" si="3"/>
        <v>873.4562846</v>
      </c>
      <c r="S76" s="153">
        <f>AVERAGE(OFFSET($R$3,0,0,'Données projet'!$E$9+1,1))-AVERAGE(OFFSET($H$3,0,0,'Données projet'!$E$9+1,1))</f>
        <v>439.1985427</v>
      </c>
      <c r="T76" s="153">
        <f t="shared" si="35"/>
        <v>278.2174123</v>
      </c>
      <c r="U76" s="154">
        <f>IF(ISNA(VLOOKUP(A76,'Données projet'!$A$35:$I$55,3,0)),0,VLOOKUP(A76,'Données projet'!$A$35:$I$55,3,0))</f>
        <v>0</v>
      </c>
      <c r="V76" s="154">
        <f>IF(ISNA(VLOOKUP(A76,'Données projet'!$A$35:$I$55,4,0)),0,VLOOKUP(A76,'Données projet'!$A$35:$I$55,4,0))</f>
        <v>0</v>
      </c>
      <c r="W76" s="155">
        <f>IF(ISNA(VLOOKUP(A76,'Données projet'!$A$35:$I$55,5,0)),0%,VLOOKUP(A76,'Données projet'!$A$35:$I$55,5,0)*VLOOKUP('Données projet'!$B$9,'Paramètres'!$A$1:$I$88,7,0))</f>
        <v>0</v>
      </c>
      <c r="X76" s="155">
        <f>IF(ISNA(VLOOKUP(A76,'Données projet'!$A$35:$I$55,6,0)),0%,VLOOKUP(A76,'Données projet'!$A$35:$I$55,6,0)*VLOOKUP('Données projet'!$B$9,'Paramètres'!$A$1:$I$88,7,0))</f>
        <v>0</v>
      </c>
      <c r="Y76" s="155">
        <f>IF(ISNA(VLOOKUP(A76,'Données projet'!$A$35:$I$55,7,0)),0%,VLOOKUP(A76,'Données projet'!$A$35:$I$55,7,0))</f>
        <v>0</v>
      </c>
      <c r="Z76" s="162">
        <f>EXP(-LN(2)/35)*Z75+(1-EXP(-LN(2)/35))/(LN(2)/35)*V76*W76*VLOOKUP('Données projet'!$B$9,'Paramètres'!$A$1:$I$88,3,0)*0.475*44/12</f>
        <v>0</v>
      </c>
      <c r="AA76" s="162">
        <f>EXP(-LN(2)/25)*AA75+(1-EXP(-LN(2)/25))/(LN(2)/25)*Calculateur!V76*Calculateur!X76*VLOOKUP('Données projet'!$B$9,'Paramètres'!$A$1:$I$88,3,0)*0.475*44/12</f>
        <v>1.362199406</v>
      </c>
      <c r="AB76" s="162">
        <f>EXP(-LN(2)/2)*AB75+(1-EXP(-LN(2)/2))/(LN(2)/2)*V76*Y76*VLOOKUP('Données projet'!$B$9,'Paramètres'!$A$1:$I$88,3,0)*0.475*44/12</f>
        <v>0</v>
      </c>
      <c r="AC76" s="163">
        <f t="shared" si="4"/>
        <v>1.362199406</v>
      </c>
      <c r="AD76" s="150">
        <f>('Scénario référence'!$F$8+'Scénario référence'!$F$9+'Scénario référence'!$B$17+'Scénario référence'!$B$9+'Scénario référence'!$B$10)*70+IF((45+25*(1-EXP(-0.0175*A76)))&lt;70,'Scénario référence'!$B$16*(45+25*(1-EXP(-0.0175*A76))),70*'Scénario référence'!$B$16)+IF((32+38*(1-EXP(-0.0175*A76)))&lt;70,'Scénario référence'!$B$18*(32+38*(1-EXP(-0.0175*A76))),70*'Scénario référence'!$B$18)</f>
        <v>70</v>
      </c>
      <c r="AE76" s="150">
        <f>IF(A76&gt;30,10,('Scénario référence'!$B$16+'Scénario référence'!$B$17+'Scénario référence'!$B$18+'Scénario référence'!$B$9+'Scénario référence'!$B$10)*A76*10/30+('Scénario référence'!$F$8+'Scénario référence'!$F$9)*10)</f>
        <v>10</v>
      </c>
      <c r="AF76" s="151" t="str">
        <f>VLOOKUP(A76,'Données projet'!$A$61:$I$81,2,0)</f>
        <v>#N/A</v>
      </c>
      <c r="AG76" s="151" t="str">
        <f>VLOOKUP(A76,'Données projet'!$A$61:$I$81,9,0)</f>
        <v>#N/A</v>
      </c>
      <c r="AH76" s="151">
        <f t="array" ref="AH76">INDEX(AG:AG,MIN(IF(ISNUMBER(AG76:AG272),ROW(AG76:AG272),"")))</f>
        <v>4.8</v>
      </c>
      <c r="AI76" s="150">
        <f>IF('Données projet'!$A$62&gt;35,AI75+AH76-AQ75,IF(A76&lt;'Données projet'!$A$62,$AF$205^A76,IF(A76='Données projet'!$A$62,'Données projet'!$B$62,AI75+AH76-AQ75)))</f>
        <v>365.4</v>
      </c>
      <c r="AJ76" s="150">
        <f>AI76*VLOOKUP('Données projet'!$B$10,'Paramètres'!$A$1:$I$88,3,0)*VLOOKUP('Données projet'!$B$10,'Paramètres'!$A$1:$I$88,5,0)</f>
        <v>290.71224</v>
      </c>
      <c r="AK76" s="150">
        <f t="shared" si="36"/>
        <v>69.22584286</v>
      </c>
      <c r="AL76" s="161">
        <f t="shared" si="5"/>
        <v>626.892161</v>
      </c>
      <c r="AM76" s="153">
        <f t="shared" si="6"/>
        <v>920.2254943</v>
      </c>
      <c r="AN76" s="153">
        <f>AVERAGE(OFFSET($AM$3,0,0,'Données projet'!$E$10+1,1))-AVERAGE(OFFSET($H$3,0,0,'Données projet'!$E$10+1,1))</f>
        <v>405.6113614</v>
      </c>
      <c r="AO76" s="153">
        <f t="shared" si="37"/>
        <v>393.0787141</v>
      </c>
      <c r="AP76" s="154">
        <f>IF(ISNA(VLOOKUP(A76,'Données projet'!$A$61:$I$81,3,0)),0,VLOOKUP(A76,'Données projet'!$A$61:$I$81,3,0))</f>
        <v>0</v>
      </c>
      <c r="AQ76" s="154">
        <f>IF(ISNA(VLOOKUP(A76,'Données projet'!$A$61:$I$81,4,0)),0,VLOOKUP(A76,'Données projet'!$A$61:$I$81,4,0))</f>
        <v>0</v>
      </c>
      <c r="AR76" s="155">
        <f>IF(ISNA(VLOOKUP(A76,'Données projet'!$A$61:$I$81,5,0)),0%,VLOOKUP(A76,'Données projet'!$A$61:$I$81,5,0)*VLOOKUP('Données projet'!$B$10,'Paramètres'!$A$1:$I$88,7,0))</f>
        <v>0</v>
      </c>
      <c r="AS76" s="155">
        <f>IF(ISNA(VLOOKUP(A76,'Données projet'!$A$61:$I$81,6,0)),0%,VLOOKUP(A76,'Données projet'!$A$61:$I$81,6,0)*VLOOKUP('Données projet'!$B$10,'Paramètres'!$A$1:$I$88,7,0))</f>
        <v>0</v>
      </c>
      <c r="AT76" s="155">
        <f>IF(ISNA(VLOOKUP(A76,'Données projet'!$A$61:$I$81,7,0)),0%,VLOOKUP(A76,'Données projet'!$A$61:$I$81,7,0))</f>
        <v>0</v>
      </c>
      <c r="AU76" s="162">
        <f>EXP(-LN(2)/35)*AU75+(1-EXP(-LN(2)/35))/(LN(2)/35)*AQ76*AR76*VLOOKUP('Données projet'!$B$10,'Paramètres'!$A$1:$I$88,3,0)*0.475*44/12</f>
        <v>0</v>
      </c>
      <c r="AV76" s="162">
        <f>EXP(-LN(2)/25)*AV75+(1-EXP(-LN(2)/25))/(LN(2)/25)*Calculateur!AQ76*Calculateur!AS76*VLOOKUP('Données projet'!$B$10,'Paramètres'!$A$1:$I$88,3,0)*0.475*44/12</f>
        <v>5.536324669</v>
      </c>
      <c r="AW76" s="162">
        <f>EXP(-LN(2)/2)*AW75+(1-EXP(-LN(2)/2))/(LN(2)/2)*AQ76*AT76*VLOOKUP('Données projet'!$B$10,'Paramètres'!$A$1:$I$88,3,0)*0.475*44/12</f>
        <v>0.0000001954643395</v>
      </c>
      <c r="AX76" s="162">
        <f t="shared" si="7"/>
        <v>5.536324864</v>
      </c>
      <c r="AY76" s="157">
        <f>('Scénario référence'!$F$8+'Scénario référence'!$F$9+'Scénario référence'!$B$17+'Scénario référence'!$B$9+'Scénario référence'!$B$10)*70+IF((45+25*(1-EXP(-0.0175*A76)))&lt;70,'Scénario référence'!$B$16*(45+25*(1-EXP(-0.0175*A76))),70*'Scénario référence'!$B$16)+IF((32+38*(1-EXP(-0.0175*A76)))&lt;70,'Scénario référence'!$B$18*(32+38*(1-EXP(-0.0175*A76))),70*'Scénario référence'!$B$18)</f>
        <v>70</v>
      </c>
      <c r="AZ76" s="151">
        <f>IF(A76&gt;30,10,('Scénario référence'!$B$16+'Scénario référence'!$B$17+'Scénario référence'!$B$18+'Scénario référence'!$B$9+'Scénario référence'!$B$10)*A76*10/30+('Scénario référence'!$F$8+'Scénario référence'!$F$9)*10)</f>
        <v>10</v>
      </c>
      <c r="BA76" s="151" t="str">
        <f>VLOOKUP(A76,'Données projet'!$A$87:$I$107,2,0)</f>
        <v>#N/A</v>
      </c>
      <c r="BB76" s="151" t="str">
        <f>VLOOKUP(A76,'Données projet'!$A$87:$I$107,9,0)</f>
        <v>#N/A</v>
      </c>
      <c r="BC76" s="150" t="str">
        <f t="array" ref="BC76">INDEX(BB:BB,MIN(IF(ISNUMBER(BB76:BB272),ROW(BB76:BB272),"")))</f>
        <v/>
      </c>
      <c r="BD76" s="150">
        <f>IF('Données projet'!$A$88&gt;35,BD75+BC76-BL75,IF(A76&lt;'Données projet'!$A$88,$BA$205^A76,IF(A76='Données projet'!$A$88,'Données projet'!$B$88,BD75+BC76-BL75)))</f>
        <v>0</v>
      </c>
      <c r="BE76" s="150">
        <f>BD76*VLOOKUP('Données projet'!$B$11,'Paramètres'!$A$1:$I$88,3,0)*VLOOKUP('Données projet'!$B$11,'Paramètres'!$A$1:$I$88,5,0)</f>
        <v>0</v>
      </c>
      <c r="BF76" s="150" t="str">
        <f t="shared" si="38"/>
        <v>#NUM!</v>
      </c>
      <c r="BG76" s="161" t="str">
        <f t="shared" si="8"/>
        <v>#NUM!</v>
      </c>
      <c r="BH76" s="153" t="str">
        <f t="shared" si="9"/>
        <v>#NUM!</v>
      </c>
      <c r="BI76" s="153">
        <f>AVERAGE(OFFSET($BH$3,0,0,'Données projet'!$E$11+1,1))-AVERAGE(OFFSET($H$3,0,0,'Données projet'!$E$11+1,1))</f>
        <v>0</v>
      </c>
      <c r="BJ76" s="153">
        <f t="shared" si="39"/>
        <v>0</v>
      </c>
      <c r="BK76" s="154">
        <f>IF(ISNA(VLOOKUP(A76,'Données projet'!$A$87:$I$107,3,0)),0,VLOOKUP(A76,'Données projet'!$A$87:$I$107,3,0))</f>
        <v>0</v>
      </c>
      <c r="BL76" s="154">
        <f>IF(ISNA(VLOOKUP(A76,'Données projet'!$A$87:$I$107,4,0)),0,VLOOKUP(A76,'Données projet'!$A$87:$I$107,4,0))</f>
        <v>0</v>
      </c>
      <c r="BM76" s="155">
        <f>IF(ISNA(VLOOKUP(A76,'Données projet'!$A$87:$I$107,5,0)),0%,VLOOKUP(A76,'Données projet'!$A$87:$I$107,5,0)*VLOOKUP('Données projet'!$B$11,'Paramètres'!$A$1:$I$88,7,0))</f>
        <v>0</v>
      </c>
      <c r="BN76" s="155">
        <f>IF(ISNA(VLOOKUP(A76,'Données projet'!$A$87:$I$107,6,0)),0%,VLOOKUP(A76,'Données projet'!$A$87:$I$107,6,0)*VLOOKUP('Données projet'!$B$11,'Paramètres'!$A$1:$I$88,7,0))</f>
        <v>0</v>
      </c>
      <c r="BO76" s="155">
        <f>IF(ISNA(VLOOKUP(A76,'Données projet'!$A$87:$I$107,7,0)),0%,VLOOKUP(A76,'Données projet'!$A$87:$I$107,7,0))</f>
        <v>0</v>
      </c>
      <c r="BP76" s="162">
        <f>EXP(-LN(2)/35)*BP75+(1-EXP(-LN(2)/35))/(LN(2)/35)*BL76*BM76*VLOOKUP('Données projet'!$B$11,'Paramètres'!$A$1:$I$88,3,0)*0.475*44/12</f>
        <v>0</v>
      </c>
      <c r="BQ76" s="162">
        <f>EXP(-LN(2)/25)*BQ75+(1-EXP(-LN(2)/25))/(LN(2)/25)*Calculateur!BL76*Calculateur!BN76*VLOOKUP('Données projet'!$B$11,'Paramètres'!$A$1:$I$88,3,0)*0.475*44/12</f>
        <v>0</v>
      </c>
      <c r="BR76" s="162">
        <f>EXP(-LN(2)/2)*BR75+(1-EXP(-LN(2)/2))/(LN(2)/2)*BL76*BO76*VLOOKUP('Données projet'!$B$11,'Paramètres'!$A$1:$I$88,3,0)*0.475*44/12</f>
        <v>0</v>
      </c>
      <c r="BS76" s="163">
        <f t="shared" si="10"/>
        <v>0</v>
      </c>
      <c r="BT76" s="159">
        <f>('Scénario référence'!$F$8+'Scénario référence'!$F$9+'Scénario référence'!$B$17+'Scénario référence'!$B$9+'Scénario référence'!$B$10)*70+IF((45+25*(1-EXP(-0.0175*A76)))&lt;70,'Scénario référence'!$B$16*(45+25*(1-EXP(-0.0175*A76))),70*'Scénario référence'!$B$16)+IF((32+38*(1-EXP(-0.0175*A76)))&lt;70,'Scénario référence'!$B$18*(32+38*(1-EXP(-0.0175*A76))),70*'Scénario référence'!$B$18)</f>
        <v>70</v>
      </c>
      <c r="BU76" s="151">
        <f>IF(A76&gt;30,10,('Scénario référence'!$B$16+'Scénario référence'!$B$17+'Scénario référence'!$B$18+'Scénario référence'!$B$9+'Scénario référence'!$B$10)*A76*10/30+('Scénario référence'!$F$8+'Scénario référence'!$F$9)*10)</f>
        <v>10</v>
      </c>
      <c r="BV76" s="151" t="str">
        <f>VLOOKUP(A76,'Données projet'!$A$113:$I$133,2,0)</f>
        <v>#N/A</v>
      </c>
      <c r="BW76" s="151" t="str">
        <f>VLOOKUP(A76,'Données projet'!$A$113:$I$133,9,0)</f>
        <v>#N/A</v>
      </c>
      <c r="BX76" s="150" t="str">
        <f t="array" ref="BX76">INDEX(BW:BW,MIN(IF(ISNUMBER(BW76:BW272),ROW(BW76:BW272),"")))</f>
        <v/>
      </c>
      <c r="BY76" s="150">
        <f>IF('Données projet'!$A$114&gt;35,BY75+BX76-CG75,IF(A76&lt;'Données projet'!$A$114,$BV$205^A76,IF(A76='Données projet'!$A$114,'Données projet'!$B$114,BY75+BX76-CG75)))</f>
        <v>0</v>
      </c>
      <c r="BZ76" s="150" t="str">
        <f>BY76*VLOOKUP('Données projet'!$B$12,'Paramètres'!$A$1:$I$88,3,0)*VLOOKUP('Données projet'!$B$12,'Paramètres'!$A$1:$I$88,5,0)</f>
        <v>#N/A</v>
      </c>
      <c r="CA76" s="150" t="str">
        <f t="shared" si="40"/>
        <v>#N/A</v>
      </c>
      <c r="CB76" s="161" t="str">
        <f t="shared" si="11"/>
        <v>#N/A</v>
      </c>
      <c r="CC76" s="153" t="str">
        <f t="shared" si="12"/>
        <v>#N/A</v>
      </c>
      <c r="CD76" s="153" t="str">
        <f>AVERAGE(OFFSET($CC$3,0,0,'Données projet'!$E$12+1,1))-AVERAGE(OFFSET($H$3,0,0,'Données projet'!$E$12+1,1))</f>
        <v>#N/A</v>
      </c>
      <c r="CE76" s="153" t="str">
        <f t="shared" si="41"/>
        <v>#N/A</v>
      </c>
      <c r="CF76" s="154">
        <f>IF(ISNA(VLOOKUP(A76,'Données projet'!$A$113:$I$133,3,0)),0,VLOOKUP(A76,'Données projet'!$A$113:$I$133,3,0))</f>
        <v>0</v>
      </c>
      <c r="CG76" s="154">
        <f>IF(ISNA(VLOOKUP(A76,'Données projet'!$A$113:$I$133,4,0)),0,VLOOKUP(A76,'Données projet'!$A$113:$I$133,4,0))</f>
        <v>0</v>
      </c>
      <c r="CH76" s="155">
        <f>IF(ISNA(VLOOKUP(A76,'Données projet'!$A$113:$I$133,5,0)),0%,VLOOKUP(A76,'Données projet'!$A$113:$I$133,5,0)*VLOOKUP('Données projet'!$B$12,'Paramètres'!$A$1:$I$88,7,0))</f>
        <v>0</v>
      </c>
      <c r="CI76" s="155">
        <f>IF(ISNA(VLOOKUP(A76,'Données projet'!$A$113:$I$133,6,0)),0%,VLOOKUP(A76,'Données projet'!$A$113:$I$133,6,0)*VLOOKUP('Données projet'!$B$12,'Paramètres'!$A$1:$I$88,7,0))</f>
        <v>0</v>
      </c>
      <c r="CJ76" s="155">
        <f>IF(ISNA(VLOOKUP(A76,'Données projet'!$A$113:$I$133,7,0)),0%,VLOOKUP(A76,'Données projet'!$A$113:$I$133,7,0))</f>
        <v>0</v>
      </c>
      <c r="CK76" s="162" t="str">
        <f>EXP(-LN(2)/35)*CK75+(1-EXP(-LN(2)/35))/(LN(2)/35)*CG76*CH76*VLOOKUP('Données projet'!$B$12,'Paramètres'!$A$1:$I$88,3,0)*0.475*44/12</f>
        <v>#N/A</v>
      </c>
      <c r="CL76" s="162" t="str">
        <f>EXP(-LN(2)/25)*CL75+(1-EXP(-LN(2)/25))/(LN(2)/25)*Calculateur!CG76*Calculateur!CI76*VLOOKUP('Données projet'!$B$12,'Paramètres'!$A$1:$I$88,3,0)*0.475*44/12</f>
        <v>#N/A</v>
      </c>
      <c r="CM76" s="162" t="str">
        <f>EXP(-LN(2)/2)*CM75+(1-EXP(-LN(2)/2))/(LN(2)/2)*CG76*CJ76*VLOOKUP('Données projet'!$B$12,'Paramètres'!$A$1:$I$88,3,0)*0.475*44/12</f>
        <v>#N/A</v>
      </c>
      <c r="CN76" s="163" t="str">
        <f t="shared" si="13"/>
        <v>#N/A</v>
      </c>
      <c r="CO76" s="159">
        <f>('Scénario référence'!$F$8+'Scénario référence'!$F$9+'Scénario référence'!$B$17+'Scénario référence'!$B$9+'Scénario référence'!$B$10)*70+IF((45+25*(1-EXP(-0.0175*A76)))&lt;70,'Scénario référence'!$B$16*(45+25*(1-EXP(-0.0175*A76))),70*'Scénario référence'!$B$16)+IF((32+38*(1-EXP(-0.0175*A76)))&lt;70,'Scénario référence'!$B$18*(32+38*(1-EXP(-0.0175*A76))),70*'Scénario référence'!$B$18)</f>
        <v>70</v>
      </c>
      <c r="CP76" s="151">
        <f>IF(A76&gt;30,10,('Scénario référence'!$B$16+'Scénario référence'!$B$17+'Scénario référence'!$B$18+'Scénario référence'!$B$9+'Scénario référence'!$B$10)*A76*10/30+('Scénario référence'!$F$8+'Scénario référence'!$F$9)*10)</f>
        <v>10</v>
      </c>
      <c r="CQ76" s="151" t="str">
        <f>VLOOKUP(A76,'Données projet'!$A$139:$I$159,2,0)</f>
        <v>#N/A</v>
      </c>
      <c r="CR76" s="151" t="str">
        <f>VLOOKUP(A76,'Données projet'!$A$139:$I$159,9,0)</f>
        <v>#N/A</v>
      </c>
      <c r="CS76" s="151" t="str">
        <f t="array" ref="CS76">INDEX(CR:CR,MIN(IF(ISNUMBER(CR76:CR272),ROW(CR76:CR272),"")))</f>
        <v/>
      </c>
      <c r="CT76" s="151">
        <f>IF('Données projet'!$A$140&gt;35,CT75+CS76-DB75,IF(A76&lt;'Données projet'!$A$140,$CQ$205^A76,IF(A76='Données projet'!$A$140,'Données projet'!$B$140,CT75+CS76-DB75)))</f>
        <v>0</v>
      </c>
      <c r="CU76" s="158" t="str">
        <f>CT76*VLOOKUP('Données projet'!$B$13,'Paramètres'!$A$1:$I$88,3,0)*VLOOKUP('Données projet'!$B$13,'Paramètres'!$A$1:$I$88,5,0)</f>
        <v>#N/A</v>
      </c>
      <c r="CV76" s="150" t="str">
        <f t="shared" si="42"/>
        <v>#N/A</v>
      </c>
      <c r="CW76" s="161" t="str">
        <f t="shared" si="14"/>
        <v>#N/A</v>
      </c>
      <c r="CX76" s="153" t="str">
        <f t="shared" si="15"/>
        <v>#N/A</v>
      </c>
      <c r="CY76" s="153" t="str">
        <f>AVERAGE(OFFSET($CX$3,0,0,'Données projet'!$E$13+1,1))-AVERAGE(OFFSET($H$3,0,0,'Données projet'!$E$13+1,1))</f>
        <v>#N/A</v>
      </c>
      <c r="CZ76" s="153" t="str">
        <f t="shared" si="43"/>
        <v>#N/A</v>
      </c>
      <c r="DA76" s="154">
        <f>IF(ISNA(VLOOKUP(A76,'Données projet'!$A$139:$I$159,3,0)),0,VLOOKUP(A76,'Données projet'!$A$139:$I$159,3,0))</f>
        <v>0</v>
      </c>
      <c r="DB76" s="154">
        <f>IF(ISNA(VLOOKUP(A76,'Données projet'!$A$139:$I$159,4,0)),0,VLOOKUP(A76,'Données projet'!$A$139:$I$159,4,0))</f>
        <v>0</v>
      </c>
      <c r="DC76" s="155">
        <f>IF(ISNA(VLOOKUP(A76,'Données projet'!$A$139:$I$159,5,0)),0%,VLOOKUP(A76,'Données projet'!$A$139:$I$159,5,0)*VLOOKUP('Données projet'!$B$13,'Paramètres'!$A$1:$I$88,7,0))</f>
        <v>0</v>
      </c>
      <c r="DD76" s="155">
        <f>IF(ISNA(VLOOKUP(A76,'Données projet'!$A$139:$I$159,6,0)),0%,VLOOKUP(A76,'Données projet'!$A$139:$I$159,6,0)*VLOOKUP('Données projet'!$B$13,'Paramètres'!$A$1:$I$88,7,0))</f>
        <v>0</v>
      </c>
      <c r="DE76" s="155">
        <f>IF(ISNA(VLOOKUP(A76,'Données projet'!$A$139:$I$159,7,0)),0%,VLOOKUP(A76,'Données projet'!$A$139:$I$159,7,0))</f>
        <v>0</v>
      </c>
      <c r="DF76" s="162" t="str">
        <f>EXP(-LN(2)/35)*DF75+(1-EXP(-LN(2)/35))/(LN(2)/35)*DB76*DC76*VLOOKUP('Données projet'!$B$13,'Paramètres'!$A$1:$I$88,3,0)*0.475*44/12</f>
        <v>#N/A</v>
      </c>
      <c r="DG76" s="162" t="str">
        <f>EXP(-LN(2)/25)*DG75+(1-EXP(-LN(2)/25))/(LN(2)/25)*Calculateur!DB76*Calculateur!DD76*VLOOKUP('Données projet'!$B$13,'Paramètres'!$A$1:$I$88,3,0)*0.475*44/12</f>
        <v>#N/A</v>
      </c>
      <c r="DH76" s="162" t="str">
        <f>EXP(-LN(2)/2)*DH75+(1-EXP(-LN(2)/2))/(LN(2)/2)*DB76*DE76*VLOOKUP('Données projet'!$B$13,'Paramètres'!$A$1:$I$88,3,0)*0.475*44/12</f>
        <v>#N/A</v>
      </c>
      <c r="DI76" s="163" t="str">
        <f t="shared" si="16"/>
        <v>#N/A</v>
      </c>
      <c r="DJ76" s="159">
        <f>('Scénario référence'!$F$8+'Scénario référence'!$F$9+'Scénario référence'!$B$17+'Scénario référence'!$B$9+'Scénario référence'!$B$10)*70+IF((45+25*(1-EXP(-0.0175*A76)))&lt;70,'Scénario référence'!$B$16*(45+25*(1-EXP(-0.0175*A76))),70*'Scénario référence'!$B$16)+IF((32+38*(1-EXP(-0.0175*A76)))&lt;70,'Scénario référence'!$B$18*(32+38*(1-EXP(-0.0175*A76))),70*'Scénario référence'!$B$18)</f>
        <v>70</v>
      </c>
      <c r="DK76" s="151">
        <f>IF(A76&gt;30,10,('Scénario référence'!$B$16+'Scénario référence'!$B$17+'Scénario référence'!$B$18+'Scénario référence'!$B$9+'Scénario référence'!$B$10)*A76*10/30+('Scénario référence'!$F$8+'Scénario référence'!$F$9)*10)</f>
        <v>10</v>
      </c>
      <c r="DL76" s="151" t="str">
        <f>VLOOKUP(A76,'Données projet'!$A$165:$I$185,2,0)</f>
        <v>#N/A</v>
      </c>
      <c r="DM76" s="151" t="str">
        <f>VLOOKUP(A76,'Données projet'!$A$165:$I$185,9,0)</f>
        <v>#N/A</v>
      </c>
      <c r="DN76" s="151" t="str">
        <f t="array" ref="DN76">INDEX(DM:DM,MIN(IF(ISNUMBER(DM76:DM272),ROW(DM76:DM272),"")))</f>
        <v/>
      </c>
      <c r="DO76" s="151">
        <f>IF('Données projet'!$A$166&gt;35,DO75+DN76-DW75,IF(A76&lt;'Données projet'!$A$166,$DL$205^A76,IF(A76='Données projet'!$A$166,'Données projet'!$B$166,DO75+DN76-DW75)))</f>
        <v>0</v>
      </c>
      <c r="DP76" s="158" t="str">
        <f>DO76*VLOOKUP('Données projet'!$B$14,'Paramètres'!$A$1:$I$88,3,0)*VLOOKUP('Données projet'!$B$14,'Paramètres'!$A$1:$I$88,5,0)</f>
        <v>#N/A</v>
      </c>
      <c r="DQ76" s="150" t="str">
        <f t="shared" si="44"/>
        <v>#N/A</v>
      </c>
      <c r="DR76" s="161" t="str">
        <f t="shared" si="17"/>
        <v>#N/A</v>
      </c>
      <c r="DS76" s="153" t="str">
        <f t="shared" si="18"/>
        <v>#N/A</v>
      </c>
      <c r="DT76" s="153" t="str">
        <f>AVERAGE(OFFSET($DS$3,0,0,'Données projet'!$E$14+1,1))-AVERAGE(OFFSET($H$3,0,0,'Données projet'!$E$14+1,1))</f>
        <v>#N/A</v>
      </c>
      <c r="DU76" s="153" t="str">
        <f t="shared" si="45"/>
        <v>#N/A</v>
      </c>
      <c r="DV76" s="154">
        <f>IF(ISNA(VLOOKUP(A76,'Données projet'!$A$165:$I$185,3,0)),0,VLOOKUP(A76,'Données projet'!$A$165:$I$185,3,0))</f>
        <v>0</v>
      </c>
      <c r="DW76" s="154">
        <f>IF(ISNA(VLOOKUP(A76,'Données projet'!$A$165:$I$185,4,0)),0,VLOOKUP(A76,'Données projet'!$A$165:$I$185,4,0))</f>
        <v>0</v>
      </c>
      <c r="DX76" s="155">
        <f>IF(ISNA(VLOOKUP(A76,'Données projet'!$A$165:$I$185,5,0)),0%,VLOOKUP(A76,'Données projet'!$A$165:$I$185,5,0)*VLOOKUP('Données projet'!$B$14,'Paramètres'!$A$1:$I$88,7,0))</f>
        <v>0</v>
      </c>
      <c r="DY76" s="155">
        <f>IF(ISNA(VLOOKUP(A76,'Données projet'!$A$165:$I$185,6,0)),0%,VLOOKUP(A76,'Données projet'!$A$165:$I$185,6,0)*VLOOKUP('Données projet'!$B$14,'Paramètres'!$A$1:$I$88,7,0))</f>
        <v>0</v>
      </c>
      <c r="DZ76" s="155">
        <f>IF(ISNA(VLOOKUP(A76,'Données projet'!$A$165:$I$185,7,0)),0%,VLOOKUP(A76,'Données projet'!$A$165:$I$185,7,0))</f>
        <v>0</v>
      </c>
      <c r="EA76" s="162" t="str">
        <f>EXP(-LN(2)/35)*EA75+(1-EXP(-LN(2)/35))/(LN(2)/35)*DW76*DX76*VLOOKUP('Données projet'!$B$14,'Paramètres'!$A$1:$I$88,3,0)*0.475*44/12</f>
        <v>#N/A</v>
      </c>
      <c r="EB76" s="162" t="str">
        <f>EXP(-LN(2)/25)*EB75+(1-EXP(-LN(2)/25))/(LN(2)/25)*Calculateur!DW76*Calculateur!DY76*VLOOKUP('Données projet'!$B$14,'Paramètres'!$A$1:$I$88,3,0)*0.475*44/12</f>
        <v>#N/A</v>
      </c>
      <c r="EC76" s="162" t="str">
        <f>EXP(-LN(2)/2)*EC75+(1-EXP(-LN(2)/2))/(LN(2)/2)*DW76*DZ76*VLOOKUP('Données projet'!$B$14,'Paramètres'!$A$1:$I$88,3,0)*0.475*44/12</f>
        <v>#N/A</v>
      </c>
      <c r="ED76" s="163" t="str">
        <f t="shared" si="19"/>
        <v>#N/A</v>
      </c>
      <c r="EE76" s="159">
        <f>('Scénario référence'!$F$8+'Scénario référence'!$F$9+'Scénario référence'!$B$17+'Scénario référence'!$B$9+'Scénario référence'!$B$10)*70+IF((45+25*(1-EXP(-0.0175*A76)))&lt;70,'Scénario référence'!$B$16*(45+25*(1-EXP(-0.0175*A76))),70*'Scénario référence'!$B$16)+IF((32+38*(1-EXP(-0.0175*A76)))&lt;70,'Scénario référence'!$B$18*(32+38*(1-EXP(-0.0175*A76))),70*'Scénario référence'!$B$18)</f>
        <v>70</v>
      </c>
      <c r="EF76" s="151">
        <f>IF(A76&gt;30,10,('Scénario référence'!$B$16+'Scénario référence'!$B$17+'Scénario référence'!$B$18+'Scénario référence'!$B$9+'Scénario référence'!$B$10)*A76*10/30+('Scénario référence'!$F$8+'Scénario référence'!$F$9)*10)</f>
        <v>10</v>
      </c>
      <c r="EG76" s="151" t="str">
        <f>VLOOKUP(A76,'Données projet'!$A$191:$I$211,2,0)</f>
        <v>#N/A</v>
      </c>
      <c r="EH76" s="151" t="str">
        <f>VLOOKUP(A76,'Données projet'!$A$191:$I$211,9,0)</f>
        <v>#N/A</v>
      </c>
      <c r="EI76" s="151" t="str">
        <f t="array" ref="EI76">INDEX(EH:EH,MIN(IF(ISNUMBER(EH76:EH272),ROW(EH76:EH272),"")))</f>
        <v/>
      </c>
      <c r="EJ76" s="151">
        <f>IF('Données projet'!$A$192&gt;35,EJ75+EI76-ER75,IF(A76&lt;'Données projet'!$A$192,$EG$205^A76,IF(A76='Données projet'!$A$192,'Données projet'!$B$192,EJ75+EI76-ER75)))</f>
        <v>0</v>
      </c>
      <c r="EK76" s="158" t="str">
        <f>EJ76*VLOOKUP('Données projet'!$B$15,'Paramètres'!$A$1:$I$88,3,0)*VLOOKUP('Données projet'!$B$15,'Paramètres'!$A$1:$I$88,5,0)</f>
        <v>#N/A</v>
      </c>
      <c r="EL76" s="150" t="str">
        <f t="shared" si="46"/>
        <v>#N/A</v>
      </c>
      <c r="EM76" s="161" t="str">
        <f t="shared" si="20"/>
        <v>#N/A</v>
      </c>
      <c r="EN76" s="153" t="str">
        <f t="shared" si="21"/>
        <v>#N/A</v>
      </c>
      <c r="EO76" s="153" t="str">
        <f>AVERAGE(OFFSET($EN$3,0,0,'Données projet'!$E$15+1,1))-AVERAGE(OFFSET($H$3,0,0,'Données projet'!$E$15+1,1))</f>
        <v>#N/A</v>
      </c>
      <c r="EP76" s="153" t="str">
        <f t="shared" si="47"/>
        <v>#N/A</v>
      </c>
      <c r="EQ76" s="154">
        <f>IF(ISNA(VLOOKUP(A76,'Données projet'!$A$191:$I$211,3,0)),0,VLOOKUP(A76,'Données projet'!$A$191:$I$211,3,0))</f>
        <v>0</v>
      </c>
      <c r="ER76" s="154">
        <f>IF(ISNA(VLOOKUP(A76,'Données projet'!$A$191:$I$211,4,0)),0,VLOOKUP(A76,'Données projet'!$A$191:$I$211,4,0))</f>
        <v>0</v>
      </c>
      <c r="ES76" s="155">
        <f>IF(ISNA(VLOOKUP(A76,'Données projet'!$A$191:$I$211,5,0)),0%,VLOOKUP(A76,'Données projet'!$A$191:$I$211,5,0)*VLOOKUP('Données projet'!$B$15,'Paramètres'!$A$1:$I$88,7,0))</f>
        <v>0</v>
      </c>
      <c r="ET76" s="155">
        <f>IF(ISNA(VLOOKUP(A76,'Données projet'!$A$191:$I$211,6,0)),0%,VLOOKUP(A76,'Données projet'!$A$191:$I$211,6,0)*VLOOKUP('Données projet'!$B$15,'Paramètres'!$A$1:$I$88,7,0))</f>
        <v>0</v>
      </c>
      <c r="EU76" s="155">
        <f>IF(ISNA(VLOOKUP(A76,'Données projet'!$A$191:$I$211,7,0)),0%,VLOOKUP(A76,'Données projet'!$A$191:$I$211,7,0))</f>
        <v>0</v>
      </c>
      <c r="EV76" s="162" t="str">
        <f>EXP(-LN(2)/35)*EV75+(1-EXP(-LN(2)/35))/(LN(2)/35)*ER76*ES76*VLOOKUP('Données projet'!$B$15,'Paramètres'!$A$1:$I$88,3,0)*0.475*44/12</f>
        <v>#N/A</v>
      </c>
      <c r="EW76" s="162" t="str">
        <f>EXP(-LN(2)/25)*EW75+(1-EXP(-LN(2)/25))/(LN(2)/25)*Calculateur!ER76*Calculateur!ET76*VLOOKUP('Données projet'!$B$15,'Paramètres'!$A$1:$I$88,3,0)*0.475*44/12</f>
        <v>#N/A</v>
      </c>
      <c r="EX76" s="162" t="str">
        <f>EXP(-LN(2)/2)*EX75+(1-EXP(-LN(2)/2))/(LN(2)/2)*ER76*EU76*VLOOKUP('Données projet'!$B$15,'Paramètres'!$A$1:$I$88,3,0)*0.475*44/12</f>
        <v>#N/A</v>
      </c>
      <c r="EY76" s="163" t="str">
        <f t="shared" si="22"/>
        <v>#N/A</v>
      </c>
      <c r="EZ76" s="159">
        <f>('Scénario référence'!$F$8+'Scénario référence'!$F$9+'Scénario référence'!$B$17+'Scénario référence'!$B$9+'Scénario référence'!$B$10)*70+IF((45+25*(1-EXP(-0.0175*A76)))&lt;70,'Scénario référence'!$B$16*(45+25*(1-EXP(-0.0175*A76))),70*'Scénario référence'!$B$16)+IF((32+38*(1-EXP(-0.0175*A76)))&lt;70,'Scénario référence'!$B$18*(32+38*(1-EXP(-0.0175*A76))),70*'Scénario référence'!$B$18)</f>
        <v>70</v>
      </c>
      <c r="FA76" s="151">
        <f>IF(A76&gt;30,10,('Scénario référence'!$B$16+'Scénario référence'!$B$17+'Scénario référence'!$B$18+'Scénario référence'!$B$9+'Scénario référence'!$B$10)*A76*10/30+('Scénario référence'!$F$8+'Scénario référence'!$F$9)*10)</f>
        <v>10</v>
      </c>
      <c r="FB76" s="151" t="str">
        <f>VLOOKUP(A76,'Données projet'!$A$217:$I$237,2,0)</f>
        <v>#N/A</v>
      </c>
      <c r="FC76" s="151" t="str">
        <f>VLOOKUP(A76,'Données projet'!$A$217:$I$237,9,0)</f>
        <v>#N/A</v>
      </c>
      <c r="FD76" s="151" t="str">
        <f t="array" ref="FD76">INDEX(FC:FC,MIN(IF(ISNUMBER(FC76:FC272),ROW(FC76:FC272),"")))</f>
        <v/>
      </c>
      <c r="FE76" s="151">
        <f>IF('Données projet'!$A$218&gt;35,FE75+FD76-FM75,IF(A76&lt;'Données projet'!$A$218,$FB$205^A76,IF(A76='Données projet'!$A$218,'Données projet'!$B$218,FE75+FD76-FM75)))</f>
        <v>0</v>
      </c>
      <c r="FF76" s="158" t="str">
        <f>FE76*VLOOKUP('Données projet'!$B$16,'Paramètres'!$A$1:$I$88,3,0)*VLOOKUP('Données projet'!$B$16,'Paramètres'!$A$1:$I$88,5,0)</f>
        <v>#N/A</v>
      </c>
      <c r="FG76" s="150" t="str">
        <f t="shared" si="48"/>
        <v>#N/A</v>
      </c>
      <c r="FH76" s="161" t="str">
        <f t="shared" si="23"/>
        <v>#N/A</v>
      </c>
      <c r="FI76" s="153" t="str">
        <f t="shared" si="24"/>
        <v>#N/A</v>
      </c>
      <c r="FJ76" s="153" t="str">
        <f>AVERAGE(OFFSET($FI$3,0,0,'Données projet'!$E$16+1,1))-AVERAGE(OFFSET($H$3,0,0,'Données projet'!$E$16+1,1))</f>
        <v>#N/A</v>
      </c>
      <c r="FK76" s="153" t="str">
        <f t="shared" si="49"/>
        <v>#N/A</v>
      </c>
      <c r="FL76" s="154">
        <f>IF(ISNA(VLOOKUP(A76,'Données projet'!$A$217:$I$237,3,0)),0,VLOOKUP(A76,'Données projet'!$A$217:$I$237,3,0))</f>
        <v>0</v>
      </c>
      <c r="FM76" s="154">
        <f>IF(ISNA(VLOOKUP(A76,'Données projet'!$A$217:$I$237,4,0)),0,VLOOKUP(A76,'Données projet'!$A$217:$I$237,4,0))</f>
        <v>0</v>
      </c>
      <c r="FN76" s="155">
        <f>IF(ISNA(VLOOKUP(A76,'Données projet'!$A$217:$I$237,5,0)),0%,VLOOKUP(A76,'Données projet'!$A$217:$I$237,5,0)*VLOOKUP('Données projet'!$B$16,'Paramètres'!$A$1:$I$88,7,0))</f>
        <v>0</v>
      </c>
      <c r="FO76" s="155">
        <f>IF(ISNA(VLOOKUP(A76,'Données projet'!$A$217:$I$237,6,0)),0%,VLOOKUP(A76,'Données projet'!$A$217:$I$237,6,0)*VLOOKUP('Données projet'!$B$16,'Paramètres'!$A$1:$I$88,7,0))</f>
        <v>0</v>
      </c>
      <c r="FP76" s="155">
        <f>IF(ISNA(VLOOKUP(A76,'Données projet'!$A$217:$I$237,7,0)),0%,VLOOKUP(A76,'Données projet'!$A$217:$I$237,7,0))</f>
        <v>0</v>
      </c>
      <c r="FQ76" s="162" t="str">
        <f>EXP(-LN(2)/35)*FQ75+(1-EXP(-LN(2)/35))/(LN(2)/35)*FM76*FN76*VLOOKUP('Données projet'!$B$16,'Paramètres'!$A$1:$I$88,3,0)*0.475*44/12</f>
        <v>#N/A</v>
      </c>
      <c r="FR76" s="162" t="str">
        <f>EXP(-LN(2)/25)*FR75+(1-EXP(-LN(2)/25))/(LN(2)/25)*Calculateur!FM76*Calculateur!FO76*VLOOKUP('Données projet'!$B$16,'Paramètres'!$A$1:$I$88,3,0)*0.475*44/12</f>
        <v>#N/A</v>
      </c>
      <c r="FS76" s="162" t="str">
        <f>EXP(-LN(2)/2)*FS75+(1-EXP(-LN(2)/2))/(LN(2)/2)*FM76*FP76*VLOOKUP('Données projet'!$B$16,'Paramètres'!$A$1:$I$88,3,0)*0.475*44/12</f>
        <v>#N/A</v>
      </c>
      <c r="FT76" s="163" t="str">
        <f t="shared" si="25"/>
        <v>#N/A</v>
      </c>
      <c r="FU76" s="159">
        <f>('Scénario référence'!$F$8+'Scénario référence'!$F$9+'Scénario référence'!$B$17+'Scénario référence'!$B$9+'Scénario référence'!$B$10)*70+IF((45+25*(1-EXP(-0.0175*A76)))&lt;70,'Scénario référence'!$B$16*(45+25*(1-EXP(-0.0175*A76))),70*'Scénario référence'!$B$16)+IF((32+38*(1-EXP(-0.0175*A76)))&lt;70,'Scénario référence'!$B$18*(32+38*(1-EXP(-0.0175*A76))),70*'Scénario référence'!$B$18)</f>
        <v>70</v>
      </c>
      <c r="FV76" s="151">
        <f>IF(A76&gt;30,10,('Scénario référence'!$B$16+'Scénario référence'!$B$17+'Scénario référence'!$B$18+'Scénario référence'!$B$9+'Scénario référence'!$B$10)*A76*10/30+('Scénario référence'!$F$8+'Scénario référence'!$F$9)*10)</f>
        <v>10</v>
      </c>
      <c r="FW76" s="151" t="str">
        <f>VLOOKUP(A76,'Données projet'!$A$243:$I$263,2,0)</f>
        <v>#N/A</v>
      </c>
      <c r="FX76" s="151" t="str">
        <f>VLOOKUP(A76,'Données projet'!$A$243:$I$263,9,0)</f>
        <v>#N/A</v>
      </c>
      <c r="FY76" s="151" t="str">
        <f t="array" ref="FY76">INDEX(FX:FX,MIN(IF(ISNUMBER(FX76:FX272),ROW(FX76:FX272),"")))</f>
        <v/>
      </c>
      <c r="FZ76" s="151">
        <f>IF('Données projet'!$A$244&gt;35,FZ75+FY76-GH75,IF(A76&lt;'Données projet'!$A$244,$FW$205^A76,IF(A76='Données projet'!$A$244,'Données projet'!$B$244,FZ75+FY76-GH75)))</f>
        <v>0</v>
      </c>
      <c r="GA76" s="158" t="str">
        <f>FZ76*VLOOKUP('Données projet'!$B$17,'Paramètres'!$A$1:$I$88,3,0)*VLOOKUP('Données projet'!$B$17,'Paramètres'!$A$1:$I$88,5,0)</f>
        <v>#N/A</v>
      </c>
      <c r="GB76" s="150" t="str">
        <f t="shared" si="50"/>
        <v>#N/A</v>
      </c>
      <c r="GC76" s="161" t="str">
        <f t="shared" si="26"/>
        <v>#N/A</v>
      </c>
      <c r="GD76" s="153" t="str">
        <f t="shared" si="27"/>
        <v>#N/A</v>
      </c>
      <c r="GE76" s="153" t="str">
        <f>AVERAGE(OFFSET($GD$3,0,0,'Données projet'!$E$17+1,1))-AVERAGE(OFFSET($H$3,0,0,'Données projet'!$E$17+1,1))</f>
        <v>#N/A</v>
      </c>
      <c r="GF76" s="153" t="str">
        <f t="shared" si="51"/>
        <v>#N/A</v>
      </c>
      <c r="GG76" s="154">
        <f>IF(ISNA(VLOOKUP(A76,'Données projet'!$A$243:$I$263,3,0)),0,VLOOKUP(A76,'Données projet'!$A$243:$I$263,3,0))</f>
        <v>0</v>
      </c>
      <c r="GH76" s="154">
        <f>IF(ISNA(VLOOKUP(A76,'Données projet'!$A$243:$I$263,4,0)),0,VLOOKUP(A76,'Données projet'!$A$243:$I$263,4,0))</f>
        <v>0</v>
      </c>
      <c r="GI76" s="155">
        <f>IF(ISNA(VLOOKUP(A76,'Données projet'!$A$243:$I$263,5,0)),0%,VLOOKUP(A76,'Données projet'!$A$243:$I$263,5,0)*VLOOKUP('Données projet'!$B$17,'Paramètres'!$A$1:$I$88,7,0))</f>
        <v>0</v>
      </c>
      <c r="GJ76" s="155">
        <f>IF(ISNA(VLOOKUP(A76,'Données projet'!$A$243:$I$263,6,0)),0%,VLOOKUP(A76,'Données projet'!$A$243:$I$263,6,0)*VLOOKUP('Données projet'!$B$17,'Paramètres'!$A$1:$I$88,7,0))</f>
        <v>0</v>
      </c>
      <c r="GK76" s="155">
        <f>IF(ISNA(VLOOKUP(A76,'Données projet'!$A$243:$I$263,7,0)),0%,VLOOKUP(A76,'Données projet'!$A$243:$I$263,7,0))</f>
        <v>0</v>
      </c>
      <c r="GL76" s="162" t="str">
        <f>EXP(-LN(2)/35)*GL75+(1-EXP(-LN(2)/35))/(LN(2)/35)*GH76*GI76*VLOOKUP('Données projet'!$B$17,'Paramètres'!$A$1:$I$88,3,0)*0.475*44/12</f>
        <v>#N/A</v>
      </c>
      <c r="GM76" s="162" t="str">
        <f>EXP(-LN(2)/25)*GM75+(1-EXP(-LN(2)/25))/(LN(2)/25)*Calculateur!GH76*Calculateur!GJ76*VLOOKUP('Données projet'!$B$17,'Paramètres'!$A$1:$I$88,3,0)*0.475*44/12</f>
        <v>#N/A</v>
      </c>
      <c r="GN76" s="162" t="str">
        <f>EXP(-LN(2)/2)*GN75+(1-EXP(-LN(2)/2))/(LN(2)/2)*GH76*GK76*VLOOKUP('Données projet'!$B$17,'Paramètres'!$A$1:$I$88,3,0)*0.475*44/12</f>
        <v>#N/A</v>
      </c>
      <c r="GO76" s="162" t="str">
        <f t="shared" si="28"/>
        <v>#N/A</v>
      </c>
      <c r="GP76" s="159">
        <f>('Scénario référence'!$F$8+'Scénario référence'!$F$9+'Scénario référence'!$B$17+'Scénario référence'!$B$9+'Scénario référence'!$B$10)*70+IF((45+25*(1-EXP(-0.0175*A76)))&lt;70,'Scénario référence'!$B$16*(45+25*(1-EXP(-0.0175*A76))),70*'Scénario référence'!$B$16)+IF((32+38*(1-EXP(-0.0175*A76)))&lt;70,'Scénario référence'!$B$18*(32+38*(1-EXP(-0.0175*A76))),70*'Scénario référence'!$B$18)</f>
        <v>70</v>
      </c>
      <c r="GQ76" s="151">
        <f>IF(A76&gt;30,10,('Scénario référence'!$B$16+'Scénario référence'!$B$17+'Scénario référence'!$B$18+'Scénario référence'!$B$9+'Scénario référence'!$B$10)*A76*10/30+('Scénario référence'!$F$8+'Scénario référence'!$F$9)*10)</f>
        <v>10</v>
      </c>
      <c r="GR76" s="151" t="str">
        <f>VLOOKUP(A76,'Données projet'!$A$269:$I$289,2,0)</f>
        <v>#N/A</v>
      </c>
      <c r="GS76" s="151" t="str">
        <f>VLOOKUP(A76,'Données projet'!$A$269:$I$289,9,0)</f>
        <v>#N/A</v>
      </c>
      <c r="GT76" s="151" t="str">
        <f t="array" ref="GT76">INDEX(GS:GS,MIN(IF(ISNUMBER(GS76:GS272),ROW(GS76:GS272),"")))</f>
        <v/>
      </c>
      <c r="GU76" s="151">
        <f>IF('Données projet'!$A$270&gt;35,GU75+GT76-HC75,IF(A76&lt;'Données projet'!$A$270,$GR$205^A76,IF(A76='Données projet'!$A$270,'Données projet'!$B$270,GU75+GT76-HC75)))</f>
        <v>0</v>
      </c>
      <c r="GV76" s="158" t="str">
        <f>GU76*VLOOKUP('Données projet'!$B$18,'Paramètres'!$A$1:$I$88,3,0)*VLOOKUP('Données projet'!$B$18,'Paramètres'!$A$1:$I$88,5,0)</f>
        <v>#N/A</v>
      </c>
      <c r="GW76" s="150" t="str">
        <f t="shared" si="52"/>
        <v>#N/A</v>
      </c>
      <c r="GX76" s="161" t="str">
        <f t="shared" si="29"/>
        <v>#N/A</v>
      </c>
      <c r="GY76" s="153" t="str">
        <f t="shared" si="30"/>
        <v>#N/A</v>
      </c>
      <c r="GZ76" s="153" t="str">
        <f>AVERAGE(OFFSET($GY$3,0,0,'Données projet'!$E$18+1,1))-AVERAGE(OFFSET($H$3,0,0,'Données projet'!$E$18+1,1))</f>
        <v>#N/A</v>
      </c>
      <c r="HA76" s="153" t="str">
        <f t="shared" si="53"/>
        <v>#N/A</v>
      </c>
      <c r="HB76" s="154">
        <f>IF(ISNA(VLOOKUP(A76,'Données projet'!$A$269:$I$289,3,0)),0,VLOOKUP(A76,'Données projet'!$A$269:$I$289,3,0))</f>
        <v>0</v>
      </c>
      <c r="HC76" s="154">
        <f>IF(ISNA(VLOOKUP(A76,'Données projet'!$A$269:$I$289,4,0)),0,VLOOKUP(A76,'Données projet'!$A$269:$I$289,4,0))</f>
        <v>0</v>
      </c>
      <c r="HD76" s="155">
        <f>IF(ISNA(VLOOKUP(A76,'Données projet'!$A$269:$I$289,5,0)),0%,VLOOKUP(A76,'Données projet'!$A$269:$I$289,5,0)*VLOOKUP('Données projet'!$B$18,'Paramètres'!$A$1:$I$88,7,0))</f>
        <v>0</v>
      </c>
      <c r="HE76" s="155">
        <f>IF(ISNA(VLOOKUP(A76,'Données projet'!$A$269:$I$289,6,0)),0%,VLOOKUP(A76,'Données projet'!$A$269:$I$289,6,0)*VLOOKUP('Données projet'!$B$18,'Paramètres'!$A$1:$I$88,7,0))</f>
        <v>0</v>
      </c>
      <c r="HF76" s="155">
        <f>IF(ISNA(VLOOKUP(A76,'Données projet'!$A$269:$I$289,7,0)),0%,VLOOKUP(A76,'Données projet'!$A$269:$I$289,7,0))</f>
        <v>0</v>
      </c>
      <c r="HG76" s="162" t="str">
        <f>EXP(-LN(2)/35)*HG75+(1-EXP(-LN(2)/35))/(LN(2)/35)*HC76*HD76*VLOOKUP('Données projet'!$B$18,'Paramètres'!$A$1:$I$88,3,0)*0.475*44/12</f>
        <v>#N/A</v>
      </c>
      <c r="HH76" s="162" t="str">
        <f>EXP(-LN(2)/25)*HH75+(1-EXP(-LN(2)/25))/(LN(2)/25)*Calculateur!HC76*Calculateur!HE76*VLOOKUP('Données projet'!$B$18,'Paramètres'!$A$1:$I$88,3,0)*0.475*44/12</f>
        <v>#N/A</v>
      </c>
      <c r="HI76" s="162" t="str">
        <f>EXP(-LN(2)/2)*HI75+(1-EXP(-LN(2)/2))/(LN(2)/2)*HC76*HF76*VLOOKUP('Données projet'!$B$18,'Paramètres'!$A$1:$I$88,3,0)*0.475*44/12</f>
        <v>#N/A</v>
      </c>
      <c r="HJ76" s="163" t="str">
        <f t="shared" si="31"/>
        <v>#N/A</v>
      </c>
    </row>
    <row r="77" ht="15.75" customHeight="1">
      <c r="A77" s="145">
        <f t="shared" si="32"/>
        <v>74</v>
      </c>
      <c r="B77" s="146">
        <f>'Scénario référence'!$B$16*5+'Scénario référence'!$B$17*0+'Scénario référence'!$B$18*5</f>
        <v>0</v>
      </c>
      <c r="C77" s="160">
        <f>Calculateur!C76+'Scénario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77" s="147">
        <f t="shared" si="33"/>
        <v>0</v>
      </c>
      <c r="E77" s="147">
        <f>'Scénario référence'!$B$16*45+('Scénario référence'!$B$17+'Scénario référence'!$F$8+'Scénario référence'!$F$9+'Scénario référence'!$B$10+'Scénario référence'!$B$9)*70+'Scénario référence'!$B$18*32</f>
        <v>70</v>
      </c>
      <c r="F77" s="147">
        <f>IF(OR('Scénario référence'!$F$8&gt;0,'Scénario référence'!$F$9&gt;0),('Scénario référence'!$F$8+'Scénario référence'!$F$9)*10,0)</f>
        <v>0</v>
      </c>
      <c r="G77" s="147">
        <f>'Scénario référence'!$B$8*B77*44/12+'Scénario référence'!$B$9*(C77+D77)/0.475*44/12+'Scénario référence'!$B$10*(C77+D77)/0.475*44/12+'Scénario référence'!$F$8*(C77+D77)/0.475*44/12+'Scénario référence'!$F$9*(C77+D77)/0.475*44/12</f>
        <v>0</v>
      </c>
      <c r="H77" s="148">
        <f t="shared" si="1"/>
        <v>256.6666667</v>
      </c>
      <c r="I77" s="149">
        <f>('Scénario référence'!$F$8+'Scénario référence'!$F$9+'Scénario référence'!$B$17+'Scénario référence'!$B$9+'Scénario référence'!$B$10)*70+IF((45+25*(1-EXP(-0.0175*A77)))&lt;70,'Scénario référence'!$B$16*(45+25*(1-EXP(-0.0175*A77))),70*'Scénario référence'!$B$16)+IF((32+38*(1-EXP(-0.0175*A77)))&lt;70,'Scénario référence'!$B$18*(32+38*(1-EXP(-0.0175*A77))),70*'Scénario référence'!$B$18)</f>
        <v>70</v>
      </c>
      <c r="J77" s="150">
        <f>IF(A77&gt;30,10,('Scénario référence'!$B$16+'Scénario référence'!$B$17+'Scénario référence'!$B$18+'Scénario référence'!$B$9+'Scénario référence'!$B$10)*A77*10/30+('Scénario référence'!$F$8+'Scénario référence'!$F$9)*10)</f>
        <v>10</v>
      </c>
      <c r="K77" s="151" t="str">
        <f>VLOOKUP(A77,'Données projet'!$A$35:$I$55,2,0)</f>
        <v>#N/A</v>
      </c>
      <c r="L77" s="151" t="str">
        <f>VLOOKUP(A77,'Données projet'!$A$35:$I$55,9,0)</f>
        <v>#N/A</v>
      </c>
      <c r="M77" s="150">
        <f t="array" ref="M77">INDEX(L:L,MIN(IF(ISNUMBER(L77:L273),ROW(L77:L273),"")))</f>
        <v>7.6</v>
      </c>
      <c r="N77" s="150">
        <f>IF('Données projet'!$A$36&gt;35,N76+M77-V76,IF(A77&lt;'Données projet'!$A$36,$K$205^A77,IF(A77='Données projet'!$A$36,'Données projet'!$B$36,N76+M77-V76)))</f>
        <v>304.4</v>
      </c>
      <c r="O77" s="150">
        <f>N77*VLOOKUP('Données projet'!$B$9,'Paramètres'!$A$1:$I$88,3,0)*VLOOKUP('Données projet'!$B$9,'Paramètres'!$A$1:$I$88,5,0)</f>
        <v>275.42112</v>
      </c>
      <c r="P77" s="150">
        <f t="shared" si="34"/>
        <v>65.99843329</v>
      </c>
      <c r="Q77" s="161">
        <f t="shared" si="2"/>
        <v>594.6390553</v>
      </c>
      <c r="R77" s="153">
        <f t="shared" si="3"/>
        <v>887.9723887</v>
      </c>
      <c r="S77" s="153">
        <f>AVERAGE(OFFSET($R$3,0,0,'Données projet'!$E$9+1,1))-AVERAGE(OFFSET($H$3,0,0,'Données projet'!$E$9+1,1))</f>
        <v>439.1985427</v>
      </c>
      <c r="T77" s="153">
        <f t="shared" si="35"/>
        <v>278.2174123</v>
      </c>
      <c r="U77" s="154">
        <f>IF(ISNA(VLOOKUP(A77,'Données projet'!$A$35:$I$55,3,0)),0,VLOOKUP(A77,'Données projet'!$A$35:$I$55,3,0))</f>
        <v>0</v>
      </c>
      <c r="V77" s="154">
        <f>IF(ISNA(VLOOKUP(A77,'Données projet'!$A$35:$I$55,4,0)),0,VLOOKUP(A77,'Données projet'!$A$35:$I$55,4,0))</f>
        <v>0</v>
      </c>
      <c r="W77" s="155">
        <f>IF(ISNA(VLOOKUP(A77,'Données projet'!$A$35:$I$55,5,0)),0%,VLOOKUP(A77,'Données projet'!$A$35:$I$55,5,0)*VLOOKUP('Données projet'!$B$9,'Paramètres'!$A$1:$I$88,7,0))</f>
        <v>0</v>
      </c>
      <c r="X77" s="155">
        <f>IF(ISNA(VLOOKUP(A77,'Données projet'!$A$35:$I$55,6,0)),0%,VLOOKUP(A77,'Données projet'!$A$35:$I$55,6,0)*VLOOKUP('Données projet'!$B$9,'Paramètres'!$A$1:$I$88,7,0))</f>
        <v>0</v>
      </c>
      <c r="Y77" s="155">
        <f>IF(ISNA(VLOOKUP(A77,'Données projet'!$A$35:$I$55,7,0)),0%,VLOOKUP(A77,'Données projet'!$A$35:$I$55,7,0))</f>
        <v>0</v>
      </c>
      <c r="Z77" s="162">
        <f>EXP(-LN(2)/35)*Z76+(1-EXP(-LN(2)/35))/(LN(2)/35)*V77*W77*VLOOKUP('Données projet'!$B$9,'Paramètres'!$A$1:$I$88,3,0)*0.475*44/12</f>
        <v>0</v>
      </c>
      <c r="AA77" s="162">
        <f>EXP(-LN(2)/25)*AA76+(1-EXP(-LN(2)/25))/(LN(2)/25)*Calculateur!V77*Calculateur!X77*VLOOKUP('Données projet'!$B$9,'Paramètres'!$A$1:$I$88,3,0)*0.475*44/12</f>
        <v>1.324949991</v>
      </c>
      <c r="AB77" s="162">
        <f>EXP(-LN(2)/2)*AB76+(1-EXP(-LN(2)/2))/(LN(2)/2)*V77*Y77*VLOOKUP('Données projet'!$B$9,'Paramètres'!$A$1:$I$88,3,0)*0.475*44/12</f>
        <v>0</v>
      </c>
      <c r="AC77" s="163">
        <f t="shared" si="4"/>
        <v>1.324949991</v>
      </c>
      <c r="AD77" s="150">
        <f>('Scénario référence'!$F$8+'Scénario référence'!$F$9+'Scénario référence'!$B$17+'Scénario référence'!$B$9+'Scénario référence'!$B$10)*70+IF((45+25*(1-EXP(-0.0175*A77)))&lt;70,'Scénario référence'!$B$16*(45+25*(1-EXP(-0.0175*A77))),70*'Scénario référence'!$B$16)+IF((32+38*(1-EXP(-0.0175*A77)))&lt;70,'Scénario référence'!$B$18*(32+38*(1-EXP(-0.0175*A77))),70*'Scénario référence'!$B$18)</f>
        <v>70</v>
      </c>
      <c r="AE77" s="150">
        <f>IF(A77&gt;30,10,('Scénario référence'!$B$16+'Scénario référence'!$B$17+'Scénario référence'!$B$18+'Scénario référence'!$B$9+'Scénario référence'!$B$10)*A77*10/30+('Scénario référence'!$F$8+'Scénario référence'!$F$9)*10)</f>
        <v>10</v>
      </c>
      <c r="AF77" s="151" t="str">
        <f>VLOOKUP(A77,'Données projet'!$A$61:$I$81,2,0)</f>
        <v>#N/A</v>
      </c>
      <c r="AG77" s="151" t="str">
        <f>VLOOKUP(A77,'Données projet'!$A$61:$I$81,9,0)</f>
        <v>#N/A</v>
      </c>
      <c r="AH77" s="151">
        <f t="array" ref="AH77">INDEX(AG:AG,MIN(IF(ISNUMBER(AG77:AG273),ROW(AG77:AG273),"")))</f>
        <v>4.8</v>
      </c>
      <c r="AI77" s="150">
        <f>IF('Données projet'!$A$62&gt;35,AI76+AH77-AQ76,IF(A77&lt;'Données projet'!$A$62,$AF$205^A77,IF(A77='Données projet'!$A$62,'Données projet'!$B$62,AI76+AH77-AQ76)))</f>
        <v>370.2</v>
      </c>
      <c r="AJ77" s="150">
        <f>AI77*VLOOKUP('Données projet'!$B$10,'Paramètres'!$A$1:$I$88,3,0)*VLOOKUP('Données projet'!$B$10,'Paramètres'!$A$1:$I$88,5,0)</f>
        <v>294.53112</v>
      </c>
      <c r="AK77" s="150">
        <f t="shared" si="36"/>
        <v>70.02875145</v>
      </c>
      <c r="AL77" s="161">
        <f t="shared" si="5"/>
        <v>634.9417761</v>
      </c>
      <c r="AM77" s="153">
        <f t="shared" si="6"/>
        <v>928.2751094</v>
      </c>
      <c r="AN77" s="153">
        <f>AVERAGE(OFFSET($AM$3,0,0,'Données projet'!$E$10+1,1))-AVERAGE(OFFSET($H$3,0,0,'Données projet'!$E$10+1,1))</f>
        <v>405.6113614</v>
      </c>
      <c r="AO77" s="153">
        <f t="shared" si="37"/>
        <v>393.0787141</v>
      </c>
      <c r="AP77" s="154">
        <f>IF(ISNA(VLOOKUP(A77,'Données projet'!$A$61:$I$81,3,0)),0,VLOOKUP(A77,'Données projet'!$A$61:$I$81,3,0))</f>
        <v>0</v>
      </c>
      <c r="AQ77" s="154">
        <f>IF(ISNA(VLOOKUP(A77,'Données projet'!$A$61:$I$81,4,0)),0,VLOOKUP(A77,'Données projet'!$A$61:$I$81,4,0))</f>
        <v>0</v>
      </c>
      <c r="AR77" s="155">
        <f>IF(ISNA(VLOOKUP(A77,'Données projet'!$A$61:$I$81,5,0)),0%,VLOOKUP(A77,'Données projet'!$A$61:$I$81,5,0)*VLOOKUP('Données projet'!$B$10,'Paramètres'!$A$1:$I$88,7,0))</f>
        <v>0</v>
      </c>
      <c r="AS77" s="155">
        <f>IF(ISNA(VLOOKUP(A77,'Données projet'!$A$61:$I$81,6,0)),0%,VLOOKUP(A77,'Données projet'!$A$61:$I$81,6,0)*VLOOKUP('Données projet'!$B$10,'Paramètres'!$A$1:$I$88,7,0))</f>
        <v>0</v>
      </c>
      <c r="AT77" s="155">
        <f>IF(ISNA(VLOOKUP(A77,'Données projet'!$A$61:$I$81,7,0)),0%,VLOOKUP(A77,'Données projet'!$A$61:$I$81,7,0))</f>
        <v>0</v>
      </c>
      <c r="AU77" s="162">
        <f>EXP(-LN(2)/35)*AU76+(1-EXP(-LN(2)/35))/(LN(2)/35)*AQ77*AR77*VLOOKUP('Données projet'!$B$10,'Paramètres'!$A$1:$I$88,3,0)*0.475*44/12</f>
        <v>0</v>
      </c>
      <c r="AV77" s="162">
        <f>EXP(-LN(2)/25)*AV76+(1-EXP(-LN(2)/25))/(LN(2)/25)*Calculateur!AQ77*Calculateur!AS77*VLOOKUP('Données projet'!$B$10,'Paramètres'!$A$1:$I$88,3,0)*0.475*44/12</f>
        <v>5.38493358</v>
      </c>
      <c r="AW77" s="162">
        <f>EXP(-LN(2)/2)*AW76+(1-EXP(-LN(2)/2))/(LN(2)/2)*AQ77*AT77*VLOOKUP('Données projet'!$B$10,'Paramètres'!$A$1:$I$88,3,0)*0.475*44/12</f>
        <v>0.00000013821416</v>
      </c>
      <c r="AX77" s="162">
        <f t="shared" si="7"/>
        <v>5.384933718</v>
      </c>
      <c r="AY77" s="157">
        <f>('Scénario référence'!$F$8+'Scénario référence'!$F$9+'Scénario référence'!$B$17+'Scénario référence'!$B$9+'Scénario référence'!$B$10)*70+IF((45+25*(1-EXP(-0.0175*A77)))&lt;70,'Scénario référence'!$B$16*(45+25*(1-EXP(-0.0175*A77))),70*'Scénario référence'!$B$16)+IF((32+38*(1-EXP(-0.0175*A77)))&lt;70,'Scénario référence'!$B$18*(32+38*(1-EXP(-0.0175*A77))),70*'Scénario référence'!$B$18)</f>
        <v>70</v>
      </c>
      <c r="AZ77" s="151">
        <f>IF(A77&gt;30,10,('Scénario référence'!$B$16+'Scénario référence'!$B$17+'Scénario référence'!$B$18+'Scénario référence'!$B$9+'Scénario référence'!$B$10)*A77*10/30+('Scénario référence'!$F$8+'Scénario référence'!$F$9)*10)</f>
        <v>10</v>
      </c>
      <c r="BA77" s="151" t="str">
        <f>VLOOKUP(A77,'Données projet'!$A$87:$I$107,2,0)</f>
        <v>#N/A</v>
      </c>
      <c r="BB77" s="151" t="str">
        <f>VLOOKUP(A77,'Données projet'!$A$87:$I$107,9,0)</f>
        <v>#N/A</v>
      </c>
      <c r="BC77" s="150" t="str">
        <f t="array" ref="BC77">INDEX(BB:BB,MIN(IF(ISNUMBER(BB77:BB273),ROW(BB77:BB273),"")))</f>
        <v/>
      </c>
      <c r="BD77" s="150">
        <f>IF('Données projet'!$A$88&gt;35,BD76+BC77-BL76,IF(A77&lt;'Données projet'!$A$88,$BA$205^A77,IF(A77='Données projet'!$A$88,'Données projet'!$B$88,BD76+BC77-BL76)))</f>
        <v>0</v>
      </c>
      <c r="BE77" s="150">
        <f>BD77*VLOOKUP('Données projet'!$B$11,'Paramètres'!$A$1:$I$88,3,0)*VLOOKUP('Données projet'!$B$11,'Paramètres'!$A$1:$I$88,5,0)</f>
        <v>0</v>
      </c>
      <c r="BF77" s="150" t="str">
        <f t="shared" si="38"/>
        <v>#NUM!</v>
      </c>
      <c r="BG77" s="161" t="str">
        <f t="shared" si="8"/>
        <v>#NUM!</v>
      </c>
      <c r="BH77" s="153" t="str">
        <f t="shared" si="9"/>
        <v>#NUM!</v>
      </c>
      <c r="BI77" s="153">
        <f>AVERAGE(OFFSET($BH$3,0,0,'Données projet'!$E$11+1,1))-AVERAGE(OFFSET($H$3,0,0,'Données projet'!$E$11+1,1))</f>
        <v>0</v>
      </c>
      <c r="BJ77" s="153">
        <f t="shared" si="39"/>
        <v>0</v>
      </c>
      <c r="BK77" s="154">
        <f>IF(ISNA(VLOOKUP(A77,'Données projet'!$A$87:$I$107,3,0)),0,VLOOKUP(A77,'Données projet'!$A$87:$I$107,3,0))</f>
        <v>0</v>
      </c>
      <c r="BL77" s="154">
        <f>IF(ISNA(VLOOKUP(A77,'Données projet'!$A$87:$I$107,4,0)),0,VLOOKUP(A77,'Données projet'!$A$87:$I$107,4,0))</f>
        <v>0</v>
      </c>
      <c r="BM77" s="155">
        <f>IF(ISNA(VLOOKUP(A77,'Données projet'!$A$87:$I$107,5,0)),0%,VLOOKUP(A77,'Données projet'!$A$87:$I$107,5,0)*VLOOKUP('Données projet'!$B$11,'Paramètres'!$A$1:$I$88,7,0))</f>
        <v>0</v>
      </c>
      <c r="BN77" s="155">
        <f>IF(ISNA(VLOOKUP(A77,'Données projet'!$A$87:$I$107,6,0)),0%,VLOOKUP(A77,'Données projet'!$A$87:$I$107,6,0)*VLOOKUP('Données projet'!$B$11,'Paramètres'!$A$1:$I$88,7,0))</f>
        <v>0</v>
      </c>
      <c r="BO77" s="155">
        <f>IF(ISNA(VLOOKUP(A77,'Données projet'!$A$87:$I$107,7,0)),0%,VLOOKUP(A77,'Données projet'!$A$87:$I$107,7,0))</f>
        <v>0</v>
      </c>
      <c r="BP77" s="162">
        <f>EXP(-LN(2)/35)*BP76+(1-EXP(-LN(2)/35))/(LN(2)/35)*BL77*BM77*VLOOKUP('Données projet'!$B$11,'Paramètres'!$A$1:$I$88,3,0)*0.475*44/12</f>
        <v>0</v>
      </c>
      <c r="BQ77" s="162">
        <f>EXP(-LN(2)/25)*BQ76+(1-EXP(-LN(2)/25))/(LN(2)/25)*Calculateur!BL77*Calculateur!BN77*VLOOKUP('Données projet'!$B$11,'Paramètres'!$A$1:$I$88,3,0)*0.475*44/12</f>
        <v>0</v>
      </c>
      <c r="BR77" s="162">
        <f>EXP(-LN(2)/2)*BR76+(1-EXP(-LN(2)/2))/(LN(2)/2)*BL77*BO77*VLOOKUP('Données projet'!$B$11,'Paramètres'!$A$1:$I$88,3,0)*0.475*44/12</f>
        <v>0</v>
      </c>
      <c r="BS77" s="163">
        <f t="shared" si="10"/>
        <v>0</v>
      </c>
      <c r="BT77" s="159">
        <f>('Scénario référence'!$F$8+'Scénario référence'!$F$9+'Scénario référence'!$B$17+'Scénario référence'!$B$9+'Scénario référence'!$B$10)*70+IF((45+25*(1-EXP(-0.0175*A77)))&lt;70,'Scénario référence'!$B$16*(45+25*(1-EXP(-0.0175*A77))),70*'Scénario référence'!$B$16)+IF((32+38*(1-EXP(-0.0175*A77)))&lt;70,'Scénario référence'!$B$18*(32+38*(1-EXP(-0.0175*A77))),70*'Scénario référence'!$B$18)</f>
        <v>70</v>
      </c>
      <c r="BU77" s="151">
        <f>IF(A77&gt;30,10,('Scénario référence'!$B$16+'Scénario référence'!$B$17+'Scénario référence'!$B$18+'Scénario référence'!$B$9+'Scénario référence'!$B$10)*A77*10/30+('Scénario référence'!$F$8+'Scénario référence'!$F$9)*10)</f>
        <v>10</v>
      </c>
      <c r="BV77" s="151" t="str">
        <f>VLOOKUP(A77,'Données projet'!$A$113:$I$133,2,0)</f>
        <v>#N/A</v>
      </c>
      <c r="BW77" s="151" t="str">
        <f>VLOOKUP(A77,'Données projet'!$A$113:$I$133,9,0)</f>
        <v>#N/A</v>
      </c>
      <c r="BX77" s="150" t="str">
        <f t="array" ref="BX77">INDEX(BW:BW,MIN(IF(ISNUMBER(BW77:BW273),ROW(BW77:BW273),"")))</f>
        <v/>
      </c>
      <c r="BY77" s="150">
        <f>IF('Données projet'!$A$114&gt;35,BY76+BX77-CG76,IF(A77&lt;'Données projet'!$A$114,$BV$205^A77,IF(A77='Données projet'!$A$114,'Données projet'!$B$114,BY76+BX77-CG76)))</f>
        <v>0</v>
      </c>
      <c r="BZ77" s="150" t="str">
        <f>BY77*VLOOKUP('Données projet'!$B$12,'Paramètres'!$A$1:$I$88,3,0)*VLOOKUP('Données projet'!$B$12,'Paramètres'!$A$1:$I$88,5,0)</f>
        <v>#N/A</v>
      </c>
      <c r="CA77" s="150" t="str">
        <f t="shared" si="40"/>
        <v>#N/A</v>
      </c>
      <c r="CB77" s="161" t="str">
        <f t="shared" si="11"/>
        <v>#N/A</v>
      </c>
      <c r="CC77" s="153" t="str">
        <f t="shared" si="12"/>
        <v>#N/A</v>
      </c>
      <c r="CD77" s="153" t="str">
        <f>AVERAGE(OFFSET($CC$3,0,0,'Données projet'!$E$12+1,1))-AVERAGE(OFFSET($H$3,0,0,'Données projet'!$E$12+1,1))</f>
        <v>#N/A</v>
      </c>
      <c r="CE77" s="153" t="str">
        <f t="shared" si="41"/>
        <v>#N/A</v>
      </c>
      <c r="CF77" s="154">
        <f>IF(ISNA(VLOOKUP(A77,'Données projet'!$A$113:$I$133,3,0)),0,VLOOKUP(A77,'Données projet'!$A$113:$I$133,3,0))</f>
        <v>0</v>
      </c>
      <c r="CG77" s="154">
        <f>IF(ISNA(VLOOKUP(A77,'Données projet'!$A$113:$I$133,4,0)),0,VLOOKUP(A77,'Données projet'!$A$113:$I$133,4,0))</f>
        <v>0</v>
      </c>
      <c r="CH77" s="155">
        <f>IF(ISNA(VLOOKUP(A77,'Données projet'!$A$113:$I$133,5,0)),0%,VLOOKUP(A77,'Données projet'!$A$113:$I$133,5,0)*VLOOKUP('Données projet'!$B$12,'Paramètres'!$A$1:$I$88,7,0))</f>
        <v>0</v>
      </c>
      <c r="CI77" s="155">
        <f>IF(ISNA(VLOOKUP(A77,'Données projet'!$A$113:$I$133,6,0)),0%,VLOOKUP(A77,'Données projet'!$A$113:$I$133,6,0)*VLOOKUP('Données projet'!$B$12,'Paramètres'!$A$1:$I$88,7,0))</f>
        <v>0</v>
      </c>
      <c r="CJ77" s="155">
        <f>IF(ISNA(VLOOKUP(A77,'Données projet'!$A$113:$I$133,7,0)),0%,VLOOKUP(A77,'Données projet'!$A$113:$I$133,7,0))</f>
        <v>0</v>
      </c>
      <c r="CK77" s="162" t="str">
        <f>EXP(-LN(2)/35)*CK76+(1-EXP(-LN(2)/35))/(LN(2)/35)*CG77*CH77*VLOOKUP('Données projet'!$B$12,'Paramètres'!$A$1:$I$88,3,0)*0.475*44/12</f>
        <v>#N/A</v>
      </c>
      <c r="CL77" s="162" t="str">
        <f>EXP(-LN(2)/25)*CL76+(1-EXP(-LN(2)/25))/(LN(2)/25)*Calculateur!CG77*Calculateur!CI77*VLOOKUP('Données projet'!$B$12,'Paramètres'!$A$1:$I$88,3,0)*0.475*44/12</f>
        <v>#N/A</v>
      </c>
      <c r="CM77" s="162" t="str">
        <f>EXP(-LN(2)/2)*CM76+(1-EXP(-LN(2)/2))/(LN(2)/2)*CG77*CJ77*VLOOKUP('Données projet'!$B$12,'Paramètres'!$A$1:$I$88,3,0)*0.475*44/12</f>
        <v>#N/A</v>
      </c>
      <c r="CN77" s="163" t="str">
        <f t="shared" si="13"/>
        <v>#N/A</v>
      </c>
      <c r="CO77" s="159">
        <f>('Scénario référence'!$F$8+'Scénario référence'!$F$9+'Scénario référence'!$B$17+'Scénario référence'!$B$9+'Scénario référence'!$B$10)*70+IF((45+25*(1-EXP(-0.0175*A77)))&lt;70,'Scénario référence'!$B$16*(45+25*(1-EXP(-0.0175*A77))),70*'Scénario référence'!$B$16)+IF((32+38*(1-EXP(-0.0175*A77)))&lt;70,'Scénario référence'!$B$18*(32+38*(1-EXP(-0.0175*A77))),70*'Scénario référence'!$B$18)</f>
        <v>70</v>
      </c>
      <c r="CP77" s="151">
        <f>IF(A77&gt;30,10,('Scénario référence'!$B$16+'Scénario référence'!$B$17+'Scénario référence'!$B$18+'Scénario référence'!$B$9+'Scénario référence'!$B$10)*A77*10/30+('Scénario référence'!$F$8+'Scénario référence'!$F$9)*10)</f>
        <v>10</v>
      </c>
      <c r="CQ77" s="151" t="str">
        <f>VLOOKUP(A77,'Données projet'!$A$139:$I$159,2,0)</f>
        <v>#N/A</v>
      </c>
      <c r="CR77" s="151" t="str">
        <f>VLOOKUP(A77,'Données projet'!$A$139:$I$159,9,0)</f>
        <v>#N/A</v>
      </c>
      <c r="CS77" s="151" t="str">
        <f t="array" ref="CS77">INDEX(CR:CR,MIN(IF(ISNUMBER(CR77:CR273),ROW(CR77:CR273),"")))</f>
        <v/>
      </c>
      <c r="CT77" s="151">
        <f>IF('Données projet'!$A$140&gt;35,CT76+CS77-DB76,IF(A77&lt;'Données projet'!$A$140,$CQ$205^A77,IF(A77='Données projet'!$A$140,'Données projet'!$B$140,CT76+CS77-DB76)))</f>
        <v>0</v>
      </c>
      <c r="CU77" s="158" t="str">
        <f>CT77*VLOOKUP('Données projet'!$B$13,'Paramètres'!$A$1:$I$88,3,0)*VLOOKUP('Données projet'!$B$13,'Paramètres'!$A$1:$I$88,5,0)</f>
        <v>#N/A</v>
      </c>
      <c r="CV77" s="150" t="str">
        <f t="shared" si="42"/>
        <v>#N/A</v>
      </c>
      <c r="CW77" s="161" t="str">
        <f t="shared" si="14"/>
        <v>#N/A</v>
      </c>
      <c r="CX77" s="153" t="str">
        <f t="shared" si="15"/>
        <v>#N/A</v>
      </c>
      <c r="CY77" s="153" t="str">
        <f>AVERAGE(OFFSET($CX$3,0,0,'Données projet'!$E$13+1,1))-AVERAGE(OFFSET($H$3,0,0,'Données projet'!$E$13+1,1))</f>
        <v>#N/A</v>
      </c>
      <c r="CZ77" s="153" t="str">
        <f t="shared" si="43"/>
        <v>#N/A</v>
      </c>
      <c r="DA77" s="154">
        <f>IF(ISNA(VLOOKUP(A77,'Données projet'!$A$139:$I$159,3,0)),0,VLOOKUP(A77,'Données projet'!$A$139:$I$159,3,0))</f>
        <v>0</v>
      </c>
      <c r="DB77" s="154">
        <f>IF(ISNA(VLOOKUP(A77,'Données projet'!$A$139:$I$159,4,0)),0,VLOOKUP(A77,'Données projet'!$A$139:$I$159,4,0))</f>
        <v>0</v>
      </c>
      <c r="DC77" s="155">
        <f>IF(ISNA(VLOOKUP(A77,'Données projet'!$A$139:$I$159,5,0)),0%,VLOOKUP(A77,'Données projet'!$A$139:$I$159,5,0)*VLOOKUP('Données projet'!$B$13,'Paramètres'!$A$1:$I$88,7,0))</f>
        <v>0</v>
      </c>
      <c r="DD77" s="155">
        <f>IF(ISNA(VLOOKUP(A77,'Données projet'!$A$139:$I$159,6,0)),0%,VLOOKUP(A77,'Données projet'!$A$139:$I$159,6,0)*VLOOKUP('Données projet'!$B$13,'Paramètres'!$A$1:$I$88,7,0))</f>
        <v>0</v>
      </c>
      <c r="DE77" s="155">
        <f>IF(ISNA(VLOOKUP(A77,'Données projet'!$A$139:$I$159,7,0)),0%,VLOOKUP(A77,'Données projet'!$A$139:$I$159,7,0))</f>
        <v>0</v>
      </c>
      <c r="DF77" s="162" t="str">
        <f>EXP(-LN(2)/35)*DF76+(1-EXP(-LN(2)/35))/(LN(2)/35)*DB77*DC77*VLOOKUP('Données projet'!$B$13,'Paramètres'!$A$1:$I$88,3,0)*0.475*44/12</f>
        <v>#N/A</v>
      </c>
      <c r="DG77" s="162" t="str">
        <f>EXP(-LN(2)/25)*DG76+(1-EXP(-LN(2)/25))/(LN(2)/25)*Calculateur!DB77*Calculateur!DD77*VLOOKUP('Données projet'!$B$13,'Paramètres'!$A$1:$I$88,3,0)*0.475*44/12</f>
        <v>#N/A</v>
      </c>
      <c r="DH77" s="162" t="str">
        <f>EXP(-LN(2)/2)*DH76+(1-EXP(-LN(2)/2))/(LN(2)/2)*DB77*DE77*VLOOKUP('Données projet'!$B$13,'Paramètres'!$A$1:$I$88,3,0)*0.475*44/12</f>
        <v>#N/A</v>
      </c>
      <c r="DI77" s="163" t="str">
        <f t="shared" si="16"/>
        <v>#N/A</v>
      </c>
      <c r="DJ77" s="159">
        <f>('Scénario référence'!$F$8+'Scénario référence'!$F$9+'Scénario référence'!$B$17+'Scénario référence'!$B$9+'Scénario référence'!$B$10)*70+IF((45+25*(1-EXP(-0.0175*A77)))&lt;70,'Scénario référence'!$B$16*(45+25*(1-EXP(-0.0175*A77))),70*'Scénario référence'!$B$16)+IF((32+38*(1-EXP(-0.0175*A77)))&lt;70,'Scénario référence'!$B$18*(32+38*(1-EXP(-0.0175*A77))),70*'Scénario référence'!$B$18)</f>
        <v>70</v>
      </c>
      <c r="DK77" s="151">
        <f>IF(A77&gt;30,10,('Scénario référence'!$B$16+'Scénario référence'!$B$17+'Scénario référence'!$B$18+'Scénario référence'!$B$9+'Scénario référence'!$B$10)*A77*10/30+('Scénario référence'!$F$8+'Scénario référence'!$F$9)*10)</f>
        <v>10</v>
      </c>
      <c r="DL77" s="151" t="str">
        <f>VLOOKUP(A77,'Données projet'!$A$165:$I$185,2,0)</f>
        <v>#N/A</v>
      </c>
      <c r="DM77" s="151" t="str">
        <f>VLOOKUP(A77,'Données projet'!$A$165:$I$185,9,0)</f>
        <v>#N/A</v>
      </c>
      <c r="DN77" s="151" t="str">
        <f t="array" ref="DN77">INDEX(DM:DM,MIN(IF(ISNUMBER(DM77:DM273),ROW(DM77:DM273),"")))</f>
        <v/>
      </c>
      <c r="DO77" s="151">
        <f>IF('Données projet'!$A$166&gt;35,DO76+DN77-DW76,IF(A77&lt;'Données projet'!$A$166,$DL$205^A77,IF(A77='Données projet'!$A$166,'Données projet'!$B$166,DO76+DN77-DW76)))</f>
        <v>0</v>
      </c>
      <c r="DP77" s="158" t="str">
        <f>DO77*VLOOKUP('Données projet'!$B$14,'Paramètres'!$A$1:$I$88,3,0)*VLOOKUP('Données projet'!$B$14,'Paramètres'!$A$1:$I$88,5,0)</f>
        <v>#N/A</v>
      </c>
      <c r="DQ77" s="150" t="str">
        <f t="shared" si="44"/>
        <v>#N/A</v>
      </c>
      <c r="DR77" s="161" t="str">
        <f t="shared" si="17"/>
        <v>#N/A</v>
      </c>
      <c r="DS77" s="153" t="str">
        <f t="shared" si="18"/>
        <v>#N/A</v>
      </c>
      <c r="DT77" s="153" t="str">
        <f>AVERAGE(OFFSET($DS$3,0,0,'Données projet'!$E$14+1,1))-AVERAGE(OFFSET($H$3,0,0,'Données projet'!$E$14+1,1))</f>
        <v>#N/A</v>
      </c>
      <c r="DU77" s="153" t="str">
        <f t="shared" si="45"/>
        <v>#N/A</v>
      </c>
      <c r="DV77" s="154">
        <f>IF(ISNA(VLOOKUP(A77,'Données projet'!$A$165:$I$185,3,0)),0,VLOOKUP(A77,'Données projet'!$A$165:$I$185,3,0))</f>
        <v>0</v>
      </c>
      <c r="DW77" s="154">
        <f>IF(ISNA(VLOOKUP(A77,'Données projet'!$A$165:$I$185,4,0)),0,VLOOKUP(A77,'Données projet'!$A$165:$I$185,4,0))</f>
        <v>0</v>
      </c>
      <c r="DX77" s="155">
        <f>IF(ISNA(VLOOKUP(A77,'Données projet'!$A$165:$I$185,5,0)),0%,VLOOKUP(A77,'Données projet'!$A$165:$I$185,5,0)*VLOOKUP('Données projet'!$B$14,'Paramètres'!$A$1:$I$88,7,0))</f>
        <v>0</v>
      </c>
      <c r="DY77" s="155">
        <f>IF(ISNA(VLOOKUP(A77,'Données projet'!$A$165:$I$185,6,0)),0%,VLOOKUP(A77,'Données projet'!$A$165:$I$185,6,0)*VLOOKUP('Données projet'!$B$14,'Paramètres'!$A$1:$I$88,7,0))</f>
        <v>0</v>
      </c>
      <c r="DZ77" s="155">
        <f>IF(ISNA(VLOOKUP(A77,'Données projet'!$A$165:$I$185,7,0)),0%,VLOOKUP(A77,'Données projet'!$A$165:$I$185,7,0))</f>
        <v>0</v>
      </c>
      <c r="EA77" s="162" t="str">
        <f>EXP(-LN(2)/35)*EA76+(1-EXP(-LN(2)/35))/(LN(2)/35)*DW77*DX77*VLOOKUP('Données projet'!$B$14,'Paramètres'!$A$1:$I$88,3,0)*0.475*44/12</f>
        <v>#N/A</v>
      </c>
      <c r="EB77" s="162" t="str">
        <f>EXP(-LN(2)/25)*EB76+(1-EXP(-LN(2)/25))/(LN(2)/25)*Calculateur!DW77*Calculateur!DY77*VLOOKUP('Données projet'!$B$14,'Paramètres'!$A$1:$I$88,3,0)*0.475*44/12</f>
        <v>#N/A</v>
      </c>
      <c r="EC77" s="162" t="str">
        <f>EXP(-LN(2)/2)*EC76+(1-EXP(-LN(2)/2))/(LN(2)/2)*DW77*DZ77*VLOOKUP('Données projet'!$B$14,'Paramètres'!$A$1:$I$88,3,0)*0.475*44/12</f>
        <v>#N/A</v>
      </c>
      <c r="ED77" s="163" t="str">
        <f t="shared" si="19"/>
        <v>#N/A</v>
      </c>
      <c r="EE77" s="159">
        <f>('Scénario référence'!$F$8+'Scénario référence'!$F$9+'Scénario référence'!$B$17+'Scénario référence'!$B$9+'Scénario référence'!$B$10)*70+IF((45+25*(1-EXP(-0.0175*A77)))&lt;70,'Scénario référence'!$B$16*(45+25*(1-EXP(-0.0175*A77))),70*'Scénario référence'!$B$16)+IF((32+38*(1-EXP(-0.0175*A77)))&lt;70,'Scénario référence'!$B$18*(32+38*(1-EXP(-0.0175*A77))),70*'Scénario référence'!$B$18)</f>
        <v>70</v>
      </c>
      <c r="EF77" s="151">
        <f>IF(A77&gt;30,10,('Scénario référence'!$B$16+'Scénario référence'!$B$17+'Scénario référence'!$B$18+'Scénario référence'!$B$9+'Scénario référence'!$B$10)*A77*10/30+('Scénario référence'!$F$8+'Scénario référence'!$F$9)*10)</f>
        <v>10</v>
      </c>
      <c r="EG77" s="151" t="str">
        <f>VLOOKUP(A77,'Données projet'!$A$191:$I$211,2,0)</f>
        <v>#N/A</v>
      </c>
      <c r="EH77" s="151" t="str">
        <f>VLOOKUP(A77,'Données projet'!$A$191:$I$211,9,0)</f>
        <v>#N/A</v>
      </c>
      <c r="EI77" s="151" t="str">
        <f t="array" ref="EI77">INDEX(EH:EH,MIN(IF(ISNUMBER(EH77:EH273),ROW(EH77:EH273),"")))</f>
        <v/>
      </c>
      <c r="EJ77" s="151">
        <f>IF('Données projet'!$A$192&gt;35,EJ76+EI77-ER76,IF(A77&lt;'Données projet'!$A$192,$EG$205^A77,IF(A77='Données projet'!$A$192,'Données projet'!$B$192,EJ76+EI77-ER76)))</f>
        <v>0</v>
      </c>
      <c r="EK77" s="158" t="str">
        <f>EJ77*VLOOKUP('Données projet'!$B$15,'Paramètres'!$A$1:$I$88,3,0)*VLOOKUP('Données projet'!$B$15,'Paramètres'!$A$1:$I$88,5,0)</f>
        <v>#N/A</v>
      </c>
      <c r="EL77" s="150" t="str">
        <f t="shared" si="46"/>
        <v>#N/A</v>
      </c>
      <c r="EM77" s="161" t="str">
        <f t="shared" si="20"/>
        <v>#N/A</v>
      </c>
      <c r="EN77" s="153" t="str">
        <f t="shared" si="21"/>
        <v>#N/A</v>
      </c>
      <c r="EO77" s="153" t="str">
        <f>AVERAGE(OFFSET($EN$3,0,0,'Données projet'!$E$15+1,1))-AVERAGE(OFFSET($H$3,0,0,'Données projet'!$E$15+1,1))</f>
        <v>#N/A</v>
      </c>
      <c r="EP77" s="153" t="str">
        <f t="shared" si="47"/>
        <v>#N/A</v>
      </c>
      <c r="EQ77" s="154">
        <f>IF(ISNA(VLOOKUP(A77,'Données projet'!$A$191:$I$211,3,0)),0,VLOOKUP(A77,'Données projet'!$A$191:$I$211,3,0))</f>
        <v>0</v>
      </c>
      <c r="ER77" s="154">
        <f>IF(ISNA(VLOOKUP(A77,'Données projet'!$A$191:$I$211,4,0)),0,VLOOKUP(A77,'Données projet'!$A$191:$I$211,4,0))</f>
        <v>0</v>
      </c>
      <c r="ES77" s="155">
        <f>IF(ISNA(VLOOKUP(A77,'Données projet'!$A$191:$I$211,5,0)),0%,VLOOKUP(A77,'Données projet'!$A$191:$I$211,5,0)*VLOOKUP('Données projet'!$B$15,'Paramètres'!$A$1:$I$88,7,0))</f>
        <v>0</v>
      </c>
      <c r="ET77" s="155">
        <f>IF(ISNA(VLOOKUP(A77,'Données projet'!$A$191:$I$211,6,0)),0%,VLOOKUP(A77,'Données projet'!$A$191:$I$211,6,0)*VLOOKUP('Données projet'!$B$15,'Paramètres'!$A$1:$I$88,7,0))</f>
        <v>0</v>
      </c>
      <c r="EU77" s="155">
        <f>IF(ISNA(VLOOKUP(A77,'Données projet'!$A$191:$I$211,7,0)),0%,VLOOKUP(A77,'Données projet'!$A$191:$I$211,7,0))</f>
        <v>0</v>
      </c>
      <c r="EV77" s="162" t="str">
        <f>EXP(-LN(2)/35)*EV76+(1-EXP(-LN(2)/35))/(LN(2)/35)*ER77*ES77*VLOOKUP('Données projet'!$B$15,'Paramètres'!$A$1:$I$88,3,0)*0.475*44/12</f>
        <v>#N/A</v>
      </c>
      <c r="EW77" s="162" t="str">
        <f>EXP(-LN(2)/25)*EW76+(1-EXP(-LN(2)/25))/(LN(2)/25)*Calculateur!ER77*Calculateur!ET77*VLOOKUP('Données projet'!$B$15,'Paramètres'!$A$1:$I$88,3,0)*0.475*44/12</f>
        <v>#N/A</v>
      </c>
      <c r="EX77" s="162" t="str">
        <f>EXP(-LN(2)/2)*EX76+(1-EXP(-LN(2)/2))/(LN(2)/2)*ER77*EU77*VLOOKUP('Données projet'!$B$15,'Paramètres'!$A$1:$I$88,3,0)*0.475*44/12</f>
        <v>#N/A</v>
      </c>
      <c r="EY77" s="163" t="str">
        <f t="shared" si="22"/>
        <v>#N/A</v>
      </c>
      <c r="EZ77" s="159">
        <f>('Scénario référence'!$F$8+'Scénario référence'!$F$9+'Scénario référence'!$B$17+'Scénario référence'!$B$9+'Scénario référence'!$B$10)*70+IF((45+25*(1-EXP(-0.0175*A77)))&lt;70,'Scénario référence'!$B$16*(45+25*(1-EXP(-0.0175*A77))),70*'Scénario référence'!$B$16)+IF((32+38*(1-EXP(-0.0175*A77)))&lt;70,'Scénario référence'!$B$18*(32+38*(1-EXP(-0.0175*A77))),70*'Scénario référence'!$B$18)</f>
        <v>70</v>
      </c>
      <c r="FA77" s="151">
        <f>IF(A77&gt;30,10,('Scénario référence'!$B$16+'Scénario référence'!$B$17+'Scénario référence'!$B$18+'Scénario référence'!$B$9+'Scénario référence'!$B$10)*A77*10/30+('Scénario référence'!$F$8+'Scénario référence'!$F$9)*10)</f>
        <v>10</v>
      </c>
      <c r="FB77" s="151" t="str">
        <f>VLOOKUP(A77,'Données projet'!$A$217:$I$237,2,0)</f>
        <v>#N/A</v>
      </c>
      <c r="FC77" s="151" t="str">
        <f>VLOOKUP(A77,'Données projet'!$A$217:$I$237,9,0)</f>
        <v>#N/A</v>
      </c>
      <c r="FD77" s="151" t="str">
        <f t="array" ref="FD77">INDEX(FC:FC,MIN(IF(ISNUMBER(FC77:FC273),ROW(FC77:FC273),"")))</f>
        <v/>
      </c>
      <c r="FE77" s="151">
        <f>IF('Données projet'!$A$218&gt;35,FE76+FD77-FM76,IF(A77&lt;'Données projet'!$A$218,$FB$205^A77,IF(A77='Données projet'!$A$218,'Données projet'!$B$218,FE76+FD77-FM76)))</f>
        <v>0</v>
      </c>
      <c r="FF77" s="158" t="str">
        <f>FE77*VLOOKUP('Données projet'!$B$16,'Paramètres'!$A$1:$I$88,3,0)*VLOOKUP('Données projet'!$B$16,'Paramètres'!$A$1:$I$88,5,0)</f>
        <v>#N/A</v>
      </c>
      <c r="FG77" s="150" t="str">
        <f t="shared" si="48"/>
        <v>#N/A</v>
      </c>
      <c r="FH77" s="161" t="str">
        <f t="shared" si="23"/>
        <v>#N/A</v>
      </c>
      <c r="FI77" s="153" t="str">
        <f t="shared" si="24"/>
        <v>#N/A</v>
      </c>
      <c r="FJ77" s="153" t="str">
        <f>AVERAGE(OFFSET($FI$3,0,0,'Données projet'!$E$16+1,1))-AVERAGE(OFFSET($H$3,0,0,'Données projet'!$E$16+1,1))</f>
        <v>#N/A</v>
      </c>
      <c r="FK77" s="153" t="str">
        <f t="shared" si="49"/>
        <v>#N/A</v>
      </c>
      <c r="FL77" s="154">
        <f>IF(ISNA(VLOOKUP(A77,'Données projet'!$A$217:$I$237,3,0)),0,VLOOKUP(A77,'Données projet'!$A$217:$I$237,3,0))</f>
        <v>0</v>
      </c>
      <c r="FM77" s="154">
        <f>IF(ISNA(VLOOKUP(A77,'Données projet'!$A$217:$I$237,4,0)),0,VLOOKUP(A77,'Données projet'!$A$217:$I$237,4,0))</f>
        <v>0</v>
      </c>
      <c r="FN77" s="155">
        <f>IF(ISNA(VLOOKUP(A77,'Données projet'!$A$217:$I$237,5,0)),0%,VLOOKUP(A77,'Données projet'!$A$217:$I$237,5,0)*VLOOKUP('Données projet'!$B$16,'Paramètres'!$A$1:$I$88,7,0))</f>
        <v>0</v>
      </c>
      <c r="FO77" s="155">
        <f>IF(ISNA(VLOOKUP(A77,'Données projet'!$A$217:$I$237,6,0)),0%,VLOOKUP(A77,'Données projet'!$A$217:$I$237,6,0)*VLOOKUP('Données projet'!$B$16,'Paramètres'!$A$1:$I$88,7,0))</f>
        <v>0</v>
      </c>
      <c r="FP77" s="155">
        <f>IF(ISNA(VLOOKUP(A77,'Données projet'!$A$217:$I$237,7,0)),0%,VLOOKUP(A77,'Données projet'!$A$217:$I$237,7,0))</f>
        <v>0</v>
      </c>
      <c r="FQ77" s="162" t="str">
        <f>EXP(-LN(2)/35)*FQ76+(1-EXP(-LN(2)/35))/(LN(2)/35)*FM77*FN77*VLOOKUP('Données projet'!$B$16,'Paramètres'!$A$1:$I$88,3,0)*0.475*44/12</f>
        <v>#N/A</v>
      </c>
      <c r="FR77" s="162" t="str">
        <f>EXP(-LN(2)/25)*FR76+(1-EXP(-LN(2)/25))/(LN(2)/25)*Calculateur!FM77*Calculateur!FO77*VLOOKUP('Données projet'!$B$16,'Paramètres'!$A$1:$I$88,3,0)*0.475*44/12</f>
        <v>#N/A</v>
      </c>
      <c r="FS77" s="162" t="str">
        <f>EXP(-LN(2)/2)*FS76+(1-EXP(-LN(2)/2))/(LN(2)/2)*FM77*FP77*VLOOKUP('Données projet'!$B$16,'Paramètres'!$A$1:$I$88,3,0)*0.475*44/12</f>
        <v>#N/A</v>
      </c>
      <c r="FT77" s="163" t="str">
        <f t="shared" si="25"/>
        <v>#N/A</v>
      </c>
      <c r="FU77" s="159">
        <f>('Scénario référence'!$F$8+'Scénario référence'!$F$9+'Scénario référence'!$B$17+'Scénario référence'!$B$9+'Scénario référence'!$B$10)*70+IF((45+25*(1-EXP(-0.0175*A77)))&lt;70,'Scénario référence'!$B$16*(45+25*(1-EXP(-0.0175*A77))),70*'Scénario référence'!$B$16)+IF((32+38*(1-EXP(-0.0175*A77)))&lt;70,'Scénario référence'!$B$18*(32+38*(1-EXP(-0.0175*A77))),70*'Scénario référence'!$B$18)</f>
        <v>70</v>
      </c>
      <c r="FV77" s="151">
        <f>IF(A77&gt;30,10,('Scénario référence'!$B$16+'Scénario référence'!$B$17+'Scénario référence'!$B$18+'Scénario référence'!$B$9+'Scénario référence'!$B$10)*A77*10/30+('Scénario référence'!$F$8+'Scénario référence'!$F$9)*10)</f>
        <v>10</v>
      </c>
      <c r="FW77" s="151" t="str">
        <f>VLOOKUP(A77,'Données projet'!$A$243:$I$263,2,0)</f>
        <v>#N/A</v>
      </c>
      <c r="FX77" s="151" t="str">
        <f>VLOOKUP(A77,'Données projet'!$A$243:$I$263,9,0)</f>
        <v>#N/A</v>
      </c>
      <c r="FY77" s="151" t="str">
        <f t="array" ref="FY77">INDEX(FX:FX,MIN(IF(ISNUMBER(FX77:FX273),ROW(FX77:FX273),"")))</f>
        <v/>
      </c>
      <c r="FZ77" s="151">
        <f>IF('Données projet'!$A$244&gt;35,FZ76+FY77-GH76,IF(A77&lt;'Données projet'!$A$244,$FW$205^A77,IF(A77='Données projet'!$A$244,'Données projet'!$B$244,FZ76+FY77-GH76)))</f>
        <v>0</v>
      </c>
      <c r="GA77" s="158" t="str">
        <f>FZ77*VLOOKUP('Données projet'!$B$17,'Paramètres'!$A$1:$I$88,3,0)*VLOOKUP('Données projet'!$B$17,'Paramètres'!$A$1:$I$88,5,0)</f>
        <v>#N/A</v>
      </c>
      <c r="GB77" s="150" t="str">
        <f t="shared" si="50"/>
        <v>#N/A</v>
      </c>
      <c r="GC77" s="161" t="str">
        <f t="shared" si="26"/>
        <v>#N/A</v>
      </c>
      <c r="GD77" s="153" t="str">
        <f t="shared" si="27"/>
        <v>#N/A</v>
      </c>
      <c r="GE77" s="153" t="str">
        <f>AVERAGE(OFFSET($GD$3,0,0,'Données projet'!$E$17+1,1))-AVERAGE(OFFSET($H$3,0,0,'Données projet'!$E$17+1,1))</f>
        <v>#N/A</v>
      </c>
      <c r="GF77" s="153" t="str">
        <f t="shared" si="51"/>
        <v>#N/A</v>
      </c>
      <c r="GG77" s="154">
        <f>IF(ISNA(VLOOKUP(A77,'Données projet'!$A$243:$I$263,3,0)),0,VLOOKUP(A77,'Données projet'!$A$243:$I$263,3,0))</f>
        <v>0</v>
      </c>
      <c r="GH77" s="154">
        <f>IF(ISNA(VLOOKUP(A77,'Données projet'!$A$243:$I$263,4,0)),0,VLOOKUP(A77,'Données projet'!$A$243:$I$263,4,0))</f>
        <v>0</v>
      </c>
      <c r="GI77" s="155">
        <f>IF(ISNA(VLOOKUP(A77,'Données projet'!$A$243:$I$263,5,0)),0%,VLOOKUP(A77,'Données projet'!$A$243:$I$263,5,0)*VLOOKUP('Données projet'!$B$17,'Paramètres'!$A$1:$I$88,7,0))</f>
        <v>0</v>
      </c>
      <c r="GJ77" s="155">
        <f>IF(ISNA(VLOOKUP(A77,'Données projet'!$A$243:$I$263,6,0)),0%,VLOOKUP(A77,'Données projet'!$A$243:$I$263,6,0)*VLOOKUP('Données projet'!$B$17,'Paramètres'!$A$1:$I$88,7,0))</f>
        <v>0</v>
      </c>
      <c r="GK77" s="155">
        <f>IF(ISNA(VLOOKUP(A77,'Données projet'!$A$243:$I$263,7,0)),0%,VLOOKUP(A77,'Données projet'!$A$243:$I$263,7,0))</f>
        <v>0</v>
      </c>
      <c r="GL77" s="162" t="str">
        <f>EXP(-LN(2)/35)*GL76+(1-EXP(-LN(2)/35))/(LN(2)/35)*GH77*GI77*VLOOKUP('Données projet'!$B$17,'Paramètres'!$A$1:$I$88,3,0)*0.475*44/12</f>
        <v>#N/A</v>
      </c>
      <c r="GM77" s="162" t="str">
        <f>EXP(-LN(2)/25)*GM76+(1-EXP(-LN(2)/25))/(LN(2)/25)*Calculateur!GH77*Calculateur!GJ77*VLOOKUP('Données projet'!$B$17,'Paramètres'!$A$1:$I$88,3,0)*0.475*44/12</f>
        <v>#N/A</v>
      </c>
      <c r="GN77" s="162" t="str">
        <f>EXP(-LN(2)/2)*GN76+(1-EXP(-LN(2)/2))/(LN(2)/2)*GH77*GK77*VLOOKUP('Données projet'!$B$17,'Paramètres'!$A$1:$I$88,3,0)*0.475*44/12</f>
        <v>#N/A</v>
      </c>
      <c r="GO77" s="162" t="str">
        <f t="shared" si="28"/>
        <v>#N/A</v>
      </c>
      <c r="GP77" s="159">
        <f>('Scénario référence'!$F$8+'Scénario référence'!$F$9+'Scénario référence'!$B$17+'Scénario référence'!$B$9+'Scénario référence'!$B$10)*70+IF((45+25*(1-EXP(-0.0175*A77)))&lt;70,'Scénario référence'!$B$16*(45+25*(1-EXP(-0.0175*A77))),70*'Scénario référence'!$B$16)+IF((32+38*(1-EXP(-0.0175*A77)))&lt;70,'Scénario référence'!$B$18*(32+38*(1-EXP(-0.0175*A77))),70*'Scénario référence'!$B$18)</f>
        <v>70</v>
      </c>
      <c r="GQ77" s="151">
        <f>IF(A77&gt;30,10,('Scénario référence'!$B$16+'Scénario référence'!$B$17+'Scénario référence'!$B$18+'Scénario référence'!$B$9+'Scénario référence'!$B$10)*A77*10/30+('Scénario référence'!$F$8+'Scénario référence'!$F$9)*10)</f>
        <v>10</v>
      </c>
      <c r="GR77" s="151" t="str">
        <f>VLOOKUP(A77,'Données projet'!$A$269:$I$289,2,0)</f>
        <v>#N/A</v>
      </c>
      <c r="GS77" s="151" t="str">
        <f>VLOOKUP(A77,'Données projet'!$A$269:$I$289,9,0)</f>
        <v>#N/A</v>
      </c>
      <c r="GT77" s="151" t="str">
        <f t="array" ref="GT77">INDEX(GS:GS,MIN(IF(ISNUMBER(GS77:GS273),ROW(GS77:GS273),"")))</f>
        <v/>
      </c>
      <c r="GU77" s="151">
        <f>IF('Données projet'!$A$270&gt;35,GU76+GT77-HC76,IF(A77&lt;'Données projet'!$A$270,$GR$205^A77,IF(A77='Données projet'!$A$270,'Données projet'!$B$270,GU76+GT77-HC76)))</f>
        <v>0</v>
      </c>
      <c r="GV77" s="158" t="str">
        <f>GU77*VLOOKUP('Données projet'!$B$18,'Paramètres'!$A$1:$I$88,3,0)*VLOOKUP('Données projet'!$B$18,'Paramètres'!$A$1:$I$88,5,0)</f>
        <v>#N/A</v>
      </c>
      <c r="GW77" s="150" t="str">
        <f t="shared" si="52"/>
        <v>#N/A</v>
      </c>
      <c r="GX77" s="161" t="str">
        <f t="shared" si="29"/>
        <v>#N/A</v>
      </c>
      <c r="GY77" s="153" t="str">
        <f t="shared" si="30"/>
        <v>#N/A</v>
      </c>
      <c r="GZ77" s="153" t="str">
        <f>AVERAGE(OFFSET($GY$3,0,0,'Données projet'!$E$18+1,1))-AVERAGE(OFFSET($H$3,0,0,'Données projet'!$E$18+1,1))</f>
        <v>#N/A</v>
      </c>
      <c r="HA77" s="153" t="str">
        <f t="shared" si="53"/>
        <v>#N/A</v>
      </c>
      <c r="HB77" s="154">
        <f>IF(ISNA(VLOOKUP(A77,'Données projet'!$A$269:$I$289,3,0)),0,VLOOKUP(A77,'Données projet'!$A$269:$I$289,3,0))</f>
        <v>0</v>
      </c>
      <c r="HC77" s="154">
        <f>IF(ISNA(VLOOKUP(A77,'Données projet'!$A$269:$I$289,4,0)),0,VLOOKUP(A77,'Données projet'!$A$269:$I$289,4,0))</f>
        <v>0</v>
      </c>
      <c r="HD77" s="155">
        <f>IF(ISNA(VLOOKUP(A77,'Données projet'!$A$269:$I$289,5,0)),0%,VLOOKUP(A77,'Données projet'!$A$269:$I$289,5,0)*VLOOKUP('Données projet'!$B$18,'Paramètres'!$A$1:$I$88,7,0))</f>
        <v>0</v>
      </c>
      <c r="HE77" s="155">
        <f>IF(ISNA(VLOOKUP(A77,'Données projet'!$A$269:$I$289,6,0)),0%,VLOOKUP(A77,'Données projet'!$A$269:$I$289,6,0)*VLOOKUP('Données projet'!$B$18,'Paramètres'!$A$1:$I$88,7,0))</f>
        <v>0</v>
      </c>
      <c r="HF77" s="155">
        <f>IF(ISNA(VLOOKUP(A77,'Données projet'!$A$269:$I$289,7,0)),0%,VLOOKUP(A77,'Données projet'!$A$269:$I$289,7,0))</f>
        <v>0</v>
      </c>
      <c r="HG77" s="162" t="str">
        <f>EXP(-LN(2)/35)*HG76+(1-EXP(-LN(2)/35))/(LN(2)/35)*HC77*HD77*VLOOKUP('Données projet'!$B$18,'Paramètres'!$A$1:$I$88,3,0)*0.475*44/12</f>
        <v>#N/A</v>
      </c>
      <c r="HH77" s="162" t="str">
        <f>EXP(-LN(2)/25)*HH76+(1-EXP(-LN(2)/25))/(LN(2)/25)*Calculateur!HC77*Calculateur!HE77*VLOOKUP('Données projet'!$B$18,'Paramètres'!$A$1:$I$88,3,0)*0.475*44/12</f>
        <v>#N/A</v>
      </c>
      <c r="HI77" s="162" t="str">
        <f>EXP(-LN(2)/2)*HI76+(1-EXP(-LN(2)/2))/(LN(2)/2)*HC77*HF77*VLOOKUP('Données projet'!$B$18,'Paramètres'!$A$1:$I$88,3,0)*0.475*44/12</f>
        <v>#N/A</v>
      </c>
      <c r="HJ77" s="163" t="str">
        <f t="shared" si="31"/>
        <v>#N/A</v>
      </c>
    </row>
    <row r="78" ht="15.75" customHeight="1">
      <c r="A78" s="145">
        <f t="shared" si="32"/>
        <v>75</v>
      </c>
      <c r="B78" s="146">
        <f>'Scénario référence'!$B$16*5+'Scénario référence'!$B$17*0+'Scénario référence'!$B$18*5</f>
        <v>0</v>
      </c>
      <c r="C78" s="160">
        <f>Calculateur!C77+'Scénario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78" s="147">
        <f t="shared" si="33"/>
        <v>0</v>
      </c>
      <c r="E78" s="147">
        <f>'Scénario référence'!$B$16*45+('Scénario référence'!$B$17+'Scénario référence'!$F$8+'Scénario référence'!$F$9+'Scénario référence'!$B$10+'Scénario référence'!$B$9)*70+'Scénario référence'!$B$18*32</f>
        <v>70</v>
      </c>
      <c r="F78" s="147">
        <f>IF(OR('Scénario référence'!$F$8&gt;0,'Scénario référence'!$F$9&gt;0),('Scénario référence'!$F$8+'Scénario référence'!$F$9)*10,0)</f>
        <v>0</v>
      </c>
      <c r="G78" s="147">
        <f>'Scénario référence'!$B$8*B78*44/12+'Scénario référence'!$B$9*(C78+D78)/0.475*44/12+'Scénario référence'!$B$10*(C78+D78)/0.475*44/12+'Scénario référence'!$F$8*(C78+D78)/0.475*44/12+'Scénario référence'!$F$9*(C78+D78)/0.475*44/12</f>
        <v>0</v>
      </c>
      <c r="H78" s="148">
        <f t="shared" si="1"/>
        <v>256.6666667</v>
      </c>
      <c r="I78" s="149">
        <f>('Scénario référence'!$F$8+'Scénario référence'!$F$9+'Scénario référence'!$B$17+'Scénario référence'!$B$9+'Scénario référence'!$B$10)*70+IF((45+25*(1-EXP(-0.0175*A78)))&lt;70,'Scénario référence'!$B$16*(45+25*(1-EXP(-0.0175*A78))),70*'Scénario référence'!$B$16)+IF((32+38*(1-EXP(-0.0175*A78)))&lt;70,'Scénario référence'!$B$18*(32+38*(1-EXP(-0.0175*A78))),70*'Scénario référence'!$B$18)</f>
        <v>70</v>
      </c>
      <c r="J78" s="150">
        <f>IF(A78&gt;30,10,('Scénario référence'!$B$16+'Scénario référence'!$B$17+'Scénario référence'!$B$18+'Scénario référence'!$B$9+'Scénario référence'!$B$10)*A78*10/30+('Scénario référence'!$F$8+'Scénario référence'!$F$9)*10)</f>
        <v>10</v>
      </c>
      <c r="K78" s="165">
        <f>VLOOKUP(A78,'Données projet'!$A$35:$I$55,2,0)</f>
        <v>312</v>
      </c>
      <c r="L78" s="151">
        <f>VLOOKUP(A78,'Données projet'!$A$35:$I$55,9,0)</f>
        <v>7.6</v>
      </c>
      <c r="M78" s="150">
        <f t="array" ref="M78">INDEX(L:L,MIN(IF(ISNUMBER(L78:L274),ROW(L78:L274),"")))</f>
        <v>7.6</v>
      </c>
      <c r="N78" s="150">
        <f>IF('Données projet'!$A$36&gt;35,N77+M78-V77,IF(A78&lt;'Données projet'!$A$36,$K$205^A78,IF(A78='Données projet'!$A$36,'Données projet'!$B$36,N77+M78-V77)))</f>
        <v>312</v>
      </c>
      <c r="O78" s="150">
        <f>N78*VLOOKUP('Données projet'!$B$9,'Paramètres'!$A$1:$I$88,3,0)*VLOOKUP('Données projet'!$B$9,'Paramètres'!$A$1:$I$88,5,0)</f>
        <v>282.2976</v>
      </c>
      <c r="P78" s="150">
        <f t="shared" si="34"/>
        <v>67.45232663</v>
      </c>
      <c r="Q78" s="161">
        <f t="shared" si="2"/>
        <v>609.1477889</v>
      </c>
      <c r="R78" s="153">
        <f t="shared" si="3"/>
        <v>902.4811222</v>
      </c>
      <c r="S78" s="153">
        <f>AVERAGE(OFFSET($R$3,0,0,'Données projet'!$E$9+1,1))-AVERAGE(OFFSET($H$3,0,0,'Données projet'!$E$9+1,1))</f>
        <v>439.1985427</v>
      </c>
      <c r="T78" s="153">
        <f t="shared" si="35"/>
        <v>278.2174123</v>
      </c>
      <c r="U78" s="154">
        <f>IF(ISNA(VLOOKUP(A78,'Données projet'!$A$35:$I$55,3,0)),0,VLOOKUP(A78,'Données projet'!$A$35:$I$55,3,0))</f>
        <v>12</v>
      </c>
      <c r="V78" s="164">
        <f>IF(ISNA(VLOOKUP(A78,'Données projet'!$A$35:$I$55,4,0)),0,VLOOKUP(A78,'Données projet'!$A$35:$I$55,4,0))</f>
        <v>28</v>
      </c>
      <c r="W78" s="155">
        <f>IF(ISNA(VLOOKUP(A78,'Données projet'!$A$35:$I$55,5,0)),0%,VLOOKUP(A78,'Données projet'!$A$35:$I$55,5,0)*VLOOKUP('Données projet'!$B$9,'Paramètres'!$A$1:$I$88,7,0))</f>
        <v>0</v>
      </c>
      <c r="X78" s="155">
        <f>IF(ISNA(VLOOKUP(A78,'Données projet'!$A$35:$I$55,6,0)),0%,VLOOKUP(A78,'Données projet'!$A$35:$I$55,6,0)*VLOOKUP('Données projet'!$B$9,'Paramètres'!$A$1:$I$88,7,0))</f>
        <v>0</v>
      </c>
      <c r="Y78" s="155" t="str">
        <f>IF(ISNA(VLOOKUP(A78,'Données projet'!$A$35:$I$55,7,0)),0%,VLOOKUP(A78,'Données projet'!$A$35:$I$55,7,0))</f>
        <v/>
      </c>
      <c r="Z78" s="162">
        <f>EXP(-LN(2)/35)*Z77+(1-EXP(-LN(2)/35))/(LN(2)/35)*V78*W78*VLOOKUP('Données projet'!$B$9,'Paramètres'!$A$1:$I$88,3,0)*0.475*44/12</f>
        <v>0</v>
      </c>
      <c r="AA78" s="162">
        <f>EXP(-LN(2)/25)*AA77+(1-EXP(-LN(2)/25))/(LN(2)/25)*Calculateur!V78*Calculateur!X78*VLOOKUP('Données projet'!$B$9,'Paramètres'!$A$1:$I$88,3,0)*0.475*44/12</f>
        <v>1.288719164</v>
      </c>
      <c r="AB78" s="162">
        <f>EXP(-LN(2)/2)*AB77+(1-EXP(-LN(2)/2))/(LN(2)/2)*V78*Y78*VLOOKUP('Données projet'!$B$9,'Paramètres'!$A$1:$I$88,3,0)*0.475*44/12</f>
        <v>0</v>
      </c>
      <c r="AC78" s="163">
        <f t="shared" si="4"/>
        <v>1.288719164</v>
      </c>
      <c r="AD78" s="150">
        <f>('Scénario référence'!$F$8+'Scénario référence'!$F$9+'Scénario référence'!$B$17+'Scénario référence'!$B$9+'Scénario référence'!$B$10)*70+IF((45+25*(1-EXP(-0.0175*A78)))&lt;70,'Scénario référence'!$B$16*(45+25*(1-EXP(-0.0175*A78))),70*'Scénario référence'!$B$16)+IF((32+38*(1-EXP(-0.0175*A78)))&lt;70,'Scénario référence'!$B$18*(32+38*(1-EXP(-0.0175*A78))),70*'Scénario référence'!$B$18)</f>
        <v>70</v>
      </c>
      <c r="AE78" s="150">
        <f>IF(A78&gt;30,10,('Scénario référence'!$B$16+'Scénario référence'!$B$17+'Scénario référence'!$B$18+'Scénario référence'!$B$9+'Scénario référence'!$B$10)*A78*10/30+('Scénario référence'!$F$8+'Scénario référence'!$F$9)*10)</f>
        <v>10</v>
      </c>
      <c r="AF78" s="151">
        <f>VLOOKUP(A78,'Données projet'!$A$61:$I$81,2,0)</f>
        <v>375</v>
      </c>
      <c r="AG78" s="151">
        <f>VLOOKUP(A78,'Données projet'!$A$61:$I$81,9,0)</f>
        <v>4.8</v>
      </c>
      <c r="AH78" s="151">
        <f t="array" ref="AH78">INDEX(AG:AG,MIN(IF(ISNUMBER(AG78:AG274),ROW(AG78:AG274),"")))</f>
        <v>4.8</v>
      </c>
      <c r="AI78" s="150">
        <f>IF('Données projet'!$A$62&gt;35,AI77+AH78-AQ77,IF(A78&lt;'Données projet'!$A$62,$AF$205^A78,IF(A78='Données projet'!$A$62,'Données projet'!$B$62,AI77+AH78-AQ77)))</f>
        <v>375</v>
      </c>
      <c r="AJ78" s="150">
        <f>AI78*VLOOKUP('Données projet'!$B$10,'Paramètres'!$A$1:$I$88,3,0)*VLOOKUP('Données projet'!$B$10,'Paramètres'!$A$1:$I$88,5,0)</f>
        <v>298.35</v>
      </c>
      <c r="AK78" s="150">
        <f t="shared" si="36"/>
        <v>70.83044915</v>
      </c>
      <c r="AL78" s="161">
        <f t="shared" si="5"/>
        <v>642.9892823</v>
      </c>
      <c r="AM78" s="153">
        <f t="shared" si="6"/>
        <v>936.3226156</v>
      </c>
      <c r="AN78" s="153">
        <f>AVERAGE(OFFSET($AM$3,0,0,'Données projet'!$E$10+1,1))-AVERAGE(OFFSET($H$3,0,0,'Données projet'!$E$10+1,1))</f>
        <v>405.6113614</v>
      </c>
      <c r="AO78" s="153">
        <f t="shared" si="37"/>
        <v>393.0787141</v>
      </c>
      <c r="AP78" s="154">
        <f>IF(ISNA(VLOOKUP(A78,'Données projet'!$A$61:$I$81,3,0)),0,VLOOKUP(A78,'Données projet'!$A$61:$I$81,3,0))</f>
        <v>14</v>
      </c>
      <c r="AQ78" s="154">
        <f>IF(ISNA(VLOOKUP(A78,'Données projet'!$A$61:$I$81,4,0)),0,VLOOKUP(A78,'Données projet'!$A$61:$I$81,4,0))</f>
        <v>14</v>
      </c>
      <c r="AR78" s="155">
        <f>IF(ISNA(VLOOKUP(A78,'Données projet'!$A$61:$I$81,5,0)),0%,VLOOKUP(A78,'Données projet'!$A$61:$I$81,5,0)*VLOOKUP('Données projet'!$B$10,'Paramètres'!$A$1:$I$88,7,0))</f>
        <v>0</v>
      </c>
      <c r="AS78" s="155">
        <f>IF(ISNA(VLOOKUP(A78,'Données projet'!$A$61:$I$81,6,0)),0%,VLOOKUP(A78,'Données projet'!$A$61:$I$81,6,0)*VLOOKUP('Données projet'!$B$10,'Paramètres'!$A$1:$I$88,7,0))</f>
        <v>0</v>
      </c>
      <c r="AT78" s="155" t="str">
        <f>IF(ISNA(VLOOKUP(A78,'Données projet'!$A$61:$I$81,7,0)),0%,VLOOKUP(A78,'Données projet'!$A$61:$I$81,7,0))</f>
        <v/>
      </c>
      <c r="AU78" s="162">
        <f>EXP(-LN(2)/35)*AU77+(1-EXP(-LN(2)/35))/(LN(2)/35)*AQ78*AR78*VLOOKUP('Données projet'!$B$10,'Paramètres'!$A$1:$I$88,3,0)*0.475*44/12</f>
        <v>0</v>
      </c>
      <c r="AV78" s="162">
        <f>EXP(-LN(2)/25)*AV77+(1-EXP(-LN(2)/25))/(LN(2)/25)*Calculateur!AQ78*Calculateur!AS78*VLOOKUP('Données projet'!$B$10,'Paramètres'!$A$1:$I$88,3,0)*0.475*44/12</f>
        <v>5.237682288</v>
      </c>
      <c r="AW78" s="162">
        <f>EXP(-LN(2)/2)*AW77+(1-EXP(-LN(2)/2))/(LN(2)/2)*AQ78*AT78*VLOOKUP('Données projet'!$B$10,'Paramètres'!$A$1:$I$88,3,0)*0.475*44/12</f>
        <v>0.00000009773216976</v>
      </c>
      <c r="AX78" s="162">
        <f t="shared" si="7"/>
        <v>5.237682386</v>
      </c>
      <c r="AY78" s="157">
        <f>('Scénario référence'!$F$8+'Scénario référence'!$F$9+'Scénario référence'!$B$17+'Scénario référence'!$B$9+'Scénario référence'!$B$10)*70+IF((45+25*(1-EXP(-0.0175*A78)))&lt;70,'Scénario référence'!$B$16*(45+25*(1-EXP(-0.0175*A78))),70*'Scénario référence'!$B$16)+IF((32+38*(1-EXP(-0.0175*A78)))&lt;70,'Scénario référence'!$B$18*(32+38*(1-EXP(-0.0175*A78))),70*'Scénario référence'!$B$18)</f>
        <v>70</v>
      </c>
      <c r="AZ78" s="151">
        <f>IF(A78&gt;30,10,('Scénario référence'!$B$16+'Scénario référence'!$B$17+'Scénario référence'!$B$18+'Scénario référence'!$B$9+'Scénario référence'!$B$10)*A78*10/30+('Scénario référence'!$F$8+'Scénario référence'!$F$9)*10)</f>
        <v>10</v>
      </c>
      <c r="BA78" s="151" t="str">
        <f>VLOOKUP(A78,'Données projet'!$A$87:$I$107,2,0)</f>
        <v>#N/A</v>
      </c>
      <c r="BB78" s="151" t="str">
        <f>VLOOKUP(A78,'Données projet'!$A$87:$I$107,9,0)</f>
        <v>#N/A</v>
      </c>
      <c r="BC78" s="150" t="str">
        <f t="array" ref="BC78">INDEX(BB:BB,MIN(IF(ISNUMBER(BB78:BB274),ROW(BB78:BB274),"")))</f>
        <v/>
      </c>
      <c r="BD78" s="150">
        <f>IF('Données projet'!$A$88&gt;35,BD77+BC78-BL77,IF(A78&lt;'Données projet'!$A$88,$BA$205^A78,IF(A78='Données projet'!$A$88,'Données projet'!$B$88,BD77+BC78-BL77)))</f>
        <v>0</v>
      </c>
      <c r="BE78" s="150">
        <f>BD78*VLOOKUP('Données projet'!$B$11,'Paramètres'!$A$1:$I$88,3,0)*VLOOKUP('Données projet'!$B$11,'Paramètres'!$A$1:$I$88,5,0)</f>
        <v>0</v>
      </c>
      <c r="BF78" s="150" t="str">
        <f t="shared" si="38"/>
        <v>#NUM!</v>
      </c>
      <c r="BG78" s="161" t="str">
        <f t="shared" si="8"/>
        <v>#NUM!</v>
      </c>
      <c r="BH78" s="153" t="str">
        <f t="shared" si="9"/>
        <v>#NUM!</v>
      </c>
      <c r="BI78" s="153">
        <f>AVERAGE(OFFSET($BH$3,0,0,'Données projet'!$E$11+1,1))-AVERAGE(OFFSET($H$3,0,0,'Données projet'!$E$11+1,1))</f>
        <v>0</v>
      </c>
      <c r="BJ78" s="153">
        <f t="shared" si="39"/>
        <v>0</v>
      </c>
      <c r="BK78" s="154">
        <f>IF(ISNA(VLOOKUP(A78,'Données projet'!$A$87:$I$107,3,0)),0,VLOOKUP(A78,'Données projet'!$A$87:$I$107,3,0))</f>
        <v>0</v>
      </c>
      <c r="BL78" s="154">
        <f>IF(ISNA(VLOOKUP(A78,'Données projet'!$A$87:$I$107,4,0)),0,VLOOKUP(A78,'Données projet'!$A$87:$I$107,4,0))</f>
        <v>0</v>
      </c>
      <c r="BM78" s="155">
        <f>IF(ISNA(VLOOKUP(A78,'Données projet'!$A$87:$I$107,5,0)),0%,VLOOKUP(A78,'Données projet'!$A$87:$I$107,5,0)*VLOOKUP('Données projet'!$B$11,'Paramètres'!$A$1:$I$88,7,0))</f>
        <v>0</v>
      </c>
      <c r="BN78" s="155">
        <f>IF(ISNA(VLOOKUP(A78,'Données projet'!$A$87:$I$107,6,0)),0%,VLOOKUP(A78,'Données projet'!$A$87:$I$107,6,0)*VLOOKUP('Données projet'!$B$11,'Paramètres'!$A$1:$I$88,7,0))</f>
        <v>0</v>
      </c>
      <c r="BO78" s="155">
        <f>IF(ISNA(VLOOKUP(A78,'Données projet'!$A$87:$I$107,7,0)),0%,VLOOKUP(A78,'Données projet'!$A$87:$I$107,7,0))</f>
        <v>0</v>
      </c>
      <c r="BP78" s="162">
        <f>EXP(-LN(2)/35)*BP77+(1-EXP(-LN(2)/35))/(LN(2)/35)*BL78*BM78*VLOOKUP('Données projet'!$B$11,'Paramètres'!$A$1:$I$88,3,0)*0.475*44/12</f>
        <v>0</v>
      </c>
      <c r="BQ78" s="162">
        <f>EXP(-LN(2)/25)*BQ77+(1-EXP(-LN(2)/25))/(LN(2)/25)*Calculateur!BL78*Calculateur!BN78*VLOOKUP('Données projet'!$B$11,'Paramètres'!$A$1:$I$88,3,0)*0.475*44/12</f>
        <v>0</v>
      </c>
      <c r="BR78" s="162">
        <f>EXP(-LN(2)/2)*BR77+(1-EXP(-LN(2)/2))/(LN(2)/2)*BL78*BO78*VLOOKUP('Données projet'!$B$11,'Paramètres'!$A$1:$I$88,3,0)*0.475*44/12</f>
        <v>0</v>
      </c>
      <c r="BS78" s="163">
        <f t="shared" si="10"/>
        <v>0</v>
      </c>
      <c r="BT78" s="159">
        <f>('Scénario référence'!$F$8+'Scénario référence'!$F$9+'Scénario référence'!$B$17+'Scénario référence'!$B$9+'Scénario référence'!$B$10)*70+IF((45+25*(1-EXP(-0.0175*A78)))&lt;70,'Scénario référence'!$B$16*(45+25*(1-EXP(-0.0175*A78))),70*'Scénario référence'!$B$16)+IF((32+38*(1-EXP(-0.0175*A78)))&lt;70,'Scénario référence'!$B$18*(32+38*(1-EXP(-0.0175*A78))),70*'Scénario référence'!$B$18)</f>
        <v>70</v>
      </c>
      <c r="BU78" s="151">
        <f>IF(A78&gt;30,10,('Scénario référence'!$B$16+'Scénario référence'!$B$17+'Scénario référence'!$B$18+'Scénario référence'!$B$9+'Scénario référence'!$B$10)*A78*10/30+('Scénario référence'!$F$8+'Scénario référence'!$F$9)*10)</f>
        <v>10</v>
      </c>
      <c r="BV78" s="151" t="str">
        <f>VLOOKUP(A78,'Données projet'!$A$113:$I$133,2,0)</f>
        <v>#N/A</v>
      </c>
      <c r="BW78" s="151" t="str">
        <f>VLOOKUP(A78,'Données projet'!$A$113:$I$133,9,0)</f>
        <v>#N/A</v>
      </c>
      <c r="BX78" s="150" t="str">
        <f t="array" ref="BX78">INDEX(BW:BW,MIN(IF(ISNUMBER(BW78:BW274),ROW(BW78:BW274),"")))</f>
        <v/>
      </c>
      <c r="BY78" s="150">
        <f>IF('Données projet'!$A$114&gt;35,BY77+BX78-CG77,IF(A78&lt;'Données projet'!$A$114,$BV$205^A78,IF(A78='Données projet'!$A$114,'Données projet'!$B$114,BY77+BX78-CG77)))</f>
        <v>0</v>
      </c>
      <c r="BZ78" s="150" t="str">
        <f>BY78*VLOOKUP('Données projet'!$B$12,'Paramètres'!$A$1:$I$88,3,0)*VLOOKUP('Données projet'!$B$12,'Paramètres'!$A$1:$I$88,5,0)</f>
        <v>#N/A</v>
      </c>
      <c r="CA78" s="150" t="str">
        <f t="shared" si="40"/>
        <v>#N/A</v>
      </c>
      <c r="CB78" s="161" t="str">
        <f t="shared" si="11"/>
        <v>#N/A</v>
      </c>
      <c r="CC78" s="153" t="str">
        <f t="shared" si="12"/>
        <v>#N/A</v>
      </c>
      <c r="CD78" s="153" t="str">
        <f>AVERAGE(OFFSET($CC$3,0,0,'Données projet'!$E$12+1,1))-AVERAGE(OFFSET($H$3,0,0,'Données projet'!$E$12+1,1))</f>
        <v>#N/A</v>
      </c>
      <c r="CE78" s="153" t="str">
        <f t="shared" si="41"/>
        <v>#N/A</v>
      </c>
      <c r="CF78" s="154">
        <f>IF(ISNA(VLOOKUP(A78,'Données projet'!$A$113:$I$133,3,0)),0,VLOOKUP(A78,'Données projet'!$A$113:$I$133,3,0))</f>
        <v>0</v>
      </c>
      <c r="CG78" s="154">
        <f>IF(ISNA(VLOOKUP(A78,'Données projet'!$A$113:$I$133,4,0)),0,VLOOKUP(A78,'Données projet'!$A$113:$I$133,4,0))</f>
        <v>0</v>
      </c>
      <c r="CH78" s="155">
        <f>IF(ISNA(VLOOKUP(A78,'Données projet'!$A$113:$I$133,5,0)),0%,VLOOKUP(A78,'Données projet'!$A$113:$I$133,5,0)*VLOOKUP('Données projet'!$B$12,'Paramètres'!$A$1:$I$88,7,0))</f>
        <v>0</v>
      </c>
      <c r="CI78" s="155">
        <f>IF(ISNA(VLOOKUP(A78,'Données projet'!$A$113:$I$133,6,0)),0%,VLOOKUP(A78,'Données projet'!$A$113:$I$133,6,0)*VLOOKUP('Données projet'!$B$12,'Paramètres'!$A$1:$I$88,7,0))</f>
        <v>0</v>
      </c>
      <c r="CJ78" s="155">
        <f>IF(ISNA(VLOOKUP(A78,'Données projet'!$A$113:$I$133,7,0)),0%,VLOOKUP(A78,'Données projet'!$A$113:$I$133,7,0))</f>
        <v>0</v>
      </c>
      <c r="CK78" s="162" t="str">
        <f>EXP(-LN(2)/35)*CK77+(1-EXP(-LN(2)/35))/(LN(2)/35)*CG78*CH78*VLOOKUP('Données projet'!$B$12,'Paramètres'!$A$1:$I$88,3,0)*0.475*44/12</f>
        <v>#N/A</v>
      </c>
      <c r="CL78" s="162" t="str">
        <f>EXP(-LN(2)/25)*CL77+(1-EXP(-LN(2)/25))/(LN(2)/25)*Calculateur!CG78*Calculateur!CI78*VLOOKUP('Données projet'!$B$12,'Paramètres'!$A$1:$I$88,3,0)*0.475*44/12</f>
        <v>#N/A</v>
      </c>
      <c r="CM78" s="162" t="str">
        <f>EXP(-LN(2)/2)*CM77+(1-EXP(-LN(2)/2))/(LN(2)/2)*CG78*CJ78*VLOOKUP('Données projet'!$B$12,'Paramètres'!$A$1:$I$88,3,0)*0.475*44/12</f>
        <v>#N/A</v>
      </c>
      <c r="CN78" s="163" t="str">
        <f t="shared" si="13"/>
        <v>#N/A</v>
      </c>
      <c r="CO78" s="159">
        <f>('Scénario référence'!$F$8+'Scénario référence'!$F$9+'Scénario référence'!$B$17+'Scénario référence'!$B$9+'Scénario référence'!$B$10)*70+IF((45+25*(1-EXP(-0.0175*A78)))&lt;70,'Scénario référence'!$B$16*(45+25*(1-EXP(-0.0175*A78))),70*'Scénario référence'!$B$16)+IF((32+38*(1-EXP(-0.0175*A78)))&lt;70,'Scénario référence'!$B$18*(32+38*(1-EXP(-0.0175*A78))),70*'Scénario référence'!$B$18)</f>
        <v>70</v>
      </c>
      <c r="CP78" s="151">
        <f>IF(A78&gt;30,10,('Scénario référence'!$B$16+'Scénario référence'!$B$17+'Scénario référence'!$B$18+'Scénario référence'!$B$9+'Scénario référence'!$B$10)*A78*10/30+('Scénario référence'!$F$8+'Scénario référence'!$F$9)*10)</f>
        <v>10</v>
      </c>
      <c r="CQ78" s="151" t="str">
        <f>VLOOKUP(A78,'Données projet'!$A$139:$I$159,2,0)</f>
        <v>#N/A</v>
      </c>
      <c r="CR78" s="151" t="str">
        <f>VLOOKUP(A78,'Données projet'!$A$139:$I$159,9,0)</f>
        <v>#N/A</v>
      </c>
      <c r="CS78" s="151" t="str">
        <f t="array" ref="CS78">INDEX(CR:CR,MIN(IF(ISNUMBER(CR78:CR274),ROW(CR78:CR274),"")))</f>
        <v/>
      </c>
      <c r="CT78" s="151">
        <f>IF('Données projet'!$A$140&gt;35,CT77+CS78-DB77,IF(A78&lt;'Données projet'!$A$140,$CQ$205^A78,IF(A78='Données projet'!$A$140,'Données projet'!$B$140,CT77+CS78-DB77)))</f>
        <v>0</v>
      </c>
      <c r="CU78" s="158" t="str">
        <f>CT78*VLOOKUP('Données projet'!$B$13,'Paramètres'!$A$1:$I$88,3,0)*VLOOKUP('Données projet'!$B$13,'Paramètres'!$A$1:$I$88,5,0)</f>
        <v>#N/A</v>
      </c>
      <c r="CV78" s="150" t="str">
        <f t="shared" si="42"/>
        <v>#N/A</v>
      </c>
      <c r="CW78" s="161" t="str">
        <f t="shared" si="14"/>
        <v>#N/A</v>
      </c>
      <c r="CX78" s="153" t="str">
        <f t="shared" si="15"/>
        <v>#N/A</v>
      </c>
      <c r="CY78" s="153" t="str">
        <f>AVERAGE(OFFSET($CX$3,0,0,'Données projet'!$E$13+1,1))-AVERAGE(OFFSET($H$3,0,0,'Données projet'!$E$13+1,1))</f>
        <v>#N/A</v>
      </c>
      <c r="CZ78" s="153" t="str">
        <f t="shared" si="43"/>
        <v>#N/A</v>
      </c>
      <c r="DA78" s="154">
        <f>IF(ISNA(VLOOKUP(A78,'Données projet'!$A$139:$I$159,3,0)),0,VLOOKUP(A78,'Données projet'!$A$139:$I$159,3,0))</f>
        <v>0</v>
      </c>
      <c r="DB78" s="154">
        <f>IF(ISNA(VLOOKUP(A78,'Données projet'!$A$139:$I$159,4,0)),0,VLOOKUP(A78,'Données projet'!$A$139:$I$159,4,0))</f>
        <v>0</v>
      </c>
      <c r="DC78" s="155">
        <f>IF(ISNA(VLOOKUP(A78,'Données projet'!$A$139:$I$159,5,0)),0%,VLOOKUP(A78,'Données projet'!$A$139:$I$159,5,0)*VLOOKUP('Données projet'!$B$13,'Paramètres'!$A$1:$I$88,7,0))</f>
        <v>0</v>
      </c>
      <c r="DD78" s="155">
        <f>IF(ISNA(VLOOKUP(A78,'Données projet'!$A$139:$I$159,6,0)),0%,VLOOKUP(A78,'Données projet'!$A$139:$I$159,6,0)*VLOOKUP('Données projet'!$B$13,'Paramètres'!$A$1:$I$88,7,0))</f>
        <v>0</v>
      </c>
      <c r="DE78" s="155">
        <f>IF(ISNA(VLOOKUP(A78,'Données projet'!$A$139:$I$159,7,0)),0%,VLOOKUP(A78,'Données projet'!$A$139:$I$159,7,0))</f>
        <v>0</v>
      </c>
      <c r="DF78" s="162" t="str">
        <f>EXP(-LN(2)/35)*DF77+(1-EXP(-LN(2)/35))/(LN(2)/35)*DB78*DC78*VLOOKUP('Données projet'!$B$13,'Paramètres'!$A$1:$I$88,3,0)*0.475*44/12</f>
        <v>#N/A</v>
      </c>
      <c r="DG78" s="162" t="str">
        <f>EXP(-LN(2)/25)*DG77+(1-EXP(-LN(2)/25))/(LN(2)/25)*Calculateur!DB78*Calculateur!DD78*VLOOKUP('Données projet'!$B$13,'Paramètres'!$A$1:$I$88,3,0)*0.475*44/12</f>
        <v>#N/A</v>
      </c>
      <c r="DH78" s="162" t="str">
        <f>EXP(-LN(2)/2)*DH77+(1-EXP(-LN(2)/2))/(LN(2)/2)*DB78*DE78*VLOOKUP('Données projet'!$B$13,'Paramètres'!$A$1:$I$88,3,0)*0.475*44/12</f>
        <v>#N/A</v>
      </c>
      <c r="DI78" s="163" t="str">
        <f t="shared" si="16"/>
        <v>#N/A</v>
      </c>
      <c r="DJ78" s="159">
        <f>('Scénario référence'!$F$8+'Scénario référence'!$F$9+'Scénario référence'!$B$17+'Scénario référence'!$B$9+'Scénario référence'!$B$10)*70+IF((45+25*(1-EXP(-0.0175*A78)))&lt;70,'Scénario référence'!$B$16*(45+25*(1-EXP(-0.0175*A78))),70*'Scénario référence'!$B$16)+IF((32+38*(1-EXP(-0.0175*A78)))&lt;70,'Scénario référence'!$B$18*(32+38*(1-EXP(-0.0175*A78))),70*'Scénario référence'!$B$18)</f>
        <v>70</v>
      </c>
      <c r="DK78" s="151">
        <f>IF(A78&gt;30,10,('Scénario référence'!$B$16+'Scénario référence'!$B$17+'Scénario référence'!$B$18+'Scénario référence'!$B$9+'Scénario référence'!$B$10)*A78*10/30+('Scénario référence'!$F$8+'Scénario référence'!$F$9)*10)</f>
        <v>10</v>
      </c>
      <c r="DL78" s="151" t="str">
        <f>VLOOKUP(A78,'Données projet'!$A$165:$I$185,2,0)</f>
        <v>#N/A</v>
      </c>
      <c r="DM78" s="151" t="str">
        <f>VLOOKUP(A78,'Données projet'!$A$165:$I$185,9,0)</f>
        <v>#N/A</v>
      </c>
      <c r="DN78" s="151" t="str">
        <f t="array" ref="DN78">INDEX(DM:DM,MIN(IF(ISNUMBER(DM78:DM274),ROW(DM78:DM274),"")))</f>
        <v/>
      </c>
      <c r="DO78" s="151">
        <f>IF('Données projet'!$A$166&gt;35,DO77+DN78-DW77,IF(A78&lt;'Données projet'!$A$166,$DL$205^A78,IF(A78='Données projet'!$A$166,'Données projet'!$B$166,DO77+DN78-DW77)))</f>
        <v>0</v>
      </c>
      <c r="DP78" s="158" t="str">
        <f>DO78*VLOOKUP('Données projet'!$B$14,'Paramètres'!$A$1:$I$88,3,0)*VLOOKUP('Données projet'!$B$14,'Paramètres'!$A$1:$I$88,5,0)</f>
        <v>#N/A</v>
      </c>
      <c r="DQ78" s="150" t="str">
        <f t="shared" si="44"/>
        <v>#N/A</v>
      </c>
      <c r="DR78" s="161" t="str">
        <f t="shared" si="17"/>
        <v>#N/A</v>
      </c>
      <c r="DS78" s="153" t="str">
        <f t="shared" si="18"/>
        <v>#N/A</v>
      </c>
      <c r="DT78" s="153" t="str">
        <f>AVERAGE(OFFSET($DS$3,0,0,'Données projet'!$E$14+1,1))-AVERAGE(OFFSET($H$3,0,0,'Données projet'!$E$14+1,1))</f>
        <v>#N/A</v>
      </c>
      <c r="DU78" s="153" t="str">
        <f t="shared" si="45"/>
        <v>#N/A</v>
      </c>
      <c r="DV78" s="154">
        <f>IF(ISNA(VLOOKUP(A78,'Données projet'!$A$165:$I$185,3,0)),0,VLOOKUP(A78,'Données projet'!$A$165:$I$185,3,0))</f>
        <v>0</v>
      </c>
      <c r="DW78" s="154">
        <f>IF(ISNA(VLOOKUP(A78,'Données projet'!$A$165:$I$185,4,0)),0,VLOOKUP(A78,'Données projet'!$A$165:$I$185,4,0))</f>
        <v>0</v>
      </c>
      <c r="DX78" s="155">
        <f>IF(ISNA(VLOOKUP(A78,'Données projet'!$A$165:$I$185,5,0)),0%,VLOOKUP(A78,'Données projet'!$A$165:$I$185,5,0)*VLOOKUP('Données projet'!$B$14,'Paramètres'!$A$1:$I$88,7,0))</f>
        <v>0</v>
      </c>
      <c r="DY78" s="155">
        <f>IF(ISNA(VLOOKUP(A78,'Données projet'!$A$165:$I$185,6,0)),0%,VLOOKUP(A78,'Données projet'!$A$165:$I$185,6,0)*VLOOKUP('Données projet'!$B$14,'Paramètres'!$A$1:$I$88,7,0))</f>
        <v>0</v>
      </c>
      <c r="DZ78" s="155">
        <f>IF(ISNA(VLOOKUP(A78,'Données projet'!$A$165:$I$185,7,0)),0%,VLOOKUP(A78,'Données projet'!$A$165:$I$185,7,0))</f>
        <v>0</v>
      </c>
      <c r="EA78" s="162" t="str">
        <f>EXP(-LN(2)/35)*EA77+(1-EXP(-LN(2)/35))/(LN(2)/35)*DW78*DX78*VLOOKUP('Données projet'!$B$14,'Paramètres'!$A$1:$I$88,3,0)*0.475*44/12</f>
        <v>#N/A</v>
      </c>
      <c r="EB78" s="162" t="str">
        <f>EXP(-LN(2)/25)*EB77+(1-EXP(-LN(2)/25))/(LN(2)/25)*Calculateur!DW78*Calculateur!DY78*VLOOKUP('Données projet'!$B$14,'Paramètres'!$A$1:$I$88,3,0)*0.475*44/12</f>
        <v>#N/A</v>
      </c>
      <c r="EC78" s="162" t="str">
        <f>EXP(-LN(2)/2)*EC77+(1-EXP(-LN(2)/2))/(LN(2)/2)*DW78*DZ78*VLOOKUP('Données projet'!$B$14,'Paramètres'!$A$1:$I$88,3,0)*0.475*44/12</f>
        <v>#N/A</v>
      </c>
      <c r="ED78" s="163" t="str">
        <f t="shared" si="19"/>
        <v>#N/A</v>
      </c>
      <c r="EE78" s="159">
        <f>('Scénario référence'!$F$8+'Scénario référence'!$F$9+'Scénario référence'!$B$17+'Scénario référence'!$B$9+'Scénario référence'!$B$10)*70+IF((45+25*(1-EXP(-0.0175*A78)))&lt;70,'Scénario référence'!$B$16*(45+25*(1-EXP(-0.0175*A78))),70*'Scénario référence'!$B$16)+IF((32+38*(1-EXP(-0.0175*A78)))&lt;70,'Scénario référence'!$B$18*(32+38*(1-EXP(-0.0175*A78))),70*'Scénario référence'!$B$18)</f>
        <v>70</v>
      </c>
      <c r="EF78" s="151">
        <f>IF(A78&gt;30,10,('Scénario référence'!$B$16+'Scénario référence'!$B$17+'Scénario référence'!$B$18+'Scénario référence'!$B$9+'Scénario référence'!$B$10)*A78*10/30+('Scénario référence'!$F$8+'Scénario référence'!$F$9)*10)</f>
        <v>10</v>
      </c>
      <c r="EG78" s="151" t="str">
        <f>VLOOKUP(A78,'Données projet'!$A$191:$I$211,2,0)</f>
        <v>#N/A</v>
      </c>
      <c r="EH78" s="151" t="str">
        <f>VLOOKUP(A78,'Données projet'!$A$191:$I$211,9,0)</f>
        <v>#N/A</v>
      </c>
      <c r="EI78" s="151" t="str">
        <f t="array" ref="EI78">INDEX(EH:EH,MIN(IF(ISNUMBER(EH78:EH274),ROW(EH78:EH274),"")))</f>
        <v/>
      </c>
      <c r="EJ78" s="151">
        <f>IF('Données projet'!$A$192&gt;35,EJ77+EI78-ER77,IF(A78&lt;'Données projet'!$A$192,$EG$205^A78,IF(A78='Données projet'!$A$192,'Données projet'!$B$192,EJ77+EI78-ER77)))</f>
        <v>0</v>
      </c>
      <c r="EK78" s="158" t="str">
        <f>EJ78*VLOOKUP('Données projet'!$B$15,'Paramètres'!$A$1:$I$88,3,0)*VLOOKUP('Données projet'!$B$15,'Paramètres'!$A$1:$I$88,5,0)</f>
        <v>#N/A</v>
      </c>
      <c r="EL78" s="150" t="str">
        <f t="shared" si="46"/>
        <v>#N/A</v>
      </c>
      <c r="EM78" s="161" t="str">
        <f t="shared" si="20"/>
        <v>#N/A</v>
      </c>
      <c r="EN78" s="153" t="str">
        <f t="shared" si="21"/>
        <v>#N/A</v>
      </c>
      <c r="EO78" s="153" t="str">
        <f>AVERAGE(OFFSET($EN$3,0,0,'Données projet'!$E$15+1,1))-AVERAGE(OFFSET($H$3,0,0,'Données projet'!$E$15+1,1))</f>
        <v>#N/A</v>
      </c>
      <c r="EP78" s="153" t="str">
        <f t="shared" si="47"/>
        <v>#N/A</v>
      </c>
      <c r="EQ78" s="154">
        <f>IF(ISNA(VLOOKUP(A78,'Données projet'!$A$191:$I$211,3,0)),0,VLOOKUP(A78,'Données projet'!$A$191:$I$211,3,0))</f>
        <v>0</v>
      </c>
      <c r="ER78" s="154">
        <f>IF(ISNA(VLOOKUP(A78,'Données projet'!$A$191:$I$211,4,0)),0,VLOOKUP(A78,'Données projet'!$A$191:$I$211,4,0))</f>
        <v>0</v>
      </c>
      <c r="ES78" s="155">
        <f>IF(ISNA(VLOOKUP(A78,'Données projet'!$A$191:$I$211,5,0)),0%,VLOOKUP(A78,'Données projet'!$A$191:$I$211,5,0)*VLOOKUP('Données projet'!$B$15,'Paramètres'!$A$1:$I$88,7,0))</f>
        <v>0</v>
      </c>
      <c r="ET78" s="155">
        <f>IF(ISNA(VLOOKUP(A78,'Données projet'!$A$191:$I$211,6,0)),0%,VLOOKUP(A78,'Données projet'!$A$191:$I$211,6,0)*VLOOKUP('Données projet'!$B$15,'Paramètres'!$A$1:$I$88,7,0))</f>
        <v>0</v>
      </c>
      <c r="EU78" s="155">
        <f>IF(ISNA(VLOOKUP(A78,'Données projet'!$A$191:$I$211,7,0)),0%,VLOOKUP(A78,'Données projet'!$A$191:$I$211,7,0))</f>
        <v>0</v>
      </c>
      <c r="EV78" s="162" t="str">
        <f>EXP(-LN(2)/35)*EV77+(1-EXP(-LN(2)/35))/(LN(2)/35)*ER78*ES78*VLOOKUP('Données projet'!$B$15,'Paramètres'!$A$1:$I$88,3,0)*0.475*44/12</f>
        <v>#N/A</v>
      </c>
      <c r="EW78" s="162" t="str">
        <f>EXP(-LN(2)/25)*EW77+(1-EXP(-LN(2)/25))/(LN(2)/25)*Calculateur!ER78*Calculateur!ET78*VLOOKUP('Données projet'!$B$15,'Paramètres'!$A$1:$I$88,3,0)*0.475*44/12</f>
        <v>#N/A</v>
      </c>
      <c r="EX78" s="162" t="str">
        <f>EXP(-LN(2)/2)*EX77+(1-EXP(-LN(2)/2))/(LN(2)/2)*ER78*EU78*VLOOKUP('Données projet'!$B$15,'Paramètres'!$A$1:$I$88,3,0)*0.475*44/12</f>
        <v>#N/A</v>
      </c>
      <c r="EY78" s="163" t="str">
        <f t="shared" si="22"/>
        <v>#N/A</v>
      </c>
      <c r="EZ78" s="159">
        <f>('Scénario référence'!$F$8+'Scénario référence'!$F$9+'Scénario référence'!$B$17+'Scénario référence'!$B$9+'Scénario référence'!$B$10)*70+IF((45+25*(1-EXP(-0.0175*A78)))&lt;70,'Scénario référence'!$B$16*(45+25*(1-EXP(-0.0175*A78))),70*'Scénario référence'!$B$16)+IF((32+38*(1-EXP(-0.0175*A78)))&lt;70,'Scénario référence'!$B$18*(32+38*(1-EXP(-0.0175*A78))),70*'Scénario référence'!$B$18)</f>
        <v>70</v>
      </c>
      <c r="FA78" s="151">
        <f>IF(A78&gt;30,10,('Scénario référence'!$B$16+'Scénario référence'!$B$17+'Scénario référence'!$B$18+'Scénario référence'!$B$9+'Scénario référence'!$B$10)*A78*10/30+('Scénario référence'!$F$8+'Scénario référence'!$F$9)*10)</f>
        <v>10</v>
      </c>
      <c r="FB78" s="151" t="str">
        <f>VLOOKUP(A78,'Données projet'!$A$217:$I$237,2,0)</f>
        <v>#N/A</v>
      </c>
      <c r="FC78" s="151" t="str">
        <f>VLOOKUP(A78,'Données projet'!$A$217:$I$237,9,0)</f>
        <v>#N/A</v>
      </c>
      <c r="FD78" s="151" t="str">
        <f t="array" ref="FD78">INDEX(FC:FC,MIN(IF(ISNUMBER(FC78:FC274),ROW(FC78:FC274),"")))</f>
        <v/>
      </c>
      <c r="FE78" s="151">
        <f>IF('Données projet'!$A$218&gt;35,FE77+FD78-FM77,IF(A78&lt;'Données projet'!$A$218,$FB$205^A78,IF(A78='Données projet'!$A$218,'Données projet'!$B$218,FE77+FD78-FM77)))</f>
        <v>0</v>
      </c>
      <c r="FF78" s="158" t="str">
        <f>FE78*VLOOKUP('Données projet'!$B$16,'Paramètres'!$A$1:$I$88,3,0)*VLOOKUP('Données projet'!$B$16,'Paramètres'!$A$1:$I$88,5,0)</f>
        <v>#N/A</v>
      </c>
      <c r="FG78" s="150" t="str">
        <f t="shared" si="48"/>
        <v>#N/A</v>
      </c>
      <c r="FH78" s="161" t="str">
        <f t="shared" si="23"/>
        <v>#N/A</v>
      </c>
      <c r="FI78" s="153" t="str">
        <f t="shared" si="24"/>
        <v>#N/A</v>
      </c>
      <c r="FJ78" s="153" t="str">
        <f>AVERAGE(OFFSET($FI$3,0,0,'Données projet'!$E$16+1,1))-AVERAGE(OFFSET($H$3,0,0,'Données projet'!$E$16+1,1))</f>
        <v>#N/A</v>
      </c>
      <c r="FK78" s="153" t="str">
        <f t="shared" si="49"/>
        <v>#N/A</v>
      </c>
      <c r="FL78" s="154">
        <f>IF(ISNA(VLOOKUP(A78,'Données projet'!$A$217:$I$237,3,0)),0,VLOOKUP(A78,'Données projet'!$A$217:$I$237,3,0))</f>
        <v>0</v>
      </c>
      <c r="FM78" s="154">
        <f>IF(ISNA(VLOOKUP(A78,'Données projet'!$A$217:$I$237,4,0)),0,VLOOKUP(A78,'Données projet'!$A$217:$I$237,4,0))</f>
        <v>0</v>
      </c>
      <c r="FN78" s="155">
        <f>IF(ISNA(VLOOKUP(A78,'Données projet'!$A$217:$I$237,5,0)),0%,VLOOKUP(A78,'Données projet'!$A$217:$I$237,5,0)*VLOOKUP('Données projet'!$B$16,'Paramètres'!$A$1:$I$88,7,0))</f>
        <v>0</v>
      </c>
      <c r="FO78" s="155">
        <f>IF(ISNA(VLOOKUP(A78,'Données projet'!$A$217:$I$237,6,0)),0%,VLOOKUP(A78,'Données projet'!$A$217:$I$237,6,0)*VLOOKUP('Données projet'!$B$16,'Paramètres'!$A$1:$I$88,7,0))</f>
        <v>0</v>
      </c>
      <c r="FP78" s="155">
        <f>IF(ISNA(VLOOKUP(A78,'Données projet'!$A$217:$I$237,7,0)),0%,VLOOKUP(A78,'Données projet'!$A$217:$I$237,7,0))</f>
        <v>0</v>
      </c>
      <c r="FQ78" s="162" t="str">
        <f>EXP(-LN(2)/35)*FQ77+(1-EXP(-LN(2)/35))/(LN(2)/35)*FM78*FN78*VLOOKUP('Données projet'!$B$16,'Paramètres'!$A$1:$I$88,3,0)*0.475*44/12</f>
        <v>#N/A</v>
      </c>
      <c r="FR78" s="162" t="str">
        <f>EXP(-LN(2)/25)*FR77+(1-EXP(-LN(2)/25))/(LN(2)/25)*Calculateur!FM78*Calculateur!FO78*VLOOKUP('Données projet'!$B$16,'Paramètres'!$A$1:$I$88,3,0)*0.475*44/12</f>
        <v>#N/A</v>
      </c>
      <c r="FS78" s="162" t="str">
        <f>EXP(-LN(2)/2)*FS77+(1-EXP(-LN(2)/2))/(LN(2)/2)*FM78*FP78*VLOOKUP('Données projet'!$B$16,'Paramètres'!$A$1:$I$88,3,0)*0.475*44/12</f>
        <v>#N/A</v>
      </c>
      <c r="FT78" s="163" t="str">
        <f t="shared" si="25"/>
        <v>#N/A</v>
      </c>
      <c r="FU78" s="159">
        <f>('Scénario référence'!$F$8+'Scénario référence'!$F$9+'Scénario référence'!$B$17+'Scénario référence'!$B$9+'Scénario référence'!$B$10)*70+IF((45+25*(1-EXP(-0.0175*A78)))&lt;70,'Scénario référence'!$B$16*(45+25*(1-EXP(-0.0175*A78))),70*'Scénario référence'!$B$16)+IF((32+38*(1-EXP(-0.0175*A78)))&lt;70,'Scénario référence'!$B$18*(32+38*(1-EXP(-0.0175*A78))),70*'Scénario référence'!$B$18)</f>
        <v>70</v>
      </c>
      <c r="FV78" s="151">
        <f>IF(A78&gt;30,10,('Scénario référence'!$B$16+'Scénario référence'!$B$17+'Scénario référence'!$B$18+'Scénario référence'!$B$9+'Scénario référence'!$B$10)*A78*10/30+('Scénario référence'!$F$8+'Scénario référence'!$F$9)*10)</f>
        <v>10</v>
      </c>
      <c r="FW78" s="151" t="str">
        <f>VLOOKUP(A78,'Données projet'!$A$243:$I$263,2,0)</f>
        <v>#N/A</v>
      </c>
      <c r="FX78" s="151" t="str">
        <f>VLOOKUP(A78,'Données projet'!$A$243:$I$263,9,0)</f>
        <v>#N/A</v>
      </c>
      <c r="FY78" s="151" t="str">
        <f t="array" ref="FY78">INDEX(FX:FX,MIN(IF(ISNUMBER(FX78:FX274),ROW(FX78:FX274),"")))</f>
        <v/>
      </c>
      <c r="FZ78" s="151">
        <f>IF('Données projet'!$A$244&gt;35,FZ77+FY78-GH77,IF(A78&lt;'Données projet'!$A$244,$FW$205^A78,IF(A78='Données projet'!$A$244,'Données projet'!$B$244,FZ77+FY78-GH77)))</f>
        <v>0</v>
      </c>
      <c r="GA78" s="158" t="str">
        <f>FZ78*VLOOKUP('Données projet'!$B$17,'Paramètres'!$A$1:$I$88,3,0)*VLOOKUP('Données projet'!$B$17,'Paramètres'!$A$1:$I$88,5,0)</f>
        <v>#N/A</v>
      </c>
      <c r="GB78" s="150" t="str">
        <f t="shared" si="50"/>
        <v>#N/A</v>
      </c>
      <c r="GC78" s="161" t="str">
        <f t="shared" si="26"/>
        <v>#N/A</v>
      </c>
      <c r="GD78" s="153" t="str">
        <f t="shared" si="27"/>
        <v>#N/A</v>
      </c>
      <c r="GE78" s="153" t="str">
        <f>AVERAGE(OFFSET($GD$3,0,0,'Données projet'!$E$17+1,1))-AVERAGE(OFFSET($H$3,0,0,'Données projet'!$E$17+1,1))</f>
        <v>#N/A</v>
      </c>
      <c r="GF78" s="153" t="str">
        <f t="shared" si="51"/>
        <v>#N/A</v>
      </c>
      <c r="GG78" s="154">
        <f>IF(ISNA(VLOOKUP(A78,'Données projet'!$A$243:$I$263,3,0)),0,VLOOKUP(A78,'Données projet'!$A$243:$I$263,3,0))</f>
        <v>0</v>
      </c>
      <c r="GH78" s="154">
        <f>IF(ISNA(VLOOKUP(A78,'Données projet'!$A$243:$I$263,4,0)),0,VLOOKUP(A78,'Données projet'!$A$243:$I$263,4,0))</f>
        <v>0</v>
      </c>
      <c r="GI78" s="155">
        <f>IF(ISNA(VLOOKUP(A78,'Données projet'!$A$243:$I$263,5,0)),0%,VLOOKUP(A78,'Données projet'!$A$243:$I$263,5,0)*VLOOKUP('Données projet'!$B$17,'Paramètres'!$A$1:$I$88,7,0))</f>
        <v>0</v>
      </c>
      <c r="GJ78" s="155">
        <f>IF(ISNA(VLOOKUP(A78,'Données projet'!$A$243:$I$263,6,0)),0%,VLOOKUP(A78,'Données projet'!$A$243:$I$263,6,0)*VLOOKUP('Données projet'!$B$17,'Paramètres'!$A$1:$I$88,7,0))</f>
        <v>0</v>
      </c>
      <c r="GK78" s="155">
        <f>IF(ISNA(VLOOKUP(A78,'Données projet'!$A$243:$I$263,7,0)),0%,VLOOKUP(A78,'Données projet'!$A$243:$I$263,7,0))</f>
        <v>0</v>
      </c>
      <c r="GL78" s="162" t="str">
        <f>EXP(-LN(2)/35)*GL77+(1-EXP(-LN(2)/35))/(LN(2)/35)*GH78*GI78*VLOOKUP('Données projet'!$B$17,'Paramètres'!$A$1:$I$88,3,0)*0.475*44/12</f>
        <v>#N/A</v>
      </c>
      <c r="GM78" s="162" t="str">
        <f>EXP(-LN(2)/25)*GM77+(1-EXP(-LN(2)/25))/(LN(2)/25)*Calculateur!GH78*Calculateur!GJ78*VLOOKUP('Données projet'!$B$17,'Paramètres'!$A$1:$I$88,3,0)*0.475*44/12</f>
        <v>#N/A</v>
      </c>
      <c r="GN78" s="162" t="str">
        <f>EXP(-LN(2)/2)*GN77+(1-EXP(-LN(2)/2))/(LN(2)/2)*GH78*GK78*VLOOKUP('Données projet'!$B$17,'Paramètres'!$A$1:$I$88,3,0)*0.475*44/12</f>
        <v>#N/A</v>
      </c>
      <c r="GO78" s="162" t="str">
        <f t="shared" si="28"/>
        <v>#N/A</v>
      </c>
      <c r="GP78" s="159">
        <f>('Scénario référence'!$F$8+'Scénario référence'!$F$9+'Scénario référence'!$B$17+'Scénario référence'!$B$9+'Scénario référence'!$B$10)*70+IF((45+25*(1-EXP(-0.0175*A78)))&lt;70,'Scénario référence'!$B$16*(45+25*(1-EXP(-0.0175*A78))),70*'Scénario référence'!$B$16)+IF((32+38*(1-EXP(-0.0175*A78)))&lt;70,'Scénario référence'!$B$18*(32+38*(1-EXP(-0.0175*A78))),70*'Scénario référence'!$B$18)</f>
        <v>70</v>
      </c>
      <c r="GQ78" s="151">
        <f>IF(A78&gt;30,10,('Scénario référence'!$B$16+'Scénario référence'!$B$17+'Scénario référence'!$B$18+'Scénario référence'!$B$9+'Scénario référence'!$B$10)*A78*10/30+('Scénario référence'!$F$8+'Scénario référence'!$F$9)*10)</f>
        <v>10</v>
      </c>
      <c r="GR78" s="151" t="str">
        <f>VLOOKUP(A78,'Données projet'!$A$269:$I$289,2,0)</f>
        <v>#N/A</v>
      </c>
      <c r="GS78" s="151" t="str">
        <f>VLOOKUP(A78,'Données projet'!$A$269:$I$289,9,0)</f>
        <v>#N/A</v>
      </c>
      <c r="GT78" s="151" t="str">
        <f t="array" ref="GT78">INDEX(GS:GS,MIN(IF(ISNUMBER(GS78:GS274),ROW(GS78:GS274),"")))</f>
        <v/>
      </c>
      <c r="GU78" s="151">
        <f>IF('Données projet'!$A$270&gt;35,GU77+GT78-HC77,IF(A78&lt;'Données projet'!$A$270,$GR$205^A78,IF(A78='Données projet'!$A$270,'Données projet'!$B$270,GU77+GT78-HC77)))</f>
        <v>0</v>
      </c>
      <c r="GV78" s="158" t="str">
        <f>GU78*VLOOKUP('Données projet'!$B$18,'Paramètres'!$A$1:$I$88,3,0)*VLOOKUP('Données projet'!$B$18,'Paramètres'!$A$1:$I$88,5,0)</f>
        <v>#N/A</v>
      </c>
      <c r="GW78" s="150" t="str">
        <f t="shared" si="52"/>
        <v>#N/A</v>
      </c>
      <c r="GX78" s="161" t="str">
        <f t="shared" si="29"/>
        <v>#N/A</v>
      </c>
      <c r="GY78" s="153" t="str">
        <f t="shared" si="30"/>
        <v>#N/A</v>
      </c>
      <c r="GZ78" s="153" t="str">
        <f>AVERAGE(OFFSET($GY$3,0,0,'Données projet'!$E$18+1,1))-AVERAGE(OFFSET($H$3,0,0,'Données projet'!$E$18+1,1))</f>
        <v>#N/A</v>
      </c>
      <c r="HA78" s="153" t="str">
        <f t="shared" si="53"/>
        <v>#N/A</v>
      </c>
      <c r="HB78" s="154">
        <f>IF(ISNA(VLOOKUP(A78,'Données projet'!$A$269:$I$289,3,0)),0,VLOOKUP(A78,'Données projet'!$A$269:$I$289,3,0))</f>
        <v>0</v>
      </c>
      <c r="HC78" s="154">
        <f>IF(ISNA(VLOOKUP(A78,'Données projet'!$A$269:$I$289,4,0)),0,VLOOKUP(A78,'Données projet'!$A$269:$I$289,4,0))</f>
        <v>0</v>
      </c>
      <c r="HD78" s="155">
        <f>IF(ISNA(VLOOKUP(A78,'Données projet'!$A$269:$I$289,5,0)),0%,VLOOKUP(A78,'Données projet'!$A$269:$I$289,5,0)*VLOOKUP('Données projet'!$B$18,'Paramètres'!$A$1:$I$88,7,0))</f>
        <v>0</v>
      </c>
      <c r="HE78" s="155">
        <f>IF(ISNA(VLOOKUP(A78,'Données projet'!$A$269:$I$289,6,0)),0%,VLOOKUP(A78,'Données projet'!$A$269:$I$289,6,0)*VLOOKUP('Données projet'!$B$18,'Paramètres'!$A$1:$I$88,7,0))</f>
        <v>0</v>
      </c>
      <c r="HF78" s="155">
        <f>IF(ISNA(VLOOKUP(A78,'Données projet'!$A$269:$I$289,7,0)),0%,VLOOKUP(A78,'Données projet'!$A$269:$I$289,7,0))</f>
        <v>0</v>
      </c>
      <c r="HG78" s="162" t="str">
        <f>EXP(-LN(2)/35)*HG77+(1-EXP(-LN(2)/35))/(LN(2)/35)*HC78*HD78*VLOOKUP('Données projet'!$B$18,'Paramètres'!$A$1:$I$88,3,0)*0.475*44/12</f>
        <v>#N/A</v>
      </c>
      <c r="HH78" s="162" t="str">
        <f>EXP(-LN(2)/25)*HH77+(1-EXP(-LN(2)/25))/(LN(2)/25)*Calculateur!HC78*Calculateur!HE78*VLOOKUP('Données projet'!$B$18,'Paramètres'!$A$1:$I$88,3,0)*0.475*44/12</f>
        <v>#N/A</v>
      </c>
      <c r="HI78" s="162" t="str">
        <f>EXP(-LN(2)/2)*HI77+(1-EXP(-LN(2)/2))/(LN(2)/2)*HC78*HF78*VLOOKUP('Données projet'!$B$18,'Paramètres'!$A$1:$I$88,3,0)*0.475*44/12</f>
        <v>#N/A</v>
      </c>
      <c r="HJ78" s="163" t="str">
        <f t="shared" si="31"/>
        <v>#N/A</v>
      </c>
    </row>
    <row r="79" ht="15.75" customHeight="1">
      <c r="A79" s="145">
        <f t="shared" si="32"/>
        <v>76</v>
      </c>
      <c r="B79" s="146">
        <f>'Scénario référence'!$B$16*5+'Scénario référence'!$B$17*0+'Scénario référence'!$B$18*5</f>
        <v>0</v>
      </c>
      <c r="C79" s="160">
        <f>Calculateur!C78+'Scénario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79" s="147">
        <f t="shared" si="33"/>
        <v>0</v>
      </c>
      <c r="E79" s="147">
        <f>'Scénario référence'!$B$16*45+('Scénario référence'!$B$17+'Scénario référence'!$F$8+'Scénario référence'!$F$9+'Scénario référence'!$B$10+'Scénario référence'!$B$9)*70+'Scénario référence'!$B$18*32</f>
        <v>70</v>
      </c>
      <c r="F79" s="147">
        <f>IF(OR('Scénario référence'!$F$8&gt;0,'Scénario référence'!$F$9&gt;0),('Scénario référence'!$F$8+'Scénario référence'!$F$9)*10,0)</f>
        <v>0</v>
      </c>
      <c r="G79" s="147">
        <f>'Scénario référence'!$B$8*B79*44/12+'Scénario référence'!$B$9*(C79+D79)/0.475*44/12+'Scénario référence'!$B$10*(C79+D79)/0.475*44/12+'Scénario référence'!$F$8*(C79+D79)/0.475*44/12+'Scénario référence'!$F$9*(C79+D79)/0.475*44/12</f>
        <v>0</v>
      </c>
      <c r="H79" s="148">
        <f t="shared" si="1"/>
        <v>256.6666667</v>
      </c>
      <c r="I79" s="149">
        <f>('Scénario référence'!$F$8+'Scénario référence'!$F$9+'Scénario référence'!$B$17+'Scénario référence'!$B$9+'Scénario référence'!$B$10)*70+IF((45+25*(1-EXP(-0.0175*A79)))&lt;70,'Scénario référence'!$B$16*(45+25*(1-EXP(-0.0175*A79))),70*'Scénario référence'!$B$16)+IF((32+38*(1-EXP(-0.0175*A79)))&lt;70,'Scénario référence'!$B$18*(32+38*(1-EXP(-0.0175*A79))),70*'Scénario référence'!$B$18)</f>
        <v>70</v>
      </c>
      <c r="J79" s="150">
        <f>IF(A79&gt;30,10,('Scénario référence'!$B$16+'Scénario référence'!$B$17+'Scénario référence'!$B$18+'Scénario référence'!$B$9+'Scénario référence'!$B$10)*A79*10/30+('Scénario référence'!$F$8+'Scénario référence'!$F$9)*10)</f>
        <v>10</v>
      </c>
      <c r="K79" s="151" t="str">
        <f>VLOOKUP(A79,'Données projet'!$A$35:$I$55,2,0)</f>
        <v>#N/A</v>
      </c>
      <c r="L79" s="151" t="str">
        <f>VLOOKUP(A79,'Données projet'!$A$35:$I$55,9,0)</f>
        <v>#N/A</v>
      </c>
      <c r="M79" s="150">
        <f t="array" ref="M79">INDEX(L:L,MIN(IF(ISNUMBER(L79:L275),ROW(L79:L275),"")))</f>
        <v>7.2</v>
      </c>
      <c r="N79" s="150">
        <f>IF('Données projet'!$A$36&gt;35,N78+M79-V78,IF(A79&lt;'Données projet'!$A$36,$K$205^A79,IF(A79='Données projet'!$A$36,'Données projet'!$B$36,N78+M79-V78)))</f>
        <v>291.2</v>
      </c>
      <c r="O79" s="150">
        <f>N79*VLOOKUP('Données projet'!$B$9,'Paramètres'!$A$1:$I$88,3,0)*VLOOKUP('Données projet'!$B$9,'Paramètres'!$A$1:$I$88,5,0)</f>
        <v>263.47776</v>
      </c>
      <c r="P79" s="150">
        <f t="shared" si="34"/>
        <v>63.4631216</v>
      </c>
      <c r="Q79" s="161">
        <f t="shared" si="2"/>
        <v>569.4220354</v>
      </c>
      <c r="R79" s="153">
        <f t="shared" si="3"/>
        <v>862.7553688</v>
      </c>
      <c r="S79" s="153">
        <f>AVERAGE(OFFSET($R$3,0,0,'Données projet'!$E$9+1,1))-AVERAGE(OFFSET($H$3,0,0,'Données projet'!$E$9+1,1))</f>
        <v>439.1985427</v>
      </c>
      <c r="T79" s="153">
        <f t="shared" si="35"/>
        <v>278.2174123</v>
      </c>
      <c r="U79" s="154">
        <f>IF(ISNA(VLOOKUP(A79,'Données projet'!$A$35:$I$55,3,0)),0,VLOOKUP(A79,'Données projet'!$A$35:$I$55,3,0))</f>
        <v>0</v>
      </c>
      <c r="V79" s="154">
        <f>IF(ISNA(VLOOKUP(A79,'Données projet'!$A$35:$I$55,4,0)),0,VLOOKUP(A79,'Données projet'!$A$35:$I$55,4,0))</f>
        <v>0</v>
      </c>
      <c r="W79" s="155">
        <f>IF(ISNA(VLOOKUP(A79,'Données projet'!$A$35:$I$55,5,0)),0%,VLOOKUP(A79,'Données projet'!$A$35:$I$55,5,0)*VLOOKUP('Données projet'!$B$9,'Paramètres'!$A$1:$I$88,7,0))</f>
        <v>0</v>
      </c>
      <c r="X79" s="155">
        <f>IF(ISNA(VLOOKUP(A79,'Données projet'!$A$35:$I$55,6,0)),0%,VLOOKUP(A79,'Données projet'!$A$35:$I$55,6,0)*VLOOKUP('Données projet'!$B$9,'Paramètres'!$A$1:$I$88,7,0))</f>
        <v>0</v>
      </c>
      <c r="Y79" s="155">
        <f>IF(ISNA(VLOOKUP(A79,'Données projet'!$A$35:$I$55,7,0)),0%,VLOOKUP(A79,'Données projet'!$A$35:$I$55,7,0))</f>
        <v>0</v>
      </c>
      <c r="Z79" s="162">
        <f>EXP(-LN(2)/35)*Z78+(1-EXP(-LN(2)/35))/(LN(2)/35)*V79*W79*VLOOKUP('Données projet'!$B$9,'Paramètres'!$A$1:$I$88,3,0)*0.475*44/12</f>
        <v>0</v>
      </c>
      <c r="AA79" s="162">
        <f>EXP(-LN(2)/25)*AA78+(1-EXP(-LN(2)/25))/(LN(2)/25)*Calculateur!V79*Calculateur!X79*VLOOKUP('Données projet'!$B$9,'Paramètres'!$A$1:$I$88,3,0)*0.475*44/12</f>
        <v>1.253479071</v>
      </c>
      <c r="AB79" s="162">
        <f>EXP(-LN(2)/2)*AB78+(1-EXP(-LN(2)/2))/(LN(2)/2)*V79*Y79*VLOOKUP('Données projet'!$B$9,'Paramètres'!$A$1:$I$88,3,0)*0.475*44/12</f>
        <v>0</v>
      </c>
      <c r="AC79" s="163">
        <f t="shared" si="4"/>
        <v>1.253479071</v>
      </c>
      <c r="AD79" s="150">
        <f>('Scénario référence'!$F$8+'Scénario référence'!$F$9+'Scénario référence'!$B$17+'Scénario référence'!$B$9+'Scénario référence'!$B$10)*70+IF((45+25*(1-EXP(-0.0175*A79)))&lt;70,'Scénario référence'!$B$16*(45+25*(1-EXP(-0.0175*A79))),70*'Scénario référence'!$B$16)+IF((32+38*(1-EXP(-0.0175*A79)))&lt;70,'Scénario référence'!$B$18*(32+38*(1-EXP(-0.0175*A79))),70*'Scénario référence'!$B$18)</f>
        <v>70</v>
      </c>
      <c r="AE79" s="150">
        <f>IF(A79&gt;30,10,('Scénario référence'!$B$16+'Scénario référence'!$B$17+'Scénario référence'!$B$18+'Scénario référence'!$B$9+'Scénario référence'!$B$10)*A79*10/30+('Scénario référence'!$F$8+'Scénario référence'!$F$9)*10)</f>
        <v>10</v>
      </c>
      <c r="AF79" s="151" t="str">
        <f>VLOOKUP(A79,'Données projet'!$A$61:$I$81,2,0)</f>
        <v>#N/A</v>
      </c>
      <c r="AG79" s="151" t="str">
        <f>VLOOKUP(A79,'Données projet'!$A$61:$I$81,9,0)</f>
        <v>#N/A</v>
      </c>
      <c r="AH79" s="151">
        <f t="array" ref="AH79">INDEX(AG:AG,MIN(IF(ISNUMBER(AG79:AG275),ROW(AG79:AG275),"")))</f>
        <v>4</v>
      </c>
      <c r="AI79" s="150">
        <f>IF('Données projet'!$A$62&gt;35,AI78+AH79-AQ78,IF(A79&lt;'Données projet'!$A$62,$AF$205^A79,IF(A79='Données projet'!$A$62,'Données projet'!$B$62,AI78+AH79-AQ78)))</f>
        <v>365</v>
      </c>
      <c r="AJ79" s="150">
        <f>AI79*VLOOKUP('Données projet'!$B$10,'Paramètres'!$A$1:$I$88,3,0)*VLOOKUP('Données projet'!$B$10,'Paramètres'!$A$1:$I$88,5,0)</f>
        <v>290.394</v>
      </c>
      <c r="AK79" s="150">
        <f t="shared" si="36"/>
        <v>69.15887859</v>
      </c>
      <c r="AL79" s="161">
        <f t="shared" si="5"/>
        <v>626.2212636</v>
      </c>
      <c r="AM79" s="153">
        <f t="shared" si="6"/>
        <v>919.5545969</v>
      </c>
      <c r="AN79" s="153">
        <f>AVERAGE(OFFSET($AM$3,0,0,'Données projet'!$E$10+1,1))-AVERAGE(OFFSET($H$3,0,0,'Données projet'!$E$10+1,1))</f>
        <v>405.6113614</v>
      </c>
      <c r="AO79" s="153">
        <f t="shared" si="37"/>
        <v>393.0787141</v>
      </c>
      <c r="AP79" s="154">
        <f>IF(ISNA(VLOOKUP(A79,'Données projet'!$A$61:$I$81,3,0)),0,VLOOKUP(A79,'Données projet'!$A$61:$I$81,3,0))</f>
        <v>0</v>
      </c>
      <c r="AQ79" s="154">
        <f>IF(ISNA(VLOOKUP(A79,'Données projet'!$A$61:$I$81,4,0)),0,VLOOKUP(A79,'Données projet'!$A$61:$I$81,4,0))</f>
        <v>0</v>
      </c>
      <c r="AR79" s="155">
        <f>IF(ISNA(VLOOKUP(A79,'Données projet'!$A$61:$I$81,5,0)),0%,VLOOKUP(A79,'Données projet'!$A$61:$I$81,5,0)*VLOOKUP('Données projet'!$B$10,'Paramètres'!$A$1:$I$88,7,0))</f>
        <v>0</v>
      </c>
      <c r="AS79" s="155">
        <f>IF(ISNA(VLOOKUP(A79,'Données projet'!$A$61:$I$81,6,0)),0%,VLOOKUP(A79,'Données projet'!$A$61:$I$81,6,0)*VLOOKUP('Données projet'!$B$10,'Paramètres'!$A$1:$I$88,7,0))</f>
        <v>0</v>
      </c>
      <c r="AT79" s="155">
        <f>IF(ISNA(VLOOKUP(A79,'Données projet'!$A$61:$I$81,7,0)),0%,VLOOKUP(A79,'Données projet'!$A$61:$I$81,7,0))</f>
        <v>0</v>
      </c>
      <c r="AU79" s="162">
        <f>EXP(-LN(2)/35)*AU78+(1-EXP(-LN(2)/35))/(LN(2)/35)*AQ79*AR79*VLOOKUP('Données projet'!$B$10,'Paramètres'!$A$1:$I$88,3,0)*0.475*44/12</f>
        <v>0</v>
      </c>
      <c r="AV79" s="162">
        <f>EXP(-LN(2)/25)*AV78+(1-EXP(-LN(2)/25))/(LN(2)/25)*Calculateur!AQ79*Calculateur!AS79*VLOOKUP('Données projet'!$B$10,'Paramètres'!$A$1:$I$88,3,0)*0.475*44/12</f>
        <v>5.09445759</v>
      </c>
      <c r="AW79" s="162">
        <f>EXP(-LN(2)/2)*AW78+(1-EXP(-LN(2)/2))/(LN(2)/2)*AQ79*AT79*VLOOKUP('Données projet'!$B$10,'Paramètres'!$A$1:$I$88,3,0)*0.475*44/12</f>
        <v>0.00000006910707998</v>
      </c>
      <c r="AX79" s="162">
        <f t="shared" si="7"/>
        <v>5.094457659</v>
      </c>
      <c r="AY79" s="157">
        <f>('Scénario référence'!$F$8+'Scénario référence'!$F$9+'Scénario référence'!$B$17+'Scénario référence'!$B$9+'Scénario référence'!$B$10)*70+IF((45+25*(1-EXP(-0.0175*A79)))&lt;70,'Scénario référence'!$B$16*(45+25*(1-EXP(-0.0175*A79))),70*'Scénario référence'!$B$16)+IF((32+38*(1-EXP(-0.0175*A79)))&lt;70,'Scénario référence'!$B$18*(32+38*(1-EXP(-0.0175*A79))),70*'Scénario référence'!$B$18)</f>
        <v>70</v>
      </c>
      <c r="AZ79" s="151">
        <f>IF(A79&gt;30,10,('Scénario référence'!$B$16+'Scénario référence'!$B$17+'Scénario référence'!$B$18+'Scénario référence'!$B$9+'Scénario référence'!$B$10)*A79*10/30+('Scénario référence'!$F$8+'Scénario référence'!$F$9)*10)</f>
        <v>10</v>
      </c>
      <c r="BA79" s="151" t="str">
        <f>VLOOKUP(A79,'Données projet'!$A$87:$I$107,2,0)</f>
        <v>#N/A</v>
      </c>
      <c r="BB79" s="151" t="str">
        <f>VLOOKUP(A79,'Données projet'!$A$87:$I$107,9,0)</f>
        <v>#N/A</v>
      </c>
      <c r="BC79" s="150" t="str">
        <f t="array" ref="BC79">INDEX(BB:BB,MIN(IF(ISNUMBER(BB79:BB275),ROW(BB79:BB275),"")))</f>
        <v/>
      </c>
      <c r="BD79" s="150">
        <f>IF('Données projet'!$A$88&gt;35,BD78+BC79-BL78,IF(A79&lt;'Données projet'!$A$88,$BA$205^A79,IF(A79='Données projet'!$A$88,'Données projet'!$B$88,BD78+BC79-BL78)))</f>
        <v>0</v>
      </c>
      <c r="BE79" s="150">
        <f>BD79*VLOOKUP('Données projet'!$B$11,'Paramètres'!$A$1:$I$88,3,0)*VLOOKUP('Données projet'!$B$11,'Paramètres'!$A$1:$I$88,5,0)</f>
        <v>0</v>
      </c>
      <c r="BF79" s="150" t="str">
        <f t="shared" si="38"/>
        <v>#NUM!</v>
      </c>
      <c r="BG79" s="161" t="str">
        <f t="shared" si="8"/>
        <v>#NUM!</v>
      </c>
      <c r="BH79" s="153" t="str">
        <f t="shared" si="9"/>
        <v>#NUM!</v>
      </c>
      <c r="BI79" s="153">
        <f>AVERAGE(OFFSET($BH$3,0,0,'Données projet'!$E$11+1,1))-AVERAGE(OFFSET($H$3,0,0,'Données projet'!$E$11+1,1))</f>
        <v>0</v>
      </c>
      <c r="BJ79" s="153">
        <f t="shared" si="39"/>
        <v>0</v>
      </c>
      <c r="BK79" s="154">
        <f>IF(ISNA(VLOOKUP(A79,'Données projet'!$A$87:$I$107,3,0)),0,VLOOKUP(A79,'Données projet'!$A$87:$I$107,3,0))</f>
        <v>0</v>
      </c>
      <c r="BL79" s="154">
        <f>IF(ISNA(VLOOKUP(A79,'Données projet'!$A$87:$I$107,4,0)),0,VLOOKUP(A79,'Données projet'!$A$87:$I$107,4,0))</f>
        <v>0</v>
      </c>
      <c r="BM79" s="155">
        <f>IF(ISNA(VLOOKUP(A79,'Données projet'!$A$87:$I$107,5,0)),0%,VLOOKUP(A79,'Données projet'!$A$87:$I$107,5,0)*VLOOKUP('Données projet'!$B$11,'Paramètres'!$A$1:$I$88,7,0))</f>
        <v>0</v>
      </c>
      <c r="BN79" s="155">
        <f>IF(ISNA(VLOOKUP(A79,'Données projet'!$A$87:$I$107,6,0)),0%,VLOOKUP(A79,'Données projet'!$A$87:$I$107,6,0)*VLOOKUP('Données projet'!$B$11,'Paramètres'!$A$1:$I$88,7,0))</f>
        <v>0</v>
      </c>
      <c r="BO79" s="155">
        <f>IF(ISNA(VLOOKUP(A79,'Données projet'!$A$87:$I$107,7,0)),0%,VLOOKUP(A79,'Données projet'!$A$87:$I$107,7,0))</f>
        <v>0</v>
      </c>
      <c r="BP79" s="162">
        <f>EXP(-LN(2)/35)*BP78+(1-EXP(-LN(2)/35))/(LN(2)/35)*BL79*BM79*VLOOKUP('Données projet'!$B$11,'Paramètres'!$A$1:$I$88,3,0)*0.475*44/12</f>
        <v>0</v>
      </c>
      <c r="BQ79" s="162">
        <f>EXP(-LN(2)/25)*BQ78+(1-EXP(-LN(2)/25))/(LN(2)/25)*Calculateur!BL79*Calculateur!BN79*VLOOKUP('Données projet'!$B$11,'Paramètres'!$A$1:$I$88,3,0)*0.475*44/12</f>
        <v>0</v>
      </c>
      <c r="BR79" s="162">
        <f>EXP(-LN(2)/2)*BR78+(1-EXP(-LN(2)/2))/(LN(2)/2)*BL79*BO79*VLOOKUP('Données projet'!$B$11,'Paramètres'!$A$1:$I$88,3,0)*0.475*44/12</f>
        <v>0</v>
      </c>
      <c r="BS79" s="163">
        <f t="shared" si="10"/>
        <v>0</v>
      </c>
      <c r="BT79" s="159">
        <f>('Scénario référence'!$F$8+'Scénario référence'!$F$9+'Scénario référence'!$B$17+'Scénario référence'!$B$9+'Scénario référence'!$B$10)*70+IF((45+25*(1-EXP(-0.0175*A79)))&lt;70,'Scénario référence'!$B$16*(45+25*(1-EXP(-0.0175*A79))),70*'Scénario référence'!$B$16)+IF((32+38*(1-EXP(-0.0175*A79)))&lt;70,'Scénario référence'!$B$18*(32+38*(1-EXP(-0.0175*A79))),70*'Scénario référence'!$B$18)</f>
        <v>70</v>
      </c>
      <c r="BU79" s="151">
        <f>IF(A79&gt;30,10,('Scénario référence'!$B$16+'Scénario référence'!$B$17+'Scénario référence'!$B$18+'Scénario référence'!$B$9+'Scénario référence'!$B$10)*A79*10/30+('Scénario référence'!$F$8+'Scénario référence'!$F$9)*10)</f>
        <v>10</v>
      </c>
      <c r="BV79" s="151" t="str">
        <f>VLOOKUP(A79,'Données projet'!$A$113:$I$133,2,0)</f>
        <v>#N/A</v>
      </c>
      <c r="BW79" s="151" t="str">
        <f>VLOOKUP(A79,'Données projet'!$A$113:$I$133,9,0)</f>
        <v>#N/A</v>
      </c>
      <c r="BX79" s="150" t="str">
        <f t="array" ref="BX79">INDEX(BW:BW,MIN(IF(ISNUMBER(BW79:BW275),ROW(BW79:BW275),"")))</f>
        <v/>
      </c>
      <c r="BY79" s="150">
        <f>IF('Données projet'!$A$114&gt;35,BY78+BX79-CG78,IF(A79&lt;'Données projet'!$A$114,$BV$205^A79,IF(A79='Données projet'!$A$114,'Données projet'!$B$114,BY78+BX79-CG78)))</f>
        <v>0</v>
      </c>
      <c r="BZ79" s="150" t="str">
        <f>BY79*VLOOKUP('Données projet'!$B$12,'Paramètres'!$A$1:$I$88,3,0)*VLOOKUP('Données projet'!$B$12,'Paramètres'!$A$1:$I$88,5,0)</f>
        <v>#N/A</v>
      </c>
      <c r="CA79" s="150" t="str">
        <f t="shared" si="40"/>
        <v>#N/A</v>
      </c>
      <c r="CB79" s="161" t="str">
        <f t="shared" si="11"/>
        <v>#N/A</v>
      </c>
      <c r="CC79" s="153" t="str">
        <f t="shared" si="12"/>
        <v>#N/A</v>
      </c>
      <c r="CD79" s="153" t="str">
        <f>AVERAGE(OFFSET($CC$3,0,0,'Données projet'!$E$12+1,1))-AVERAGE(OFFSET($H$3,0,0,'Données projet'!$E$12+1,1))</f>
        <v>#N/A</v>
      </c>
      <c r="CE79" s="153" t="str">
        <f t="shared" si="41"/>
        <v>#N/A</v>
      </c>
      <c r="CF79" s="154">
        <f>IF(ISNA(VLOOKUP(A79,'Données projet'!$A$113:$I$133,3,0)),0,VLOOKUP(A79,'Données projet'!$A$113:$I$133,3,0))</f>
        <v>0</v>
      </c>
      <c r="CG79" s="154">
        <f>IF(ISNA(VLOOKUP(A79,'Données projet'!$A$113:$I$133,4,0)),0,VLOOKUP(A79,'Données projet'!$A$113:$I$133,4,0))</f>
        <v>0</v>
      </c>
      <c r="CH79" s="155">
        <f>IF(ISNA(VLOOKUP(A79,'Données projet'!$A$113:$I$133,5,0)),0%,VLOOKUP(A79,'Données projet'!$A$113:$I$133,5,0)*VLOOKUP('Données projet'!$B$12,'Paramètres'!$A$1:$I$88,7,0))</f>
        <v>0</v>
      </c>
      <c r="CI79" s="155">
        <f>IF(ISNA(VLOOKUP(A79,'Données projet'!$A$113:$I$133,6,0)),0%,VLOOKUP(A79,'Données projet'!$A$113:$I$133,6,0)*VLOOKUP('Données projet'!$B$12,'Paramètres'!$A$1:$I$88,7,0))</f>
        <v>0</v>
      </c>
      <c r="CJ79" s="155">
        <f>IF(ISNA(VLOOKUP(A79,'Données projet'!$A$113:$I$133,7,0)),0%,VLOOKUP(A79,'Données projet'!$A$113:$I$133,7,0))</f>
        <v>0</v>
      </c>
      <c r="CK79" s="162" t="str">
        <f>EXP(-LN(2)/35)*CK78+(1-EXP(-LN(2)/35))/(LN(2)/35)*CG79*CH79*VLOOKUP('Données projet'!$B$12,'Paramètres'!$A$1:$I$88,3,0)*0.475*44/12</f>
        <v>#N/A</v>
      </c>
      <c r="CL79" s="162" t="str">
        <f>EXP(-LN(2)/25)*CL78+(1-EXP(-LN(2)/25))/(LN(2)/25)*Calculateur!CG79*Calculateur!CI79*VLOOKUP('Données projet'!$B$12,'Paramètres'!$A$1:$I$88,3,0)*0.475*44/12</f>
        <v>#N/A</v>
      </c>
      <c r="CM79" s="162" t="str">
        <f>EXP(-LN(2)/2)*CM78+(1-EXP(-LN(2)/2))/(LN(2)/2)*CG79*CJ79*VLOOKUP('Données projet'!$B$12,'Paramètres'!$A$1:$I$88,3,0)*0.475*44/12</f>
        <v>#N/A</v>
      </c>
      <c r="CN79" s="163" t="str">
        <f t="shared" si="13"/>
        <v>#N/A</v>
      </c>
      <c r="CO79" s="159">
        <f>('Scénario référence'!$F$8+'Scénario référence'!$F$9+'Scénario référence'!$B$17+'Scénario référence'!$B$9+'Scénario référence'!$B$10)*70+IF((45+25*(1-EXP(-0.0175*A79)))&lt;70,'Scénario référence'!$B$16*(45+25*(1-EXP(-0.0175*A79))),70*'Scénario référence'!$B$16)+IF((32+38*(1-EXP(-0.0175*A79)))&lt;70,'Scénario référence'!$B$18*(32+38*(1-EXP(-0.0175*A79))),70*'Scénario référence'!$B$18)</f>
        <v>70</v>
      </c>
      <c r="CP79" s="151">
        <f>IF(A79&gt;30,10,('Scénario référence'!$B$16+'Scénario référence'!$B$17+'Scénario référence'!$B$18+'Scénario référence'!$B$9+'Scénario référence'!$B$10)*A79*10/30+('Scénario référence'!$F$8+'Scénario référence'!$F$9)*10)</f>
        <v>10</v>
      </c>
      <c r="CQ79" s="151" t="str">
        <f>VLOOKUP(A79,'Données projet'!$A$139:$I$159,2,0)</f>
        <v>#N/A</v>
      </c>
      <c r="CR79" s="151" t="str">
        <f>VLOOKUP(A79,'Données projet'!$A$139:$I$159,9,0)</f>
        <v>#N/A</v>
      </c>
      <c r="CS79" s="151" t="str">
        <f t="array" ref="CS79">INDEX(CR:CR,MIN(IF(ISNUMBER(CR79:CR275),ROW(CR79:CR275),"")))</f>
        <v/>
      </c>
      <c r="CT79" s="151">
        <f>IF('Données projet'!$A$140&gt;35,CT78+CS79-DB78,IF(A79&lt;'Données projet'!$A$140,$CQ$205^A79,IF(A79='Données projet'!$A$140,'Données projet'!$B$140,CT78+CS79-DB78)))</f>
        <v>0</v>
      </c>
      <c r="CU79" s="158" t="str">
        <f>CT79*VLOOKUP('Données projet'!$B$13,'Paramètres'!$A$1:$I$88,3,0)*VLOOKUP('Données projet'!$B$13,'Paramètres'!$A$1:$I$88,5,0)</f>
        <v>#N/A</v>
      </c>
      <c r="CV79" s="150" t="str">
        <f t="shared" si="42"/>
        <v>#N/A</v>
      </c>
      <c r="CW79" s="161" t="str">
        <f t="shared" si="14"/>
        <v>#N/A</v>
      </c>
      <c r="CX79" s="153" t="str">
        <f t="shared" si="15"/>
        <v>#N/A</v>
      </c>
      <c r="CY79" s="153" t="str">
        <f>AVERAGE(OFFSET($CX$3,0,0,'Données projet'!$E$13+1,1))-AVERAGE(OFFSET($H$3,0,0,'Données projet'!$E$13+1,1))</f>
        <v>#N/A</v>
      </c>
      <c r="CZ79" s="153" t="str">
        <f t="shared" si="43"/>
        <v>#N/A</v>
      </c>
      <c r="DA79" s="154">
        <f>IF(ISNA(VLOOKUP(A79,'Données projet'!$A$139:$I$159,3,0)),0,VLOOKUP(A79,'Données projet'!$A$139:$I$159,3,0))</f>
        <v>0</v>
      </c>
      <c r="DB79" s="154">
        <f>IF(ISNA(VLOOKUP(A79,'Données projet'!$A$139:$I$159,4,0)),0,VLOOKUP(A79,'Données projet'!$A$139:$I$159,4,0))</f>
        <v>0</v>
      </c>
      <c r="DC79" s="155">
        <f>IF(ISNA(VLOOKUP(A79,'Données projet'!$A$139:$I$159,5,0)),0%,VLOOKUP(A79,'Données projet'!$A$139:$I$159,5,0)*VLOOKUP('Données projet'!$B$13,'Paramètres'!$A$1:$I$88,7,0))</f>
        <v>0</v>
      </c>
      <c r="DD79" s="155">
        <f>IF(ISNA(VLOOKUP(A79,'Données projet'!$A$139:$I$159,6,0)),0%,VLOOKUP(A79,'Données projet'!$A$139:$I$159,6,0)*VLOOKUP('Données projet'!$B$13,'Paramètres'!$A$1:$I$88,7,0))</f>
        <v>0</v>
      </c>
      <c r="DE79" s="155">
        <f>IF(ISNA(VLOOKUP(A79,'Données projet'!$A$139:$I$159,7,0)),0%,VLOOKUP(A79,'Données projet'!$A$139:$I$159,7,0))</f>
        <v>0</v>
      </c>
      <c r="DF79" s="162" t="str">
        <f>EXP(-LN(2)/35)*DF78+(1-EXP(-LN(2)/35))/(LN(2)/35)*DB79*DC79*VLOOKUP('Données projet'!$B$13,'Paramètres'!$A$1:$I$88,3,0)*0.475*44/12</f>
        <v>#N/A</v>
      </c>
      <c r="DG79" s="162" t="str">
        <f>EXP(-LN(2)/25)*DG78+(1-EXP(-LN(2)/25))/(LN(2)/25)*Calculateur!DB79*Calculateur!DD79*VLOOKUP('Données projet'!$B$13,'Paramètres'!$A$1:$I$88,3,0)*0.475*44/12</f>
        <v>#N/A</v>
      </c>
      <c r="DH79" s="162" t="str">
        <f>EXP(-LN(2)/2)*DH78+(1-EXP(-LN(2)/2))/(LN(2)/2)*DB79*DE79*VLOOKUP('Données projet'!$B$13,'Paramètres'!$A$1:$I$88,3,0)*0.475*44/12</f>
        <v>#N/A</v>
      </c>
      <c r="DI79" s="163" t="str">
        <f t="shared" si="16"/>
        <v>#N/A</v>
      </c>
      <c r="DJ79" s="159">
        <f>('Scénario référence'!$F$8+'Scénario référence'!$F$9+'Scénario référence'!$B$17+'Scénario référence'!$B$9+'Scénario référence'!$B$10)*70+IF((45+25*(1-EXP(-0.0175*A79)))&lt;70,'Scénario référence'!$B$16*(45+25*(1-EXP(-0.0175*A79))),70*'Scénario référence'!$B$16)+IF((32+38*(1-EXP(-0.0175*A79)))&lt;70,'Scénario référence'!$B$18*(32+38*(1-EXP(-0.0175*A79))),70*'Scénario référence'!$B$18)</f>
        <v>70</v>
      </c>
      <c r="DK79" s="151">
        <f>IF(A79&gt;30,10,('Scénario référence'!$B$16+'Scénario référence'!$B$17+'Scénario référence'!$B$18+'Scénario référence'!$B$9+'Scénario référence'!$B$10)*A79*10/30+('Scénario référence'!$F$8+'Scénario référence'!$F$9)*10)</f>
        <v>10</v>
      </c>
      <c r="DL79" s="151" t="str">
        <f>VLOOKUP(A79,'Données projet'!$A$165:$I$185,2,0)</f>
        <v>#N/A</v>
      </c>
      <c r="DM79" s="151" t="str">
        <f>VLOOKUP(A79,'Données projet'!$A$165:$I$185,9,0)</f>
        <v>#N/A</v>
      </c>
      <c r="DN79" s="151" t="str">
        <f t="array" ref="DN79">INDEX(DM:DM,MIN(IF(ISNUMBER(DM79:DM275),ROW(DM79:DM275),"")))</f>
        <v/>
      </c>
      <c r="DO79" s="151">
        <f>IF('Données projet'!$A$166&gt;35,DO78+DN79-DW78,IF(A79&lt;'Données projet'!$A$166,$DL$205^A79,IF(A79='Données projet'!$A$166,'Données projet'!$B$166,DO78+DN79-DW78)))</f>
        <v>0</v>
      </c>
      <c r="DP79" s="158" t="str">
        <f>DO79*VLOOKUP('Données projet'!$B$14,'Paramètres'!$A$1:$I$88,3,0)*VLOOKUP('Données projet'!$B$14,'Paramètres'!$A$1:$I$88,5,0)</f>
        <v>#N/A</v>
      </c>
      <c r="DQ79" s="150" t="str">
        <f t="shared" si="44"/>
        <v>#N/A</v>
      </c>
      <c r="DR79" s="161" t="str">
        <f t="shared" si="17"/>
        <v>#N/A</v>
      </c>
      <c r="DS79" s="153" t="str">
        <f t="shared" si="18"/>
        <v>#N/A</v>
      </c>
      <c r="DT79" s="153" t="str">
        <f>AVERAGE(OFFSET($DS$3,0,0,'Données projet'!$E$14+1,1))-AVERAGE(OFFSET($H$3,0,0,'Données projet'!$E$14+1,1))</f>
        <v>#N/A</v>
      </c>
      <c r="DU79" s="153" t="str">
        <f t="shared" si="45"/>
        <v>#N/A</v>
      </c>
      <c r="DV79" s="154">
        <f>IF(ISNA(VLOOKUP(A79,'Données projet'!$A$165:$I$185,3,0)),0,VLOOKUP(A79,'Données projet'!$A$165:$I$185,3,0))</f>
        <v>0</v>
      </c>
      <c r="DW79" s="154">
        <f>IF(ISNA(VLOOKUP(A79,'Données projet'!$A$165:$I$185,4,0)),0,VLOOKUP(A79,'Données projet'!$A$165:$I$185,4,0))</f>
        <v>0</v>
      </c>
      <c r="DX79" s="155">
        <f>IF(ISNA(VLOOKUP(A79,'Données projet'!$A$165:$I$185,5,0)),0%,VLOOKUP(A79,'Données projet'!$A$165:$I$185,5,0)*VLOOKUP('Données projet'!$B$14,'Paramètres'!$A$1:$I$88,7,0))</f>
        <v>0</v>
      </c>
      <c r="DY79" s="155">
        <f>IF(ISNA(VLOOKUP(A79,'Données projet'!$A$165:$I$185,6,0)),0%,VLOOKUP(A79,'Données projet'!$A$165:$I$185,6,0)*VLOOKUP('Données projet'!$B$14,'Paramètres'!$A$1:$I$88,7,0))</f>
        <v>0</v>
      </c>
      <c r="DZ79" s="155">
        <f>IF(ISNA(VLOOKUP(A79,'Données projet'!$A$165:$I$185,7,0)),0%,VLOOKUP(A79,'Données projet'!$A$165:$I$185,7,0))</f>
        <v>0</v>
      </c>
      <c r="EA79" s="162" t="str">
        <f>EXP(-LN(2)/35)*EA78+(1-EXP(-LN(2)/35))/(LN(2)/35)*DW79*DX79*VLOOKUP('Données projet'!$B$14,'Paramètres'!$A$1:$I$88,3,0)*0.475*44/12</f>
        <v>#N/A</v>
      </c>
      <c r="EB79" s="162" t="str">
        <f>EXP(-LN(2)/25)*EB78+(1-EXP(-LN(2)/25))/(LN(2)/25)*Calculateur!DW79*Calculateur!DY79*VLOOKUP('Données projet'!$B$14,'Paramètres'!$A$1:$I$88,3,0)*0.475*44/12</f>
        <v>#N/A</v>
      </c>
      <c r="EC79" s="162" t="str">
        <f>EXP(-LN(2)/2)*EC78+(1-EXP(-LN(2)/2))/(LN(2)/2)*DW79*DZ79*VLOOKUP('Données projet'!$B$14,'Paramètres'!$A$1:$I$88,3,0)*0.475*44/12</f>
        <v>#N/A</v>
      </c>
      <c r="ED79" s="163" t="str">
        <f t="shared" si="19"/>
        <v>#N/A</v>
      </c>
      <c r="EE79" s="159">
        <f>('Scénario référence'!$F$8+'Scénario référence'!$F$9+'Scénario référence'!$B$17+'Scénario référence'!$B$9+'Scénario référence'!$B$10)*70+IF((45+25*(1-EXP(-0.0175*A79)))&lt;70,'Scénario référence'!$B$16*(45+25*(1-EXP(-0.0175*A79))),70*'Scénario référence'!$B$16)+IF((32+38*(1-EXP(-0.0175*A79)))&lt;70,'Scénario référence'!$B$18*(32+38*(1-EXP(-0.0175*A79))),70*'Scénario référence'!$B$18)</f>
        <v>70</v>
      </c>
      <c r="EF79" s="151">
        <f>IF(A79&gt;30,10,('Scénario référence'!$B$16+'Scénario référence'!$B$17+'Scénario référence'!$B$18+'Scénario référence'!$B$9+'Scénario référence'!$B$10)*A79*10/30+('Scénario référence'!$F$8+'Scénario référence'!$F$9)*10)</f>
        <v>10</v>
      </c>
      <c r="EG79" s="151" t="str">
        <f>VLOOKUP(A79,'Données projet'!$A$191:$I$211,2,0)</f>
        <v>#N/A</v>
      </c>
      <c r="EH79" s="151" t="str">
        <f>VLOOKUP(A79,'Données projet'!$A$191:$I$211,9,0)</f>
        <v>#N/A</v>
      </c>
      <c r="EI79" s="151" t="str">
        <f t="array" ref="EI79">INDEX(EH:EH,MIN(IF(ISNUMBER(EH79:EH275),ROW(EH79:EH275),"")))</f>
        <v/>
      </c>
      <c r="EJ79" s="151">
        <f>IF('Données projet'!$A$192&gt;35,EJ78+EI79-ER78,IF(A79&lt;'Données projet'!$A$192,$EG$205^A79,IF(A79='Données projet'!$A$192,'Données projet'!$B$192,EJ78+EI79-ER78)))</f>
        <v>0</v>
      </c>
      <c r="EK79" s="158" t="str">
        <f>EJ79*VLOOKUP('Données projet'!$B$15,'Paramètres'!$A$1:$I$88,3,0)*VLOOKUP('Données projet'!$B$15,'Paramètres'!$A$1:$I$88,5,0)</f>
        <v>#N/A</v>
      </c>
      <c r="EL79" s="150" t="str">
        <f t="shared" si="46"/>
        <v>#N/A</v>
      </c>
      <c r="EM79" s="161" t="str">
        <f t="shared" si="20"/>
        <v>#N/A</v>
      </c>
      <c r="EN79" s="153" t="str">
        <f t="shared" si="21"/>
        <v>#N/A</v>
      </c>
      <c r="EO79" s="153" t="str">
        <f>AVERAGE(OFFSET($EN$3,0,0,'Données projet'!$E$15+1,1))-AVERAGE(OFFSET($H$3,0,0,'Données projet'!$E$15+1,1))</f>
        <v>#N/A</v>
      </c>
      <c r="EP79" s="153" t="str">
        <f t="shared" si="47"/>
        <v>#N/A</v>
      </c>
      <c r="EQ79" s="154">
        <f>IF(ISNA(VLOOKUP(A79,'Données projet'!$A$191:$I$211,3,0)),0,VLOOKUP(A79,'Données projet'!$A$191:$I$211,3,0))</f>
        <v>0</v>
      </c>
      <c r="ER79" s="154">
        <f>IF(ISNA(VLOOKUP(A79,'Données projet'!$A$191:$I$211,4,0)),0,VLOOKUP(A79,'Données projet'!$A$191:$I$211,4,0))</f>
        <v>0</v>
      </c>
      <c r="ES79" s="155">
        <f>IF(ISNA(VLOOKUP(A79,'Données projet'!$A$191:$I$211,5,0)),0%,VLOOKUP(A79,'Données projet'!$A$191:$I$211,5,0)*VLOOKUP('Données projet'!$B$15,'Paramètres'!$A$1:$I$88,7,0))</f>
        <v>0</v>
      </c>
      <c r="ET79" s="155">
        <f>IF(ISNA(VLOOKUP(A79,'Données projet'!$A$191:$I$211,6,0)),0%,VLOOKUP(A79,'Données projet'!$A$191:$I$211,6,0)*VLOOKUP('Données projet'!$B$15,'Paramètres'!$A$1:$I$88,7,0))</f>
        <v>0</v>
      </c>
      <c r="EU79" s="155">
        <f>IF(ISNA(VLOOKUP(A79,'Données projet'!$A$191:$I$211,7,0)),0%,VLOOKUP(A79,'Données projet'!$A$191:$I$211,7,0))</f>
        <v>0</v>
      </c>
      <c r="EV79" s="162" t="str">
        <f>EXP(-LN(2)/35)*EV78+(1-EXP(-LN(2)/35))/(LN(2)/35)*ER79*ES79*VLOOKUP('Données projet'!$B$15,'Paramètres'!$A$1:$I$88,3,0)*0.475*44/12</f>
        <v>#N/A</v>
      </c>
      <c r="EW79" s="162" t="str">
        <f>EXP(-LN(2)/25)*EW78+(1-EXP(-LN(2)/25))/(LN(2)/25)*Calculateur!ER79*Calculateur!ET79*VLOOKUP('Données projet'!$B$15,'Paramètres'!$A$1:$I$88,3,0)*0.475*44/12</f>
        <v>#N/A</v>
      </c>
      <c r="EX79" s="162" t="str">
        <f>EXP(-LN(2)/2)*EX78+(1-EXP(-LN(2)/2))/(LN(2)/2)*ER79*EU79*VLOOKUP('Données projet'!$B$15,'Paramètres'!$A$1:$I$88,3,0)*0.475*44/12</f>
        <v>#N/A</v>
      </c>
      <c r="EY79" s="163" t="str">
        <f t="shared" si="22"/>
        <v>#N/A</v>
      </c>
      <c r="EZ79" s="159">
        <f>('Scénario référence'!$F$8+'Scénario référence'!$F$9+'Scénario référence'!$B$17+'Scénario référence'!$B$9+'Scénario référence'!$B$10)*70+IF((45+25*(1-EXP(-0.0175*A79)))&lt;70,'Scénario référence'!$B$16*(45+25*(1-EXP(-0.0175*A79))),70*'Scénario référence'!$B$16)+IF((32+38*(1-EXP(-0.0175*A79)))&lt;70,'Scénario référence'!$B$18*(32+38*(1-EXP(-0.0175*A79))),70*'Scénario référence'!$B$18)</f>
        <v>70</v>
      </c>
      <c r="FA79" s="151">
        <f>IF(A79&gt;30,10,('Scénario référence'!$B$16+'Scénario référence'!$B$17+'Scénario référence'!$B$18+'Scénario référence'!$B$9+'Scénario référence'!$B$10)*A79*10/30+('Scénario référence'!$F$8+'Scénario référence'!$F$9)*10)</f>
        <v>10</v>
      </c>
      <c r="FB79" s="151" t="str">
        <f>VLOOKUP(A79,'Données projet'!$A$217:$I$237,2,0)</f>
        <v>#N/A</v>
      </c>
      <c r="FC79" s="151" t="str">
        <f>VLOOKUP(A79,'Données projet'!$A$217:$I$237,9,0)</f>
        <v>#N/A</v>
      </c>
      <c r="FD79" s="151" t="str">
        <f t="array" ref="FD79">INDEX(FC:FC,MIN(IF(ISNUMBER(FC79:FC275),ROW(FC79:FC275),"")))</f>
        <v/>
      </c>
      <c r="FE79" s="151">
        <f>IF('Données projet'!$A$218&gt;35,FE78+FD79-FM78,IF(A79&lt;'Données projet'!$A$218,$FB$205^A79,IF(A79='Données projet'!$A$218,'Données projet'!$B$218,FE78+FD79-FM78)))</f>
        <v>0</v>
      </c>
      <c r="FF79" s="158" t="str">
        <f>FE79*VLOOKUP('Données projet'!$B$16,'Paramètres'!$A$1:$I$88,3,0)*VLOOKUP('Données projet'!$B$16,'Paramètres'!$A$1:$I$88,5,0)</f>
        <v>#N/A</v>
      </c>
      <c r="FG79" s="150" t="str">
        <f t="shared" si="48"/>
        <v>#N/A</v>
      </c>
      <c r="FH79" s="161" t="str">
        <f t="shared" si="23"/>
        <v>#N/A</v>
      </c>
      <c r="FI79" s="153" t="str">
        <f t="shared" si="24"/>
        <v>#N/A</v>
      </c>
      <c r="FJ79" s="153" t="str">
        <f>AVERAGE(OFFSET($FI$3,0,0,'Données projet'!$E$16+1,1))-AVERAGE(OFFSET($H$3,0,0,'Données projet'!$E$16+1,1))</f>
        <v>#N/A</v>
      </c>
      <c r="FK79" s="153" t="str">
        <f t="shared" si="49"/>
        <v>#N/A</v>
      </c>
      <c r="FL79" s="154">
        <f>IF(ISNA(VLOOKUP(A79,'Données projet'!$A$217:$I$237,3,0)),0,VLOOKUP(A79,'Données projet'!$A$217:$I$237,3,0))</f>
        <v>0</v>
      </c>
      <c r="FM79" s="154">
        <f>IF(ISNA(VLOOKUP(A79,'Données projet'!$A$217:$I$237,4,0)),0,VLOOKUP(A79,'Données projet'!$A$217:$I$237,4,0))</f>
        <v>0</v>
      </c>
      <c r="FN79" s="155">
        <f>IF(ISNA(VLOOKUP(A79,'Données projet'!$A$217:$I$237,5,0)),0%,VLOOKUP(A79,'Données projet'!$A$217:$I$237,5,0)*VLOOKUP('Données projet'!$B$16,'Paramètres'!$A$1:$I$88,7,0))</f>
        <v>0</v>
      </c>
      <c r="FO79" s="155">
        <f>IF(ISNA(VLOOKUP(A79,'Données projet'!$A$217:$I$237,6,0)),0%,VLOOKUP(A79,'Données projet'!$A$217:$I$237,6,0)*VLOOKUP('Données projet'!$B$16,'Paramètres'!$A$1:$I$88,7,0))</f>
        <v>0</v>
      </c>
      <c r="FP79" s="155">
        <f>IF(ISNA(VLOOKUP(A79,'Données projet'!$A$217:$I$237,7,0)),0%,VLOOKUP(A79,'Données projet'!$A$217:$I$237,7,0))</f>
        <v>0</v>
      </c>
      <c r="FQ79" s="162" t="str">
        <f>EXP(-LN(2)/35)*FQ78+(1-EXP(-LN(2)/35))/(LN(2)/35)*FM79*FN79*VLOOKUP('Données projet'!$B$16,'Paramètres'!$A$1:$I$88,3,0)*0.475*44/12</f>
        <v>#N/A</v>
      </c>
      <c r="FR79" s="162" t="str">
        <f>EXP(-LN(2)/25)*FR78+(1-EXP(-LN(2)/25))/(LN(2)/25)*Calculateur!FM79*Calculateur!FO79*VLOOKUP('Données projet'!$B$16,'Paramètres'!$A$1:$I$88,3,0)*0.475*44/12</f>
        <v>#N/A</v>
      </c>
      <c r="FS79" s="162" t="str">
        <f>EXP(-LN(2)/2)*FS78+(1-EXP(-LN(2)/2))/(LN(2)/2)*FM79*FP79*VLOOKUP('Données projet'!$B$16,'Paramètres'!$A$1:$I$88,3,0)*0.475*44/12</f>
        <v>#N/A</v>
      </c>
      <c r="FT79" s="163" t="str">
        <f t="shared" si="25"/>
        <v>#N/A</v>
      </c>
      <c r="FU79" s="159">
        <f>('Scénario référence'!$F$8+'Scénario référence'!$F$9+'Scénario référence'!$B$17+'Scénario référence'!$B$9+'Scénario référence'!$B$10)*70+IF((45+25*(1-EXP(-0.0175*A79)))&lt;70,'Scénario référence'!$B$16*(45+25*(1-EXP(-0.0175*A79))),70*'Scénario référence'!$B$16)+IF((32+38*(1-EXP(-0.0175*A79)))&lt;70,'Scénario référence'!$B$18*(32+38*(1-EXP(-0.0175*A79))),70*'Scénario référence'!$B$18)</f>
        <v>70</v>
      </c>
      <c r="FV79" s="151">
        <f>IF(A79&gt;30,10,('Scénario référence'!$B$16+'Scénario référence'!$B$17+'Scénario référence'!$B$18+'Scénario référence'!$B$9+'Scénario référence'!$B$10)*A79*10/30+('Scénario référence'!$F$8+'Scénario référence'!$F$9)*10)</f>
        <v>10</v>
      </c>
      <c r="FW79" s="151" t="str">
        <f>VLOOKUP(A79,'Données projet'!$A$243:$I$263,2,0)</f>
        <v>#N/A</v>
      </c>
      <c r="FX79" s="151" t="str">
        <f>VLOOKUP(A79,'Données projet'!$A$243:$I$263,9,0)</f>
        <v>#N/A</v>
      </c>
      <c r="FY79" s="151" t="str">
        <f t="array" ref="FY79">INDEX(FX:FX,MIN(IF(ISNUMBER(FX79:FX275),ROW(FX79:FX275),"")))</f>
        <v/>
      </c>
      <c r="FZ79" s="151">
        <f>IF('Données projet'!$A$244&gt;35,FZ78+FY79-GH78,IF(A79&lt;'Données projet'!$A$244,$FW$205^A79,IF(A79='Données projet'!$A$244,'Données projet'!$B$244,FZ78+FY79-GH78)))</f>
        <v>0</v>
      </c>
      <c r="GA79" s="158" t="str">
        <f>FZ79*VLOOKUP('Données projet'!$B$17,'Paramètres'!$A$1:$I$88,3,0)*VLOOKUP('Données projet'!$B$17,'Paramètres'!$A$1:$I$88,5,0)</f>
        <v>#N/A</v>
      </c>
      <c r="GB79" s="150" t="str">
        <f t="shared" si="50"/>
        <v>#N/A</v>
      </c>
      <c r="GC79" s="161" t="str">
        <f t="shared" si="26"/>
        <v>#N/A</v>
      </c>
      <c r="GD79" s="153" t="str">
        <f t="shared" si="27"/>
        <v>#N/A</v>
      </c>
      <c r="GE79" s="153" t="str">
        <f>AVERAGE(OFFSET($GD$3,0,0,'Données projet'!$E$17+1,1))-AVERAGE(OFFSET($H$3,0,0,'Données projet'!$E$17+1,1))</f>
        <v>#N/A</v>
      </c>
      <c r="GF79" s="153" t="str">
        <f t="shared" si="51"/>
        <v>#N/A</v>
      </c>
      <c r="GG79" s="154">
        <f>IF(ISNA(VLOOKUP(A79,'Données projet'!$A$243:$I$263,3,0)),0,VLOOKUP(A79,'Données projet'!$A$243:$I$263,3,0))</f>
        <v>0</v>
      </c>
      <c r="GH79" s="154">
        <f>IF(ISNA(VLOOKUP(A79,'Données projet'!$A$243:$I$263,4,0)),0,VLOOKUP(A79,'Données projet'!$A$243:$I$263,4,0))</f>
        <v>0</v>
      </c>
      <c r="GI79" s="155">
        <f>IF(ISNA(VLOOKUP(A79,'Données projet'!$A$243:$I$263,5,0)),0%,VLOOKUP(A79,'Données projet'!$A$243:$I$263,5,0)*VLOOKUP('Données projet'!$B$17,'Paramètres'!$A$1:$I$88,7,0))</f>
        <v>0</v>
      </c>
      <c r="GJ79" s="155">
        <f>IF(ISNA(VLOOKUP(A79,'Données projet'!$A$243:$I$263,6,0)),0%,VLOOKUP(A79,'Données projet'!$A$243:$I$263,6,0)*VLOOKUP('Données projet'!$B$17,'Paramètres'!$A$1:$I$88,7,0))</f>
        <v>0</v>
      </c>
      <c r="GK79" s="155">
        <f>IF(ISNA(VLOOKUP(A79,'Données projet'!$A$243:$I$263,7,0)),0%,VLOOKUP(A79,'Données projet'!$A$243:$I$263,7,0))</f>
        <v>0</v>
      </c>
      <c r="GL79" s="162" t="str">
        <f>EXP(-LN(2)/35)*GL78+(1-EXP(-LN(2)/35))/(LN(2)/35)*GH79*GI79*VLOOKUP('Données projet'!$B$17,'Paramètres'!$A$1:$I$88,3,0)*0.475*44/12</f>
        <v>#N/A</v>
      </c>
      <c r="GM79" s="162" t="str">
        <f>EXP(-LN(2)/25)*GM78+(1-EXP(-LN(2)/25))/(LN(2)/25)*Calculateur!GH79*Calculateur!GJ79*VLOOKUP('Données projet'!$B$17,'Paramètres'!$A$1:$I$88,3,0)*0.475*44/12</f>
        <v>#N/A</v>
      </c>
      <c r="GN79" s="162" t="str">
        <f>EXP(-LN(2)/2)*GN78+(1-EXP(-LN(2)/2))/(LN(2)/2)*GH79*GK79*VLOOKUP('Données projet'!$B$17,'Paramètres'!$A$1:$I$88,3,0)*0.475*44/12</f>
        <v>#N/A</v>
      </c>
      <c r="GO79" s="162" t="str">
        <f t="shared" si="28"/>
        <v>#N/A</v>
      </c>
      <c r="GP79" s="159">
        <f>('Scénario référence'!$F$8+'Scénario référence'!$F$9+'Scénario référence'!$B$17+'Scénario référence'!$B$9+'Scénario référence'!$B$10)*70+IF((45+25*(1-EXP(-0.0175*A79)))&lt;70,'Scénario référence'!$B$16*(45+25*(1-EXP(-0.0175*A79))),70*'Scénario référence'!$B$16)+IF((32+38*(1-EXP(-0.0175*A79)))&lt;70,'Scénario référence'!$B$18*(32+38*(1-EXP(-0.0175*A79))),70*'Scénario référence'!$B$18)</f>
        <v>70</v>
      </c>
      <c r="GQ79" s="151">
        <f>IF(A79&gt;30,10,('Scénario référence'!$B$16+'Scénario référence'!$B$17+'Scénario référence'!$B$18+'Scénario référence'!$B$9+'Scénario référence'!$B$10)*A79*10/30+('Scénario référence'!$F$8+'Scénario référence'!$F$9)*10)</f>
        <v>10</v>
      </c>
      <c r="GR79" s="151" t="str">
        <f>VLOOKUP(A79,'Données projet'!$A$269:$I$289,2,0)</f>
        <v>#N/A</v>
      </c>
      <c r="GS79" s="151" t="str">
        <f>VLOOKUP(A79,'Données projet'!$A$269:$I$289,9,0)</f>
        <v>#N/A</v>
      </c>
      <c r="GT79" s="151" t="str">
        <f t="array" ref="GT79">INDEX(GS:GS,MIN(IF(ISNUMBER(GS79:GS275),ROW(GS79:GS275),"")))</f>
        <v/>
      </c>
      <c r="GU79" s="151">
        <f>IF('Données projet'!$A$270&gt;35,GU78+GT79-HC78,IF(A79&lt;'Données projet'!$A$270,$GR$205^A79,IF(A79='Données projet'!$A$270,'Données projet'!$B$270,GU78+GT79-HC78)))</f>
        <v>0</v>
      </c>
      <c r="GV79" s="158" t="str">
        <f>GU79*VLOOKUP('Données projet'!$B$18,'Paramètres'!$A$1:$I$88,3,0)*VLOOKUP('Données projet'!$B$18,'Paramètres'!$A$1:$I$88,5,0)</f>
        <v>#N/A</v>
      </c>
      <c r="GW79" s="150" t="str">
        <f t="shared" si="52"/>
        <v>#N/A</v>
      </c>
      <c r="GX79" s="161" t="str">
        <f t="shared" si="29"/>
        <v>#N/A</v>
      </c>
      <c r="GY79" s="153" t="str">
        <f t="shared" si="30"/>
        <v>#N/A</v>
      </c>
      <c r="GZ79" s="153" t="str">
        <f>AVERAGE(OFFSET($GY$3,0,0,'Données projet'!$E$18+1,1))-AVERAGE(OFFSET($H$3,0,0,'Données projet'!$E$18+1,1))</f>
        <v>#N/A</v>
      </c>
      <c r="HA79" s="153" t="str">
        <f t="shared" si="53"/>
        <v>#N/A</v>
      </c>
      <c r="HB79" s="154">
        <f>IF(ISNA(VLOOKUP(A79,'Données projet'!$A$269:$I$289,3,0)),0,VLOOKUP(A79,'Données projet'!$A$269:$I$289,3,0))</f>
        <v>0</v>
      </c>
      <c r="HC79" s="154">
        <f>IF(ISNA(VLOOKUP(A79,'Données projet'!$A$269:$I$289,4,0)),0,VLOOKUP(A79,'Données projet'!$A$269:$I$289,4,0))</f>
        <v>0</v>
      </c>
      <c r="HD79" s="155">
        <f>IF(ISNA(VLOOKUP(A79,'Données projet'!$A$269:$I$289,5,0)),0%,VLOOKUP(A79,'Données projet'!$A$269:$I$289,5,0)*VLOOKUP('Données projet'!$B$18,'Paramètres'!$A$1:$I$88,7,0))</f>
        <v>0</v>
      </c>
      <c r="HE79" s="155">
        <f>IF(ISNA(VLOOKUP(A79,'Données projet'!$A$269:$I$289,6,0)),0%,VLOOKUP(A79,'Données projet'!$A$269:$I$289,6,0)*VLOOKUP('Données projet'!$B$18,'Paramètres'!$A$1:$I$88,7,0))</f>
        <v>0</v>
      </c>
      <c r="HF79" s="155">
        <f>IF(ISNA(VLOOKUP(A79,'Données projet'!$A$269:$I$289,7,0)),0%,VLOOKUP(A79,'Données projet'!$A$269:$I$289,7,0))</f>
        <v>0</v>
      </c>
      <c r="HG79" s="162" t="str">
        <f>EXP(-LN(2)/35)*HG78+(1-EXP(-LN(2)/35))/(LN(2)/35)*HC79*HD79*VLOOKUP('Données projet'!$B$18,'Paramètres'!$A$1:$I$88,3,0)*0.475*44/12</f>
        <v>#N/A</v>
      </c>
      <c r="HH79" s="162" t="str">
        <f>EXP(-LN(2)/25)*HH78+(1-EXP(-LN(2)/25))/(LN(2)/25)*Calculateur!HC79*Calculateur!HE79*VLOOKUP('Données projet'!$B$18,'Paramètres'!$A$1:$I$88,3,0)*0.475*44/12</f>
        <v>#N/A</v>
      </c>
      <c r="HI79" s="162" t="str">
        <f>EXP(-LN(2)/2)*HI78+(1-EXP(-LN(2)/2))/(LN(2)/2)*HC79*HF79*VLOOKUP('Données projet'!$B$18,'Paramètres'!$A$1:$I$88,3,0)*0.475*44/12</f>
        <v>#N/A</v>
      </c>
      <c r="HJ79" s="163" t="str">
        <f t="shared" si="31"/>
        <v>#N/A</v>
      </c>
    </row>
    <row r="80" ht="15.75" customHeight="1">
      <c r="A80" s="145">
        <f t="shared" si="32"/>
        <v>77</v>
      </c>
      <c r="B80" s="146">
        <f>'Scénario référence'!$B$16*5+'Scénario référence'!$B$17*0+'Scénario référence'!$B$18*5</f>
        <v>0</v>
      </c>
      <c r="C80" s="160">
        <f>Calculateur!C79+'Scénario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80" s="147">
        <f t="shared" si="33"/>
        <v>0</v>
      </c>
      <c r="E80" s="147">
        <f>'Scénario référence'!$B$16*45+('Scénario référence'!$B$17+'Scénario référence'!$F$8+'Scénario référence'!$F$9+'Scénario référence'!$B$10+'Scénario référence'!$B$9)*70+'Scénario référence'!$B$18*32</f>
        <v>70</v>
      </c>
      <c r="F80" s="147">
        <f>IF(OR('Scénario référence'!$F$8&gt;0,'Scénario référence'!$F$9&gt;0),('Scénario référence'!$F$8+'Scénario référence'!$F$9)*10,0)</f>
        <v>0</v>
      </c>
      <c r="G80" s="147">
        <f>'Scénario référence'!$B$8*B80*44/12+'Scénario référence'!$B$9*(C80+D80)/0.475*44/12+'Scénario référence'!$B$10*(C80+D80)/0.475*44/12+'Scénario référence'!$F$8*(C80+D80)/0.475*44/12+'Scénario référence'!$F$9*(C80+D80)/0.475*44/12</f>
        <v>0</v>
      </c>
      <c r="H80" s="148">
        <f t="shared" si="1"/>
        <v>256.6666667</v>
      </c>
      <c r="I80" s="149">
        <f>('Scénario référence'!$F$8+'Scénario référence'!$F$9+'Scénario référence'!$B$17+'Scénario référence'!$B$9+'Scénario référence'!$B$10)*70+IF((45+25*(1-EXP(-0.0175*A80)))&lt;70,'Scénario référence'!$B$16*(45+25*(1-EXP(-0.0175*A80))),70*'Scénario référence'!$B$16)+IF((32+38*(1-EXP(-0.0175*A80)))&lt;70,'Scénario référence'!$B$18*(32+38*(1-EXP(-0.0175*A80))),70*'Scénario référence'!$B$18)</f>
        <v>70</v>
      </c>
      <c r="J80" s="150">
        <f>IF(A80&gt;30,10,('Scénario référence'!$B$16+'Scénario référence'!$B$17+'Scénario référence'!$B$18+'Scénario référence'!$B$9+'Scénario référence'!$B$10)*A80*10/30+('Scénario référence'!$F$8+'Scénario référence'!$F$9)*10)</f>
        <v>10</v>
      </c>
      <c r="K80" s="151" t="str">
        <f>VLOOKUP(A80,'Données projet'!$A$35:$I$55,2,0)</f>
        <v>#N/A</v>
      </c>
      <c r="L80" s="151" t="str">
        <f>VLOOKUP(A80,'Données projet'!$A$35:$I$55,9,0)</f>
        <v>#N/A</v>
      </c>
      <c r="M80" s="150">
        <f t="array" ref="M80">INDEX(L:L,MIN(IF(ISNUMBER(L80:L276),ROW(L80:L276),"")))</f>
        <v>7.2</v>
      </c>
      <c r="N80" s="150">
        <f>IF('Données projet'!$A$36&gt;35,N79+M80-V79,IF(A80&lt;'Données projet'!$A$36,$K$205^A80,IF(A80='Données projet'!$A$36,'Données projet'!$B$36,N79+M80-V79)))</f>
        <v>298.4</v>
      </c>
      <c r="O80" s="150">
        <f>N80*VLOOKUP('Données projet'!$B$9,'Paramètres'!$A$1:$I$88,3,0)*VLOOKUP('Données projet'!$B$9,'Paramètres'!$A$1:$I$88,5,0)</f>
        <v>269.99232</v>
      </c>
      <c r="P80" s="150">
        <f t="shared" si="34"/>
        <v>64.8476394</v>
      </c>
      <c r="Q80" s="161">
        <f t="shared" si="2"/>
        <v>583.1795959</v>
      </c>
      <c r="R80" s="153">
        <f t="shared" si="3"/>
        <v>876.5129293</v>
      </c>
      <c r="S80" s="153">
        <f>AVERAGE(OFFSET($R$3,0,0,'Données projet'!$E$9+1,1))-AVERAGE(OFFSET($H$3,0,0,'Données projet'!$E$9+1,1))</f>
        <v>439.1985427</v>
      </c>
      <c r="T80" s="153">
        <f t="shared" si="35"/>
        <v>278.2174123</v>
      </c>
      <c r="U80" s="154">
        <f>IF(ISNA(VLOOKUP(A80,'Données projet'!$A$35:$I$55,3,0)),0,VLOOKUP(A80,'Données projet'!$A$35:$I$55,3,0))</f>
        <v>0</v>
      </c>
      <c r="V80" s="154">
        <f>IF(ISNA(VLOOKUP(A80,'Données projet'!$A$35:$I$55,4,0)),0,VLOOKUP(A80,'Données projet'!$A$35:$I$55,4,0))</f>
        <v>0</v>
      </c>
      <c r="W80" s="155">
        <f>IF(ISNA(VLOOKUP(A80,'Données projet'!$A$35:$I$55,5,0)),0%,VLOOKUP(A80,'Données projet'!$A$35:$I$55,5,0)*VLOOKUP('Données projet'!$B$9,'Paramètres'!$A$1:$I$88,7,0))</f>
        <v>0</v>
      </c>
      <c r="X80" s="155">
        <f>IF(ISNA(VLOOKUP(A80,'Données projet'!$A$35:$I$55,6,0)),0%,VLOOKUP(A80,'Données projet'!$A$35:$I$55,6,0)*VLOOKUP('Données projet'!$B$9,'Paramètres'!$A$1:$I$88,7,0))</f>
        <v>0</v>
      </c>
      <c r="Y80" s="155">
        <f>IF(ISNA(VLOOKUP(A80,'Données projet'!$A$35:$I$55,7,0)),0%,VLOOKUP(A80,'Données projet'!$A$35:$I$55,7,0))</f>
        <v>0</v>
      </c>
      <c r="Z80" s="162">
        <f>EXP(-LN(2)/35)*Z79+(1-EXP(-LN(2)/35))/(LN(2)/35)*V80*W80*VLOOKUP('Données projet'!$B$9,'Paramètres'!$A$1:$I$88,3,0)*0.475*44/12</f>
        <v>0</v>
      </c>
      <c r="AA80" s="162">
        <f>EXP(-LN(2)/25)*AA79+(1-EXP(-LN(2)/25))/(LN(2)/25)*Calculateur!V80*Calculateur!X80*VLOOKUP('Données projet'!$B$9,'Paramètres'!$A$1:$I$88,3,0)*0.475*44/12</f>
        <v>1.21920262</v>
      </c>
      <c r="AB80" s="162">
        <f>EXP(-LN(2)/2)*AB79+(1-EXP(-LN(2)/2))/(LN(2)/2)*V80*Y80*VLOOKUP('Données projet'!$B$9,'Paramètres'!$A$1:$I$88,3,0)*0.475*44/12</f>
        <v>0</v>
      </c>
      <c r="AC80" s="163">
        <f t="shared" si="4"/>
        <v>1.21920262</v>
      </c>
      <c r="AD80" s="150">
        <f>('Scénario référence'!$F$8+'Scénario référence'!$F$9+'Scénario référence'!$B$17+'Scénario référence'!$B$9+'Scénario référence'!$B$10)*70+IF((45+25*(1-EXP(-0.0175*A80)))&lt;70,'Scénario référence'!$B$16*(45+25*(1-EXP(-0.0175*A80))),70*'Scénario référence'!$B$16)+IF((32+38*(1-EXP(-0.0175*A80)))&lt;70,'Scénario référence'!$B$18*(32+38*(1-EXP(-0.0175*A80))),70*'Scénario référence'!$B$18)</f>
        <v>70</v>
      </c>
      <c r="AE80" s="150">
        <f>IF(A80&gt;30,10,('Scénario référence'!$B$16+'Scénario référence'!$B$17+'Scénario référence'!$B$18+'Scénario référence'!$B$9+'Scénario référence'!$B$10)*A80*10/30+('Scénario référence'!$F$8+'Scénario référence'!$F$9)*10)</f>
        <v>10</v>
      </c>
      <c r="AF80" s="151" t="str">
        <f>VLOOKUP(A80,'Données projet'!$A$61:$I$81,2,0)</f>
        <v>#N/A</v>
      </c>
      <c r="AG80" s="151" t="str">
        <f>VLOOKUP(A80,'Données projet'!$A$61:$I$81,9,0)</f>
        <v>#N/A</v>
      </c>
      <c r="AH80" s="151">
        <f t="array" ref="AH80">INDEX(AG:AG,MIN(IF(ISNUMBER(AG80:AG276),ROW(AG80:AG276),"")))</f>
        <v>4</v>
      </c>
      <c r="AI80" s="150">
        <f>IF('Données projet'!$A$62&gt;35,AI79+AH80-AQ79,IF(A80&lt;'Données projet'!$A$62,$AF$205^A80,IF(A80='Données projet'!$A$62,'Données projet'!$B$62,AI79+AH80-AQ79)))</f>
        <v>369</v>
      </c>
      <c r="AJ80" s="150">
        <f>AI80*VLOOKUP('Données projet'!$B$10,'Paramètres'!$A$1:$I$88,3,0)*VLOOKUP('Données projet'!$B$10,'Paramètres'!$A$1:$I$88,5,0)</f>
        <v>293.5764</v>
      </c>
      <c r="AK80" s="150">
        <f t="shared" si="36"/>
        <v>69.82813851</v>
      </c>
      <c r="AL80" s="161">
        <f t="shared" si="5"/>
        <v>632.9295712</v>
      </c>
      <c r="AM80" s="153">
        <f t="shared" si="6"/>
        <v>926.2629046</v>
      </c>
      <c r="AN80" s="153">
        <f>AVERAGE(OFFSET($AM$3,0,0,'Données projet'!$E$10+1,1))-AVERAGE(OFFSET($H$3,0,0,'Données projet'!$E$10+1,1))</f>
        <v>405.6113614</v>
      </c>
      <c r="AO80" s="153">
        <f t="shared" si="37"/>
        <v>393.0787141</v>
      </c>
      <c r="AP80" s="154">
        <f>IF(ISNA(VLOOKUP(A80,'Données projet'!$A$61:$I$81,3,0)),0,VLOOKUP(A80,'Données projet'!$A$61:$I$81,3,0))</f>
        <v>0</v>
      </c>
      <c r="AQ80" s="154">
        <f>IF(ISNA(VLOOKUP(A80,'Données projet'!$A$61:$I$81,4,0)),0,VLOOKUP(A80,'Données projet'!$A$61:$I$81,4,0))</f>
        <v>0</v>
      </c>
      <c r="AR80" s="155">
        <f>IF(ISNA(VLOOKUP(A80,'Données projet'!$A$61:$I$81,5,0)),0%,VLOOKUP(A80,'Données projet'!$A$61:$I$81,5,0)*VLOOKUP('Données projet'!$B$10,'Paramètres'!$A$1:$I$88,7,0))</f>
        <v>0</v>
      </c>
      <c r="AS80" s="155">
        <f>IF(ISNA(VLOOKUP(A80,'Données projet'!$A$61:$I$81,6,0)),0%,VLOOKUP(A80,'Données projet'!$A$61:$I$81,6,0)*VLOOKUP('Données projet'!$B$10,'Paramètres'!$A$1:$I$88,7,0))</f>
        <v>0</v>
      </c>
      <c r="AT80" s="155">
        <f>IF(ISNA(VLOOKUP(A80,'Données projet'!$A$61:$I$81,7,0)),0%,VLOOKUP(A80,'Données projet'!$A$61:$I$81,7,0))</f>
        <v>0</v>
      </c>
      <c r="AU80" s="162">
        <f>EXP(-LN(2)/35)*AU79+(1-EXP(-LN(2)/35))/(LN(2)/35)*AQ80*AR80*VLOOKUP('Données projet'!$B$10,'Paramètres'!$A$1:$I$88,3,0)*0.475*44/12</f>
        <v>0</v>
      </c>
      <c r="AV80" s="162">
        <f>EXP(-LN(2)/25)*AV79+(1-EXP(-LN(2)/25))/(LN(2)/25)*Calculateur!AQ80*Calculateur!AS80*VLOOKUP('Données projet'!$B$10,'Paramètres'!$A$1:$I$88,3,0)*0.475*44/12</f>
        <v>4.955149379</v>
      </c>
      <c r="AW80" s="162">
        <f>EXP(-LN(2)/2)*AW79+(1-EXP(-LN(2)/2))/(LN(2)/2)*AQ80*AT80*VLOOKUP('Données projet'!$B$10,'Paramètres'!$A$1:$I$88,3,0)*0.475*44/12</f>
        <v>0.00000004886608488</v>
      </c>
      <c r="AX80" s="162">
        <f t="shared" si="7"/>
        <v>4.955149428</v>
      </c>
      <c r="AY80" s="157">
        <f>('Scénario référence'!$F$8+'Scénario référence'!$F$9+'Scénario référence'!$B$17+'Scénario référence'!$B$9+'Scénario référence'!$B$10)*70+IF((45+25*(1-EXP(-0.0175*A80)))&lt;70,'Scénario référence'!$B$16*(45+25*(1-EXP(-0.0175*A80))),70*'Scénario référence'!$B$16)+IF((32+38*(1-EXP(-0.0175*A80)))&lt;70,'Scénario référence'!$B$18*(32+38*(1-EXP(-0.0175*A80))),70*'Scénario référence'!$B$18)</f>
        <v>70</v>
      </c>
      <c r="AZ80" s="151">
        <f>IF(A80&gt;30,10,('Scénario référence'!$B$16+'Scénario référence'!$B$17+'Scénario référence'!$B$18+'Scénario référence'!$B$9+'Scénario référence'!$B$10)*A80*10/30+('Scénario référence'!$F$8+'Scénario référence'!$F$9)*10)</f>
        <v>10</v>
      </c>
      <c r="BA80" s="151" t="str">
        <f>VLOOKUP(A80,'Données projet'!$A$87:$I$107,2,0)</f>
        <v>#N/A</v>
      </c>
      <c r="BB80" s="151" t="str">
        <f>VLOOKUP(A80,'Données projet'!$A$87:$I$107,9,0)</f>
        <v>#N/A</v>
      </c>
      <c r="BC80" s="150" t="str">
        <f t="array" ref="BC80">INDEX(BB:BB,MIN(IF(ISNUMBER(BB80:BB276),ROW(BB80:BB276),"")))</f>
        <v/>
      </c>
      <c r="BD80" s="150">
        <f>IF('Données projet'!$A$88&gt;35,BD79+BC80-BL79,IF(A80&lt;'Données projet'!$A$88,$BA$205^A80,IF(A80='Données projet'!$A$88,'Données projet'!$B$88,BD79+BC80-BL79)))</f>
        <v>0</v>
      </c>
      <c r="BE80" s="150">
        <f>BD80*VLOOKUP('Données projet'!$B$11,'Paramètres'!$A$1:$I$88,3,0)*VLOOKUP('Données projet'!$B$11,'Paramètres'!$A$1:$I$88,5,0)</f>
        <v>0</v>
      </c>
      <c r="BF80" s="150" t="str">
        <f t="shared" si="38"/>
        <v>#NUM!</v>
      </c>
      <c r="BG80" s="161" t="str">
        <f t="shared" si="8"/>
        <v>#NUM!</v>
      </c>
      <c r="BH80" s="153" t="str">
        <f t="shared" si="9"/>
        <v>#NUM!</v>
      </c>
      <c r="BI80" s="153">
        <f>AVERAGE(OFFSET($BH$3,0,0,'Données projet'!$E$11+1,1))-AVERAGE(OFFSET($H$3,0,0,'Données projet'!$E$11+1,1))</f>
        <v>0</v>
      </c>
      <c r="BJ80" s="153">
        <f t="shared" si="39"/>
        <v>0</v>
      </c>
      <c r="BK80" s="154">
        <f>IF(ISNA(VLOOKUP(A80,'Données projet'!$A$87:$I$107,3,0)),0,VLOOKUP(A80,'Données projet'!$A$87:$I$107,3,0))</f>
        <v>0</v>
      </c>
      <c r="BL80" s="154">
        <f>IF(ISNA(VLOOKUP(A80,'Données projet'!$A$87:$I$107,4,0)),0,VLOOKUP(A80,'Données projet'!$A$87:$I$107,4,0))</f>
        <v>0</v>
      </c>
      <c r="BM80" s="155">
        <f>IF(ISNA(VLOOKUP(A80,'Données projet'!$A$87:$I$107,5,0)),0%,VLOOKUP(A80,'Données projet'!$A$87:$I$107,5,0)*VLOOKUP('Données projet'!$B$11,'Paramètres'!$A$1:$I$88,7,0))</f>
        <v>0</v>
      </c>
      <c r="BN80" s="155">
        <f>IF(ISNA(VLOOKUP(A80,'Données projet'!$A$87:$I$107,6,0)),0%,VLOOKUP(A80,'Données projet'!$A$87:$I$107,6,0)*VLOOKUP('Données projet'!$B$11,'Paramètres'!$A$1:$I$88,7,0))</f>
        <v>0</v>
      </c>
      <c r="BO80" s="155">
        <f>IF(ISNA(VLOOKUP(A80,'Données projet'!$A$87:$I$107,7,0)),0%,VLOOKUP(A80,'Données projet'!$A$87:$I$107,7,0))</f>
        <v>0</v>
      </c>
      <c r="BP80" s="162">
        <f>EXP(-LN(2)/35)*BP79+(1-EXP(-LN(2)/35))/(LN(2)/35)*BL80*BM80*VLOOKUP('Données projet'!$B$11,'Paramètres'!$A$1:$I$88,3,0)*0.475*44/12</f>
        <v>0</v>
      </c>
      <c r="BQ80" s="162">
        <f>EXP(-LN(2)/25)*BQ79+(1-EXP(-LN(2)/25))/(LN(2)/25)*Calculateur!BL80*Calculateur!BN80*VLOOKUP('Données projet'!$B$11,'Paramètres'!$A$1:$I$88,3,0)*0.475*44/12</f>
        <v>0</v>
      </c>
      <c r="BR80" s="162">
        <f>EXP(-LN(2)/2)*BR79+(1-EXP(-LN(2)/2))/(LN(2)/2)*BL80*BO80*VLOOKUP('Données projet'!$B$11,'Paramètres'!$A$1:$I$88,3,0)*0.475*44/12</f>
        <v>0</v>
      </c>
      <c r="BS80" s="163">
        <f t="shared" si="10"/>
        <v>0</v>
      </c>
      <c r="BT80" s="159">
        <f>('Scénario référence'!$F$8+'Scénario référence'!$F$9+'Scénario référence'!$B$17+'Scénario référence'!$B$9+'Scénario référence'!$B$10)*70+IF((45+25*(1-EXP(-0.0175*A80)))&lt;70,'Scénario référence'!$B$16*(45+25*(1-EXP(-0.0175*A80))),70*'Scénario référence'!$B$16)+IF((32+38*(1-EXP(-0.0175*A80)))&lt;70,'Scénario référence'!$B$18*(32+38*(1-EXP(-0.0175*A80))),70*'Scénario référence'!$B$18)</f>
        <v>70</v>
      </c>
      <c r="BU80" s="151">
        <f>IF(A80&gt;30,10,('Scénario référence'!$B$16+'Scénario référence'!$B$17+'Scénario référence'!$B$18+'Scénario référence'!$B$9+'Scénario référence'!$B$10)*A80*10/30+('Scénario référence'!$F$8+'Scénario référence'!$F$9)*10)</f>
        <v>10</v>
      </c>
      <c r="BV80" s="151" t="str">
        <f>VLOOKUP(A80,'Données projet'!$A$113:$I$133,2,0)</f>
        <v>#N/A</v>
      </c>
      <c r="BW80" s="151" t="str">
        <f>VLOOKUP(A80,'Données projet'!$A$113:$I$133,9,0)</f>
        <v>#N/A</v>
      </c>
      <c r="BX80" s="150" t="str">
        <f t="array" ref="BX80">INDEX(BW:BW,MIN(IF(ISNUMBER(BW80:BW276),ROW(BW80:BW276),"")))</f>
        <v/>
      </c>
      <c r="BY80" s="150">
        <f>IF('Données projet'!$A$114&gt;35,BY79+BX80-CG79,IF(A80&lt;'Données projet'!$A$114,$BV$205^A80,IF(A80='Données projet'!$A$114,'Données projet'!$B$114,BY79+BX80-CG79)))</f>
        <v>0</v>
      </c>
      <c r="BZ80" s="150" t="str">
        <f>BY80*VLOOKUP('Données projet'!$B$12,'Paramètres'!$A$1:$I$88,3,0)*VLOOKUP('Données projet'!$B$12,'Paramètres'!$A$1:$I$88,5,0)</f>
        <v>#N/A</v>
      </c>
      <c r="CA80" s="150" t="str">
        <f t="shared" si="40"/>
        <v>#N/A</v>
      </c>
      <c r="CB80" s="161" t="str">
        <f t="shared" si="11"/>
        <v>#N/A</v>
      </c>
      <c r="CC80" s="153" t="str">
        <f t="shared" si="12"/>
        <v>#N/A</v>
      </c>
      <c r="CD80" s="153" t="str">
        <f>AVERAGE(OFFSET($CC$3,0,0,'Données projet'!$E$12+1,1))-AVERAGE(OFFSET($H$3,0,0,'Données projet'!$E$12+1,1))</f>
        <v>#N/A</v>
      </c>
      <c r="CE80" s="153" t="str">
        <f t="shared" si="41"/>
        <v>#N/A</v>
      </c>
      <c r="CF80" s="154">
        <f>IF(ISNA(VLOOKUP(A80,'Données projet'!$A$113:$I$133,3,0)),0,VLOOKUP(A80,'Données projet'!$A$113:$I$133,3,0))</f>
        <v>0</v>
      </c>
      <c r="CG80" s="154">
        <f>IF(ISNA(VLOOKUP(A80,'Données projet'!$A$113:$I$133,4,0)),0,VLOOKUP(A80,'Données projet'!$A$113:$I$133,4,0))</f>
        <v>0</v>
      </c>
      <c r="CH80" s="155">
        <f>IF(ISNA(VLOOKUP(A80,'Données projet'!$A$113:$I$133,5,0)),0%,VLOOKUP(A80,'Données projet'!$A$113:$I$133,5,0)*VLOOKUP('Données projet'!$B$12,'Paramètres'!$A$1:$I$88,7,0))</f>
        <v>0</v>
      </c>
      <c r="CI80" s="155">
        <f>IF(ISNA(VLOOKUP(A80,'Données projet'!$A$113:$I$133,6,0)),0%,VLOOKUP(A80,'Données projet'!$A$113:$I$133,6,0)*VLOOKUP('Données projet'!$B$12,'Paramètres'!$A$1:$I$88,7,0))</f>
        <v>0</v>
      </c>
      <c r="CJ80" s="155">
        <f>IF(ISNA(VLOOKUP(A80,'Données projet'!$A$113:$I$133,7,0)),0%,VLOOKUP(A80,'Données projet'!$A$113:$I$133,7,0))</f>
        <v>0</v>
      </c>
      <c r="CK80" s="162" t="str">
        <f>EXP(-LN(2)/35)*CK79+(1-EXP(-LN(2)/35))/(LN(2)/35)*CG80*CH80*VLOOKUP('Données projet'!$B$12,'Paramètres'!$A$1:$I$88,3,0)*0.475*44/12</f>
        <v>#N/A</v>
      </c>
      <c r="CL80" s="162" t="str">
        <f>EXP(-LN(2)/25)*CL79+(1-EXP(-LN(2)/25))/(LN(2)/25)*Calculateur!CG80*Calculateur!CI80*VLOOKUP('Données projet'!$B$12,'Paramètres'!$A$1:$I$88,3,0)*0.475*44/12</f>
        <v>#N/A</v>
      </c>
      <c r="CM80" s="162" t="str">
        <f>EXP(-LN(2)/2)*CM79+(1-EXP(-LN(2)/2))/(LN(2)/2)*CG80*CJ80*VLOOKUP('Données projet'!$B$12,'Paramètres'!$A$1:$I$88,3,0)*0.475*44/12</f>
        <v>#N/A</v>
      </c>
      <c r="CN80" s="163" t="str">
        <f t="shared" si="13"/>
        <v>#N/A</v>
      </c>
      <c r="CO80" s="159">
        <f>('Scénario référence'!$F$8+'Scénario référence'!$F$9+'Scénario référence'!$B$17+'Scénario référence'!$B$9+'Scénario référence'!$B$10)*70+IF((45+25*(1-EXP(-0.0175*A80)))&lt;70,'Scénario référence'!$B$16*(45+25*(1-EXP(-0.0175*A80))),70*'Scénario référence'!$B$16)+IF((32+38*(1-EXP(-0.0175*A80)))&lt;70,'Scénario référence'!$B$18*(32+38*(1-EXP(-0.0175*A80))),70*'Scénario référence'!$B$18)</f>
        <v>70</v>
      </c>
      <c r="CP80" s="151">
        <f>IF(A80&gt;30,10,('Scénario référence'!$B$16+'Scénario référence'!$B$17+'Scénario référence'!$B$18+'Scénario référence'!$B$9+'Scénario référence'!$B$10)*A80*10/30+('Scénario référence'!$F$8+'Scénario référence'!$F$9)*10)</f>
        <v>10</v>
      </c>
      <c r="CQ80" s="151" t="str">
        <f>VLOOKUP(A80,'Données projet'!$A$139:$I$159,2,0)</f>
        <v>#N/A</v>
      </c>
      <c r="CR80" s="151" t="str">
        <f>VLOOKUP(A80,'Données projet'!$A$139:$I$159,9,0)</f>
        <v>#N/A</v>
      </c>
      <c r="CS80" s="151" t="str">
        <f t="array" ref="CS80">INDEX(CR:CR,MIN(IF(ISNUMBER(CR80:CR276),ROW(CR80:CR276),"")))</f>
        <v/>
      </c>
      <c r="CT80" s="151">
        <f>IF('Données projet'!$A$140&gt;35,CT79+CS80-DB79,IF(A80&lt;'Données projet'!$A$140,$CQ$205^A80,IF(A80='Données projet'!$A$140,'Données projet'!$B$140,CT79+CS80-DB79)))</f>
        <v>0</v>
      </c>
      <c r="CU80" s="158" t="str">
        <f>CT80*VLOOKUP('Données projet'!$B$13,'Paramètres'!$A$1:$I$88,3,0)*VLOOKUP('Données projet'!$B$13,'Paramètres'!$A$1:$I$88,5,0)</f>
        <v>#N/A</v>
      </c>
      <c r="CV80" s="150" t="str">
        <f t="shared" si="42"/>
        <v>#N/A</v>
      </c>
      <c r="CW80" s="161" t="str">
        <f t="shared" si="14"/>
        <v>#N/A</v>
      </c>
      <c r="CX80" s="153" t="str">
        <f t="shared" si="15"/>
        <v>#N/A</v>
      </c>
      <c r="CY80" s="153" t="str">
        <f>AVERAGE(OFFSET($CX$3,0,0,'Données projet'!$E$13+1,1))-AVERAGE(OFFSET($H$3,0,0,'Données projet'!$E$13+1,1))</f>
        <v>#N/A</v>
      </c>
      <c r="CZ80" s="153" t="str">
        <f t="shared" si="43"/>
        <v>#N/A</v>
      </c>
      <c r="DA80" s="154">
        <f>IF(ISNA(VLOOKUP(A80,'Données projet'!$A$139:$I$159,3,0)),0,VLOOKUP(A80,'Données projet'!$A$139:$I$159,3,0))</f>
        <v>0</v>
      </c>
      <c r="DB80" s="154">
        <f>IF(ISNA(VLOOKUP(A80,'Données projet'!$A$139:$I$159,4,0)),0,VLOOKUP(A80,'Données projet'!$A$139:$I$159,4,0))</f>
        <v>0</v>
      </c>
      <c r="DC80" s="155">
        <f>IF(ISNA(VLOOKUP(A80,'Données projet'!$A$139:$I$159,5,0)),0%,VLOOKUP(A80,'Données projet'!$A$139:$I$159,5,0)*VLOOKUP('Données projet'!$B$13,'Paramètres'!$A$1:$I$88,7,0))</f>
        <v>0</v>
      </c>
      <c r="DD80" s="155">
        <f>IF(ISNA(VLOOKUP(A80,'Données projet'!$A$139:$I$159,6,0)),0%,VLOOKUP(A80,'Données projet'!$A$139:$I$159,6,0)*VLOOKUP('Données projet'!$B$13,'Paramètres'!$A$1:$I$88,7,0))</f>
        <v>0</v>
      </c>
      <c r="DE80" s="155">
        <f>IF(ISNA(VLOOKUP(A80,'Données projet'!$A$139:$I$159,7,0)),0%,VLOOKUP(A80,'Données projet'!$A$139:$I$159,7,0))</f>
        <v>0</v>
      </c>
      <c r="DF80" s="162" t="str">
        <f>EXP(-LN(2)/35)*DF79+(1-EXP(-LN(2)/35))/(LN(2)/35)*DB80*DC80*VLOOKUP('Données projet'!$B$13,'Paramètres'!$A$1:$I$88,3,0)*0.475*44/12</f>
        <v>#N/A</v>
      </c>
      <c r="DG80" s="162" t="str">
        <f>EXP(-LN(2)/25)*DG79+(1-EXP(-LN(2)/25))/(LN(2)/25)*Calculateur!DB80*Calculateur!DD80*VLOOKUP('Données projet'!$B$13,'Paramètres'!$A$1:$I$88,3,0)*0.475*44/12</f>
        <v>#N/A</v>
      </c>
      <c r="DH80" s="162" t="str">
        <f>EXP(-LN(2)/2)*DH79+(1-EXP(-LN(2)/2))/(LN(2)/2)*DB80*DE80*VLOOKUP('Données projet'!$B$13,'Paramètres'!$A$1:$I$88,3,0)*0.475*44/12</f>
        <v>#N/A</v>
      </c>
      <c r="DI80" s="163" t="str">
        <f t="shared" si="16"/>
        <v>#N/A</v>
      </c>
      <c r="DJ80" s="159">
        <f>('Scénario référence'!$F$8+'Scénario référence'!$F$9+'Scénario référence'!$B$17+'Scénario référence'!$B$9+'Scénario référence'!$B$10)*70+IF((45+25*(1-EXP(-0.0175*A80)))&lt;70,'Scénario référence'!$B$16*(45+25*(1-EXP(-0.0175*A80))),70*'Scénario référence'!$B$16)+IF((32+38*(1-EXP(-0.0175*A80)))&lt;70,'Scénario référence'!$B$18*(32+38*(1-EXP(-0.0175*A80))),70*'Scénario référence'!$B$18)</f>
        <v>70</v>
      </c>
      <c r="DK80" s="151">
        <f>IF(A80&gt;30,10,('Scénario référence'!$B$16+'Scénario référence'!$B$17+'Scénario référence'!$B$18+'Scénario référence'!$B$9+'Scénario référence'!$B$10)*A80*10/30+('Scénario référence'!$F$8+'Scénario référence'!$F$9)*10)</f>
        <v>10</v>
      </c>
      <c r="DL80" s="151" t="str">
        <f>VLOOKUP(A80,'Données projet'!$A$165:$I$185,2,0)</f>
        <v>#N/A</v>
      </c>
      <c r="DM80" s="151" t="str">
        <f>VLOOKUP(A80,'Données projet'!$A$165:$I$185,9,0)</f>
        <v>#N/A</v>
      </c>
      <c r="DN80" s="151" t="str">
        <f t="array" ref="DN80">INDEX(DM:DM,MIN(IF(ISNUMBER(DM80:DM276),ROW(DM80:DM276),"")))</f>
        <v/>
      </c>
      <c r="DO80" s="151">
        <f>IF('Données projet'!$A$166&gt;35,DO79+DN80-DW79,IF(A80&lt;'Données projet'!$A$166,$DL$205^A80,IF(A80='Données projet'!$A$166,'Données projet'!$B$166,DO79+DN80-DW79)))</f>
        <v>0</v>
      </c>
      <c r="DP80" s="158" t="str">
        <f>DO80*VLOOKUP('Données projet'!$B$14,'Paramètres'!$A$1:$I$88,3,0)*VLOOKUP('Données projet'!$B$14,'Paramètres'!$A$1:$I$88,5,0)</f>
        <v>#N/A</v>
      </c>
      <c r="DQ80" s="150" t="str">
        <f t="shared" si="44"/>
        <v>#N/A</v>
      </c>
      <c r="DR80" s="161" t="str">
        <f t="shared" si="17"/>
        <v>#N/A</v>
      </c>
      <c r="DS80" s="153" t="str">
        <f t="shared" si="18"/>
        <v>#N/A</v>
      </c>
      <c r="DT80" s="153" t="str">
        <f>AVERAGE(OFFSET($DS$3,0,0,'Données projet'!$E$14+1,1))-AVERAGE(OFFSET($H$3,0,0,'Données projet'!$E$14+1,1))</f>
        <v>#N/A</v>
      </c>
      <c r="DU80" s="153" t="str">
        <f t="shared" si="45"/>
        <v>#N/A</v>
      </c>
      <c r="DV80" s="154">
        <f>IF(ISNA(VLOOKUP(A80,'Données projet'!$A$165:$I$185,3,0)),0,VLOOKUP(A80,'Données projet'!$A$165:$I$185,3,0))</f>
        <v>0</v>
      </c>
      <c r="DW80" s="154">
        <f>IF(ISNA(VLOOKUP(A80,'Données projet'!$A$165:$I$185,4,0)),0,VLOOKUP(A80,'Données projet'!$A$165:$I$185,4,0))</f>
        <v>0</v>
      </c>
      <c r="DX80" s="155">
        <f>IF(ISNA(VLOOKUP(A80,'Données projet'!$A$165:$I$185,5,0)),0%,VLOOKUP(A80,'Données projet'!$A$165:$I$185,5,0)*VLOOKUP('Données projet'!$B$14,'Paramètres'!$A$1:$I$88,7,0))</f>
        <v>0</v>
      </c>
      <c r="DY80" s="155">
        <f>IF(ISNA(VLOOKUP(A80,'Données projet'!$A$165:$I$185,6,0)),0%,VLOOKUP(A80,'Données projet'!$A$165:$I$185,6,0)*VLOOKUP('Données projet'!$B$14,'Paramètres'!$A$1:$I$88,7,0))</f>
        <v>0</v>
      </c>
      <c r="DZ80" s="155">
        <f>IF(ISNA(VLOOKUP(A80,'Données projet'!$A$165:$I$185,7,0)),0%,VLOOKUP(A80,'Données projet'!$A$165:$I$185,7,0))</f>
        <v>0</v>
      </c>
      <c r="EA80" s="162" t="str">
        <f>EXP(-LN(2)/35)*EA79+(1-EXP(-LN(2)/35))/(LN(2)/35)*DW80*DX80*VLOOKUP('Données projet'!$B$14,'Paramètres'!$A$1:$I$88,3,0)*0.475*44/12</f>
        <v>#N/A</v>
      </c>
      <c r="EB80" s="162" t="str">
        <f>EXP(-LN(2)/25)*EB79+(1-EXP(-LN(2)/25))/(LN(2)/25)*Calculateur!DW80*Calculateur!DY80*VLOOKUP('Données projet'!$B$14,'Paramètres'!$A$1:$I$88,3,0)*0.475*44/12</f>
        <v>#N/A</v>
      </c>
      <c r="EC80" s="162" t="str">
        <f>EXP(-LN(2)/2)*EC79+(1-EXP(-LN(2)/2))/(LN(2)/2)*DW80*DZ80*VLOOKUP('Données projet'!$B$14,'Paramètres'!$A$1:$I$88,3,0)*0.475*44/12</f>
        <v>#N/A</v>
      </c>
      <c r="ED80" s="163" t="str">
        <f t="shared" si="19"/>
        <v>#N/A</v>
      </c>
      <c r="EE80" s="159">
        <f>('Scénario référence'!$F$8+'Scénario référence'!$F$9+'Scénario référence'!$B$17+'Scénario référence'!$B$9+'Scénario référence'!$B$10)*70+IF((45+25*(1-EXP(-0.0175*A80)))&lt;70,'Scénario référence'!$B$16*(45+25*(1-EXP(-0.0175*A80))),70*'Scénario référence'!$B$16)+IF((32+38*(1-EXP(-0.0175*A80)))&lt;70,'Scénario référence'!$B$18*(32+38*(1-EXP(-0.0175*A80))),70*'Scénario référence'!$B$18)</f>
        <v>70</v>
      </c>
      <c r="EF80" s="151">
        <f>IF(A80&gt;30,10,('Scénario référence'!$B$16+'Scénario référence'!$B$17+'Scénario référence'!$B$18+'Scénario référence'!$B$9+'Scénario référence'!$B$10)*A80*10/30+('Scénario référence'!$F$8+'Scénario référence'!$F$9)*10)</f>
        <v>10</v>
      </c>
      <c r="EG80" s="151" t="str">
        <f>VLOOKUP(A80,'Données projet'!$A$191:$I$211,2,0)</f>
        <v>#N/A</v>
      </c>
      <c r="EH80" s="151" t="str">
        <f>VLOOKUP(A80,'Données projet'!$A$191:$I$211,9,0)</f>
        <v>#N/A</v>
      </c>
      <c r="EI80" s="151" t="str">
        <f t="array" ref="EI80">INDEX(EH:EH,MIN(IF(ISNUMBER(EH80:EH276),ROW(EH80:EH276),"")))</f>
        <v/>
      </c>
      <c r="EJ80" s="151">
        <f>IF('Données projet'!$A$192&gt;35,EJ79+EI80-ER79,IF(A80&lt;'Données projet'!$A$192,$EG$205^A80,IF(A80='Données projet'!$A$192,'Données projet'!$B$192,EJ79+EI80-ER79)))</f>
        <v>0</v>
      </c>
      <c r="EK80" s="158" t="str">
        <f>EJ80*VLOOKUP('Données projet'!$B$15,'Paramètres'!$A$1:$I$88,3,0)*VLOOKUP('Données projet'!$B$15,'Paramètres'!$A$1:$I$88,5,0)</f>
        <v>#N/A</v>
      </c>
      <c r="EL80" s="150" t="str">
        <f t="shared" si="46"/>
        <v>#N/A</v>
      </c>
      <c r="EM80" s="161" t="str">
        <f t="shared" si="20"/>
        <v>#N/A</v>
      </c>
      <c r="EN80" s="153" t="str">
        <f t="shared" si="21"/>
        <v>#N/A</v>
      </c>
      <c r="EO80" s="153" t="str">
        <f>AVERAGE(OFFSET($EN$3,0,0,'Données projet'!$E$15+1,1))-AVERAGE(OFFSET($H$3,0,0,'Données projet'!$E$15+1,1))</f>
        <v>#N/A</v>
      </c>
      <c r="EP80" s="153" t="str">
        <f t="shared" si="47"/>
        <v>#N/A</v>
      </c>
      <c r="EQ80" s="154">
        <f>IF(ISNA(VLOOKUP(A80,'Données projet'!$A$191:$I$211,3,0)),0,VLOOKUP(A80,'Données projet'!$A$191:$I$211,3,0))</f>
        <v>0</v>
      </c>
      <c r="ER80" s="154">
        <f>IF(ISNA(VLOOKUP(A80,'Données projet'!$A$191:$I$211,4,0)),0,VLOOKUP(A80,'Données projet'!$A$191:$I$211,4,0))</f>
        <v>0</v>
      </c>
      <c r="ES80" s="155">
        <f>IF(ISNA(VLOOKUP(A80,'Données projet'!$A$191:$I$211,5,0)),0%,VLOOKUP(A80,'Données projet'!$A$191:$I$211,5,0)*VLOOKUP('Données projet'!$B$15,'Paramètres'!$A$1:$I$88,7,0))</f>
        <v>0</v>
      </c>
      <c r="ET80" s="155">
        <f>IF(ISNA(VLOOKUP(A80,'Données projet'!$A$191:$I$211,6,0)),0%,VLOOKUP(A80,'Données projet'!$A$191:$I$211,6,0)*VLOOKUP('Données projet'!$B$15,'Paramètres'!$A$1:$I$88,7,0))</f>
        <v>0</v>
      </c>
      <c r="EU80" s="155">
        <f>IF(ISNA(VLOOKUP(A80,'Données projet'!$A$191:$I$211,7,0)),0%,VLOOKUP(A80,'Données projet'!$A$191:$I$211,7,0))</f>
        <v>0</v>
      </c>
      <c r="EV80" s="162" t="str">
        <f>EXP(-LN(2)/35)*EV79+(1-EXP(-LN(2)/35))/(LN(2)/35)*ER80*ES80*VLOOKUP('Données projet'!$B$15,'Paramètres'!$A$1:$I$88,3,0)*0.475*44/12</f>
        <v>#N/A</v>
      </c>
      <c r="EW80" s="162" t="str">
        <f>EXP(-LN(2)/25)*EW79+(1-EXP(-LN(2)/25))/(LN(2)/25)*Calculateur!ER80*Calculateur!ET80*VLOOKUP('Données projet'!$B$15,'Paramètres'!$A$1:$I$88,3,0)*0.475*44/12</f>
        <v>#N/A</v>
      </c>
      <c r="EX80" s="162" t="str">
        <f>EXP(-LN(2)/2)*EX79+(1-EXP(-LN(2)/2))/(LN(2)/2)*ER80*EU80*VLOOKUP('Données projet'!$B$15,'Paramètres'!$A$1:$I$88,3,0)*0.475*44/12</f>
        <v>#N/A</v>
      </c>
      <c r="EY80" s="163" t="str">
        <f t="shared" si="22"/>
        <v>#N/A</v>
      </c>
      <c r="EZ80" s="159">
        <f>('Scénario référence'!$F$8+'Scénario référence'!$F$9+'Scénario référence'!$B$17+'Scénario référence'!$B$9+'Scénario référence'!$B$10)*70+IF((45+25*(1-EXP(-0.0175*A80)))&lt;70,'Scénario référence'!$B$16*(45+25*(1-EXP(-0.0175*A80))),70*'Scénario référence'!$B$16)+IF((32+38*(1-EXP(-0.0175*A80)))&lt;70,'Scénario référence'!$B$18*(32+38*(1-EXP(-0.0175*A80))),70*'Scénario référence'!$B$18)</f>
        <v>70</v>
      </c>
      <c r="FA80" s="151">
        <f>IF(A80&gt;30,10,('Scénario référence'!$B$16+'Scénario référence'!$B$17+'Scénario référence'!$B$18+'Scénario référence'!$B$9+'Scénario référence'!$B$10)*A80*10/30+('Scénario référence'!$F$8+'Scénario référence'!$F$9)*10)</f>
        <v>10</v>
      </c>
      <c r="FB80" s="151" t="str">
        <f>VLOOKUP(A80,'Données projet'!$A$217:$I$237,2,0)</f>
        <v>#N/A</v>
      </c>
      <c r="FC80" s="151" t="str">
        <f>VLOOKUP(A80,'Données projet'!$A$217:$I$237,9,0)</f>
        <v>#N/A</v>
      </c>
      <c r="FD80" s="151" t="str">
        <f t="array" ref="FD80">INDEX(FC:FC,MIN(IF(ISNUMBER(FC80:FC276),ROW(FC80:FC276),"")))</f>
        <v/>
      </c>
      <c r="FE80" s="151">
        <f>IF('Données projet'!$A$218&gt;35,FE79+FD80-FM79,IF(A80&lt;'Données projet'!$A$218,$FB$205^A80,IF(A80='Données projet'!$A$218,'Données projet'!$B$218,FE79+FD80-FM79)))</f>
        <v>0</v>
      </c>
      <c r="FF80" s="158" t="str">
        <f>FE80*VLOOKUP('Données projet'!$B$16,'Paramètres'!$A$1:$I$88,3,0)*VLOOKUP('Données projet'!$B$16,'Paramètres'!$A$1:$I$88,5,0)</f>
        <v>#N/A</v>
      </c>
      <c r="FG80" s="150" t="str">
        <f t="shared" si="48"/>
        <v>#N/A</v>
      </c>
      <c r="FH80" s="161" t="str">
        <f t="shared" si="23"/>
        <v>#N/A</v>
      </c>
      <c r="FI80" s="153" t="str">
        <f t="shared" si="24"/>
        <v>#N/A</v>
      </c>
      <c r="FJ80" s="153" t="str">
        <f>AVERAGE(OFFSET($FI$3,0,0,'Données projet'!$E$16+1,1))-AVERAGE(OFFSET($H$3,0,0,'Données projet'!$E$16+1,1))</f>
        <v>#N/A</v>
      </c>
      <c r="FK80" s="153" t="str">
        <f t="shared" si="49"/>
        <v>#N/A</v>
      </c>
      <c r="FL80" s="154">
        <f>IF(ISNA(VLOOKUP(A80,'Données projet'!$A$217:$I$237,3,0)),0,VLOOKUP(A80,'Données projet'!$A$217:$I$237,3,0))</f>
        <v>0</v>
      </c>
      <c r="FM80" s="154">
        <f>IF(ISNA(VLOOKUP(A80,'Données projet'!$A$217:$I$237,4,0)),0,VLOOKUP(A80,'Données projet'!$A$217:$I$237,4,0))</f>
        <v>0</v>
      </c>
      <c r="FN80" s="155">
        <f>IF(ISNA(VLOOKUP(A80,'Données projet'!$A$217:$I$237,5,0)),0%,VLOOKUP(A80,'Données projet'!$A$217:$I$237,5,0)*VLOOKUP('Données projet'!$B$16,'Paramètres'!$A$1:$I$88,7,0))</f>
        <v>0</v>
      </c>
      <c r="FO80" s="155">
        <f>IF(ISNA(VLOOKUP(A80,'Données projet'!$A$217:$I$237,6,0)),0%,VLOOKUP(A80,'Données projet'!$A$217:$I$237,6,0)*VLOOKUP('Données projet'!$B$16,'Paramètres'!$A$1:$I$88,7,0))</f>
        <v>0</v>
      </c>
      <c r="FP80" s="155">
        <f>IF(ISNA(VLOOKUP(A80,'Données projet'!$A$217:$I$237,7,0)),0%,VLOOKUP(A80,'Données projet'!$A$217:$I$237,7,0))</f>
        <v>0</v>
      </c>
      <c r="FQ80" s="162" t="str">
        <f>EXP(-LN(2)/35)*FQ79+(1-EXP(-LN(2)/35))/(LN(2)/35)*FM80*FN80*VLOOKUP('Données projet'!$B$16,'Paramètres'!$A$1:$I$88,3,0)*0.475*44/12</f>
        <v>#N/A</v>
      </c>
      <c r="FR80" s="162" t="str">
        <f>EXP(-LN(2)/25)*FR79+(1-EXP(-LN(2)/25))/(LN(2)/25)*Calculateur!FM80*Calculateur!FO80*VLOOKUP('Données projet'!$B$16,'Paramètres'!$A$1:$I$88,3,0)*0.475*44/12</f>
        <v>#N/A</v>
      </c>
      <c r="FS80" s="162" t="str">
        <f>EXP(-LN(2)/2)*FS79+(1-EXP(-LN(2)/2))/(LN(2)/2)*FM80*FP80*VLOOKUP('Données projet'!$B$16,'Paramètres'!$A$1:$I$88,3,0)*0.475*44/12</f>
        <v>#N/A</v>
      </c>
      <c r="FT80" s="163" t="str">
        <f t="shared" si="25"/>
        <v>#N/A</v>
      </c>
      <c r="FU80" s="159">
        <f>('Scénario référence'!$F$8+'Scénario référence'!$F$9+'Scénario référence'!$B$17+'Scénario référence'!$B$9+'Scénario référence'!$B$10)*70+IF((45+25*(1-EXP(-0.0175*A80)))&lt;70,'Scénario référence'!$B$16*(45+25*(1-EXP(-0.0175*A80))),70*'Scénario référence'!$B$16)+IF((32+38*(1-EXP(-0.0175*A80)))&lt;70,'Scénario référence'!$B$18*(32+38*(1-EXP(-0.0175*A80))),70*'Scénario référence'!$B$18)</f>
        <v>70</v>
      </c>
      <c r="FV80" s="151">
        <f>IF(A80&gt;30,10,('Scénario référence'!$B$16+'Scénario référence'!$B$17+'Scénario référence'!$B$18+'Scénario référence'!$B$9+'Scénario référence'!$B$10)*A80*10/30+('Scénario référence'!$F$8+'Scénario référence'!$F$9)*10)</f>
        <v>10</v>
      </c>
      <c r="FW80" s="151" t="str">
        <f>VLOOKUP(A80,'Données projet'!$A$243:$I$263,2,0)</f>
        <v>#N/A</v>
      </c>
      <c r="FX80" s="151" t="str">
        <f>VLOOKUP(A80,'Données projet'!$A$243:$I$263,9,0)</f>
        <v>#N/A</v>
      </c>
      <c r="FY80" s="151" t="str">
        <f t="array" ref="FY80">INDEX(FX:FX,MIN(IF(ISNUMBER(FX80:FX276),ROW(FX80:FX276),"")))</f>
        <v/>
      </c>
      <c r="FZ80" s="151">
        <f>IF('Données projet'!$A$244&gt;35,FZ79+FY80-GH79,IF(A80&lt;'Données projet'!$A$244,$FW$205^A80,IF(A80='Données projet'!$A$244,'Données projet'!$B$244,FZ79+FY80-GH79)))</f>
        <v>0</v>
      </c>
      <c r="GA80" s="158" t="str">
        <f>FZ80*VLOOKUP('Données projet'!$B$17,'Paramètres'!$A$1:$I$88,3,0)*VLOOKUP('Données projet'!$B$17,'Paramètres'!$A$1:$I$88,5,0)</f>
        <v>#N/A</v>
      </c>
      <c r="GB80" s="150" t="str">
        <f t="shared" si="50"/>
        <v>#N/A</v>
      </c>
      <c r="GC80" s="161" t="str">
        <f t="shared" si="26"/>
        <v>#N/A</v>
      </c>
      <c r="GD80" s="153" t="str">
        <f t="shared" si="27"/>
        <v>#N/A</v>
      </c>
      <c r="GE80" s="153" t="str">
        <f>AVERAGE(OFFSET($GD$3,0,0,'Données projet'!$E$17+1,1))-AVERAGE(OFFSET($H$3,0,0,'Données projet'!$E$17+1,1))</f>
        <v>#N/A</v>
      </c>
      <c r="GF80" s="153" t="str">
        <f t="shared" si="51"/>
        <v>#N/A</v>
      </c>
      <c r="GG80" s="154">
        <f>IF(ISNA(VLOOKUP(A80,'Données projet'!$A$243:$I$263,3,0)),0,VLOOKUP(A80,'Données projet'!$A$243:$I$263,3,0))</f>
        <v>0</v>
      </c>
      <c r="GH80" s="154">
        <f>IF(ISNA(VLOOKUP(A80,'Données projet'!$A$243:$I$263,4,0)),0,VLOOKUP(A80,'Données projet'!$A$243:$I$263,4,0))</f>
        <v>0</v>
      </c>
      <c r="GI80" s="155">
        <f>IF(ISNA(VLOOKUP(A80,'Données projet'!$A$243:$I$263,5,0)),0%,VLOOKUP(A80,'Données projet'!$A$243:$I$263,5,0)*VLOOKUP('Données projet'!$B$17,'Paramètres'!$A$1:$I$88,7,0))</f>
        <v>0</v>
      </c>
      <c r="GJ80" s="155">
        <f>IF(ISNA(VLOOKUP(A80,'Données projet'!$A$243:$I$263,6,0)),0%,VLOOKUP(A80,'Données projet'!$A$243:$I$263,6,0)*VLOOKUP('Données projet'!$B$17,'Paramètres'!$A$1:$I$88,7,0))</f>
        <v>0</v>
      </c>
      <c r="GK80" s="155">
        <f>IF(ISNA(VLOOKUP(A80,'Données projet'!$A$243:$I$263,7,0)),0%,VLOOKUP(A80,'Données projet'!$A$243:$I$263,7,0))</f>
        <v>0</v>
      </c>
      <c r="GL80" s="162" t="str">
        <f>EXP(-LN(2)/35)*GL79+(1-EXP(-LN(2)/35))/(LN(2)/35)*GH80*GI80*VLOOKUP('Données projet'!$B$17,'Paramètres'!$A$1:$I$88,3,0)*0.475*44/12</f>
        <v>#N/A</v>
      </c>
      <c r="GM80" s="162" t="str">
        <f>EXP(-LN(2)/25)*GM79+(1-EXP(-LN(2)/25))/(LN(2)/25)*Calculateur!GH80*Calculateur!GJ80*VLOOKUP('Données projet'!$B$17,'Paramètres'!$A$1:$I$88,3,0)*0.475*44/12</f>
        <v>#N/A</v>
      </c>
      <c r="GN80" s="162" t="str">
        <f>EXP(-LN(2)/2)*GN79+(1-EXP(-LN(2)/2))/(LN(2)/2)*GH80*GK80*VLOOKUP('Données projet'!$B$17,'Paramètres'!$A$1:$I$88,3,0)*0.475*44/12</f>
        <v>#N/A</v>
      </c>
      <c r="GO80" s="162" t="str">
        <f t="shared" si="28"/>
        <v>#N/A</v>
      </c>
      <c r="GP80" s="159">
        <f>('Scénario référence'!$F$8+'Scénario référence'!$F$9+'Scénario référence'!$B$17+'Scénario référence'!$B$9+'Scénario référence'!$B$10)*70+IF((45+25*(1-EXP(-0.0175*A80)))&lt;70,'Scénario référence'!$B$16*(45+25*(1-EXP(-0.0175*A80))),70*'Scénario référence'!$B$16)+IF((32+38*(1-EXP(-0.0175*A80)))&lt;70,'Scénario référence'!$B$18*(32+38*(1-EXP(-0.0175*A80))),70*'Scénario référence'!$B$18)</f>
        <v>70</v>
      </c>
      <c r="GQ80" s="151">
        <f>IF(A80&gt;30,10,('Scénario référence'!$B$16+'Scénario référence'!$B$17+'Scénario référence'!$B$18+'Scénario référence'!$B$9+'Scénario référence'!$B$10)*A80*10/30+('Scénario référence'!$F$8+'Scénario référence'!$F$9)*10)</f>
        <v>10</v>
      </c>
      <c r="GR80" s="151" t="str">
        <f>VLOOKUP(A80,'Données projet'!$A$269:$I$289,2,0)</f>
        <v>#N/A</v>
      </c>
      <c r="GS80" s="151" t="str">
        <f>VLOOKUP(A80,'Données projet'!$A$269:$I$289,9,0)</f>
        <v>#N/A</v>
      </c>
      <c r="GT80" s="151" t="str">
        <f t="array" ref="GT80">INDEX(GS:GS,MIN(IF(ISNUMBER(GS80:GS276),ROW(GS80:GS276),"")))</f>
        <v/>
      </c>
      <c r="GU80" s="151">
        <f>IF('Données projet'!$A$270&gt;35,GU79+GT80-HC79,IF(A80&lt;'Données projet'!$A$270,$GR$205^A80,IF(A80='Données projet'!$A$270,'Données projet'!$B$270,GU79+GT80-HC79)))</f>
        <v>0</v>
      </c>
      <c r="GV80" s="158" t="str">
        <f>GU80*VLOOKUP('Données projet'!$B$18,'Paramètres'!$A$1:$I$88,3,0)*VLOOKUP('Données projet'!$B$18,'Paramètres'!$A$1:$I$88,5,0)</f>
        <v>#N/A</v>
      </c>
      <c r="GW80" s="150" t="str">
        <f t="shared" si="52"/>
        <v>#N/A</v>
      </c>
      <c r="GX80" s="161" t="str">
        <f t="shared" si="29"/>
        <v>#N/A</v>
      </c>
      <c r="GY80" s="153" t="str">
        <f t="shared" si="30"/>
        <v>#N/A</v>
      </c>
      <c r="GZ80" s="153" t="str">
        <f>AVERAGE(OFFSET($GY$3,0,0,'Données projet'!$E$18+1,1))-AVERAGE(OFFSET($H$3,0,0,'Données projet'!$E$18+1,1))</f>
        <v>#N/A</v>
      </c>
      <c r="HA80" s="153" t="str">
        <f t="shared" si="53"/>
        <v>#N/A</v>
      </c>
      <c r="HB80" s="154">
        <f>IF(ISNA(VLOOKUP(A80,'Données projet'!$A$269:$I$289,3,0)),0,VLOOKUP(A80,'Données projet'!$A$269:$I$289,3,0))</f>
        <v>0</v>
      </c>
      <c r="HC80" s="154">
        <f>IF(ISNA(VLOOKUP(A80,'Données projet'!$A$269:$I$289,4,0)),0,VLOOKUP(A80,'Données projet'!$A$269:$I$289,4,0))</f>
        <v>0</v>
      </c>
      <c r="HD80" s="155">
        <f>IF(ISNA(VLOOKUP(A80,'Données projet'!$A$269:$I$289,5,0)),0%,VLOOKUP(A80,'Données projet'!$A$269:$I$289,5,0)*VLOOKUP('Données projet'!$B$18,'Paramètres'!$A$1:$I$88,7,0))</f>
        <v>0</v>
      </c>
      <c r="HE80" s="155">
        <f>IF(ISNA(VLOOKUP(A80,'Données projet'!$A$269:$I$289,6,0)),0%,VLOOKUP(A80,'Données projet'!$A$269:$I$289,6,0)*VLOOKUP('Données projet'!$B$18,'Paramètres'!$A$1:$I$88,7,0))</f>
        <v>0</v>
      </c>
      <c r="HF80" s="155">
        <f>IF(ISNA(VLOOKUP(A80,'Données projet'!$A$269:$I$289,7,0)),0%,VLOOKUP(A80,'Données projet'!$A$269:$I$289,7,0))</f>
        <v>0</v>
      </c>
      <c r="HG80" s="162" t="str">
        <f>EXP(-LN(2)/35)*HG79+(1-EXP(-LN(2)/35))/(LN(2)/35)*HC80*HD80*VLOOKUP('Données projet'!$B$18,'Paramètres'!$A$1:$I$88,3,0)*0.475*44/12</f>
        <v>#N/A</v>
      </c>
      <c r="HH80" s="162" t="str">
        <f>EXP(-LN(2)/25)*HH79+(1-EXP(-LN(2)/25))/(LN(2)/25)*Calculateur!HC80*Calculateur!HE80*VLOOKUP('Données projet'!$B$18,'Paramètres'!$A$1:$I$88,3,0)*0.475*44/12</f>
        <v>#N/A</v>
      </c>
      <c r="HI80" s="162" t="str">
        <f>EXP(-LN(2)/2)*HI79+(1-EXP(-LN(2)/2))/(LN(2)/2)*HC80*HF80*VLOOKUP('Données projet'!$B$18,'Paramètres'!$A$1:$I$88,3,0)*0.475*44/12</f>
        <v>#N/A</v>
      </c>
      <c r="HJ80" s="163" t="str">
        <f t="shared" si="31"/>
        <v>#N/A</v>
      </c>
    </row>
    <row r="81" ht="15.75" customHeight="1">
      <c r="A81" s="145">
        <f t="shared" si="32"/>
        <v>78</v>
      </c>
      <c r="B81" s="146">
        <f>'Scénario référence'!$B$16*5+'Scénario référence'!$B$17*0+'Scénario référence'!$B$18*5</f>
        <v>0</v>
      </c>
      <c r="C81" s="160">
        <f>Calculateur!C80+'Scénario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81" s="147">
        <f t="shared" si="33"/>
        <v>0</v>
      </c>
      <c r="E81" s="147">
        <f>'Scénario référence'!$B$16*45+('Scénario référence'!$B$17+'Scénario référence'!$F$8+'Scénario référence'!$F$9+'Scénario référence'!$B$10+'Scénario référence'!$B$9)*70+'Scénario référence'!$B$18*32</f>
        <v>70</v>
      </c>
      <c r="F81" s="147">
        <f>IF(OR('Scénario référence'!$F$8&gt;0,'Scénario référence'!$F$9&gt;0),('Scénario référence'!$F$8+'Scénario référence'!$F$9)*10,0)</f>
        <v>0</v>
      </c>
      <c r="G81" s="147">
        <f>'Scénario référence'!$B$8*B81*44/12+'Scénario référence'!$B$9*(C81+D81)/0.475*44/12+'Scénario référence'!$B$10*(C81+D81)/0.475*44/12+'Scénario référence'!$F$8*(C81+D81)/0.475*44/12+'Scénario référence'!$F$9*(C81+D81)/0.475*44/12</f>
        <v>0</v>
      </c>
      <c r="H81" s="148">
        <f t="shared" si="1"/>
        <v>256.6666667</v>
      </c>
      <c r="I81" s="149">
        <f>('Scénario référence'!$F$8+'Scénario référence'!$F$9+'Scénario référence'!$B$17+'Scénario référence'!$B$9+'Scénario référence'!$B$10)*70+IF((45+25*(1-EXP(-0.0175*A81)))&lt;70,'Scénario référence'!$B$16*(45+25*(1-EXP(-0.0175*A81))),70*'Scénario référence'!$B$16)+IF((32+38*(1-EXP(-0.0175*A81)))&lt;70,'Scénario référence'!$B$18*(32+38*(1-EXP(-0.0175*A81))),70*'Scénario référence'!$B$18)</f>
        <v>70</v>
      </c>
      <c r="J81" s="150">
        <f>IF(A81&gt;30,10,('Scénario référence'!$B$16+'Scénario référence'!$B$17+'Scénario référence'!$B$18+'Scénario référence'!$B$9+'Scénario référence'!$B$10)*A81*10/30+('Scénario référence'!$F$8+'Scénario référence'!$F$9)*10)</f>
        <v>10</v>
      </c>
      <c r="K81" s="151" t="str">
        <f>VLOOKUP(A81,'Données projet'!$A$35:$I$55,2,0)</f>
        <v>#N/A</v>
      </c>
      <c r="L81" s="151" t="str">
        <f>VLOOKUP(A81,'Données projet'!$A$35:$I$55,9,0)</f>
        <v>#N/A</v>
      </c>
      <c r="M81" s="150">
        <f t="array" ref="M81">INDEX(L:L,MIN(IF(ISNUMBER(L81:L277),ROW(L81:L277),"")))</f>
        <v>7.2</v>
      </c>
      <c r="N81" s="150">
        <f>IF('Données projet'!$A$36&gt;35,N80+M81-V80,IF(A81&lt;'Données projet'!$A$36,$K$205^A81,IF(A81='Données projet'!$A$36,'Données projet'!$B$36,N80+M81-V80)))</f>
        <v>305.6</v>
      </c>
      <c r="O81" s="150">
        <f>N81*VLOOKUP('Données projet'!$B$9,'Paramètres'!$A$1:$I$88,3,0)*VLOOKUP('Données projet'!$B$9,'Paramètres'!$A$1:$I$88,5,0)</f>
        <v>276.50688</v>
      </c>
      <c r="P81" s="150">
        <f t="shared" si="34"/>
        <v>66.22827372</v>
      </c>
      <c r="Q81" s="161">
        <f t="shared" si="2"/>
        <v>596.9303927</v>
      </c>
      <c r="R81" s="153">
        <f t="shared" si="3"/>
        <v>890.2637261</v>
      </c>
      <c r="S81" s="153">
        <f>AVERAGE(OFFSET($R$3,0,0,'Données projet'!$E$9+1,1))-AVERAGE(OFFSET($H$3,0,0,'Données projet'!$E$9+1,1))</f>
        <v>439.1985427</v>
      </c>
      <c r="T81" s="153">
        <f t="shared" si="35"/>
        <v>278.2174123</v>
      </c>
      <c r="U81" s="154">
        <f>IF(ISNA(VLOOKUP(A81,'Données projet'!$A$35:$I$55,3,0)),0,VLOOKUP(A81,'Données projet'!$A$35:$I$55,3,0))</f>
        <v>0</v>
      </c>
      <c r="V81" s="154">
        <f>IF(ISNA(VLOOKUP(A81,'Données projet'!$A$35:$I$55,4,0)),0,VLOOKUP(A81,'Données projet'!$A$35:$I$55,4,0))</f>
        <v>0</v>
      </c>
      <c r="W81" s="155">
        <f>IF(ISNA(VLOOKUP(A81,'Données projet'!$A$35:$I$55,5,0)),0%,VLOOKUP(A81,'Données projet'!$A$35:$I$55,5,0)*VLOOKUP('Données projet'!$B$9,'Paramètres'!$A$1:$I$88,7,0))</f>
        <v>0</v>
      </c>
      <c r="X81" s="155">
        <f>IF(ISNA(VLOOKUP(A81,'Données projet'!$A$35:$I$55,6,0)),0%,VLOOKUP(A81,'Données projet'!$A$35:$I$55,6,0)*VLOOKUP('Données projet'!$B$9,'Paramètres'!$A$1:$I$88,7,0))</f>
        <v>0</v>
      </c>
      <c r="Y81" s="155">
        <f>IF(ISNA(VLOOKUP(A81,'Données projet'!$A$35:$I$55,7,0)),0%,VLOOKUP(A81,'Données projet'!$A$35:$I$55,7,0))</f>
        <v>0</v>
      </c>
      <c r="Z81" s="162">
        <f>EXP(-LN(2)/35)*Z80+(1-EXP(-LN(2)/35))/(LN(2)/35)*V81*W81*VLOOKUP('Données projet'!$B$9,'Paramètres'!$A$1:$I$88,3,0)*0.475*44/12</f>
        <v>0</v>
      </c>
      <c r="AA81" s="162">
        <f>EXP(-LN(2)/25)*AA80+(1-EXP(-LN(2)/25))/(LN(2)/25)*Calculateur!V81*Calculateur!X81*VLOOKUP('Données projet'!$B$9,'Paramètres'!$A$1:$I$88,3,0)*0.475*44/12</f>
        <v>1.18586346</v>
      </c>
      <c r="AB81" s="162">
        <f>EXP(-LN(2)/2)*AB80+(1-EXP(-LN(2)/2))/(LN(2)/2)*V81*Y81*VLOOKUP('Données projet'!$B$9,'Paramètres'!$A$1:$I$88,3,0)*0.475*44/12</f>
        <v>0</v>
      </c>
      <c r="AC81" s="163">
        <f t="shared" si="4"/>
        <v>1.18586346</v>
      </c>
      <c r="AD81" s="150">
        <f>('Scénario référence'!$F$8+'Scénario référence'!$F$9+'Scénario référence'!$B$17+'Scénario référence'!$B$9+'Scénario référence'!$B$10)*70+IF((45+25*(1-EXP(-0.0175*A81)))&lt;70,'Scénario référence'!$B$16*(45+25*(1-EXP(-0.0175*A81))),70*'Scénario référence'!$B$16)+IF((32+38*(1-EXP(-0.0175*A81)))&lt;70,'Scénario référence'!$B$18*(32+38*(1-EXP(-0.0175*A81))),70*'Scénario référence'!$B$18)</f>
        <v>70</v>
      </c>
      <c r="AE81" s="150">
        <f>IF(A81&gt;30,10,('Scénario référence'!$B$16+'Scénario référence'!$B$17+'Scénario référence'!$B$18+'Scénario référence'!$B$9+'Scénario référence'!$B$10)*A81*10/30+('Scénario référence'!$F$8+'Scénario référence'!$F$9)*10)</f>
        <v>10</v>
      </c>
      <c r="AF81" s="151" t="str">
        <f>VLOOKUP(A81,'Données projet'!$A$61:$I$81,2,0)</f>
        <v>#N/A</v>
      </c>
      <c r="AG81" s="151" t="str">
        <f>VLOOKUP(A81,'Données projet'!$A$61:$I$81,9,0)</f>
        <v>#N/A</v>
      </c>
      <c r="AH81" s="151">
        <f t="array" ref="AH81">INDEX(AG:AG,MIN(IF(ISNUMBER(AG81:AG277),ROW(AG81:AG277),"")))</f>
        <v>4</v>
      </c>
      <c r="AI81" s="150">
        <f>IF('Données projet'!$A$62&gt;35,AI80+AH81-AQ80,IF(A81&lt;'Données projet'!$A$62,$AF$205^A81,IF(A81='Données projet'!$A$62,'Données projet'!$B$62,AI80+AH81-AQ80)))</f>
        <v>373</v>
      </c>
      <c r="AJ81" s="150">
        <f>AI81*VLOOKUP('Données projet'!$B$10,'Paramètres'!$A$1:$I$88,3,0)*VLOOKUP('Données projet'!$B$10,'Paramètres'!$A$1:$I$88,5,0)</f>
        <v>296.7588</v>
      </c>
      <c r="AK81" s="150">
        <f t="shared" si="36"/>
        <v>70.49655448</v>
      </c>
      <c r="AL81" s="161">
        <f t="shared" si="5"/>
        <v>639.6364091</v>
      </c>
      <c r="AM81" s="153">
        <f t="shared" si="6"/>
        <v>932.9697424</v>
      </c>
      <c r="AN81" s="153">
        <f>AVERAGE(OFFSET($AM$3,0,0,'Données projet'!$E$10+1,1))-AVERAGE(OFFSET($H$3,0,0,'Données projet'!$E$10+1,1))</f>
        <v>405.6113614</v>
      </c>
      <c r="AO81" s="153">
        <f t="shared" si="37"/>
        <v>393.0787141</v>
      </c>
      <c r="AP81" s="154">
        <f>IF(ISNA(VLOOKUP(A81,'Données projet'!$A$61:$I$81,3,0)),0,VLOOKUP(A81,'Données projet'!$A$61:$I$81,3,0))</f>
        <v>0</v>
      </c>
      <c r="AQ81" s="154">
        <f>IF(ISNA(VLOOKUP(A81,'Données projet'!$A$61:$I$81,4,0)),0,VLOOKUP(A81,'Données projet'!$A$61:$I$81,4,0))</f>
        <v>0</v>
      </c>
      <c r="AR81" s="155">
        <f>IF(ISNA(VLOOKUP(A81,'Données projet'!$A$61:$I$81,5,0)),0%,VLOOKUP(A81,'Données projet'!$A$61:$I$81,5,0)*VLOOKUP('Données projet'!$B$10,'Paramètres'!$A$1:$I$88,7,0))</f>
        <v>0</v>
      </c>
      <c r="AS81" s="155">
        <f>IF(ISNA(VLOOKUP(A81,'Données projet'!$A$61:$I$81,6,0)),0%,VLOOKUP(A81,'Données projet'!$A$61:$I$81,6,0)*VLOOKUP('Données projet'!$B$10,'Paramètres'!$A$1:$I$88,7,0))</f>
        <v>0</v>
      </c>
      <c r="AT81" s="155">
        <f>IF(ISNA(VLOOKUP(A81,'Données projet'!$A$61:$I$81,7,0)),0%,VLOOKUP(A81,'Données projet'!$A$61:$I$81,7,0))</f>
        <v>0</v>
      </c>
      <c r="AU81" s="162">
        <f>EXP(-LN(2)/35)*AU80+(1-EXP(-LN(2)/35))/(LN(2)/35)*AQ81*AR81*VLOOKUP('Données projet'!$B$10,'Paramètres'!$A$1:$I$88,3,0)*0.475*44/12</f>
        <v>0</v>
      </c>
      <c r="AV81" s="162">
        <f>EXP(-LN(2)/25)*AV80+(1-EXP(-LN(2)/25))/(LN(2)/25)*Calculateur!AQ81*Calculateur!AS81*VLOOKUP('Données projet'!$B$10,'Paramètres'!$A$1:$I$88,3,0)*0.475*44/12</f>
        <v>4.819650559</v>
      </c>
      <c r="AW81" s="162">
        <f>EXP(-LN(2)/2)*AW80+(1-EXP(-LN(2)/2))/(LN(2)/2)*AQ81*AT81*VLOOKUP('Données projet'!$B$10,'Paramètres'!$A$1:$I$88,3,0)*0.475*44/12</f>
        <v>0.00000003455353999</v>
      </c>
      <c r="AX81" s="162">
        <f t="shared" si="7"/>
        <v>4.819650594</v>
      </c>
      <c r="AY81" s="157">
        <f>('Scénario référence'!$F$8+'Scénario référence'!$F$9+'Scénario référence'!$B$17+'Scénario référence'!$B$9+'Scénario référence'!$B$10)*70+IF((45+25*(1-EXP(-0.0175*A81)))&lt;70,'Scénario référence'!$B$16*(45+25*(1-EXP(-0.0175*A81))),70*'Scénario référence'!$B$16)+IF((32+38*(1-EXP(-0.0175*A81)))&lt;70,'Scénario référence'!$B$18*(32+38*(1-EXP(-0.0175*A81))),70*'Scénario référence'!$B$18)</f>
        <v>70</v>
      </c>
      <c r="AZ81" s="151">
        <f>IF(A81&gt;30,10,('Scénario référence'!$B$16+'Scénario référence'!$B$17+'Scénario référence'!$B$18+'Scénario référence'!$B$9+'Scénario référence'!$B$10)*A81*10/30+('Scénario référence'!$F$8+'Scénario référence'!$F$9)*10)</f>
        <v>10</v>
      </c>
      <c r="BA81" s="151" t="str">
        <f>VLOOKUP(A81,'Données projet'!$A$87:$I$107,2,0)</f>
        <v>#N/A</v>
      </c>
      <c r="BB81" s="151" t="str">
        <f>VLOOKUP(A81,'Données projet'!$A$87:$I$107,9,0)</f>
        <v>#N/A</v>
      </c>
      <c r="BC81" s="150" t="str">
        <f t="array" ref="BC81">INDEX(BB:BB,MIN(IF(ISNUMBER(BB81:BB277),ROW(BB81:BB277),"")))</f>
        <v/>
      </c>
      <c r="BD81" s="150">
        <f>IF('Données projet'!$A$88&gt;35,BD80+BC81-BL80,IF(A81&lt;'Données projet'!$A$88,$BA$205^A81,IF(A81='Données projet'!$A$88,'Données projet'!$B$88,BD80+BC81-BL80)))</f>
        <v>0</v>
      </c>
      <c r="BE81" s="150">
        <f>BD81*VLOOKUP('Données projet'!$B$11,'Paramètres'!$A$1:$I$88,3,0)*VLOOKUP('Données projet'!$B$11,'Paramètres'!$A$1:$I$88,5,0)</f>
        <v>0</v>
      </c>
      <c r="BF81" s="150" t="str">
        <f t="shared" si="38"/>
        <v>#NUM!</v>
      </c>
      <c r="BG81" s="161" t="str">
        <f t="shared" si="8"/>
        <v>#NUM!</v>
      </c>
      <c r="BH81" s="153" t="str">
        <f t="shared" si="9"/>
        <v>#NUM!</v>
      </c>
      <c r="BI81" s="153">
        <f>AVERAGE(OFFSET($BH$3,0,0,'Données projet'!$E$11+1,1))-AVERAGE(OFFSET($H$3,0,0,'Données projet'!$E$11+1,1))</f>
        <v>0</v>
      </c>
      <c r="BJ81" s="153">
        <f t="shared" si="39"/>
        <v>0</v>
      </c>
      <c r="BK81" s="154">
        <f>IF(ISNA(VLOOKUP(A81,'Données projet'!$A$87:$I$107,3,0)),0,VLOOKUP(A81,'Données projet'!$A$87:$I$107,3,0))</f>
        <v>0</v>
      </c>
      <c r="BL81" s="154">
        <f>IF(ISNA(VLOOKUP(A81,'Données projet'!$A$87:$I$107,4,0)),0,VLOOKUP(A81,'Données projet'!$A$87:$I$107,4,0))</f>
        <v>0</v>
      </c>
      <c r="BM81" s="155">
        <f>IF(ISNA(VLOOKUP(A81,'Données projet'!$A$87:$I$107,5,0)),0%,VLOOKUP(A81,'Données projet'!$A$87:$I$107,5,0)*VLOOKUP('Données projet'!$B$11,'Paramètres'!$A$1:$I$88,7,0))</f>
        <v>0</v>
      </c>
      <c r="BN81" s="155">
        <f>IF(ISNA(VLOOKUP(A81,'Données projet'!$A$87:$I$107,6,0)),0%,VLOOKUP(A81,'Données projet'!$A$87:$I$107,6,0)*VLOOKUP('Données projet'!$B$11,'Paramètres'!$A$1:$I$88,7,0))</f>
        <v>0</v>
      </c>
      <c r="BO81" s="155">
        <f>IF(ISNA(VLOOKUP(A81,'Données projet'!$A$87:$I$107,7,0)),0%,VLOOKUP(A81,'Données projet'!$A$87:$I$107,7,0))</f>
        <v>0</v>
      </c>
      <c r="BP81" s="162">
        <f>EXP(-LN(2)/35)*BP80+(1-EXP(-LN(2)/35))/(LN(2)/35)*BL81*BM81*VLOOKUP('Données projet'!$B$11,'Paramètres'!$A$1:$I$88,3,0)*0.475*44/12</f>
        <v>0</v>
      </c>
      <c r="BQ81" s="162">
        <f>EXP(-LN(2)/25)*BQ80+(1-EXP(-LN(2)/25))/(LN(2)/25)*Calculateur!BL81*Calculateur!BN81*VLOOKUP('Données projet'!$B$11,'Paramètres'!$A$1:$I$88,3,0)*0.475*44/12</f>
        <v>0</v>
      </c>
      <c r="BR81" s="162">
        <f>EXP(-LN(2)/2)*BR80+(1-EXP(-LN(2)/2))/(LN(2)/2)*BL81*BO81*VLOOKUP('Données projet'!$B$11,'Paramètres'!$A$1:$I$88,3,0)*0.475*44/12</f>
        <v>0</v>
      </c>
      <c r="BS81" s="163">
        <f t="shared" si="10"/>
        <v>0</v>
      </c>
      <c r="BT81" s="159">
        <f>('Scénario référence'!$F$8+'Scénario référence'!$F$9+'Scénario référence'!$B$17+'Scénario référence'!$B$9+'Scénario référence'!$B$10)*70+IF((45+25*(1-EXP(-0.0175*A81)))&lt;70,'Scénario référence'!$B$16*(45+25*(1-EXP(-0.0175*A81))),70*'Scénario référence'!$B$16)+IF((32+38*(1-EXP(-0.0175*A81)))&lt;70,'Scénario référence'!$B$18*(32+38*(1-EXP(-0.0175*A81))),70*'Scénario référence'!$B$18)</f>
        <v>70</v>
      </c>
      <c r="BU81" s="151">
        <f>IF(A81&gt;30,10,('Scénario référence'!$B$16+'Scénario référence'!$B$17+'Scénario référence'!$B$18+'Scénario référence'!$B$9+'Scénario référence'!$B$10)*A81*10/30+('Scénario référence'!$F$8+'Scénario référence'!$F$9)*10)</f>
        <v>10</v>
      </c>
      <c r="BV81" s="151" t="str">
        <f>VLOOKUP(A81,'Données projet'!$A$113:$I$133,2,0)</f>
        <v>#N/A</v>
      </c>
      <c r="BW81" s="151" t="str">
        <f>VLOOKUP(A81,'Données projet'!$A$113:$I$133,9,0)</f>
        <v>#N/A</v>
      </c>
      <c r="BX81" s="150" t="str">
        <f t="array" ref="BX81">INDEX(BW:BW,MIN(IF(ISNUMBER(BW81:BW277),ROW(BW81:BW277),"")))</f>
        <v/>
      </c>
      <c r="BY81" s="150">
        <f>IF('Données projet'!$A$114&gt;35,BY80+BX81-CG80,IF(A81&lt;'Données projet'!$A$114,$BV$205^A81,IF(A81='Données projet'!$A$114,'Données projet'!$B$114,BY80+BX81-CG80)))</f>
        <v>0</v>
      </c>
      <c r="BZ81" s="150" t="str">
        <f>BY81*VLOOKUP('Données projet'!$B$12,'Paramètres'!$A$1:$I$88,3,0)*VLOOKUP('Données projet'!$B$12,'Paramètres'!$A$1:$I$88,5,0)</f>
        <v>#N/A</v>
      </c>
      <c r="CA81" s="150" t="str">
        <f t="shared" si="40"/>
        <v>#N/A</v>
      </c>
      <c r="CB81" s="161" t="str">
        <f t="shared" si="11"/>
        <v>#N/A</v>
      </c>
      <c r="CC81" s="153" t="str">
        <f t="shared" si="12"/>
        <v>#N/A</v>
      </c>
      <c r="CD81" s="153" t="str">
        <f>AVERAGE(OFFSET($CC$3,0,0,'Données projet'!$E$12+1,1))-AVERAGE(OFFSET($H$3,0,0,'Données projet'!$E$12+1,1))</f>
        <v>#N/A</v>
      </c>
      <c r="CE81" s="153" t="str">
        <f t="shared" si="41"/>
        <v>#N/A</v>
      </c>
      <c r="CF81" s="154">
        <f>IF(ISNA(VLOOKUP(A81,'Données projet'!$A$113:$I$133,3,0)),0,VLOOKUP(A81,'Données projet'!$A$113:$I$133,3,0))</f>
        <v>0</v>
      </c>
      <c r="CG81" s="154">
        <f>IF(ISNA(VLOOKUP(A81,'Données projet'!$A$113:$I$133,4,0)),0,VLOOKUP(A81,'Données projet'!$A$113:$I$133,4,0))</f>
        <v>0</v>
      </c>
      <c r="CH81" s="155">
        <f>IF(ISNA(VLOOKUP(A81,'Données projet'!$A$113:$I$133,5,0)),0%,VLOOKUP(A81,'Données projet'!$A$113:$I$133,5,0)*VLOOKUP('Données projet'!$B$12,'Paramètres'!$A$1:$I$88,7,0))</f>
        <v>0</v>
      </c>
      <c r="CI81" s="155">
        <f>IF(ISNA(VLOOKUP(A81,'Données projet'!$A$113:$I$133,6,0)),0%,VLOOKUP(A81,'Données projet'!$A$113:$I$133,6,0)*VLOOKUP('Données projet'!$B$12,'Paramètres'!$A$1:$I$88,7,0))</f>
        <v>0</v>
      </c>
      <c r="CJ81" s="155">
        <f>IF(ISNA(VLOOKUP(A81,'Données projet'!$A$113:$I$133,7,0)),0%,VLOOKUP(A81,'Données projet'!$A$113:$I$133,7,0))</f>
        <v>0</v>
      </c>
      <c r="CK81" s="162" t="str">
        <f>EXP(-LN(2)/35)*CK80+(1-EXP(-LN(2)/35))/(LN(2)/35)*CG81*CH81*VLOOKUP('Données projet'!$B$12,'Paramètres'!$A$1:$I$88,3,0)*0.475*44/12</f>
        <v>#N/A</v>
      </c>
      <c r="CL81" s="162" t="str">
        <f>EXP(-LN(2)/25)*CL80+(1-EXP(-LN(2)/25))/(LN(2)/25)*Calculateur!CG81*Calculateur!CI81*VLOOKUP('Données projet'!$B$12,'Paramètres'!$A$1:$I$88,3,0)*0.475*44/12</f>
        <v>#N/A</v>
      </c>
      <c r="CM81" s="162" t="str">
        <f>EXP(-LN(2)/2)*CM80+(1-EXP(-LN(2)/2))/(LN(2)/2)*CG81*CJ81*VLOOKUP('Données projet'!$B$12,'Paramètres'!$A$1:$I$88,3,0)*0.475*44/12</f>
        <v>#N/A</v>
      </c>
      <c r="CN81" s="163" t="str">
        <f t="shared" si="13"/>
        <v>#N/A</v>
      </c>
      <c r="CO81" s="159">
        <f>('Scénario référence'!$F$8+'Scénario référence'!$F$9+'Scénario référence'!$B$17+'Scénario référence'!$B$9+'Scénario référence'!$B$10)*70+IF((45+25*(1-EXP(-0.0175*A81)))&lt;70,'Scénario référence'!$B$16*(45+25*(1-EXP(-0.0175*A81))),70*'Scénario référence'!$B$16)+IF((32+38*(1-EXP(-0.0175*A81)))&lt;70,'Scénario référence'!$B$18*(32+38*(1-EXP(-0.0175*A81))),70*'Scénario référence'!$B$18)</f>
        <v>70</v>
      </c>
      <c r="CP81" s="151">
        <f>IF(A81&gt;30,10,('Scénario référence'!$B$16+'Scénario référence'!$B$17+'Scénario référence'!$B$18+'Scénario référence'!$B$9+'Scénario référence'!$B$10)*A81*10/30+('Scénario référence'!$F$8+'Scénario référence'!$F$9)*10)</f>
        <v>10</v>
      </c>
      <c r="CQ81" s="151" t="str">
        <f>VLOOKUP(A81,'Données projet'!$A$139:$I$159,2,0)</f>
        <v>#N/A</v>
      </c>
      <c r="CR81" s="151" t="str">
        <f>VLOOKUP(A81,'Données projet'!$A$139:$I$159,9,0)</f>
        <v>#N/A</v>
      </c>
      <c r="CS81" s="151" t="str">
        <f t="array" ref="CS81">INDEX(CR:CR,MIN(IF(ISNUMBER(CR81:CR277),ROW(CR81:CR277),"")))</f>
        <v/>
      </c>
      <c r="CT81" s="151">
        <f>IF('Données projet'!$A$140&gt;35,CT80+CS81-DB80,IF(A81&lt;'Données projet'!$A$140,$CQ$205^A81,IF(A81='Données projet'!$A$140,'Données projet'!$B$140,CT80+CS81-DB80)))</f>
        <v>0</v>
      </c>
      <c r="CU81" s="158" t="str">
        <f>CT81*VLOOKUP('Données projet'!$B$13,'Paramètres'!$A$1:$I$88,3,0)*VLOOKUP('Données projet'!$B$13,'Paramètres'!$A$1:$I$88,5,0)</f>
        <v>#N/A</v>
      </c>
      <c r="CV81" s="150" t="str">
        <f t="shared" si="42"/>
        <v>#N/A</v>
      </c>
      <c r="CW81" s="161" t="str">
        <f t="shared" si="14"/>
        <v>#N/A</v>
      </c>
      <c r="CX81" s="153" t="str">
        <f t="shared" si="15"/>
        <v>#N/A</v>
      </c>
      <c r="CY81" s="153" t="str">
        <f>AVERAGE(OFFSET($CX$3,0,0,'Données projet'!$E$13+1,1))-AVERAGE(OFFSET($H$3,0,0,'Données projet'!$E$13+1,1))</f>
        <v>#N/A</v>
      </c>
      <c r="CZ81" s="153" t="str">
        <f t="shared" si="43"/>
        <v>#N/A</v>
      </c>
      <c r="DA81" s="154">
        <f>IF(ISNA(VLOOKUP(A81,'Données projet'!$A$139:$I$159,3,0)),0,VLOOKUP(A81,'Données projet'!$A$139:$I$159,3,0))</f>
        <v>0</v>
      </c>
      <c r="DB81" s="154">
        <f>IF(ISNA(VLOOKUP(A81,'Données projet'!$A$139:$I$159,4,0)),0,VLOOKUP(A81,'Données projet'!$A$139:$I$159,4,0))</f>
        <v>0</v>
      </c>
      <c r="DC81" s="155">
        <f>IF(ISNA(VLOOKUP(A81,'Données projet'!$A$139:$I$159,5,0)),0%,VLOOKUP(A81,'Données projet'!$A$139:$I$159,5,0)*VLOOKUP('Données projet'!$B$13,'Paramètres'!$A$1:$I$88,7,0))</f>
        <v>0</v>
      </c>
      <c r="DD81" s="155">
        <f>IF(ISNA(VLOOKUP(A81,'Données projet'!$A$139:$I$159,6,0)),0%,VLOOKUP(A81,'Données projet'!$A$139:$I$159,6,0)*VLOOKUP('Données projet'!$B$13,'Paramètres'!$A$1:$I$88,7,0))</f>
        <v>0</v>
      </c>
      <c r="DE81" s="155">
        <f>IF(ISNA(VLOOKUP(A81,'Données projet'!$A$139:$I$159,7,0)),0%,VLOOKUP(A81,'Données projet'!$A$139:$I$159,7,0))</f>
        <v>0</v>
      </c>
      <c r="DF81" s="162" t="str">
        <f>EXP(-LN(2)/35)*DF80+(1-EXP(-LN(2)/35))/(LN(2)/35)*DB81*DC81*VLOOKUP('Données projet'!$B$13,'Paramètres'!$A$1:$I$88,3,0)*0.475*44/12</f>
        <v>#N/A</v>
      </c>
      <c r="DG81" s="162" t="str">
        <f>EXP(-LN(2)/25)*DG80+(1-EXP(-LN(2)/25))/(LN(2)/25)*Calculateur!DB81*Calculateur!DD81*VLOOKUP('Données projet'!$B$13,'Paramètres'!$A$1:$I$88,3,0)*0.475*44/12</f>
        <v>#N/A</v>
      </c>
      <c r="DH81" s="162" t="str">
        <f>EXP(-LN(2)/2)*DH80+(1-EXP(-LN(2)/2))/(LN(2)/2)*DB81*DE81*VLOOKUP('Données projet'!$B$13,'Paramètres'!$A$1:$I$88,3,0)*0.475*44/12</f>
        <v>#N/A</v>
      </c>
      <c r="DI81" s="163" t="str">
        <f t="shared" si="16"/>
        <v>#N/A</v>
      </c>
      <c r="DJ81" s="159">
        <f>('Scénario référence'!$F$8+'Scénario référence'!$F$9+'Scénario référence'!$B$17+'Scénario référence'!$B$9+'Scénario référence'!$B$10)*70+IF((45+25*(1-EXP(-0.0175*A81)))&lt;70,'Scénario référence'!$B$16*(45+25*(1-EXP(-0.0175*A81))),70*'Scénario référence'!$B$16)+IF((32+38*(1-EXP(-0.0175*A81)))&lt;70,'Scénario référence'!$B$18*(32+38*(1-EXP(-0.0175*A81))),70*'Scénario référence'!$B$18)</f>
        <v>70</v>
      </c>
      <c r="DK81" s="151">
        <f>IF(A81&gt;30,10,('Scénario référence'!$B$16+'Scénario référence'!$B$17+'Scénario référence'!$B$18+'Scénario référence'!$B$9+'Scénario référence'!$B$10)*A81*10/30+('Scénario référence'!$F$8+'Scénario référence'!$F$9)*10)</f>
        <v>10</v>
      </c>
      <c r="DL81" s="151" t="str">
        <f>VLOOKUP(A81,'Données projet'!$A$165:$I$185,2,0)</f>
        <v>#N/A</v>
      </c>
      <c r="DM81" s="151" t="str">
        <f>VLOOKUP(A81,'Données projet'!$A$165:$I$185,9,0)</f>
        <v>#N/A</v>
      </c>
      <c r="DN81" s="151" t="str">
        <f t="array" ref="DN81">INDEX(DM:DM,MIN(IF(ISNUMBER(DM81:DM277),ROW(DM81:DM277),"")))</f>
        <v/>
      </c>
      <c r="DO81" s="151">
        <f>IF('Données projet'!$A$166&gt;35,DO80+DN81-DW80,IF(A81&lt;'Données projet'!$A$166,$DL$205^A81,IF(A81='Données projet'!$A$166,'Données projet'!$B$166,DO80+DN81-DW80)))</f>
        <v>0</v>
      </c>
      <c r="DP81" s="158" t="str">
        <f>DO81*VLOOKUP('Données projet'!$B$14,'Paramètres'!$A$1:$I$88,3,0)*VLOOKUP('Données projet'!$B$14,'Paramètres'!$A$1:$I$88,5,0)</f>
        <v>#N/A</v>
      </c>
      <c r="DQ81" s="150" t="str">
        <f t="shared" si="44"/>
        <v>#N/A</v>
      </c>
      <c r="DR81" s="161" t="str">
        <f t="shared" si="17"/>
        <v>#N/A</v>
      </c>
      <c r="DS81" s="153" t="str">
        <f t="shared" si="18"/>
        <v>#N/A</v>
      </c>
      <c r="DT81" s="153" t="str">
        <f>AVERAGE(OFFSET($DS$3,0,0,'Données projet'!$E$14+1,1))-AVERAGE(OFFSET($H$3,0,0,'Données projet'!$E$14+1,1))</f>
        <v>#N/A</v>
      </c>
      <c r="DU81" s="153" t="str">
        <f t="shared" si="45"/>
        <v>#N/A</v>
      </c>
      <c r="DV81" s="154">
        <f>IF(ISNA(VLOOKUP(A81,'Données projet'!$A$165:$I$185,3,0)),0,VLOOKUP(A81,'Données projet'!$A$165:$I$185,3,0))</f>
        <v>0</v>
      </c>
      <c r="DW81" s="154">
        <f>IF(ISNA(VLOOKUP(A81,'Données projet'!$A$165:$I$185,4,0)),0,VLOOKUP(A81,'Données projet'!$A$165:$I$185,4,0))</f>
        <v>0</v>
      </c>
      <c r="DX81" s="155">
        <f>IF(ISNA(VLOOKUP(A81,'Données projet'!$A$165:$I$185,5,0)),0%,VLOOKUP(A81,'Données projet'!$A$165:$I$185,5,0)*VLOOKUP('Données projet'!$B$14,'Paramètres'!$A$1:$I$88,7,0))</f>
        <v>0</v>
      </c>
      <c r="DY81" s="155">
        <f>IF(ISNA(VLOOKUP(A81,'Données projet'!$A$165:$I$185,6,0)),0%,VLOOKUP(A81,'Données projet'!$A$165:$I$185,6,0)*VLOOKUP('Données projet'!$B$14,'Paramètres'!$A$1:$I$88,7,0))</f>
        <v>0</v>
      </c>
      <c r="DZ81" s="155">
        <f>IF(ISNA(VLOOKUP(A81,'Données projet'!$A$165:$I$185,7,0)),0%,VLOOKUP(A81,'Données projet'!$A$165:$I$185,7,0))</f>
        <v>0</v>
      </c>
      <c r="EA81" s="162" t="str">
        <f>EXP(-LN(2)/35)*EA80+(1-EXP(-LN(2)/35))/(LN(2)/35)*DW81*DX81*VLOOKUP('Données projet'!$B$14,'Paramètres'!$A$1:$I$88,3,0)*0.475*44/12</f>
        <v>#N/A</v>
      </c>
      <c r="EB81" s="162" t="str">
        <f>EXP(-LN(2)/25)*EB80+(1-EXP(-LN(2)/25))/(LN(2)/25)*Calculateur!DW81*Calculateur!DY81*VLOOKUP('Données projet'!$B$14,'Paramètres'!$A$1:$I$88,3,0)*0.475*44/12</f>
        <v>#N/A</v>
      </c>
      <c r="EC81" s="162" t="str">
        <f>EXP(-LN(2)/2)*EC80+(1-EXP(-LN(2)/2))/(LN(2)/2)*DW81*DZ81*VLOOKUP('Données projet'!$B$14,'Paramètres'!$A$1:$I$88,3,0)*0.475*44/12</f>
        <v>#N/A</v>
      </c>
      <c r="ED81" s="163" t="str">
        <f t="shared" si="19"/>
        <v>#N/A</v>
      </c>
      <c r="EE81" s="159">
        <f>('Scénario référence'!$F$8+'Scénario référence'!$F$9+'Scénario référence'!$B$17+'Scénario référence'!$B$9+'Scénario référence'!$B$10)*70+IF((45+25*(1-EXP(-0.0175*A81)))&lt;70,'Scénario référence'!$B$16*(45+25*(1-EXP(-0.0175*A81))),70*'Scénario référence'!$B$16)+IF((32+38*(1-EXP(-0.0175*A81)))&lt;70,'Scénario référence'!$B$18*(32+38*(1-EXP(-0.0175*A81))),70*'Scénario référence'!$B$18)</f>
        <v>70</v>
      </c>
      <c r="EF81" s="151">
        <f>IF(A81&gt;30,10,('Scénario référence'!$B$16+'Scénario référence'!$B$17+'Scénario référence'!$B$18+'Scénario référence'!$B$9+'Scénario référence'!$B$10)*A81*10/30+('Scénario référence'!$F$8+'Scénario référence'!$F$9)*10)</f>
        <v>10</v>
      </c>
      <c r="EG81" s="151" t="str">
        <f>VLOOKUP(A81,'Données projet'!$A$191:$I$211,2,0)</f>
        <v>#N/A</v>
      </c>
      <c r="EH81" s="151" t="str">
        <f>VLOOKUP(A81,'Données projet'!$A$191:$I$211,9,0)</f>
        <v>#N/A</v>
      </c>
      <c r="EI81" s="151" t="str">
        <f t="array" ref="EI81">INDEX(EH:EH,MIN(IF(ISNUMBER(EH81:EH277),ROW(EH81:EH277),"")))</f>
        <v/>
      </c>
      <c r="EJ81" s="151">
        <f>IF('Données projet'!$A$192&gt;35,EJ80+EI81-ER80,IF(A81&lt;'Données projet'!$A$192,$EG$205^A81,IF(A81='Données projet'!$A$192,'Données projet'!$B$192,EJ80+EI81-ER80)))</f>
        <v>0</v>
      </c>
      <c r="EK81" s="158" t="str">
        <f>EJ81*VLOOKUP('Données projet'!$B$15,'Paramètres'!$A$1:$I$88,3,0)*VLOOKUP('Données projet'!$B$15,'Paramètres'!$A$1:$I$88,5,0)</f>
        <v>#N/A</v>
      </c>
      <c r="EL81" s="150" t="str">
        <f t="shared" si="46"/>
        <v>#N/A</v>
      </c>
      <c r="EM81" s="161" t="str">
        <f t="shared" si="20"/>
        <v>#N/A</v>
      </c>
      <c r="EN81" s="153" t="str">
        <f t="shared" si="21"/>
        <v>#N/A</v>
      </c>
      <c r="EO81" s="153" t="str">
        <f>AVERAGE(OFFSET($EN$3,0,0,'Données projet'!$E$15+1,1))-AVERAGE(OFFSET($H$3,0,0,'Données projet'!$E$15+1,1))</f>
        <v>#N/A</v>
      </c>
      <c r="EP81" s="153" t="str">
        <f t="shared" si="47"/>
        <v>#N/A</v>
      </c>
      <c r="EQ81" s="154">
        <f>IF(ISNA(VLOOKUP(A81,'Données projet'!$A$191:$I$211,3,0)),0,VLOOKUP(A81,'Données projet'!$A$191:$I$211,3,0))</f>
        <v>0</v>
      </c>
      <c r="ER81" s="154">
        <f>IF(ISNA(VLOOKUP(A81,'Données projet'!$A$191:$I$211,4,0)),0,VLOOKUP(A81,'Données projet'!$A$191:$I$211,4,0))</f>
        <v>0</v>
      </c>
      <c r="ES81" s="155">
        <f>IF(ISNA(VLOOKUP(A81,'Données projet'!$A$191:$I$211,5,0)),0%,VLOOKUP(A81,'Données projet'!$A$191:$I$211,5,0)*VLOOKUP('Données projet'!$B$15,'Paramètres'!$A$1:$I$88,7,0))</f>
        <v>0</v>
      </c>
      <c r="ET81" s="155">
        <f>IF(ISNA(VLOOKUP(A81,'Données projet'!$A$191:$I$211,6,0)),0%,VLOOKUP(A81,'Données projet'!$A$191:$I$211,6,0)*VLOOKUP('Données projet'!$B$15,'Paramètres'!$A$1:$I$88,7,0))</f>
        <v>0</v>
      </c>
      <c r="EU81" s="155">
        <f>IF(ISNA(VLOOKUP(A81,'Données projet'!$A$191:$I$211,7,0)),0%,VLOOKUP(A81,'Données projet'!$A$191:$I$211,7,0))</f>
        <v>0</v>
      </c>
      <c r="EV81" s="162" t="str">
        <f>EXP(-LN(2)/35)*EV80+(1-EXP(-LN(2)/35))/(LN(2)/35)*ER81*ES81*VLOOKUP('Données projet'!$B$15,'Paramètres'!$A$1:$I$88,3,0)*0.475*44/12</f>
        <v>#N/A</v>
      </c>
      <c r="EW81" s="162" t="str">
        <f>EXP(-LN(2)/25)*EW80+(1-EXP(-LN(2)/25))/(LN(2)/25)*Calculateur!ER81*Calculateur!ET81*VLOOKUP('Données projet'!$B$15,'Paramètres'!$A$1:$I$88,3,0)*0.475*44/12</f>
        <v>#N/A</v>
      </c>
      <c r="EX81" s="162" t="str">
        <f>EXP(-LN(2)/2)*EX80+(1-EXP(-LN(2)/2))/(LN(2)/2)*ER81*EU81*VLOOKUP('Données projet'!$B$15,'Paramètres'!$A$1:$I$88,3,0)*0.475*44/12</f>
        <v>#N/A</v>
      </c>
      <c r="EY81" s="163" t="str">
        <f t="shared" si="22"/>
        <v>#N/A</v>
      </c>
      <c r="EZ81" s="159">
        <f>('Scénario référence'!$F$8+'Scénario référence'!$F$9+'Scénario référence'!$B$17+'Scénario référence'!$B$9+'Scénario référence'!$B$10)*70+IF((45+25*(1-EXP(-0.0175*A81)))&lt;70,'Scénario référence'!$B$16*(45+25*(1-EXP(-0.0175*A81))),70*'Scénario référence'!$B$16)+IF((32+38*(1-EXP(-0.0175*A81)))&lt;70,'Scénario référence'!$B$18*(32+38*(1-EXP(-0.0175*A81))),70*'Scénario référence'!$B$18)</f>
        <v>70</v>
      </c>
      <c r="FA81" s="151">
        <f>IF(A81&gt;30,10,('Scénario référence'!$B$16+'Scénario référence'!$B$17+'Scénario référence'!$B$18+'Scénario référence'!$B$9+'Scénario référence'!$B$10)*A81*10/30+('Scénario référence'!$F$8+'Scénario référence'!$F$9)*10)</f>
        <v>10</v>
      </c>
      <c r="FB81" s="151" t="str">
        <f>VLOOKUP(A81,'Données projet'!$A$217:$I$237,2,0)</f>
        <v>#N/A</v>
      </c>
      <c r="FC81" s="151" t="str">
        <f>VLOOKUP(A81,'Données projet'!$A$217:$I$237,9,0)</f>
        <v>#N/A</v>
      </c>
      <c r="FD81" s="151" t="str">
        <f t="array" ref="FD81">INDEX(FC:FC,MIN(IF(ISNUMBER(FC81:FC277),ROW(FC81:FC277),"")))</f>
        <v/>
      </c>
      <c r="FE81" s="151">
        <f>IF('Données projet'!$A$218&gt;35,FE80+FD81-FM80,IF(A81&lt;'Données projet'!$A$218,$FB$205^A81,IF(A81='Données projet'!$A$218,'Données projet'!$B$218,FE80+FD81-FM80)))</f>
        <v>0</v>
      </c>
      <c r="FF81" s="158" t="str">
        <f>FE81*VLOOKUP('Données projet'!$B$16,'Paramètres'!$A$1:$I$88,3,0)*VLOOKUP('Données projet'!$B$16,'Paramètres'!$A$1:$I$88,5,0)</f>
        <v>#N/A</v>
      </c>
      <c r="FG81" s="150" t="str">
        <f t="shared" si="48"/>
        <v>#N/A</v>
      </c>
      <c r="FH81" s="161" t="str">
        <f t="shared" si="23"/>
        <v>#N/A</v>
      </c>
      <c r="FI81" s="153" t="str">
        <f t="shared" si="24"/>
        <v>#N/A</v>
      </c>
      <c r="FJ81" s="153" t="str">
        <f>AVERAGE(OFFSET($FI$3,0,0,'Données projet'!$E$16+1,1))-AVERAGE(OFFSET($H$3,0,0,'Données projet'!$E$16+1,1))</f>
        <v>#N/A</v>
      </c>
      <c r="FK81" s="153" t="str">
        <f t="shared" si="49"/>
        <v>#N/A</v>
      </c>
      <c r="FL81" s="154">
        <f>IF(ISNA(VLOOKUP(A81,'Données projet'!$A$217:$I$237,3,0)),0,VLOOKUP(A81,'Données projet'!$A$217:$I$237,3,0))</f>
        <v>0</v>
      </c>
      <c r="FM81" s="154">
        <f>IF(ISNA(VLOOKUP(A81,'Données projet'!$A$217:$I$237,4,0)),0,VLOOKUP(A81,'Données projet'!$A$217:$I$237,4,0))</f>
        <v>0</v>
      </c>
      <c r="FN81" s="155">
        <f>IF(ISNA(VLOOKUP(A81,'Données projet'!$A$217:$I$237,5,0)),0%,VLOOKUP(A81,'Données projet'!$A$217:$I$237,5,0)*VLOOKUP('Données projet'!$B$16,'Paramètres'!$A$1:$I$88,7,0))</f>
        <v>0</v>
      </c>
      <c r="FO81" s="155">
        <f>IF(ISNA(VLOOKUP(A81,'Données projet'!$A$217:$I$237,6,0)),0%,VLOOKUP(A81,'Données projet'!$A$217:$I$237,6,0)*VLOOKUP('Données projet'!$B$16,'Paramètres'!$A$1:$I$88,7,0))</f>
        <v>0</v>
      </c>
      <c r="FP81" s="155">
        <f>IF(ISNA(VLOOKUP(A81,'Données projet'!$A$217:$I$237,7,0)),0%,VLOOKUP(A81,'Données projet'!$A$217:$I$237,7,0))</f>
        <v>0</v>
      </c>
      <c r="FQ81" s="162" t="str">
        <f>EXP(-LN(2)/35)*FQ80+(1-EXP(-LN(2)/35))/(LN(2)/35)*FM81*FN81*VLOOKUP('Données projet'!$B$16,'Paramètres'!$A$1:$I$88,3,0)*0.475*44/12</f>
        <v>#N/A</v>
      </c>
      <c r="FR81" s="162" t="str">
        <f>EXP(-LN(2)/25)*FR80+(1-EXP(-LN(2)/25))/(LN(2)/25)*Calculateur!FM81*Calculateur!FO81*VLOOKUP('Données projet'!$B$16,'Paramètres'!$A$1:$I$88,3,0)*0.475*44/12</f>
        <v>#N/A</v>
      </c>
      <c r="FS81" s="162" t="str">
        <f>EXP(-LN(2)/2)*FS80+(1-EXP(-LN(2)/2))/(LN(2)/2)*FM81*FP81*VLOOKUP('Données projet'!$B$16,'Paramètres'!$A$1:$I$88,3,0)*0.475*44/12</f>
        <v>#N/A</v>
      </c>
      <c r="FT81" s="163" t="str">
        <f t="shared" si="25"/>
        <v>#N/A</v>
      </c>
      <c r="FU81" s="159">
        <f>('Scénario référence'!$F$8+'Scénario référence'!$F$9+'Scénario référence'!$B$17+'Scénario référence'!$B$9+'Scénario référence'!$B$10)*70+IF((45+25*(1-EXP(-0.0175*A81)))&lt;70,'Scénario référence'!$B$16*(45+25*(1-EXP(-0.0175*A81))),70*'Scénario référence'!$B$16)+IF((32+38*(1-EXP(-0.0175*A81)))&lt;70,'Scénario référence'!$B$18*(32+38*(1-EXP(-0.0175*A81))),70*'Scénario référence'!$B$18)</f>
        <v>70</v>
      </c>
      <c r="FV81" s="151">
        <f>IF(A81&gt;30,10,('Scénario référence'!$B$16+'Scénario référence'!$B$17+'Scénario référence'!$B$18+'Scénario référence'!$B$9+'Scénario référence'!$B$10)*A81*10/30+('Scénario référence'!$F$8+'Scénario référence'!$F$9)*10)</f>
        <v>10</v>
      </c>
      <c r="FW81" s="151" t="str">
        <f>VLOOKUP(A81,'Données projet'!$A$243:$I$263,2,0)</f>
        <v>#N/A</v>
      </c>
      <c r="FX81" s="151" t="str">
        <f>VLOOKUP(A81,'Données projet'!$A$243:$I$263,9,0)</f>
        <v>#N/A</v>
      </c>
      <c r="FY81" s="151" t="str">
        <f t="array" ref="FY81">INDEX(FX:FX,MIN(IF(ISNUMBER(FX81:FX277),ROW(FX81:FX277),"")))</f>
        <v/>
      </c>
      <c r="FZ81" s="151">
        <f>IF('Données projet'!$A$244&gt;35,FZ80+FY81-GH80,IF(A81&lt;'Données projet'!$A$244,$FW$205^A81,IF(A81='Données projet'!$A$244,'Données projet'!$B$244,FZ80+FY81-GH80)))</f>
        <v>0</v>
      </c>
      <c r="GA81" s="158" t="str">
        <f>FZ81*VLOOKUP('Données projet'!$B$17,'Paramètres'!$A$1:$I$88,3,0)*VLOOKUP('Données projet'!$B$17,'Paramètres'!$A$1:$I$88,5,0)</f>
        <v>#N/A</v>
      </c>
      <c r="GB81" s="150" t="str">
        <f t="shared" si="50"/>
        <v>#N/A</v>
      </c>
      <c r="GC81" s="161" t="str">
        <f t="shared" si="26"/>
        <v>#N/A</v>
      </c>
      <c r="GD81" s="153" t="str">
        <f t="shared" si="27"/>
        <v>#N/A</v>
      </c>
      <c r="GE81" s="153" t="str">
        <f>AVERAGE(OFFSET($GD$3,0,0,'Données projet'!$E$17+1,1))-AVERAGE(OFFSET($H$3,0,0,'Données projet'!$E$17+1,1))</f>
        <v>#N/A</v>
      </c>
      <c r="GF81" s="153" t="str">
        <f t="shared" si="51"/>
        <v>#N/A</v>
      </c>
      <c r="GG81" s="154">
        <f>IF(ISNA(VLOOKUP(A81,'Données projet'!$A$243:$I$263,3,0)),0,VLOOKUP(A81,'Données projet'!$A$243:$I$263,3,0))</f>
        <v>0</v>
      </c>
      <c r="GH81" s="154">
        <f>IF(ISNA(VLOOKUP(A81,'Données projet'!$A$243:$I$263,4,0)),0,VLOOKUP(A81,'Données projet'!$A$243:$I$263,4,0))</f>
        <v>0</v>
      </c>
      <c r="GI81" s="155">
        <f>IF(ISNA(VLOOKUP(A81,'Données projet'!$A$243:$I$263,5,0)),0%,VLOOKUP(A81,'Données projet'!$A$243:$I$263,5,0)*VLOOKUP('Données projet'!$B$17,'Paramètres'!$A$1:$I$88,7,0))</f>
        <v>0</v>
      </c>
      <c r="GJ81" s="155">
        <f>IF(ISNA(VLOOKUP(A81,'Données projet'!$A$243:$I$263,6,0)),0%,VLOOKUP(A81,'Données projet'!$A$243:$I$263,6,0)*VLOOKUP('Données projet'!$B$17,'Paramètres'!$A$1:$I$88,7,0))</f>
        <v>0</v>
      </c>
      <c r="GK81" s="155">
        <f>IF(ISNA(VLOOKUP(A81,'Données projet'!$A$243:$I$263,7,0)),0%,VLOOKUP(A81,'Données projet'!$A$243:$I$263,7,0))</f>
        <v>0</v>
      </c>
      <c r="GL81" s="162" t="str">
        <f>EXP(-LN(2)/35)*GL80+(1-EXP(-LN(2)/35))/(LN(2)/35)*GH81*GI81*VLOOKUP('Données projet'!$B$17,'Paramètres'!$A$1:$I$88,3,0)*0.475*44/12</f>
        <v>#N/A</v>
      </c>
      <c r="GM81" s="162" t="str">
        <f>EXP(-LN(2)/25)*GM80+(1-EXP(-LN(2)/25))/(LN(2)/25)*Calculateur!GH81*Calculateur!GJ81*VLOOKUP('Données projet'!$B$17,'Paramètres'!$A$1:$I$88,3,0)*0.475*44/12</f>
        <v>#N/A</v>
      </c>
      <c r="GN81" s="162" t="str">
        <f>EXP(-LN(2)/2)*GN80+(1-EXP(-LN(2)/2))/(LN(2)/2)*GH81*GK81*VLOOKUP('Données projet'!$B$17,'Paramètres'!$A$1:$I$88,3,0)*0.475*44/12</f>
        <v>#N/A</v>
      </c>
      <c r="GO81" s="162" t="str">
        <f t="shared" si="28"/>
        <v>#N/A</v>
      </c>
      <c r="GP81" s="159">
        <f>('Scénario référence'!$F$8+'Scénario référence'!$F$9+'Scénario référence'!$B$17+'Scénario référence'!$B$9+'Scénario référence'!$B$10)*70+IF((45+25*(1-EXP(-0.0175*A81)))&lt;70,'Scénario référence'!$B$16*(45+25*(1-EXP(-0.0175*A81))),70*'Scénario référence'!$B$16)+IF((32+38*(1-EXP(-0.0175*A81)))&lt;70,'Scénario référence'!$B$18*(32+38*(1-EXP(-0.0175*A81))),70*'Scénario référence'!$B$18)</f>
        <v>70</v>
      </c>
      <c r="GQ81" s="151">
        <f>IF(A81&gt;30,10,('Scénario référence'!$B$16+'Scénario référence'!$B$17+'Scénario référence'!$B$18+'Scénario référence'!$B$9+'Scénario référence'!$B$10)*A81*10/30+('Scénario référence'!$F$8+'Scénario référence'!$F$9)*10)</f>
        <v>10</v>
      </c>
      <c r="GR81" s="151" t="str">
        <f>VLOOKUP(A81,'Données projet'!$A$269:$I$289,2,0)</f>
        <v>#N/A</v>
      </c>
      <c r="GS81" s="151" t="str">
        <f>VLOOKUP(A81,'Données projet'!$A$269:$I$289,9,0)</f>
        <v>#N/A</v>
      </c>
      <c r="GT81" s="151" t="str">
        <f t="array" ref="GT81">INDEX(GS:GS,MIN(IF(ISNUMBER(GS81:GS277),ROW(GS81:GS277),"")))</f>
        <v/>
      </c>
      <c r="GU81" s="151">
        <f>IF('Données projet'!$A$270&gt;35,GU80+GT81-HC80,IF(A81&lt;'Données projet'!$A$270,$GR$205^A81,IF(A81='Données projet'!$A$270,'Données projet'!$B$270,GU80+GT81-HC80)))</f>
        <v>0</v>
      </c>
      <c r="GV81" s="158" t="str">
        <f>GU81*VLOOKUP('Données projet'!$B$18,'Paramètres'!$A$1:$I$88,3,0)*VLOOKUP('Données projet'!$B$18,'Paramètres'!$A$1:$I$88,5,0)</f>
        <v>#N/A</v>
      </c>
      <c r="GW81" s="150" t="str">
        <f t="shared" si="52"/>
        <v>#N/A</v>
      </c>
      <c r="GX81" s="161" t="str">
        <f t="shared" si="29"/>
        <v>#N/A</v>
      </c>
      <c r="GY81" s="153" t="str">
        <f t="shared" si="30"/>
        <v>#N/A</v>
      </c>
      <c r="GZ81" s="153" t="str">
        <f>AVERAGE(OFFSET($GY$3,0,0,'Données projet'!$E$18+1,1))-AVERAGE(OFFSET($H$3,0,0,'Données projet'!$E$18+1,1))</f>
        <v>#N/A</v>
      </c>
      <c r="HA81" s="153" t="str">
        <f t="shared" si="53"/>
        <v>#N/A</v>
      </c>
      <c r="HB81" s="154">
        <f>IF(ISNA(VLOOKUP(A81,'Données projet'!$A$269:$I$289,3,0)),0,VLOOKUP(A81,'Données projet'!$A$269:$I$289,3,0))</f>
        <v>0</v>
      </c>
      <c r="HC81" s="154">
        <f>IF(ISNA(VLOOKUP(A81,'Données projet'!$A$269:$I$289,4,0)),0,VLOOKUP(A81,'Données projet'!$A$269:$I$289,4,0))</f>
        <v>0</v>
      </c>
      <c r="HD81" s="155">
        <f>IF(ISNA(VLOOKUP(A81,'Données projet'!$A$269:$I$289,5,0)),0%,VLOOKUP(A81,'Données projet'!$A$269:$I$289,5,0)*VLOOKUP('Données projet'!$B$18,'Paramètres'!$A$1:$I$88,7,0))</f>
        <v>0</v>
      </c>
      <c r="HE81" s="155">
        <f>IF(ISNA(VLOOKUP(A81,'Données projet'!$A$269:$I$289,6,0)),0%,VLOOKUP(A81,'Données projet'!$A$269:$I$289,6,0)*VLOOKUP('Données projet'!$B$18,'Paramètres'!$A$1:$I$88,7,0))</f>
        <v>0</v>
      </c>
      <c r="HF81" s="155">
        <f>IF(ISNA(VLOOKUP(A81,'Données projet'!$A$269:$I$289,7,0)),0%,VLOOKUP(A81,'Données projet'!$A$269:$I$289,7,0))</f>
        <v>0</v>
      </c>
      <c r="HG81" s="162" t="str">
        <f>EXP(-LN(2)/35)*HG80+(1-EXP(-LN(2)/35))/(LN(2)/35)*HC81*HD81*VLOOKUP('Données projet'!$B$18,'Paramètres'!$A$1:$I$88,3,0)*0.475*44/12</f>
        <v>#N/A</v>
      </c>
      <c r="HH81" s="162" t="str">
        <f>EXP(-LN(2)/25)*HH80+(1-EXP(-LN(2)/25))/(LN(2)/25)*Calculateur!HC81*Calculateur!HE81*VLOOKUP('Données projet'!$B$18,'Paramètres'!$A$1:$I$88,3,0)*0.475*44/12</f>
        <v>#N/A</v>
      </c>
      <c r="HI81" s="162" t="str">
        <f>EXP(-LN(2)/2)*HI80+(1-EXP(-LN(2)/2))/(LN(2)/2)*HC81*HF81*VLOOKUP('Données projet'!$B$18,'Paramètres'!$A$1:$I$88,3,0)*0.475*44/12</f>
        <v>#N/A</v>
      </c>
      <c r="HJ81" s="163" t="str">
        <f t="shared" si="31"/>
        <v>#N/A</v>
      </c>
    </row>
    <row r="82" ht="15.75" customHeight="1">
      <c r="A82" s="145">
        <f t="shared" si="32"/>
        <v>79</v>
      </c>
      <c r="B82" s="146">
        <f>'Scénario référence'!$B$16*5+'Scénario référence'!$B$17*0+'Scénario référence'!$B$18*5</f>
        <v>0</v>
      </c>
      <c r="C82" s="160">
        <f>Calculateur!C81+'Scénario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82" s="147">
        <f t="shared" si="33"/>
        <v>0</v>
      </c>
      <c r="E82" s="147">
        <f>'Scénario référence'!$B$16*45+('Scénario référence'!$B$17+'Scénario référence'!$F$8+'Scénario référence'!$F$9+'Scénario référence'!$B$10+'Scénario référence'!$B$9)*70+'Scénario référence'!$B$18*32</f>
        <v>70</v>
      </c>
      <c r="F82" s="147">
        <f>IF(OR('Scénario référence'!$F$8&gt;0,'Scénario référence'!$F$9&gt;0),('Scénario référence'!$F$8+'Scénario référence'!$F$9)*10,0)</f>
        <v>0</v>
      </c>
      <c r="G82" s="147">
        <f>'Scénario référence'!$B$8*B82*44/12+'Scénario référence'!$B$9*(C82+D82)/0.475*44/12+'Scénario référence'!$B$10*(C82+D82)/0.475*44/12+'Scénario référence'!$F$8*(C82+D82)/0.475*44/12+'Scénario référence'!$F$9*(C82+D82)/0.475*44/12</f>
        <v>0</v>
      </c>
      <c r="H82" s="148">
        <f t="shared" si="1"/>
        <v>256.6666667</v>
      </c>
      <c r="I82" s="149">
        <f>('Scénario référence'!$F$8+'Scénario référence'!$F$9+'Scénario référence'!$B$17+'Scénario référence'!$B$9+'Scénario référence'!$B$10)*70+IF((45+25*(1-EXP(-0.0175*A82)))&lt;70,'Scénario référence'!$B$16*(45+25*(1-EXP(-0.0175*A82))),70*'Scénario référence'!$B$16)+IF((32+38*(1-EXP(-0.0175*A82)))&lt;70,'Scénario référence'!$B$18*(32+38*(1-EXP(-0.0175*A82))),70*'Scénario référence'!$B$18)</f>
        <v>70</v>
      </c>
      <c r="J82" s="150">
        <f>IF(A82&gt;30,10,('Scénario référence'!$B$16+'Scénario référence'!$B$17+'Scénario référence'!$B$18+'Scénario référence'!$B$9+'Scénario référence'!$B$10)*A82*10/30+('Scénario référence'!$F$8+'Scénario référence'!$F$9)*10)</f>
        <v>10</v>
      </c>
      <c r="K82" s="151" t="str">
        <f>VLOOKUP(A82,'Données projet'!$A$35:$I$55,2,0)</f>
        <v>#N/A</v>
      </c>
      <c r="L82" s="151" t="str">
        <f>VLOOKUP(A82,'Données projet'!$A$35:$I$55,9,0)</f>
        <v>#N/A</v>
      </c>
      <c r="M82" s="150">
        <f t="array" ref="M82">INDEX(L:L,MIN(IF(ISNUMBER(L82:L278),ROW(L82:L278),"")))</f>
        <v>7.2</v>
      </c>
      <c r="N82" s="150">
        <f>IF('Données projet'!$A$36&gt;35,N81+M82-V81,IF(A82&lt;'Données projet'!$A$36,$K$205^A82,IF(A82='Données projet'!$A$36,'Données projet'!$B$36,N81+M82-V81)))</f>
        <v>312.8</v>
      </c>
      <c r="O82" s="150">
        <f>N82*VLOOKUP('Données projet'!$B$9,'Paramètres'!$A$1:$I$88,3,0)*VLOOKUP('Données projet'!$B$9,'Paramètres'!$A$1:$I$88,5,0)</f>
        <v>283.02144</v>
      </c>
      <c r="P82" s="150">
        <f t="shared" si="34"/>
        <v>67.6051266</v>
      </c>
      <c r="Q82" s="161">
        <f t="shared" si="2"/>
        <v>610.6746035</v>
      </c>
      <c r="R82" s="153">
        <f t="shared" si="3"/>
        <v>904.0079368</v>
      </c>
      <c r="S82" s="153">
        <f>AVERAGE(OFFSET($R$3,0,0,'Données projet'!$E$9+1,1))-AVERAGE(OFFSET($H$3,0,0,'Données projet'!$E$9+1,1))</f>
        <v>439.1985427</v>
      </c>
      <c r="T82" s="153">
        <f t="shared" si="35"/>
        <v>278.2174123</v>
      </c>
      <c r="U82" s="154">
        <f>IF(ISNA(VLOOKUP(A82,'Données projet'!$A$35:$I$55,3,0)),0,VLOOKUP(A82,'Données projet'!$A$35:$I$55,3,0))</f>
        <v>0</v>
      </c>
      <c r="V82" s="154">
        <f>IF(ISNA(VLOOKUP(A82,'Données projet'!$A$35:$I$55,4,0)),0,VLOOKUP(A82,'Données projet'!$A$35:$I$55,4,0))</f>
        <v>0</v>
      </c>
      <c r="W82" s="155">
        <f>IF(ISNA(VLOOKUP(A82,'Données projet'!$A$35:$I$55,5,0)),0%,VLOOKUP(A82,'Données projet'!$A$35:$I$55,5,0)*VLOOKUP('Données projet'!$B$9,'Paramètres'!$A$1:$I$88,7,0))</f>
        <v>0</v>
      </c>
      <c r="X82" s="155">
        <f>IF(ISNA(VLOOKUP(A82,'Données projet'!$A$35:$I$55,6,0)),0%,VLOOKUP(A82,'Données projet'!$A$35:$I$55,6,0)*VLOOKUP('Données projet'!$B$9,'Paramètres'!$A$1:$I$88,7,0))</f>
        <v>0</v>
      </c>
      <c r="Y82" s="155">
        <f>IF(ISNA(VLOOKUP(A82,'Données projet'!$A$35:$I$55,7,0)),0%,VLOOKUP(A82,'Données projet'!$A$35:$I$55,7,0))</f>
        <v>0</v>
      </c>
      <c r="Z82" s="162">
        <f>EXP(-LN(2)/35)*Z81+(1-EXP(-LN(2)/35))/(LN(2)/35)*V82*W82*VLOOKUP('Données projet'!$B$9,'Paramètres'!$A$1:$I$88,3,0)*0.475*44/12</f>
        <v>0</v>
      </c>
      <c r="AA82" s="162">
        <f>EXP(-LN(2)/25)*AA81+(1-EXP(-LN(2)/25))/(LN(2)/25)*Calculateur!V82*Calculateur!X82*VLOOKUP('Données projet'!$B$9,'Paramètres'!$A$1:$I$88,3,0)*0.475*44/12</f>
        <v>1.153435961</v>
      </c>
      <c r="AB82" s="162">
        <f>EXP(-LN(2)/2)*AB81+(1-EXP(-LN(2)/2))/(LN(2)/2)*V82*Y82*VLOOKUP('Données projet'!$B$9,'Paramètres'!$A$1:$I$88,3,0)*0.475*44/12</f>
        <v>0</v>
      </c>
      <c r="AC82" s="163">
        <f t="shared" si="4"/>
        <v>1.153435961</v>
      </c>
      <c r="AD82" s="150">
        <f>('Scénario référence'!$F$8+'Scénario référence'!$F$9+'Scénario référence'!$B$17+'Scénario référence'!$B$9+'Scénario référence'!$B$10)*70+IF((45+25*(1-EXP(-0.0175*A82)))&lt;70,'Scénario référence'!$B$16*(45+25*(1-EXP(-0.0175*A82))),70*'Scénario référence'!$B$16)+IF((32+38*(1-EXP(-0.0175*A82)))&lt;70,'Scénario référence'!$B$18*(32+38*(1-EXP(-0.0175*A82))),70*'Scénario référence'!$B$18)</f>
        <v>70</v>
      </c>
      <c r="AE82" s="150">
        <f>IF(A82&gt;30,10,('Scénario référence'!$B$16+'Scénario référence'!$B$17+'Scénario référence'!$B$18+'Scénario référence'!$B$9+'Scénario référence'!$B$10)*A82*10/30+('Scénario référence'!$F$8+'Scénario référence'!$F$9)*10)</f>
        <v>10</v>
      </c>
      <c r="AF82" s="151" t="str">
        <f>VLOOKUP(A82,'Données projet'!$A$61:$I$81,2,0)</f>
        <v>#N/A</v>
      </c>
      <c r="AG82" s="151" t="str">
        <f>VLOOKUP(A82,'Données projet'!$A$61:$I$81,9,0)</f>
        <v>#N/A</v>
      </c>
      <c r="AH82" s="151">
        <f t="array" ref="AH82">INDEX(AG:AG,MIN(IF(ISNUMBER(AG82:AG278),ROW(AG82:AG278),"")))</f>
        <v>4</v>
      </c>
      <c r="AI82" s="150">
        <f>IF('Données projet'!$A$62&gt;35,AI81+AH82-AQ81,IF(A82&lt;'Données projet'!$A$62,$AF$205^A82,IF(A82='Données projet'!$A$62,'Données projet'!$B$62,AI81+AH82-AQ81)))</f>
        <v>377</v>
      </c>
      <c r="AJ82" s="150">
        <f>AI82*VLOOKUP('Données projet'!$B$10,'Paramètres'!$A$1:$I$88,3,0)*VLOOKUP('Données projet'!$B$10,'Paramètres'!$A$1:$I$88,5,0)</f>
        <v>299.9412</v>
      </c>
      <c r="AK82" s="150">
        <f t="shared" si="36"/>
        <v>71.1641366</v>
      </c>
      <c r="AL82" s="161">
        <f t="shared" si="5"/>
        <v>646.3417946</v>
      </c>
      <c r="AM82" s="153">
        <f t="shared" si="6"/>
        <v>939.6751279</v>
      </c>
      <c r="AN82" s="153">
        <f>AVERAGE(OFFSET($AM$3,0,0,'Données projet'!$E$10+1,1))-AVERAGE(OFFSET($H$3,0,0,'Données projet'!$E$10+1,1))</f>
        <v>405.6113614</v>
      </c>
      <c r="AO82" s="153">
        <f t="shared" si="37"/>
        <v>393.0787141</v>
      </c>
      <c r="AP82" s="154">
        <f>IF(ISNA(VLOOKUP(A82,'Données projet'!$A$61:$I$81,3,0)),0,VLOOKUP(A82,'Données projet'!$A$61:$I$81,3,0))</f>
        <v>0</v>
      </c>
      <c r="AQ82" s="154">
        <f>IF(ISNA(VLOOKUP(A82,'Données projet'!$A$61:$I$81,4,0)),0,VLOOKUP(A82,'Données projet'!$A$61:$I$81,4,0))</f>
        <v>0</v>
      </c>
      <c r="AR82" s="155">
        <f>IF(ISNA(VLOOKUP(A82,'Données projet'!$A$61:$I$81,5,0)),0%,VLOOKUP(A82,'Données projet'!$A$61:$I$81,5,0)*VLOOKUP('Données projet'!$B$10,'Paramètres'!$A$1:$I$88,7,0))</f>
        <v>0</v>
      </c>
      <c r="AS82" s="155">
        <f>IF(ISNA(VLOOKUP(A82,'Données projet'!$A$61:$I$81,6,0)),0%,VLOOKUP(A82,'Données projet'!$A$61:$I$81,6,0)*VLOOKUP('Données projet'!$B$10,'Paramètres'!$A$1:$I$88,7,0))</f>
        <v>0</v>
      </c>
      <c r="AT82" s="155">
        <f>IF(ISNA(VLOOKUP(A82,'Données projet'!$A$61:$I$81,7,0)),0%,VLOOKUP(A82,'Données projet'!$A$61:$I$81,7,0))</f>
        <v>0</v>
      </c>
      <c r="AU82" s="162">
        <f>EXP(-LN(2)/35)*AU81+(1-EXP(-LN(2)/35))/(LN(2)/35)*AQ82*AR82*VLOOKUP('Données projet'!$B$10,'Paramètres'!$A$1:$I$88,3,0)*0.475*44/12</f>
        <v>0</v>
      </c>
      <c r="AV82" s="162">
        <f>EXP(-LN(2)/25)*AV81+(1-EXP(-LN(2)/25))/(LN(2)/25)*Calculateur!AQ82*Calculateur!AS82*VLOOKUP('Données projet'!$B$10,'Paramètres'!$A$1:$I$88,3,0)*0.475*44/12</f>
        <v>4.687856961</v>
      </c>
      <c r="AW82" s="162">
        <f>EXP(-LN(2)/2)*AW81+(1-EXP(-LN(2)/2))/(LN(2)/2)*AQ82*AT82*VLOOKUP('Données projet'!$B$10,'Paramètres'!$A$1:$I$88,3,0)*0.475*44/12</f>
        <v>0.00000002443304244</v>
      </c>
      <c r="AX82" s="162">
        <f t="shared" si="7"/>
        <v>4.687856986</v>
      </c>
      <c r="AY82" s="157">
        <f>('Scénario référence'!$F$8+'Scénario référence'!$F$9+'Scénario référence'!$B$17+'Scénario référence'!$B$9+'Scénario référence'!$B$10)*70+IF((45+25*(1-EXP(-0.0175*A82)))&lt;70,'Scénario référence'!$B$16*(45+25*(1-EXP(-0.0175*A82))),70*'Scénario référence'!$B$16)+IF((32+38*(1-EXP(-0.0175*A82)))&lt;70,'Scénario référence'!$B$18*(32+38*(1-EXP(-0.0175*A82))),70*'Scénario référence'!$B$18)</f>
        <v>70</v>
      </c>
      <c r="AZ82" s="151">
        <f>IF(A82&gt;30,10,('Scénario référence'!$B$16+'Scénario référence'!$B$17+'Scénario référence'!$B$18+'Scénario référence'!$B$9+'Scénario référence'!$B$10)*A82*10/30+('Scénario référence'!$F$8+'Scénario référence'!$F$9)*10)</f>
        <v>10</v>
      </c>
      <c r="BA82" s="151" t="str">
        <f>VLOOKUP(A82,'Données projet'!$A$87:$I$107,2,0)</f>
        <v>#N/A</v>
      </c>
      <c r="BB82" s="151" t="str">
        <f>VLOOKUP(A82,'Données projet'!$A$87:$I$107,9,0)</f>
        <v>#N/A</v>
      </c>
      <c r="BC82" s="150" t="str">
        <f t="array" ref="BC82">INDEX(BB:BB,MIN(IF(ISNUMBER(BB82:BB278),ROW(BB82:BB278),"")))</f>
        <v/>
      </c>
      <c r="BD82" s="150">
        <f>IF('Données projet'!$A$88&gt;35,BD81+BC82-BL81,IF(A82&lt;'Données projet'!$A$88,$BA$205^A82,IF(A82='Données projet'!$A$88,'Données projet'!$B$88,BD81+BC82-BL81)))</f>
        <v>0</v>
      </c>
      <c r="BE82" s="150">
        <f>BD82*VLOOKUP('Données projet'!$B$11,'Paramètres'!$A$1:$I$88,3,0)*VLOOKUP('Données projet'!$B$11,'Paramètres'!$A$1:$I$88,5,0)</f>
        <v>0</v>
      </c>
      <c r="BF82" s="150" t="str">
        <f t="shared" si="38"/>
        <v>#NUM!</v>
      </c>
      <c r="BG82" s="161" t="str">
        <f t="shared" si="8"/>
        <v>#NUM!</v>
      </c>
      <c r="BH82" s="153" t="str">
        <f t="shared" si="9"/>
        <v>#NUM!</v>
      </c>
      <c r="BI82" s="153">
        <f>AVERAGE(OFFSET($BH$3,0,0,'Données projet'!$E$11+1,1))-AVERAGE(OFFSET($H$3,0,0,'Données projet'!$E$11+1,1))</f>
        <v>0</v>
      </c>
      <c r="BJ82" s="153">
        <f t="shared" si="39"/>
        <v>0</v>
      </c>
      <c r="BK82" s="154">
        <f>IF(ISNA(VLOOKUP(A82,'Données projet'!$A$87:$I$107,3,0)),0,VLOOKUP(A82,'Données projet'!$A$87:$I$107,3,0))</f>
        <v>0</v>
      </c>
      <c r="BL82" s="154">
        <f>IF(ISNA(VLOOKUP(A82,'Données projet'!$A$87:$I$107,4,0)),0,VLOOKUP(A82,'Données projet'!$A$87:$I$107,4,0))</f>
        <v>0</v>
      </c>
      <c r="BM82" s="155">
        <f>IF(ISNA(VLOOKUP(A82,'Données projet'!$A$87:$I$107,5,0)),0%,VLOOKUP(A82,'Données projet'!$A$87:$I$107,5,0)*VLOOKUP('Données projet'!$B$11,'Paramètres'!$A$1:$I$88,7,0))</f>
        <v>0</v>
      </c>
      <c r="BN82" s="155">
        <f>IF(ISNA(VLOOKUP(A82,'Données projet'!$A$87:$I$107,6,0)),0%,VLOOKUP(A82,'Données projet'!$A$87:$I$107,6,0)*VLOOKUP('Données projet'!$B$11,'Paramètres'!$A$1:$I$88,7,0))</f>
        <v>0</v>
      </c>
      <c r="BO82" s="155">
        <f>IF(ISNA(VLOOKUP(A82,'Données projet'!$A$87:$I$107,7,0)),0%,VLOOKUP(A82,'Données projet'!$A$87:$I$107,7,0))</f>
        <v>0</v>
      </c>
      <c r="BP82" s="162">
        <f>EXP(-LN(2)/35)*BP81+(1-EXP(-LN(2)/35))/(LN(2)/35)*BL82*BM82*VLOOKUP('Données projet'!$B$11,'Paramètres'!$A$1:$I$88,3,0)*0.475*44/12</f>
        <v>0</v>
      </c>
      <c r="BQ82" s="162">
        <f>EXP(-LN(2)/25)*BQ81+(1-EXP(-LN(2)/25))/(LN(2)/25)*Calculateur!BL82*Calculateur!BN82*VLOOKUP('Données projet'!$B$11,'Paramètres'!$A$1:$I$88,3,0)*0.475*44/12</f>
        <v>0</v>
      </c>
      <c r="BR82" s="162">
        <f>EXP(-LN(2)/2)*BR81+(1-EXP(-LN(2)/2))/(LN(2)/2)*BL82*BO82*VLOOKUP('Données projet'!$B$11,'Paramètres'!$A$1:$I$88,3,0)*0.475*44/12</f>
        <v>0</v>
      </c>
      <c r="BS82" s="163">
        <f t="shared" si="10"/>
        <v>0</v>
      </c>
      <c r="BT82" s="159">
        <f>('Scénario référence'!$F$8+'Scénario référence'!$F$9+'Scénario référence'!$B$17+'Scénario référence'!$B$9+'Scénario référence'!$B$10)*70+IF((45+25*(1-EXP(-0.0175*A82)))&lt;70,'Scénario référence'!$B$16*(45+25*(1-EXP(-0.0175*A82))),70*'Scénario référence'!$B$16)+IF((32+38*(1-EXP(-0.0175*A82)))&lt;70,'Scénario référence'!$B$18*(32+38*(1-EXP(-0.0175*A82))),70*'Scénario référence'!$B$18)</f>
        <v>70</v>
      </c>
      <c r="BU82" s="151">
        <f>IF(A82&gt;30,10,('Scénario référence'!$B$16+'Scénario référence'!$B$17+'Scénario référence'!$B$18+'Scénario référence'!$B$9+'Scénario référence'!$B$10)*A82*10/30+('Scénario référence'!$F$8+'Scénario référence'!$F$9)*10)</f>
        <v>10</v>
      </c>
      <c r="BV82" s="151" t="str">
        <f>VLOOKUP(A82,'Données projet'!$A$113:$I$133,2,0)</f>
        <v>#N/A</v>
      </c>
      <c r="BW82" s="151" t="str">
        <f>VLOOKUP(A82,'Données projet'!$A$113:$I$133,9,0)</f>
        <v>#N/A</v>
      </c>
      <c r="BX82" s="150" t="str">
        <f t="array" ref="BX82">INDEX(BW:BW,MIN(IF(ISNUMBER(BW82:BW278),ROW(BW82:BW278),"")))</f>
        <v/>
      </c>
      <c r="BY82" s="150">
        <f>IF('Données projet'!$A$114&gt;35,BY81+BX82-CG81,IF(A82&lt;'Données projet'!$A$114,$BV$205^A82,IF(A82='Données projet'!$A$114,'Données projet'!$B$114,BY81+BX82-CG81)))</f>
        <v>0</v>
      </c>
      <c r="BZ82" s="150" t="str">
        <f>BY82*VLOOKUP('Données projet'!$B$12,'Paramètres'!$A$1:$I$88,3,0)*VLOOKUP('Données projet'!$B$12,'Paramètres'!$A$1:$I$88,5,0)</f>
        <v>#N/A</v>
      </c>
      <c r="CA82" s="150" t="str">
        <f t="shared" si="40"/>
        <v>#N/A</v>
      </c>
      <c r="CB82" s="161" t="str">
        <f t="shared" si="11"/>
        <v>#N/A</v>
      </c>
      <c r="CC82" s="153" t="str">
        <f t="shared" si="12"/>
        <v>#N/A</v>
      </c>
      <c r="CD82" s="153" t="str">
        <f>AVERAGE(OFFSET($CC$3,0,0,'Données projet'!$E$12+1,1))-AVERAGE(OFFSET($H$3,0,0,'Données projet'!$E$12+1,1))</f>
        <v>#N/A</v>
      </c>
      <c r="CE82" s="153" t="str">
        <f t="shared" si="41"/>
        <v>#N/A</v>
      </c>
      <c r="CF82" s="154">
        <f>IF(ISNA(VLOOKUP(A82,'Données projet'!$A$113:$I$133,3,0)),0,VLOOKUP(A82,'Données projet'!$A$113:$I$133,3,0))</f>
        <v>0</v>
      </c>
      <c r="CG82" s="154">
        <f>IF(ISNA(VLOOKUP(A82,'Données projet'!$A$113:$I$133,4,0)),0,VLOOKUP(A82,'Données projet'!$A$113:$I$133,4,0))</f>
        <v>0</v>
      </c>
      <c r="CH82" s="155">
        <f>IF(ISNA(VLOOKUP(A82,'Données projet'!$A$113:$I$133,5,0)),0%,VLOOKUP(A82,'Données projet'!$A$113:$I$133,5,0)*VLOOKUP('Données projet'!$B$12,'Paramètres'!$A$1:$I$88,7,0))</f>
        <v>0</v>
      </c>
      <c r="CI82" s="155">
        <f>IF(ISNA(VLOOKUP(A82,'Données projet'!$A$113:$I$133,6,0)),0%,VLOOKUP(A82,'Données projet'!$A$113:$I$133,6,0)*VLOOKUP('Données projet'!$B$12,'Paramètres'!$A$1:$I$88,7,0))</f>
        <v>0</v>
      </c>
      <c r="CJ82" s="155">
        <f>IF(ISNA(VLOOKUP(A82,'Données projet'!$A$113:$I$133,7,0)),0%,VLOOKUP(A82,'Données projet'!$A$113:$I$133,7,0))</f>
        <v>0</v>
      </c>
      <c r="CK82" s="162" t="str">
        <f>EXP(-LN(2)/35)*CK81+(1-EXP(-LN(2)/35))/(LN(2)/35)*CG82*CH82*VLOOKUP('Données projet'!$B$12,'Paramètres'!$A$1:$I$88,3,0)*0.475*44/12</f>
        <v>#N/A</v>
      </c>
      <c r="CL82" s="162" t="str">
        <f>EXP(-LN(2)/25)*CL81+(1-EXP(-LN(2)/25))/(LN(2)/25)*Calculateur!CG82*Calculateur!CI82*VLOOKUP('Données projet'!$B$12,'Paramètres'!$A$1:$I$88,3,0)*0.475*44/12</f>
        <v>#N/A</v>
      </c>
      <c r="CM82" s="162" t="str">
        <f>EXP(-LN(2)/2)*CM81+(1-EXP(-LN(2)/2))/(LN(2)/2)*CG82*CJ82*VLOOKUP('Données projet'!$B$12,'Paramètres'!$A$1:$I$88,3,0)*0.475*44/12</f>
        <v>#N/A</v>
      </c>
      <c r="CN82" s="163" t="str">
        <f t="shared" si="13"/>
        <v>#N/A</v>
      </c>
      <c r="CO82" s="159">
        <f>('Scénario référence'!$F$8+'Scénario référence'!$F$9+'Scénario référence'!$B$17+'Scénario référence'!$B$9+'Scénario référence'!$B$10)*70+IF((45+25*(1-EXP(-0.0175*A82)))&lt;70,'Scénario référence'!$B$16*(45+25*(1-EXP(-0.0175*A82))),70*'Scénario référence'!$B$16)+IF((32+38*(1-EXP(-0.0175*A82)))&lt;70,'Scénario référence'!$B$18*(32+38*(1-EXP(-0.0175*A82))),70*'Scénario référence'!$B$18)</f>
        <v>70</v>
      </c>
      <c r="CP82" s="151">
        <f>IF(A82&gt;30,10,('Scénario référence'!$B$16+'Scénario référence'!$B$17+'Scénario référence'!$B$18+'Scénario référence'!$B$9+'Scénario référence'!$B$10)*A82*10/30+('Scénario référence'!$F$8+'Scénario référence'!$F$9)*10)</f>
        <v>10</v>
      </c>
      <c r="CQ82" s="151" t="str">
        <f>VLOOKUP(A82,'Données projet'!$A$139:$I$159,2,0)</f>
        <v>#N/A</v>
      </c>
      <c r="CR82" s="151" t="str">
        <f>VLOOKUP(A82,'Données projet'!$A$139:$I$159,9,0)</f>
        <v>#N/A</v>
      </c>
      <c r="CS82" s="151" t="str">
        <f t="array" ref="CS82">INDEX(CR:CR,MIN(IF(ISNUMBER(CR82:CR278),ROW(CR82:CR278),"")))</f>
        <v/>
      </c>
      <c r="CT82" s="151">
        <f>IF('Données projet'!$A$140&gt;35,CT81+CS82-DB81,IF(A82&lt;'Données projet'!$A$140,$CQ$205^A82,IF(A82='Données projet'!$A$140,'Données projet'!$B$140,CT81+CS82-DB81)))</f>
        <v>0</v>
      </c>
      <c r="CU82" s="158" t="str">
        <f>CT82*VLOOKUP('Données projet'!$B$13,'Paramètres'!$A$1:$I$88,3,0)*VLOOKUP('Données projet'!$B$13,'Paramètres'!$A$1:$I$88,5,0)</f>
        <v>#N/A</v>
      </c>
      <c r="CV82" s="150" t="str">
        <f t="shared" si="42"/>
        <v>#N/A</v>
      </c>
      <c r="CW82" s="161" t="str">
        <f t="shared" si="14"/>
        <v>#N/A</v>
      </c>
      <c r="CX82" s="153" t="str">
        <f t="shared" si="15"/>
        <v>#N/A</v>
      </c>
      <c r="CY82" s="153" t="str">
        <f>AVERAGE(OFFSET($CX$3,0,0,'Données projet'!$E$13+1,1))-AVERAGE(OFFSET($H$3,0,0,'Données projet'!$E$13+1,1))</f>
        <v>#N/A</v>
      </c>
      <c r="CZ82" s="153" t="str">
        <f t="shared" si="43"/>
        <v>#N/A</v>
      </c>
      <c r="DA82" s="154">
        <f>IF(ISNA(VLOOKUP(A82,'Données projet'!$A$139:$I$159,3,0)),0,VLOOKUP(A82,'Données projet'!$A$139:$I$159,3,0))</f>
        <v>0</v>
      </c>
      <c r="DB82" s="154">
        <f>IF(ISNA(VLOOKUP(A82,'Données projet'!$A$139:$I$159,4,0)),0,VLOOKUP(A82,'Données projet'!$A$139:$I$159,4,0))</f>
        <v>0</v>
      </c>
      <c r="DC82" s="155">
        <f>IF(ISNA(VLOOKUP(A82,'Données projet'!$A$139:$I$159,5,0)),0%,VLOOKUP(A82,'Données projet'!$A$139:$I$159,5,0)*VLOOKUP('Données projet'!$B$13,'Paramètres'!$A$1:$I$88,7,0))</f>
        <v>0</v>
      </c>
      <c r="DD82" s="155">
        <f>IF(ISNA(VLOOKUP(A82,'Données projet'!$A$139:$I$159,6,0)),0%,VLOOKUP(A82,'Données projet'!$A$139:$I$159,6,0)*VLOOKUP('Données projet'!$B$13,'Paramètres'!$A$1:$I$88,7,0))</f>
        <v>0</v>
      </c>
      <c r="DE82" s="155">
        <f>IF(ISNA(VLOOKUP(A82,'Données projet'!$A$139:$I$159,7,0)),0%,VLOOKUP(A82,'Données projet'!$A$139:$I$159,7,0))</f>
        <v>0</v>
      </c>
      <c r="DF82" s="162" t="str">
        <f>EXP(-LN(2)/35)*DF81+(1-EXP(-LN(2)/35))/(LN(2)/35)*DB82*DC82*VLOOKUP('Données projet'!$B$13,'Paramètres'!$A$1:$I$88,3,0)*0.475*44/12</f>
        <v>#N/A</v>
      </c>
      <c r="DG82" s="162" t="str">
        <f>EXP(-LN(2)/25)*DG81+(1-EXP(-LN(2)/25))/(LN(2)/25)*Calculateur!DB82*Calculateur!DD82*VLOOKUP('Données projet'!$B$13,'Paramètres'!$A$1:$I$88,3,0)*0.475*44/12</f>
        <v>#N/A</v>
      </c>
      <c r="DH82" s="162" t="str">
        <f>EXP(-LN(2)/2)*DH81+(1-EXP(-LN(2)/2))/(LN(2)/2)*DB82*DE82*VLOOKUP('Données projet'!$B$13,'Paramètres'!$A$1:$I$88,3,0)*0.475*44/12</f>
        <v>#N/A</v>
      </c>
      <c r="DI82" s="163" t="str">
        <f t="shared" si="16"/>
        <v>#N/A</v>
      </c>
      <c r="DJ82" s="159">
        <f>('Scénario référence'!$F$8+'Scénario référence'!$F$9+'Scénario référence'!$B$17+'Scénario référence'!$B$9+'Scénario référence'!$B$10)*70+IF((45+25*(1-EXP(-0.0175*A82)))&lt;70,'Scénario référence'!$B$16*(45+25*(1-EXP(-0.0175*A82))),70*'Scénario référence'!$B$16)+IF((32+38*(1-EXP(-0.0175*A82)))&lt;70,'Scénario référence'!$B$18*(32+38*(1-EXP(-0.0175*A82))),70*'Scénario référence'!$B$18)</f>
        <v>70</v>
      </c>
      <c r="DK82" s="151">
        <f>IF(A82&gt;30,10,('Scénario référence'!$B$16+'Scénario référence'!$B$17+'Scénario référence'!$B$18+'Scénario référence'!$B$9+'Scénario référence'!$B$10)*A82*10/30+('Scénario référence'!$F$8+'Scénario référence'!$F$9)*10)</f>
        <v>10</v>
      </c>
      <c r="DL82" s="151" t="str">
        <f>VLOOKUP(A82,'Données projet'!$A$165:$I$185,2,0)</f>
        <v>#N/A</v>
      </c>
      <c r="DM82" s="151" t="str">
        <f>VLOOKUP(A82,'Données projet'!$A$165:$I$185,9,0)</f>
        <v>#N/A</v>
      </c>
      <c r="DN82" s="151" t="str">
        <f t="array" ref="DN82">INDEX(DM:DM,MIN(IF(ISNUMBER(DM82:DM278),ROW(DM82:DM278),"")))</f>
        <v/>
      </c>
      <c r="DO82" s="151">
        <f>IF('Données projet'!$A$166&gt;35,DO81+DN82-DW81,IF(A82&lt;'Données projet'!$A$166,$DL$205^A82,IF(A82='Données projet'!$A$166,'Données projet'!$B$166,DO81+DN82-DW81)))</f>
        <v>0</v>
      </c>
      <c r="DP82" s="158" t="str">
        <f>DO82*VLOOKUP('Données projet'!$B$14,'Paramètres'!$A$1:$I$88,3,0)*VLOOKUP('Données projet'!$B$14,'Paramètres'!$A$1:$I$88,5,0)</f>
        <v>#N/A</v>
      </c>
      <c r="DQ82" s="150" t="str">
        <f t="shared" si="44"/>
        <v>#N/A</v>
      </c>
      <c r="DR82" s="161" t="str">
        <f t="shared" si="17"/>
        <v>#N/A</v>
      </c>
      <c r="DS82" s="153" t="str">
        <f t="shared" si="18"/>
        <v>#N/A</v>
      </c>
      <c r="DT82" s="153" t="str">
        <f>AVERAGE(OFFSET($DS$3,0,0,'Données projet'!$E$14+1,1))-AVERAGE(OFFSET($H$3,0,0,'Données projet'!$E$14+1,1))</f>
        <v>#N/A</v>
      </c>
      <c r="DU82" s="153" t="str">
        <f t="shared" si="45"/>
        <v>#N/A</v>
      </c>
      <c r="DV82" s="154">
        <f>IF(ISNA(VLOOKUP(A82,'Données projet'!$A$165:$I$185,3,0)),0,VLOOKUP(A82,'Données projet'!$A$165:$I$185,3,0))</f>
        <v>0</v>
      </c>
      <c r="DW82" s="154">
        <f>IF(ISNA(VLOOKUP(A82,'Données projet'!$A$165:$I$185,4,0)),0,VLOOKUP(A82,'Données projet'!$A$165:$I$185,4,0))</f>
        <v>0</v>
      </c>
      <c r="DX82" s="155">
        <f>IF(ISNA(VLOOKUP(A82,'Données projet'!$A$165:$I$185,5,0)),0%,VLOOKUP(A82,'Données projet'!$A$165:$I$185,5,0)*VLOOKUP('Données projet'!$B$14,'Paramètres'!$A$1:$I$88,7,0))</f>
        <v>0</v>
      </c>
      <c r="DY82" s="155">
        <f>IF(ISNA(VLOOKUP(A82,'Données projet'!$A$165:$I$185,6,0)),0%,VLOOKUP(A82,'Données projet'!$A$165:$I$185,6,0)*VLOOKUP('Données projet'!$B$14,'Paramètres'!$A$1:$I$88,7,0))</f>
        <v>0</v>
      </c>
      <c r="DZ82" s="155">
        <f>IF(ISNA(VLOOKUP(A82,'Données projet'!$A$165:$I$185,7,0)),0%,VLOOKUP(A82,'Données projet'!$A$165:$I$185,7,0))</f>
        <v>0</v>
      </c>
      <c r="EA82" s="162" t="str">
        <f>EXP(-LN(2)/35)*EA81+(1-EXP(-LN(2)/35))/(LN(2)/35)*DW82*DX82*VLOOKUP('Données projet'!$B$14,'Paramètres'!$A$1:$I$88,3,0)*0.475*44/12</f>
        <v>#N/A</v>
      </c>
      <c r="EB82" s="162" t="str">
        <f>EXP(-LN(2)/25)*EB81+(1-EXP(-LN(2)/25))/(LN(2)/25)*Calculateur!DW82*Calculateur!DY82*VLOOKUP('Données projet'!$B$14,'Paramètres'!$A$1:$I$88,3,0)*0.475*44/12</f>
        <v>#N/A</v>
      </c>
      <c r="EC82" s="162" t="str">
        <f>EXP(-LN(2)/2)*EC81+(1-EXP(-LN(2)/2))/(LN(2)/2)*DW82*DZ82*VLOOKUP('Données projet'!$B$14,'Paramètres'!$A$1:$I$88,3,0)*0.475*44/12</f>
        <v>#N/A</v>
      </c>
      <c r="ED82" s="163" t="str">
        <f t="shared" si="19"/>
        <v>#N/A</v>
      </c>
      <c r="EE82" s="159">
        <f>('Scénario référence'!$F$8+'Scénario référence'!$F$9+'Scénario référence'!$B$17+'Scénario référence'!$B$9+'Scénario référence'!$B$10)*70+IF((45+25*(1-EXP(-0.0175*A82)))&lt;70,'Scénario référence'!$B$16*(45+25*(1-EXP(-0.0175*A82))),70*'Scénario référence'!$B$16)+IF((32+38*(1-EXP(-0.0175*A82)))&lt;70,'Scénario référence'!$B$18*(32+38*(1-EXP(-0.0175*A82))),70*'Scénario référence'!$B$18)</f>
        <v>70</v>
      </c>
      <c r="EF82" s="151">
        <f>IF(A82&gt;30,10,('Scénario référence'!$B$16+'Scénario référence'!$B$17+'Scénario référence'!$B$18+'Scénario référence'!$B$9+'Scénario référence'!$B$10)*A82*10/30+('Scénario référence'!$F$8+'Scénario référence'!$F$9)*10)</f>
        <v>10</v>
      </c>
      <c r="EG82" s="151" t="str">
        <f>VLOOKUP(A82,'Données projet'!$A$191:$I$211,2,0)</f>
        <v>#N/A</v>
      </c>
      <c r="EH82" s="151" t="str">
        <f>VLOOKUP(A82,'Données projet'!$A$191:$I$211,9,0)</f>
        <v>#N/A</v>
      </c>
      <c r="EI82" s="151" t="str">
        <f t="array" ref="EI82">INDEX(EH:EH,MIN(IF(ISNUMBER(EH82:EH278),ROW(EH82:EH278),"")))</f>
        <v/>
      </c>
      <c r="EJ82" s="151">
        <f>IF('Données projet'!$A$192&gt;35,EJ81+EI82-ER81,IF(A82&lt;'Données projet'!$A$192,$EG$205^A82,IF(A82='Données projet'!$A$192,'Données projet'!$B$192,EJ81+EI82-ER81)))</f>
        <v>0</v>
      </c>
      <c r="EK82" s="158" t="str">
        <f>EJ82*VLOOKUP('Données projet'!$B$15,'Paramètres'!$A$1:$I$88,3,0)*VLOOKUP('Données projet'!$B$15,'Paramètres'!$A$1:$I$88,5,0)</f>
        <v>#N/A</v>
      </c>
      <c r="EL82" s="150" t="str">
        <f t="shared" si="46"/>
        <v>#N/A</v>
      </c>
      <c r="EM82" s="161" t="str">
        <f t="shared" si="20"/>
        <v>#N/A</v>
      </c>
      <c r="EN82" s="153" t="str">
        <f t="shared" si="21"/>
        <v>#N/A</v>
      </c>
      <c r="EO82" s="153" t="str">
        <f>AVERAGE(OFFSET($EN$3,0,0,'Données projet'!$E$15+1,1))-AVERAGE(OFFSET($H$3,0,0,'Données projet'!$E$15+1,1))</f>
        <v>#N/A</v>
      </c>
      <c r="EP82" s="153" t="str">
        <f t="shared" si="47"/>
        <v>#N/A</v>
      </c>
      <c r="EQ82" s="154">
        <f>IF(ISNA(VLOOKUP(A82,'Données projet'!$A$191:$I$211,3,0)),0,VLOOKUP(A82,'Données projet'!$A$191:$I$211,3,0))</f>
        <v>0</v>
      </c>
      <c r="ER82" s="154">
        <f>IF(ISNA(VLOOKUP(A82,'Données projet'!$A$191:$I$211,4,0)),0,VLOOKUP(A82,'Données projet'!$A$191:$I$211,4,0))</f>
        <v>0</v>
      </c>
      <c r="ES82" s="155">
        <f>IF(ISNA(VLOOKUP(A82,'Données projet'!$A$191:$I$211,5,0)),0%,VLOOKUP(A82,'Données projet'!$A$191:$I$211,5,0)*VLOOKUP('Données projet'!$B$15,'Paramètres'!$A$1:$I$88,7,0))</f>
        <v>0</v>
      </c>
      <c r="ET82" s="155">
        <f>IF(ISNA(VLOOKUP(A82,'Données projet'!$A$191:$I$211,6,0)),0%,VLOOKUP(A82,'Données projet'!$A$191:$I$211,6,0)*VLOOKUP('Données projet'!$B$15,'Paramètres'!$A$1:$I$88,7,0))</f>
        <v>0</v>
      </c>
      <c r="EU82" s="155">
        <f>IF(ISNA(VLOOKUP(A82,'Données projet'!$A$191:$I$211,7,0)),0%,VLOOKUP(A82,'Données projet'!$A$191:$I$211,7,0))</f>
        <v>0</v>
      </c>
      <c r="EV82" s="162" t="str">
        <f>EXP(-LN(2)/35)*EV81+(1-EXP(-LN(2)/35))/(LN(2)/35)*ER82*ES82*VLOOKUP('Données projet'!$B$15,'Paramètres'!$A$1:$I$88,3,0)*0.475*44/12</f>
        <v>#N/A</v>
      </c>
      <c r="EW82" s="162" t="str">
        <f>EXP(-LN(2)/25)*EW81+(1-EXP(-LN(2)/25))/(LN(2)/25)*Calculateur!ER82*Calculateur!ET82*VLOOKUP('Données projet'!$B$15,'Paramètres'!$A$1:$I$88,3,0)*0.475*44/12</f>
        <v>#N/A</v>
      </c>
      <c r="EX82" s="162" t="str">
        <f>EXP(-LN(2)/2)*EX81+(1-EXP(-LN(2)/2))/(LN(2)/2)*ER82*EU82*VLOOKUP('Données projet'!$B$15,'Paramètres'!$A$1:$I$88,3,0)*0.475*44/12</f>
        <v>#N/A</v>
      </c>
      <c r="EY82" s="163" t="str">
        <f t="shared" si="22"/>
        <v>#N/A</v>
      </c>
      <c r="EZ82" s="159">
        <f>('Scénario référence'!$F$8+'Scénario référence'!$F$9+'Scénario référence'!$B$17+'Scénario référence'!$B$9+'Scénario référence'!$B$10)*70+IF((45+25*(1-EXP(-0.0175*A82)))&lt;70,'Scénario référence'!$B$16*(45+25*(1-EXP(-0.0175*A82))),70*'Scénario référence'!$B$16)+IF((32+38*(1-EXP(-0.0175*A82)))&lt;70,'Scénario référence'!$B$18*(32+38*(1-EXP(-0.0175*A82))),70*'Scénario référence'!$B$18)</f>
        <v>70</v>
      </c>
      <c r="FA82" s="151">
        <f>IF(A82&gt;30,10,('Scénario référence'!$B$16+'Scénario référence'!$B$17+'Scénario référence'!$B$18+'Scénario référence'!$B$9+'Scénario référence'!$B$10)*A82*10/30+('Scénario référence'!$F$8+'Scénario référence'!$F$9)*10)</f>
        <v>10</v>
      </c>
      <c r="FB82" s="151" t="str">
        <f>VLOOKUP(A82,'Données projet'!$A$217:$I$237,2,0)</f>
        <v>#N/A</v>
      </c>
      <c r="FC82" s="151" t="str">
        <f>VLOOKUP(A82,'Données projet'!$A$217:$I$237,9,0)</f>
        <v>#N/A</v>
      </c>
      <c r="FD82" s="151" t="str">
        <f t="array" ref="FD82">INDEX(FC:FC,MIN(IF(ISNUMBER(FC82:FC278),ROW(FC82:FC278),"")))</f>
        <v/>
      </c>
      <c r="FE82" s="151">
        <f>IF('Données projet'!$A$218&gt;35,FE81+FD82-FM81,IF(A82&lt;'Données projet'!$A$218,$FB$205^A82,IF(A82='Données projet'!$A$218,'Données projet'!$B$218,FE81+FD82-FM81)))</f>
        <v>0</v>
      </c>
      <c r="FF82" s="158" t="str">
        <f>FE82*VLOOKUP('Données projet'!$B$16,'Paramètres'!$A$1:$I$88,3,0)*VLOOKUP('Données projet'!$B$16,'Paramètres'!$A$1:$I$88,5,0)</f>
        <v>#N/A</v>
      </c>
      <c r="FG82" s="150" t="str">
        <f t="shared" si="48"/>
        <v>#N/A</v>
      </c>
      <c r="FH82" s="161" t="str">
        <f t="shared" si="23"/>
        <v>#N/A</v>
      </c>
      <c r="FI82" s="153" t="str">
        <f t="shared" si="24"/>
        <v>#N/A</v>
      </c>
      <c r="FJ82" s="153" t="str">
        <f>AVERAGE(OFFSET($FI$3,0,0,'Données projet'!$E$16+1,1))-AVERAGE(OFFSET($H$3,0,0,'Données projet'!$E$16+1,1))</f>
        <v>#N/A</v>
      </c>
      <c r="FK82" s="153" t="str">
        <f t="shared" si="49"/>
        <v>#N/A</v>
      </c>
      <c r="FL82" s="154">
        <f>IF(ISNA(VLOOKUP(A82,'Données projet'!$A$217:$I$237,3,0)),0,VLOOKUP(A82,'Données projet'!$A$217:$I$237,3,0))</f>
        <v>0</v>
      </c>
      <c r="FM82" s="154">
        <f>IF(ISNA(VLOOKUP(A82,'Données projet'!$A$217:$I$237,4,0)),0,VLOOKUP(A82,'Données projet'!$A$217:$I$237,4,0))</f>
        <v>0</v>
      </c>
      <c r="FN82" s="155">
        <f>IF(ISNA(VLOOKUP(A82,'Données projet'!$A$217:$I$237,5,0)),0%,VLOOKUP(A82,'Données projet'!$A$217:$I$237,5,0)*VLOOKUP('Données projet'!$B$16,'Paramètres'!$A$1:$I$88,7,0))</f>
        <v>0</v>
      </c>
      <c r="FO82" s="155">
        <f>IF(ISNA(VLOOKUP(A82,'Données projet'!$A$217:$I$237,6,0)),0%,VLOOKUP(A82,'Données projet'!$A$217:$I$237,6,0)*VLOOKUP('Données projet'!$B$16,'Paramètres'!$A$1:$I$88,7,0))</f>
        <v>0</v>
      </c>
      <c r="FP82" s="155">
        <f>IF(ISNA(VLOOKUP(A82,'Données projet'!$A$217:$I$237,7,0)),0%,VLOOKUP(A82,'Données projet'!$A$217:$I$237,7,0))</f>
        <v>0</v>
      </c>
      <c r="FQ82" s="162" t="str">
        <f>EXP(-LN(2)/35)*FQ81+(1-EXP(-LN(2)/35))/(LN(2)/35)*FM82*FN82*VLOOKUP('Données projet'!$B$16,'Paramètres'!$A$1:$I$88,3,0)*0.475*44/12</f>
        <v>#N/A</v>
      </c>
      <c r="FR82" s="162" t="str">
        <f>EXP(-LN(2)/25)*FR81+(1-EXP(-LN(2)/25))/(LN(2)/25)*Calculateur!FM82*Calculateur!FO82*VLOOKUP('Données projet'!$B$16,'Paramètres'!$A$1:$I$88,3,0)*0.475*44/12</f>
        <v>#N/A</v>
      </c>
      <c r="FS82" s="162" t="str">
        <f>EXP(-LN(2)/2)*FS81+(1-EXP(-LN(2)/2))/(LN(2)/2)*FM82*FP82*VLOOKUP('Données projet'!$B$16,'Paramètres'!$A$1:$I$88,3,0)*0.475*44/12</f>
        <v>#N/A</v>
      </c>
      <c r="FT82" s="163" t="str">
        <f t="shared" si="25"/>
        <v>#N/A</v>
      </c>
      <c r="FU82" s="159">
        <f>('Scénario référence'!$F$8+'Scénario référence'!$F$9+'Scénario référence'!$B$17+'Scénario référence'!$B$9+'Scénario référence'!$B$10)*70+IF((45+25*(1-EXP(-0.0175*A82)))&lt;70,'Scénario référence'!$B$16*(45+25*(1-EXP(-0.0175*A82))),70*'Scénario référence'!$B$16)+IF((32+38*(1-EXP(-0.0175*A82)))&lt;70,'Scénario référence'!$B$18*(32+38*(1-EXP(-0.0175*A82))),70*'Scénario référence'!$B$18)</f>
        <v>70</v>
      </c>
      <c r="FV82" s="151">
        <f>IF(A82&gt;30,10,('Scénario référence'!$B$16+'Scénario référence'!$B$17+'Scénario référence'!$B$18+'Scénario référence'!$B$9+'Scénario référence'!$B$10)*A82*10/30+('Scénario référence'!$F$8+'Scénario référence'!$F$9)*10)</f>
        <v>10</v>
      </c>
      <c r="FW82" s="151" t="str">
        <f>VLOOKUP(A82,'Données projet'!$A$243:$I$263,2,0)</f>
        <v>#N/A</v>
      </c>
      <c r="FX82" s="151" t="str">
        <f>VLOOKUP(A82,'Données projet'!$A$243:$I$263,9,0)</f>
        <v>#N/A</v>
      </c>
      <c r="FY82" s="151" t="str">
        <f t="array" ref="FY82">INDEX(FX:FX,MIN(IF(ISNUMBER(FX82:FX278),ROW(FX82:FX278),"")))</f>
        <v/>
      </c>
      <c r="FZ82" s="151">
        <f>IF('Données projet'!$A$244&gt;35,FZ81+FY82-GH81,IF(A82&lt;'Données projet'!$A$244,$FW$205^A82,IF(A82='Données projet'!$A$244,'Données projet'!$B$244,FZ81+FY82-GH81)))</f>
        <v>0</v>
      </c>
      <c r="GA82" s="158" t="str">
        <f>FZ82*VLOOKUP('Données projet'!$B$17,'Paramètres'!$A$1:$I$88,3,0)*VLOOKUP('Données projet'!$B$17,'Paramètres'!$A$1:$I$88,5,0)</f>
        <v>#N/A</v>
      </c>
      <c r="GB82" s="150" t="str">
        <f t="shared" si="50"/>
        <v>#N/A</v>
      </c>
      <c r="GC82" s="161" t="str">
        <f t="shared" si="26"/>
        <v>#N/A</v>
      </c>
      <c r="GD82" s="153" t="str">
        <f t="shared" si="27"/>
        <v>#N/A</v>
      </c>
      <c r="GE82" s="153" t="str">
        <f>AVERAGE(OFFSET($GD$3,0,0,'Données projet'!$E$17+1,1))-AVERAGE(OFFSET($H$3,0,0,'Données projet'!$E$17+1,1))</f>
        <v>#N/A</v>
      </c>
      <c r="GF82" s="153" t="str">
        <f t="shared" si="51"/>
        <v>#N/A</v>
      </c>
      <c r="GG82" s="154">
        <f>IF(ISNA(VLOOKUP(A82,'Données projet'!$A$243:$I$263,3,0)),0,VLOOKUP(A82,'Données projet'!$A$243:$I$263,3,0))</f>
        <v>0</v>
      </c>
      <c r="GH82" s="154">
        <f>IF(ISNA(VLOOKUP(A82,'Données projet'!$A$243:$I$263,4,0)),0,VLOOKUP(A82,'Données projet'!$A$243:$I$263,4,0))</f>
        <v>0</v>
      </c>
      <c r="GI82" s="155">
        <f>IF(ISNA(VLOOKUP(A82,'Données projet'!$A$243:$I$263,5,0)),0%,VLOOKUP(A82,'Données projet'!$A$243:$I$263,5,0)*VLOOKUP('Données projet'!$B$17,'Paramètres'!$A$1:$I$88,7,0))</f>
        <v>0</v>
      </c>
      <c r="GJ82" s="155">
        <f>IF(ISNA(VLOOKUP(A82,'Données projet'!$A$243:$I$263,6,0)),0%,VLOOKUP(A82,'Données projet'!$A$243:$I$263,6,0)*VLOOKUP('Données projet'!$B$17,'Paramètres'!$A$1:$I$88,7,0))</f>
        <v>0</v>
      </c>
      <c r="GK82" s="155">
        <f>IF(ISNA(VLOOKUP(A82,'Données projet'!$A$243:$I$263,7,0)),0%,VLOOKUP(A82,'Données projet'!$A$243:$I$263,7,0))</f>
        <v>0</v>
      </c>
      <c r="GL82" s="162" t="str">
        <f>EXP(-LN(2)/35)*GL81+(1-EXP(-LN(2)/35))/(LN(2)/35)*GH82*GI82*VLOOKUP('Données projet'!$B$17,'Paramètres'!$A$1:$I$88,3,0)*0.475*44/12</f>
        <v>#N/A</v>
      </c>
      <c r="GM82" s="162" t="str">
        <f>EXP(-LN(2)/25)*GM81+(1-EXP(-LN(2)/25))/(LN(2)/25)*Calculateur!GH82*Calculateur!GJ82*VLOOKUP('Données projet'!$B$17,'Paramètres'!$A$1:$I$88,3,0)*0.475*44/12</f>
        <v>#N/A</v>
      </c>
      <c r="GN82" s="162" t="str">
        <f>EXP(-LN(2)/2)*GN81+(1-EXP(-LN(2)/2))/(LN(2)/2)*GH82*GK82*VLOOKUP('Données projet'!$B$17,'Paramètres'!$A$1:$I$88,3,0)*0.475*44/12</f>
        <v>#N/A</v>
      </c>
      <c r="GO82" s="162" t="str">
        <f t="shared" si="28"/>
        <v>#N/A</v>
      </c>
      <c r="GP82" s="159">
        <f>('Scénario référence'!$F$8+'Scénario référence'!$F$9+'Scénario référence'!$B$17+'Scénario référence'!$B$9+'Scénario référence'!$B$10)*70+IF((45+25*(1-EXP(-0.0175*A82)))&lt;70,'Scénario référence'!$B$16*(45+25*(1-EXP(-0.0175*A82))),70*'Scénario référence'!$B$16)+IF((32+38*(1-EXP(-0.0175*A82)))&lt;70,'Scénario référence'!$B$18*(32+38*(1-EXP(-0.0175*A82))),70*'Scénario référence'!$B$18)</f>
        <v>70</v>
      </c>
      <c r="GQ82" s="151">
        <f>IF(A82&gt;30,10,('Scénario référence'!$B$16+'Scénario référence'!$B$17+'Scénario référence'!$B$18+'Scénario référence'!$B$9+'Scénario référence'!$B$10)*A82*10/30+('Scénario référence'!$F$8+'Scénario référence'!$F$9)*10)</f>
        <v>10</v>
      </c>
      <c r="GR82" s="151" t="str">
        <f>VLOOKUP(A82,'Données projet'!$A$269:$I$289,2,0)</f>
        <v>#N/A</v>
      </c>
      <c r="GS82" s="151" t="str">
        <f>VLOOKUP(A82,'Données projet'!$A$269:$I$289,9,0)</f>
        <v>#N/A</v>
      </c>
      <c r="GT82" s="151" t="str">
        <f t="array" ref="GT82">INDEX(GS:GS,MIN(IF(ISNUMBER(GS82:GS278),ROW(GS82:GS278),"")))</f>
        <v/>
      </c>
      <c r="GU82" s="151">
        <f>IF('Données projet'!$A$270&gt;35,GU81+GT82-HC81,IF(A82&lt;'Données projet'!$A$270,$GR$205^A82,IF(A82='Données projet'!$A$270,'Données projet'!$B$270,GU81+GT82-HC81)))</f>
        <v>0</v>
      </c>
      <c r="GV82" s="158" t="str">
        <f>GU82*VLOOKUP('Données projet'!$B$18,'Paramètres'!$A$1:$I$88,3,0)*VLOOKUP('Données projet'!$B$18,'Paramètres'!$A$1:$I$88,5,0)</f>
        <v>#N/A</v>
      </c>
      <c r="GW82" s="150" t="str">
        <f t="shared" si="52"/>
        <v>#N/A</v>
      </c>
      <c r="GX82" s="161" t="str">
        <f t="shared" si="29"/>
        <v>#N/A</v>
      </c>
      <c r="GY82" s="153" t="str">
        <f t="shared" si="30"/>
        <v>#N/A</v>
      </c>
      <c r="GZ82" s="153" t="str">
        <f>AVERAGE(OFFSET($GY$3,0,0,'Données projet'!$E$18+1,1))-AVERAGE(OFFSET($H$3,0,0,'Données projet'!$E$18+1,1))</f>
        <v>#N/A</v>
      </c>
      <c r="HA82" s="153" t="str">
        <f t="shared" si="53"/>
        <v>#N/A</v>
      </c>
      <c r="HB82" s="154">
        <f>IF(ISNA(VLOOKUP(A82,'Données projet'!$A$269:$I$289,3,0)),0,VLOOKUP(A82,'Données projet'!$A$269:$I$289,3,0))</f>
        <v>0</v>
      </c>
      <c r="HC82" s="154">
        <f>IF(ISNA(VLOOKUP(A82,'Données projet'!$A$269:$I$289,4,0)),0,VLOOKUP(A82,'Données projet'!$A$269:$I$289,4,0))</f>
        <v>0</v>
      </c>
      <c r="HD82" s="155">
        <f>IF(ISNA(VLOOKUP(A82,'Données projet'!$A$269:$I$289,5,0)),0%,VLOOKUP(A82,'Données projet'!$A$269:$I$289,5,0)*VLOOKUP('Données projet'!$B$18,'Paramètres'!$A$1:$I$88,7,0))</f>
        <v>0</v>
      </c>
      <c r="HE82" s="155">
        <f>IF(ISNA(VLOOKUP(A82,'Données projet'!$A$269:$I$289,6,0)),0%,VLOOKUP(A82,'Données projet'!$A$269:$I$289,6,0)*VLOOKUP('Données projet'!$B$18,'Paramètres'!$A$1:$I$88,7,0))</f>
        <v>0</v>
      </c>
      <c r="HF82" s="155">
        <f>IF(ISNA(VLOOKUP(A82,'Données projet'!$A$269:$I$289,7,0)),0%,VLOOKUP(A82,'Données projet'!$A$269:$I$289,7,0))</f>
        <v>0</v>
      </c>
      <c r="HG82" s="162" t="str">
        <f>EXP(-LN(2)/35)*HG81+(1-EXP(-LN(2)/35))/(LN(2)/35)*HC82*HD82*VLOOKUP('Données projet'!$B$18,'Paramètres'!$A$1:$I$88,3,0)*0.475*44/12</f>
        <v>#N/A</v>
      </c>
      <c r="HH82" s="162" t="str">
        <f>EXP(-LN(2)/25)*HH81+(1-EXP(-LN(2)/25))/(LN(2)/25)*Calculateur!HC82*Calculateur!HE82*VLOOKUP('Données projet'!$B$18,'Paramètres'!$A$1:$I$88,3,0)*0.475*44/12</f>
        <v>#N/A</v>
      </c>
      <c r="HI82" s="162" t="str">
        <f>EXP(-LN(2)/2)*HI81+(1-EXP(-LN(2)/2))/(LN(2)/2)*HC82*HF82*VLOOKUP('Données projet'!$B$18,'Paramètres'!$A$1:$I$88,3,0)*0.475*44/12</f>
        <v>#N/A</v>
      </c>
      <c r="HJ82" s="163" t="str">
        <f t="shared" si="31"/>
        <v>#N/A</v>
      </c>
    </row>
    <row r="83" ht="15.75" customHeight="1">
      <c r="A83" s="145">
        <f t="shared" si="32"/>
        <v>80</v>
      </c>
      <c r="B83" s="146">
        <f>'Scénario référence'!$B$16*5+'Scénario référence'!$B$17*0+'Scénario référence'!$B$18*5</f>
        <v>0</v>
      </c>
      <c r="C83" s="160">
        <f>Calculateur!C82+'Scénario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83" s="147">
        <f t="shared" si="33"/>
        <v>0</v>
      </c>
      <c r="E83" s="147">
        <f>'Scénario référence'!$B$16*45+('Scénario référence'!$B$17+'Scénario référence'!$F$8+'Scénario référence'!$F$9+'Scénario référence'!$B$10+'Scénario référence'!$B$9)*70+'Scénario référence'!$B$18*32</f>
        <v>70</v>
      </c>
      <c r="F83" s="147">
        <f>IF(OR('Scénario référence'!$F$8&gt;0,'Scénario référence'!$F$9&gt;0),('Scénario référence'!$F$8+'Scénario référence'!$F$9)*10,0)</f>
        <v>0</v>
      </c>
      <c r="G83" s="147">
        <f>'Scénario référence'!$B$8*B83*44/12+'Scénario référence'!$B$9*(C83+D83)/0.475*44/12+'Scénario référence'!$B$10*(C83+D83)/0.475*44/12+'Scénario référence'!$F$8*(C83+D83)/0.475*44/12+'Scénario référence'!$F$9*(C83+D83)/0.475*44/12</f>
        <v>0</v>
      </c>
      <c r="H83" s="148">
        <f t="shared" si="1"/>
        <v>256.6666667</v>
      </c>
      <c r="I83" s="149">
        <f>('Scénario référence'!$F$8+'Scénario référence'!$F$9+'Scénario référence'!$B$17+'Scénario référence'!$B$9+'Scénario référence'!$B$10)*70+IF((45+25*(1-EXP(-0.0175*A83)))&lt;70,'Scénario référence'!$B$16*(45+25*(1-EXP(-0.0175*A83))),70*'Scénario référence'!$B$16)+IF((32+38*(1-EXP(-0.0175*A83)))&lt;70,'Scénario référence'!$B$18*(32+38*(1-EXP(-0.0175*A83))),70*'Scénario référence'!$B$18)</f>
        <v>70</v>
      </c>
      <c r="J83" s="150">
        <f>IF(A83&gt;30,10,('Scénario référence'!$B$16+'Scénario référence'!$B$17+'Scénario référence'!$B$18+'Scénario référence'!$B$9+'Scénario référence'!$B$10)*A83*10/30+('Scénario référence'!$F$8+'Scénario référence'!$F$9)*10)</f>
        <v>10</v>
      </c>
      <c r="K83" s="165">
        <f>VLOOKUP(A83,'Données projet'!$A$35:$I$55,2,0)</f>
        <v>320</v>
      </c>
      <c r="L83" s="151">
        <f>VLOOKUP(A83,'Données projet'!$A$35:$I$55,9,0)</f>
        <v>7.2</v>
      </c>
      <c r="M83" s="150">
        <f t="array" ref="M83">INDEX(L:L,MIN(IF(ISNUMBER(L83:L279),ROW(L83:L279),"")))</f>
        <v>7.2</v>
      </c>
      <c r="N83" s="150">
        <f>IF('Données projet'!$A$36&gt;35,N82+M83-V82,IF(A83&lt;'Données projet'!$A$36,$K$205^A83,IF(A83='Données projet'!$A$36,'Données projet'!$B$36,N82+M83-V82)))</f>
        <v>320</v>
      </c>
      <c r="O83" s="150">
        <f>N83*VLOOKUP('Données projet'!$B$9,'Paramètres'!$A$1:$I$88,3,0)*VLOOKUP('Données projet'!$B$9,'Paramètres'!$A$1:$I$88,5,0)</f>
        <v>289.536</v>
      </c>
      <c r="P83" s="150">
        <f t="shared" si="34"/>
        <v>68.9782951</v>
      </c>
      <c r="Q83" s="161">
        <f t="shared" si="2"/>
        <v>624.4123973</v>
      </c>
      <c r="R83" s="153">
        <f t="shared" si="3"/>
        <v>917.7457306</v>
      </c>
      <c r="S83" s="153">
        <f>AVERAGE(OFFSET($R$3,0,0,'Données projet'!$E$9+1,1))-AVERAGE(OFFSET($H$3,0,0,'Données projet'!$E$9+1,1))</f>
        <v>439.1985427</v>
      </c>
      <c r="T83" s="153">
        <f t="shared" si="35"/>
        <v>278.2174123</v>
      </c>
      <c r="U83" s="154">
        <f>IF(ISNA(VLOOKUP(A83,'Données projet'!$A$35:$I$55,3,0)),0,VLOOKUP(A83,'Données projet'!$A$35:$I$55,3,0))</f>
        <v>13</v>
      </c>
      <c r="V83" s="164">
        <f>IF(ISNA(VLOOKUP(A83,'Données projet'!$A$35:$I$55,4,0)),0,VLOOKUP(A83,'Données projet'!$A$35:$I$55,4,0))</f>
        <v>28</v>
      </c>
      <c r="W83" s="155">
        <f>IF(ISNA(VLOOKUP(A83,'Données projet'!$A$35:$I$55,5,0)),0%,VLOOKUP(A83,'Données projet'!$A$35:$I$55,5,0)*VLOOKUP('Données projet'!$B$9,'Paramètres'!$A$1:$I$88,7,0))</f>
        <v>0</v>
      </c>
      <c r="X83" s="155">
        <f>IF(ISNA(VLOOKUP(A83,'Données projet'!$A$35:$I$55,6,0)),0%,VLOOKUP(A83,'Données projet'!$A$35:$I$55,6,0)*VLOOKUP('Données projet'!$B$9,'Paramètres'!$A$1:$I$88,7,0))</f>
        <v>0</v>
      </c>
      <c r="Y83" s="155" t="str">
        <f>IF(ISNA(VLOOKUP(A83,'Données projet'!$A$35:$I$55,7,0)),0%,VLOOKUP(A83,'Données projet'!$A$35:$I$55,7,0))</f>
        <v/>
      </c>
      <c r="Z83" s="162">
        <f>EXP(-LN(2)/35)*Z82+(1-EXP(-LN(2)/35))/(LN(2)/35)*V83*W83*VLOOKUP('Données projet'!$B$9,'Paramètres'!$A$1:$I$88,3,0)*0.475*44/12</f>
        <v>0</v>
      </c>
      <c r="AA83" s="162">
        <f>EXP(-LN(2)/25)*AA82+(1-EXP(-LN(2)/25))/(LN(2)/25)*Calculateur!V83*Calculateur!X83*VLOOKUP('Données projet'!$B$9,'Paramètres'!$A$1:$I$88,3,0)*0.475*44/12</f>
        <v>1.121895194</v>
      </c>
      <c r="AB83" s="162">
        <f>EXP(-LN(2)/2)*AB82+(1-EXP(-LN(2)/2))/(LN(2)/2)*V83*Y83*VLOOKUP('Données projet'!$B$9,'Paramètres'!$A$1:$I$88,3,0)*0.475*44/12</f>
        <v>0</v>
      </c>
      <c r="AC83" s="163">
        <f t="shared" si="4"/>
        <v>1.121895194</v>
      </c>
      <c r="AD83" s="150">
        <f>('Scénario référence'!$F$8+'Scénario référence'!$F$9+'Scénario référence'!$B$17+'Scénario référence'!$B$9+'Scénario référence'!$B$10)*70+IF((45+25*(1-EXP(-0.0175*A83)))&lt;70,'Scénario référence'!$B$16*(45+25*(1-EXP(-0.0175*A83))),70*'Scénario référence'!$B$16)+IF((32+38*(1-EXP(-0.0175*A83)))&lt;70,'Scénario référence'!$B$18*(32+38*(1-EXP(-0.0175*A83))),70*'Scénario référence'!$B$18)</f>
        <v>70</v>
      </c>
      <c r="AE83" s="150">
        <f>IF(A83&gt;30,10,('Scénario référence'!$B$16+'Scénario référence'!$B$17+'Scénario référence'!$B$18+'Scénario référence'!$B$9+'Scénario référence'!$B$10)*A83*10/30+('Scénario référence'!$F$8+'Scénario référence'!$F$9)*10)</f>
        <v>10</v>
      </c>
      <c r="AF83" s="151">
        <f>VLOOKUP(A83,'Données projet'!$A$61:$I$81,2,0)</f>
        <v>381</v>
      </c>
      <c r="AG83" s="151">
        <f>VLOOKUP(A83,'Données projet'!$A$61:$I$81,9,0)</f>
        <v>4</v>
      </c>
      <c r="AH83" s="151">
        <f t="array" ref="AH83">INDEX(AG:AG,MIN(IF(ISNUMBER(AG83:AG279),ROW(AG83:AG279),"")))</f>
        <v>4</v>
      </c>
      <c r="AI83" s="150">
        <f>IF('Données projet'!$A$62&gt;35,AI82+AH83-AQ82,IF(A83&lt;'Données projet'!$A$62,$AF$205^A83,IF(A83='Données projet'!$A$62,'Données projet'!$B$62,AI82+AH83-AQ82)))</f>
        <v>381</v>
      </c>
      <c r="AJ83" s="150">
        <f>AI83*VLOOKUP('Données projet'!$B$10,'Paramètres'!$A$1:$I$88,3,0)*VLOOKUP('Données projet'!$B$10,'Paramètres'!$A$1:$I$88,5,0)</f>
        <v>303.1236</v>
      </c>
      <c r="AK83" s="150">
        <f t="shared" si="36"/>
        <v>71.83089473</v>
      </c>
      <c r="AL83" s="161">
        <f t="shared" si="5"/>
        <v>653.045745</v>
      </c>
      <c r="AM83" s="153">
        <f t="shared" si="6"/>
        <v>946.3790783</v>
      </c>
      <c r="AN83" s="153">
        <f>AVERAGE(OFFSET($AM$3,0,0,'Données projet'!$E$10+1,1))-AVERAGE(OFFSET($H$3,0,0,'Données projet'!$E$10+1,1))</f>
        <v>405.6113614</v>
      </c>
      <c r="AO83" s="153">
        <f t="shared" si="37"/>
        <v>393.0787141</v>
      </c>
      <c r="AP83" s="154">
        <f>IF(ISNA(VLOOKUP(A83,'Données projet'!$A$61:$I$81,3,0)),0,VLOOKUP(A83,'Données projet'!$A$61:$I$81,3,0))</f>
        <v>15</v>
      </c>
      <c r="AQ83" s="154">
        <f>IF(ISNA(VLOOKUP(A83,'Données projet'!$A$61:$I$81,4,0)),0,VLOOKUP(A83,'Données projet'!$A$61:$I$81,4,0))</f>
        <v>12</v>
      </c>
      <c r="AR83" s="155">
        <f>IF(ISNA(VLOOKUP(A83,'Données projet'!$A$61:$I$81,5,0)),0%,VLOOKUP(A83,'Données projet'!$A$61:$I$81,5,0)*VLOOKUP('Données projet'!$B$10,'Paramètres'!$A$1:$I$88,7,0))</f>
        <v>0</v>
      </c>
      <c r="AS83" s="155">
        <f>IF(ISNA(VLOOKUP(A83,'Données projet'!$A$61:$I$81,6,0)),0%,VLOOKUP(A83,'Données projet'!$A$61:$I$81,6,0)*VLOOKUP('Données projet'!$B$10,'Paramètres'!$A$1:$I$88,7,0))</f>
        <v>0</v>
      </c>
      <c r="AT83" s="155" t="str">
        <f>IF(ISNA(VLOOKUP(A83,'Données projet'!$A$61:$I$81,7,0)),0%,VLOOKUP(A83,'Données projet'!$A$61:$I$81,7,0))</f>
        <v/>
      </c>
      <c r="AU83" s="162">
        <f>EXP(-LN(2)/35)*AU82+(1-EXP(-LN(2)/35))/(LN(2)/35)*AQ83*AR83*VLOOKUP('Données projet'!$B$10,'Paramètres'!$A$1:$I$88,3,0)*0.475*44/12</f>
        <v>0</v>
      </c>
      <c r="AV83" s="162">
        <f>EXP(-LN(2)/25)*AV82+(1-EXP(-LN(2)/25))/(LN(2)/25)*Calculateur!AQ83*Calculateur!AS83*VLOOKUP('Données projet'!$B$10,'Paramètres'!$A$1:$I$88,3,0)*0.475*44/12</f>
        <v>4.559667266</v>
      </c>
      <c r="AW83" s="162">
        <f>EXP(-LN(2)/2)*AW82+(1-EXP(-LN(2)/2))/(LN(2)/2)*AQ83*AT83*VLOOKUP('Données projet'!$B$10,'Paramètres'!$A$1:$I$88,3,0)*0.475*44/12</f>
        <v>0.00000001727676999</v>
      </c>
      <c r="AX83" s="162">
        <f t="shared" si="7"/>
        <v>4.559667283</v>
      </c>
      <c r="AY83" s="157">
        <f>('Scénario référence'!$F$8+'Scénario référence'!$F$9+'Scénario référence'!$B$17+'Scénario référence'!$B$9+'Scénario référence'!$B$10)*70+IF((45+25*(1-EXP(-0.0175*A83)))&lt;70,'Scénario référence'!$B$16*(45+25*(1-EXP(-0.0175*A83))),70*'Scénario référence'!$B$16)+IF((32+38*(1-EXP(-0.0175*A83)))&lt;70,'Scénario référence'!$B$18*(32+38*(1-EXP(-0.0175*A83))),70*'Scénario référence'!$B$18)</f>
        <v>70</v>
      </c>
      <c r="AZ83" s="151">
        <f>IF(A83&gt;30,10,('Scénario référence'!$B$16+'Scénario référence'!$B$17+'Scénario référence'!$B$18+'Scénario référence'!$B$9+'Scénario référence'!$B$10)*A83*10/30+('Scénario référence'!$F$8+'Scénario référence'!$F$9)*10)</f>
        <v>10</v>
      </c>
      <c r="BA83" s="151" t="str">
        <f>VLOOKUP(A83,'Données projet'!$A$87:$I$107,2,0)</f>
        <v>#N/A</v>
      </c>
      <c r="BB83" s="150" t="str">
        <f>VLOOKUP(A83,'Données projet'!$A$87:$I$107,9,0)</f>
        <v>#N/A</v>
      </c>
      <c r="BC83" s="150" t="str">
        <f t="array" ref="BC83">INDEX(BB:BB,MIN(IF(ISNUMBER(BB83:BB279),ROW(BB83:BB279),"")))</f>
        <v/>
      </c>
      <c r="BD83" s="150">
        <f>IF('Données projet'!$A$88&gt;35,BD82+BC83-BL82,IF(A83&lt;'Données projet'!$A$88,$BA$205^A83,IF(A83='Données projet'!$A$88,'Données projet'!$B$88,BD82+BC83-BL82)))</f>
        <v>0</v>
      </c>
      <c r="BE83" s="150">
        <f>BD83*VLOOKUP('Données projet'!$B$11,'Paramètres'!$A$1:$I$88,3,0)*VLOOKUP('Données projet'!$B$11,'Paramètres'!$A$1:$I$88,5,0)</f>
        <v>0</v>
      </c>
      <c r="BF83" s="150" t="str">
        <f t="shared" si="38"/>
        <v>#NUM!</v>
      </c>
      <c r="BG83" s="161" t="str">
        <f t="shared" si="8"/>
        <v>#NUM!</v>
      </c>
      <c r="BH83" s="153" t="str">
        <f t="shared" si="9"/>
        <v>#NUM!</v>
      </c>
      <c r="BI83" s="153">
        <f>AVERAGE(OFFSET($BH$3,0,0,'Données projet'!$E$11+1,1))-AVERAGE(OFFSET($H$3,0,0,'Données projet'!$E$11+1,1))</f>
        <v>0</v>
      </c>
      <c r="BJ83" s="153">
        <f t="shared" si="39"/>
        <v>0</v>
      </c>
      <c r="BK83" s="154">
        <f>IF(ISNA(VLOOKUP(A83,'Données projet'!$A$87:$I$107,3,0)),0,VLOOKUP(A83,'Données projet'!$A$87:$I$107,3,0))</f>
        <v>0</v>
      </c>
      <c r="BL83" s="162">
        <f>IF(ISNA(VLOOKUP(A83,'Données projet'!$A$87:$I$107,4,0)),0,VLOOKUP(A83,'Données projet'!$A$87:$I$107,4,0))</f>
        <v>0</v>
      </c>
      <c r="BM83" s="155">
        <f>IF(ISNA(VLOOKUP(A83,'Données projet'!$A$87:$I$107,5,0)),0%,VLOOKUP(A83,'Données projet'!$A$87:$I$107,5,0)*VLOOKUP('Données projet'!$B$11,'Paramètres'!$A$1:$I$88,7,0))</f>
        <v>0</v>
      </c>
      <c r="BN83" s="155">
        <f>IF(ISNA(VLOOKUP(A83,'Données projet'!$A$87:$I$107,6,0)),0%,VLOOKUP(A83,'Données projet'!$A$87:$I$107,6,0)*VLOOKUP('Données projet'!$B$11,'Paramètres'!$A$1:$I$88,7,0))</f>
        <v>0</v>
      </c>
      <c r="BO83" s="155">
        <f>IF(ISNA(VLOOKUP(A83,'Données projet'!$A$87:$I$107,7,0)),0%,VLOOKUP(A83,'Données projet'!$A$87:$I$107,7,0))</f>
        <v>0</v>
      </c>
      <c r="BP83" s="162">
        <f>EXP(-LN(2)/35)*BP82+(1-EXP(-LN(2)/35))/(LN(2)/35)*BL83*BM83*VLOOKUP('Données projet'!$B$11,'Paramètres'!$A$1:$I$88,3,0)*0.475*44/12</f>
        <v>0</v>
      </c>
      <c r="BQ83" s="162">
        <f>EXP(-LN(2)/25)*BQ82+(1-EXP(-LN(2)/25))/(LN(2)/25)*Calculateur!BL83*Calculateur!BN83*VLOOKUP('Données projet'!$B$11,'Paramètres'!$A$1:$I$88,3,0)*0.475*44/12</f>
        <v>0</v>
      </c>
      <c r="BR83" s="162">
        <f>EXP(-LN(2)/2)*BR82+(1-EXP(-LN(2)/2))/(LN(2)/2)*BL83*BO83*VLOOKUP('Données projet'!$B$11,'Paramètres'!$A$1:$I$88,3,0)*0.475*44/12</f>
        <v>0</v>
      </c>
      <c r="BS83" s="163">
        <f t="shared" si="10"/>
        <v>0</v>
      </c>
      <c r="BT83" s="159">
        <f>('Scénario référence'!$F$8+'Scénario référence'!$F$9+'Scénario référence'!$B$17+'Scénario référence'!$B$9+'Scénario référence'!$B$10)*70+IF((45+25*(1-EXP(-0.0175*A83)))&lt;70,'Scénario référence'!$B$16*(45+25*(1-EXP(-0.0175*A83))),70*'Scénario référence'!$B$16)+IF((32+38*(1-EXP(-0.0175*A83)))&lt;70,'Scénario référence'!$B$18*(32+38*(1-EXP(-0.0175*A83))),70*'Scénario référence'!$B$18)</f>
        <v>70</v>
      </c>
      <c r="BU83" s="151">
        <f>IF(A83&gt;30,10,('Scénario référence'!$B$16+'Scénario référence'!$B$17+'Scénario référence'!$B$18+'Scénario référence'!$B$9+'Scénario référence'!$B$10)*A83*10/30+('Scénario référence'!$F$8+'Scénario référence'!$F$9)*10)</f>
        <v>10</v>
      </c>
      <c r="BV83" s="151" t="str">
        <f>VLOOKUP(A83,'Données projet'!$A$113:$I$133,2,0)</f>
        <v>#N/A</v>
      </c>
      <c r="BW83" s="151" t="str">
        <f>VLOOKUP(A83,'Données projet'!$A$113:$I$133,9,0)</f>
        <v>#N/A</v>
      </c>
      <c r="BX83" s="150" t="str">
        <f t="array" ref="BX83">INDEX(BW:BW,MIN(IF(ISNUMBER(BW83:BW279),ROW(BW83:BW279),"")))</f>
        <v/>
      </c>
      <c r="BY83" s="150">
        <f>IF('Données projet'!$A$114&gt;35,BY82+BX83-CG82,IF(A83&lt;'Données projet'!$A$114,$BV$205^A83,IF(A83='Données projet'!$A$114,'Données projet'!$B$114,BY82+BX83-CG82)))</f>
        <v>0</v>
      </c>
      <c r="BZ83" s="150" t="str">
        <f>BY83*VLOOKUP('Données projet'!$B$12,'Paramètres'!$A$1:$I$88,3,0)*VLOOKUP('Données projet'!$B$12,'Paramètres'!$A$1:$I$88,5,0)</f>
        <v>#N/A</v>
      </c>
      <c r="CA83" s="150" t="str">
        <f t="shared" si="40"/>
        <v>#N/A</v>
      </c>
      <c r="CB83" s="161" t="str">
        <f t="shared" si="11"/>
        <v>#N/A</v>
      </c>
      <c r="CC83" s="153" t="str">
        <f t="shared" si="12"/>
        <v>#N/A</v>
      </c>
      <c r="CD83" s="153" t="str">
        <f>AVERAGE(OFFSET($CC$3,0,0,'Données projet'!$E$12+1,1))-AVERAGE(OFFSET($H$3,0,0,'Données projet'!$E$12+1,1))</f>
        <v>#N/A</v>
      </c>
      <c r="CE83" s="153" t="str">
        <f t="shared" si="41"/>
        <v>#N/A</v>
      </c>
      <c r="CF83" s="154">
        <f>IF(ISNA(VLOOKUP(A83,'Données projet'!$A$113:$I$133,3,0)),0,VLOOKUP(A83,'Données projet'!$A$113:$I$133,3,0))</f>
        <v>0</v>
      </c>
      <c r="CG83" s="154">
        <f>IF(ISNA(VLOOKUP(A83,'Données projet'!$A$113:$I$133,4,0)),0,VLOOKUP(A83,'Données projet'!$A$113:$I$133,4,0))</f>
        <v>0</v>
      </c>
      <c r="CH83" s="155">
        <f>IF(ISNA(VLOOKUP(A83,'Données projet'!$A$113:$I$133,5,0)),0%,VLOOKUP(A83,'Données projet'!$A$113:$I$133,5,0)*VLOOKUP('Données projet'!$B$12,'Paramètres'!$A$1:$I$88,7,0))</f>
        <v>0</v>
      </c>
      <c r="CI83" s="155">
        <f>IF(ISNA(VLOOKUP(A83,'Données projet'!$A$113:$I$133,6,0)),0%,VLOOKUP(A83,'Données projet'!$A$113:$I$133,6,0)*VLOOKUP('Données projet'!$B$12,'Paramètres'!$A$1:$I$88,7,0))</f>
        <v>0</v>
      </c>
      <c r="CJ83" s="155">
        <f>IF(ISNA(VLOOKUP(A83,'Données projet'!$A$113:$I$133,7,0)),0%,VLOOKUP(A83,'Données projet'!$A$113:$I$133,7,0))</f>
        <v>0</v>
      </c>
      <c r="CK83" s="162" t="str">
        <f>EXP(-LN(2)/35)*CK82+(1-EXP(-LN(2)/35))/(LN(2)/35)*CG83*CH83*VLOOKUP('Données projet'!$B$12,'Paramètres'!$A$1:$I$88,3,0)*0.475*44/12</f>
        <v>#N/A</v>
      </c>
      <c r="CL83" s="162" t="str">
        <f>EXP(-LN(2)/25)*CL82+(1-EXP(-LN(2)/25))/(LN(2)/25)*Calculateur!CG83*Calculateur!CI83*VLOOKUP('Données projet'!$B$12,'Paramètres'!$A$1:$I$88,3,0)*0.475*44/12</f>
        <v>#N/A</v>
      </c>
      <c r="CM83" s="162" t="str">
        <f>EXP(-LN(2)/2)*CM82+(1-EXP(-LN(2)/2))/(LN(2)/2)*CG83*CJ83*VLOOKUP('Données projet'!$B$12,'Paramètres'!$A$1:$I$88,3,0)*0.475*44/12</f>
        <v>#N/A</v>
      </c>
      <c r="CN83" s="163" t="str">
        <f t="shared" si="13"/>
        <v>#N/A</v>
      </c>
      <c r="CO83" s="159">
        <f>('Scénario référence'!$F$8+'Scénario référence'!$F$9+'Scénario référence'!$B$17+'Scénario référence'!$B$9+'Scénario référence'!$B$10)*70+IF((45+25*(1-EXP(-0.0175*A83)))&lt;70,'Scénario référence'!$B$16*(45+25*(1-EXP(-0.0175*A83))),70*'Scénario référence'!$B$16)+IF((32+38*(1-EXP(-0.0175*A83)))&lt;70,'Scénario référence'!$B$18*(32+38*(1-EXP(-0.0175*A83))),70*'Scénario référence'!$B$18)</f>
        <v>70</v>
      </c>
      <c r="CP83" s="151">
        <f>IF(A83&gt;30,10,('Scénario référence'!$B$16+'Scénario référence'!$B$17+'Scénario référence'!$B$18+'Scénario référence'!$B$9+'Scénario référence'!$B$10)*A83*10/30+('Scénario référence'!$F$8+'Scénario référence'!$F$9)*10)</f>
        <v>10</v>
      </c>
      <c r="CQ83" s="151" t="str">
        <f>VLOOKUP(A83,'Données projet'!$A$139:$I$159,2,0)</f>
        <v>#N/A</v>
      </c>
      <c r="CR83" s="151" t="str">
        <f>VLOOKUP(A83,'Données projet'!$A$139:$I$159,9,0)</f>
        <v>#N/A</v>
      </c>
      <c r="CS83" s="151" t="str">
        <f t="array" ref="CS83">INDEX(CR:CR,MIN(IF(ISNUMBER(CR83:CR279),ROW(CR83:CR279),"")))</f>
        <v/>
      </c>
      <c r="CT83" s="151">
        <f>IF('Données projet'!$A$140&gt;35,CT82+CS83-DB82,IF(A83&lt;'Données projet'!$A$140,$CQ$205^A83,IF(A83='Données projet'!$A$140,'Données projet'!$B$140,CT82+CS83-DB82)))</f>
        <v>0</v>
      </c>
      <c r="CU83" s="158" t="str">
        <f>CT83*VLOOKUP('Données projet'!$B$13,'Paramètres'!$A$1:$I$88,3,0)*VLOOKUP('Données projet'!$B$13,'Paramètres'!$A$1:$I$88,5,0)</f>
        <v>#N/A</v>
      </c>
      <c r="CV83" s="150" t="str">
        <f t="shared" si="42"/>
        <v>#N/A</v>
      </c>
      <c r="CW83" s="161" t="str">
        <f t="shared" si="14"/>
        <v>#N/A</v>
      </c>
      <c r="CX83" s="153" t="str">
        <f t="shared" si="15"/>
        <v>#N/A</v>
      </c>
      <c r="CY83" s="153" t="str">
        <f>AVERAGE(OFFSET($CX$3,0,0,'Données projet'!$E$13+1,1))-AVERAGE(OFFSET($H$3,0,0,'Données projet'!$E$13+1,1))</f>
        <v>#N/A</v>
      </c>
      <c r="CZ83" s="153" t="str">
        <f t="shared" si="43"/>
        <v>#N/A</v>
      </c>
      <c r="DA83" s="154">
        <f>IF(ISNA(VLOOKUP(A83,'Données projet'!$A$139:$I$159,3,0)),0,VLOOKUP(A83,'Données projet'!$A$139:$I$159,3,0))</f>
        <v>0</v>
      </c>
      <c r="DB83" s="154">
        <f>IF(ISNA(VLOOKUP(A83,'Données projet'!$A$139:$I$159,4,0)),0,VLOOKUP(A83,'Données projet'!$A$139:$I$159,4,0))</f>
        <v>0</v>
      </c>
      <c r="DC83" s="155">
        <f>IF(ISNA(VLOOKUP(A83,'Données projet'!$A$139:$I$159,5,0)),0%,VLOOKUP(A83,'Données projet'!$A$139:$I$159,5,0)*VLOOKUP('Données projet'!$B$13,'Paramètres'!$A$1:$I$88,7,0))</f>
        <v>0</v>
      </c>
      <c r="DD83" s="155">
        <f>IF(ISNA(VLOOKUP(A83,'Données projet'!$A$139:$I$159,6,0)),0%,VLOOKUP(A83,'Données projet'!$A$139:$I$159,6,0)*VLOOKUP('Données projet'!$B$13,'Paramètres'!$A$1:$I$88,7,0))</f>
        <v>0</v>
      </c>
      <c r="DE83" s="155">
        <f>IF(ISNA(VLOOKUP(A83,'Données projet'!$A$139:$I$159,7,0)),0%,VLOOKUP(A83,'Données projet'!$A$139:$I$159,7,0))</f>
        <v>0</v>
      </c>
      <c r="DF83" s="162" t="str">
        <f>EXP(-LN(2)/35)*DF82+(1-EXP(-LN(2)/35))/(LN(2)/35)*DB83*DC83*VLOOKUP('Données projet'!$B$13,'Paramètres'!$A$1:$I$88,3,0)*0.475*44/12</f>
        <v>#N/A</v>
      </c>
      <c r="DG83" s="162" t="str">
        <f>EXP(-LN(2)/25)*DG82+(1-EXP(-LN(2)/25))/(LN(2)/25)*Calculateur!DB83*Calculateur!DD83*VLOOKUP('Données projet'!$B$13,'Paramètres'!$A$1:$I$88,3,0)*0.475*44/12</f>
        <v>#N/A</v>
      </c>
      <c r="DH83" s="162" t="str">
        <f>EXP(-LN(2)/2)*DH82+(1-EXP(-LN(2)/2))/(LN(2)/2)*DB83*DE83*VLOOKUP('Données projet'!$B$13,'Paramètres'!$A$1:$I$88,3,0)*0.475*44/12</f>
        <v>#N/A</v>
      </c>
      <c r="DI83" s="163" t="str">
        <f t="shared" si="16"/>
        <v>#N/A</v>
      </c>
      <c r="DJ83" s="159">
        <f>('Scénario référence'!$F$8+'Scénario référence'!$F$9+'Scénario référence'!$B$17+'Scénario référence'!$B$9+'Scénario référence'!$B$10)*70+IF((45+25*(1-EXP(-0.0175*A83)))&lt;70,'Scénario référence'!$B$16*(45+25*(1-EXP(-0.0175*A83))),70*'Scénario référence'!$B$16)+IF((32+38*(1-EXP(-0.0175*A83)))&lt;70,'Scénario référence'!$B$18*(32+38*(1-EXP(-0.0175*A83))),70*'Scénario référence'!$B$18)</f>
        <v>70</v>
      </c>
      <c r="DK83" s="151">
        <f>IF(A83&gt;30,10,('Scénario référence'!$B$16+'Scénario référence'!$B$17+'Scénario référence'!$B$18+'Scénario référence'!$B$9+'Scénario référence'!$B$10)*A83*10/30+('Scénario référence'!$F$8+'Scénario référence'!$F$9)*10)</f>
        <v>10</v>
      </c>
      <c r="DL83" s="151" t="str">
        <f>VLOOKUP(A83,'Données projet'!$A$165:$I$185,2,0)</f>
        <v>#N/A</v>
      </c>
      <c r="DM83" s="151" t="str">
        <f>VLOOKUP(A83,'Données projet'!$A$165:$I$185,9,0)</f>
        <v>#N/A</v>
      </c>
      <c r="DN83" s="151" t="str">
        <f t="array" ref="DN83">INDEX(DM:DM,MIN(IF(ISNUMBER(DM83:DM279),ROW(DM83:DM279),"")))</f>
        <v/>
      </c>
      <c r="DO83" s="151">
        <f>IF('Données projet'!$A$166&gt;35,DO82+DN83-DW82,IF(A83&lt;'Données projet'!$A$166,$DL$205^A83,IF(A83='Données projet'!$A$166,'Données projet'!$B$166,DO82+DN83-DW82)))</f>
        <v>0</v>
      </c>
      <c r="DP83" s="158" t="str">
        <f>DO83*VLOOKUP('Données projet'!$B$14,'Paramètres'!$A$1:$I$88,3,0)*VLOOKUP('Données projet'!$B$14,'Paramètres'!$A$1:$I$88,5,0)</f>
        <v>#N/A</v>
      </c>
      <c r="DQ83" s="150" t="str">
        <f t="shared" si="44"/>
        <v>#N/A</v>
      </c>
      <c r="DR83" s="161" t="str">
        <f t="shared" si="17"/>
        <v>#N/A</v>
      </c>
      <c r="DS83" s="153" t="str">
        <f t="shared" si="18"/>
        <v>#N/A</v>
      </c>
      <c r="DT83" s="153" t="str">
        <f>AVERAGE(OFFSET($DS$3,0,0,'Données projet'!$E$14+1,1))-AVERAGE(OFFSET($H$3,0,0,'Données projet'!$E$14+1,1))</f>
        <v>#N/A</v>
      </c>
      <c r="DU83" s="153" t="str">
        <f t="shared" si="45"/>
        <v>#N/A</v>
      </c>
      <c r="DV83" s="154">
        <f>IF(ISNA(VLOOKUP(A83,'Données projet'!$A$165:$I$185,3,0)),0,VLOOKUP(A83,'Données projet'!$A$165:$I$185,3,0))</f>
        <v>0</v>
      </c>
      <c r="DW83" s="154">
        <f>IF(ISNA(VLOOKUP(A83,'Données projet'!$A$165:$I$185,4,0)),0,VLOOKUP(A83,'Données projet'!$A$165:$I$185,4,0))</f>
        <v>0</v>
      </c>
      <c r="DX83" s="155">
        <f>IF(ISNA(VLOOKUP(A83,'Données projet'!$A$165:$I$185,5,0)),0%,VLOOKUP(A83,'Données projet'!$A$165:$I$185,5,0)*VLOOKUP('Données projet'!$B$14,'Paramètres'!$A$1:$I$88,7,0))</f>
        <v>0</v>
      </c>
      <c r="DY83" s="155">
        <f>IF(ISNA(VLOOKUP(A83,'Données projet'!$A$165:$I$185,6,0)),0%,VLOOKUP(A83,'Données projet'!$A$165:$I$185,6,0)*VLOOKUP('Données projet'!$B$14,'Paramètres'!$A$1:$I$88,7,0))</f>
        <v>0</v>
      </c>
      <c r="DZ83" s="155">
        <f>IF(ISNA(VLOOKUP(A83,'Données projet'!$A$165:$I$185,7,0)),0%,VLOOKUP(A83,'Données projet'!$A$165:$I$185,7,0))</f>
        <v>0</v>
      </c>
      <c r="EA83" s="162" t="str">
        <f>EXP(-LN(2)/35)*EA82+(1-EXP(-LN(2)/35))/(LN(2)/35)*DW83*DX83*VLOOKUP('Données projet'!$B$14,'Paramètres'!$A$1:$I$88,3,0)*0.475*44/12</f>
        <v>#N/A</v>
      </c>
      <c r="EB83" s="162" t="str">
        <f>EXP(-LN(2)/25)*EB82+(1-EXP(-LN(2)/25))/(LN(2)/25)*Calculateur!DW83*Calculateur!DY83*VLOOKUP('Données projet'!$B$14,'Paramètres'!$A$1:$I$88,3,0)*0.475*44/12</f>
        <v>#N/A</v>
      </c>
      <c r="EC83" s="162" t="str">
        <f>EXP(-LN(2)/2)*EC82+(1-EXP(-LN(2)/2))/(LN(2)/2)*DW83*DZ83*VLOOKUP('Données projet'!$B$14,'Paramètres'!$A$1:$I$88,3,0)*0.475*44/12</f>
        <v>#N/A</v>
      </c>
      <c r="ED83" s="163" t="str">
        <f t="shared" si="19"/>
        <v>#N/A</v>
      </c>
      <c r="EE83" s="159">
        <f>('Scénario référence'!$F$8+'Scénario référence'!$F$9+'Scénario référence'!$B$17+'Scénario référence'!$B$9+'Scénario référence'!$B$10)*70+IF((45+25*(1-EXP(-0.0175*A83)))&lt;70,'Scénario référence'!$B$16*(45+25*(1-EXP(-0.0175*A83))),70*'Scénario référence'!$B$16)+IF((32+38*(1-EXP(-0.0175*A83)))&lt;70,'Scénario référence'!$B$18*(32+38*(1-EXP(-0.0175*A83))),70*'Scénario référence'!$B$18)</f>
        <v>70</v>
      </c>
      <c r="EF83" s="151">
        <f>IF(A83&gt;30,10,('Scénario référence'!$B$16+'Scénario référence'!$B$17+'Scénario référence'!$B$18+'Scénario référence'!$B$9+'Scénario référence'!$B$10)*A83*10/30+('Scénario référence'!$F$8+'Scénario référence'!$F$9)*10)</f>
        <v>10</v>
      </c>
      <c r="EG83" s="151" t="str">
        <f>VLOOKUP(A83,'Données projet'!$A$191:$I$211,2,0)</f>
        <v>#N/A</v>
      </c>
      <c r="EH83" s="151" t="str">
        <f>VLOOKUP(A83,'Données projet'!$A$191:$I$211,9,0)</f>
        <v>#N/A</v>
      </c>
      <c r="EI83" s="151" t="str">
        <f t="array" ref="EI83">INDEX(EH:EH,MIN(IF(ISNUMBER(EH83:EH279),ROW(EH83:EH279),"")))</f>
        <v/>
      </c>
      <c r="EJ83" s="151">
        <f>IF('Données projet'!$A$192&gt;35,EJ82+EI83-ER82,IF(A83&lt;'Données projet'!$A$192,$EG$205^A83,IF(A83='Données projet'!$A$192,'Données projet'!$B$192,EJ82+EI83-ER82)))</f>
        <v>0</v>
      </c>
      <c r="EK83" s="158" t="str">
        <f>EJ83*VLOOKUP('Données projet'!$B$15,'Paramètres'!$A$1:$I$88,3,0)*VLOOKUP('Données projet'!$B$15,'Paramètres'!$A$1:$I$88,5,0)</f>
        <v>#N/A</v>
      </c>
      <c r="EL83" s="150" t="str">
        <f t="shared" si="46"/>
        <v>#N/A</v>
      </c>
      <c r="EM83" s="161" t="str">
        <f t="shared" si="20"/>
        <v>#N/A</v>
      </c>
      <c r="EN83" s="153" t="str">
        <f t="shared" si="21"/>
        <v>#N/A</v>
      </c>
      <c r="EO83" s="153" t="str">
        <f>AVERAGE(OFFSET($EN$3,0,0,'Données projet'!$E$15+1,1))-AVERAGE(OFFSET($H$3,0,0,'Données projet'!$E$15+1,1))</f>
        <v>#N/A</v>
      </c>
      <c r="EP83" s="153" t="str">
        <f t="shared" si="47"/>
        <v>#N/A</v>
      </c>
      <c r="EQ83" s="154">
        <f>IF(ISNA(VLOOKUP(A83,'Données projet'!$A$191:$I$211,3,0)),0,VLOOKUP(A83,'Données projet'!$A$191:$I$211,3,0))</f>
        <v>0</v>
      </c>
      <c r="ER83" s="154">
        <f>IF(ISNA(VLOOKUP(A83,'Données projet'!$A$191:$I$211,4,0)),0,VLOOKUP(A83,'Données projet'!$A$191:$I$211,4,0))</f>
        <v>0</v>
      </c>
      <c r="ES83" s="155">
        <f>IF(ISNA(VLOOKUP(A83,'Données projet'!$A$191:$I$211,5,0)),0%,VLOOKUP(A83,'Données projet'!$A$191:$I$211,5,0)*VLOOKUP('Données projet'!$B$15,'Paramètres'!$A$1:$I$88,7,0))</f>
        <v>0</v>
      </c>
      <c r="ET83" s="155">
        <f>IF(ISNA(VLOOKUP(A83,'Données projet'!$A$191:$I$211,6,0)),0%,VLOOKUP(A83,'Données projet'!$A$191:$I$211,6,0)*VLOOKUP('Données projet'!$B$15,'Paramètres'!$A$1:$I$88,7,0))</f>
        <v>0</v>
      </c>
      <c r="EU83" s="155">
        <f>IF(ISNA(VLOOKUP(A83,'Données projet'!$A$191:$I$211,7,0)),0%,VLOOKUP(A83,'Données projet'!$A$191:$I$211,7,0))</f>
        <v>0</v>
      </c>
      <c r="EV83" s="162" t="str">
        <f>EXP(-LN(2)/35)*EV82+(1-EXP(-LN(2)/35))/(LN(2)/35)*ER83*ES83*VLOOKUP('Données projet'!$B$15,'Paramètres'!$A$1:$I$88,3,0)*0.475*44/12</f>
        <v>#N/A</v>
      </c>
      <c r="EW83" s="162" t="str">
        <f>EXP(-LN(2)/25)*EW82+(1-EXP(-LN(2)/25))/(LN(2)/25)*Calculateur!ER83*Calculateur!ET83*VLOOKUP('Données projet'!$B$15,'Paramètres'!$A$1:$I$88,3,0)*0.475*44/12</f>
        <v>#N/A</v>
      </c>
      <c r="EX83" s="162" t="str">
        <f>EXP(-LN(2)/2)*EX82+(1-EXP(-LN(2)/2))/(LN(2)/2)*ER83*EU83*VLOOKUP('Données projet'!$B$15,'Paramètres'!$A$1:$I$88,3,0)*0.475*44/12</f>
        <v>#N/A</v>
      </c>
      <c r="EY83" s="163" t="str">
        <f t="shared" si="22"/>
        <v>#N/A</v>
      </c>
      <c r="EZ83" s="159">
        <f>('Scénario référence'!$F$8+'Scénario référence'!$F$9+'Scénario référence'!$B$17+'Scénario référence'!$B$9+'Scénario référence'!$B$10)*70+IF((45+25*(1-EXP(-0.0175*A83)))&lt;70,'Scénario référence'!$B$16*(45+25*(1-EXP(-0.0175*A83))),70*'Scénario référence'!$B$16)+IF((32+38*(1-EXP(-0.0175*A83)))&lt;70,'Scénario référence'!$B$18*(32+38*(1-EXP(-0.0175*A83))),70*'Scénario référence'!$B$18)</f>
        <v>70</v>
      </c>
      <c r="FA83" s="151">
        <f>IF(A83&gt;30,10,('Scénario référence'!$B$16+'Scénario référence'!$B$17+'Scénario référence'!$B$18+'Scénario référence'!$B$9+'Scénario référence'!$B$10)*A83*10/30+('Scénario référence'!$F$8+'Scénario référence'!$F$9)*10)</f>
        <v>10</v>
      </c>
      <c r="FB83" s="151" t="str">
        <f>VLOOKUP(A83,'Données projet'!$A$217:$I$237,2,0)</f>
        <v>#N/A</v>
      </c>
      <c r="FC83" s="151" t="str">
        <f>VLOOKUP(A83,'Données projet'!$A$217:$I$237,9,0)</f>
        <v>#N/A</v>
      </c>
      <c r="FD83" s="151" t="str">
        <f t="array" ref="FD83">INDEX(FC:FC,MIN(IF(ISNUMBER(FC83:FC279),ROW(FC83:FC279),"")))</f>
        <v/>
      </c>
      <c r="FE83" s="151">
        <f>IF('Données projet'!$A$218&gt;35,FE82+FD83-FM82,IF(A83&lt;'Données projet'!$A$218,$FB$205^A83,IF(A83='Données projet'!$A$218,'Données projet'!$B$218,FE82+FD83-FM82)))</f>
        <v>0</v>
      </c>
      <c r="FF83" s="158" t="str">
        <f>FE83*VLOOKUP('Données projet'!$B$16,'Paramètres'!$A$1:$I$88,3,0)*VLOOKUP('Données projet'!$B$16,'Paramètres'!$A$1:$I$88,5,0)</f>
        <v>#N/A</v>
      </c>
      <c r="FG83" s="150" t="str">
        <f t="shared" si="48"/>
        <v>#N/A</v>
      </c>
      <c r="FH83" s="161" t="str">
        <f t="shared" si="23"/>
        <v>#N/A</v>
      </c>
      <c r="FI83" s="153" t="str">
        <f t="shared" si="24"/>
        <v>#N/A</v>
      </c>
      <c r="FJ83" s="153" t="str">
        <f>AVERAGE(OFFSET($FI$3,0,0,'Données projet'!$E$16+1,1))-AVERAGE(OFFSET($H$3,0,0,'Données projet'!$E$16+1,1))</f>
        <v>#N/A</v>
      </c>
      <c r="FK83" s="153" t="str">
        <f t="shared" si="49"/>
        <v>#N/A</v>
      </c>
      <c r="FL83" s="154">
        <f>IF(ISNA(VLOOKUP(A83,'Données projet'!$A$217:$I$237,3,0)),0,VLOOKUP(A83,'Données projet'!$A$217:$I$237,3,0))</f>
        <v>0</v>
      </c>
      <c r="FM83" s="154">
        <f>IF(ISNA(VLOOKUP(A83,'Données projet'!$A$217:$I$237,4,0)),0,VLOOKUP(A83,'Données projet'!$A$217:$I$237,4,0))</f>
        <v>0</v>
      </c>
      <c r="FN83" s="155">
        <f>IF(ISNA(VLOOKUP(A83,'Données projet'!$A$217:$I$237,5,0)),0%,VLOOKUP(A83,'Données projet'!$A$217:$I$237,5,0)*VLOOKUP('Données projet'!$B$16,'Paramètres'!$A$1:$I$88,7,0))</f>
        <v>0</v>
      </c>
      <c r="FO83" s="155">
        <f>IF(ISNA(VLOOKUP(A83,'Données projet'!$A$217:$I$237,6,0)),0%,VLOOKUP(A83,'Données projet'!$A$217:$I$237,6,0)*VLOOKUP('Données projet'!$B$16,'Paramètres'!$A$1:$I$88,7,0))</f>
        <v>0</v>
      </c>
      <c r="FP83" s="155">
        <f>IF(ISNA(VLOOKUP(A83,'Données projet'!$A$217:$I$237,7,0)),0%,VLOOKUP(A83,'Données projet'!$A$217:$I$237,7,0))</f>
        <v>0</v>
      </c>
      <c r="FQ83" s="162" t="str">
        <f>EXP(-LN(2)/35)*FQ82+(1-EXP(-LN(2)/35))/(LN(2)/35)*FM83*FN83*VLOOKUP('Données projet'!$B$16,'Paramètres'!$A$1:$I$88,3,0)*0.475*44/12</f>
        <v>#N/A</v>
      </c>
      <c r="FR83" s="162" t="str">
        <f>EXP(-LN(2)/25)*FR82+(1-EXP(-LN(2)/25))/(LN(2)/25)*Calculateur!FM83*Calculateur!FO83*VLOOKUP('Données projet'!$B$16,'Paramètres'!$A$1:$I$88,3,0)*0.475*44/12</f>
        <v>#N/A</v>
      </c>
      <c r="FS83" s="162" t="str">
        <f>EXP(-LN(2)/2)*FS82+(1-EXP(-LN(2)/2))/(LN(2)/2)*FM83*FP83*VLOOKUP('Données projet'!$B$16,'Paramètres'!$A$1:$I$88,3,0)*0.475*44/12</f>
        <v>#N/A</v>
      </c>
      <c r="FT83" s="163" t="str">
        <f t="shared" si="25"/>
        <v>#N/A</v>
      </c>
      <c r="FU83" s="159">
        <f>('Scénario référence'!$F$8+'Scénario référence'!$F$9+'Scénario référence'!$B$17+'Scénario référence'!$B$9+'Scénario référence'!$B$10)*70+IF((45+25*(1-EXP(-0.0175*A83)))&lt;70,'Scénario référence'!$B$16*(45+25*(1-EXP(-0.0175*A83))),70*'Scénario référence'!$B$16)+IF((32+38*(1-EXP(-0.0175*A83)))&lt;70,'Scénario référence'!$B$18*(32+38*(1-EXP(-0.0175*A83))),70*'Scénario référence'!$B$18)</f>
        <v>70</v>
      </c>
      <c r="FV83" s="151">
        <f>IF(A83&gt;30,10,('Scénario référence'!$B$16+'Scénario référence'!$B$17+'Scénario référence'!$B$18+'Scénario référence'!$B$9+'Scénario référence'!$B$10)*A83*10/30+('Scénario référence'!$F$8+'Scénario référence'!$F$9)*10)</f>
        <v>10</v>
      </c>
      <c r="FW83" s="151" t="str">
        <f>VLOOKUP(A83,'Données projet'!$A$243:$I$263,2,0)</f>
        <v>#N/A</v>
      </c>
      <c r="FX83" s="151" t="str">
        <f>VLOOKUP(A83,'Données projet'!$A$243:$I$263,9,0)</f>
        <v>#N/A</v>
      </c>
      <c r="FY83" s="151" t="str">
        <f t="array" ref="FY83">INDEX(FX:FX,MIN(IF(ISNUMBER(FX83:FX279),ROW(FX83:FX279),"")))</f>
        <v/>
      </c>
      <c r="FZ83" s="151">
        <f>IF('Données projet'!$A$244&gt;35,FZ82+FY83-GH82,IF(A83&lt;'Données projet'!$A$244,$FW$205^A83,IF(A83='Données projet'!$A$244,'Données projet'!$B$244,FZ82+FY83-GH82)))</f>
        <v>0</v>
      </c>
      <c r="GA83" s="158" t="str">
        <f>FZ83*VLOOKUP('Données projet'!$B$17,'Paramètres'!$A$1:$I$88,3,0)*VLOOKUP('Données projet'!$B$17,'Paramètres'!$A$1:$I$88,5,0)</f>
        <v>#N/A</v>
      </c>
      <c r="GB83" s="150" t="str">
        <f t="shared" si="50"/>
        <v>#N/A</v>
      </c>
      <c r="GC83" s="161" t="str">
        <f t="shared" si="26"/>
        <v>#N/A</v>
      </c>
      <c r="GD83" s="153" t="str">
        <f t="shared" si="27"/>
        <v>#N/A</v>
      </c>
      <c r="GE83" s="153" t="str">
        <f>AVERAGE(OFFSET($GD$3,0,0,'Données projet'!$E$17+1,1))-AVERAGE(OFFSET($H$3,0,0,'Données projet'!$E$17+1,1))</f>
        <v>#N/A</v>
      </c>
      <c r="GF83" s="153" t="str">
        <f t="shared" si="51"/>
        <v>#N/A</v>
      </c>
      <c r="GG83" s="154">
        <f>IF(ISNA(VLOOKUP(A83,'Données projet'!$A$243:$I$263,3,0)),0,VLOOKUP(A83,'Données projet'!$A$243:$I$263,3,0))</f>
        <v>0</v>
      </c>
      <c r="GH83" s="154">
        <f>IF(ISNA(VLOOKUP(A83,'Données projet'!$A$243:$I$263,4,0)),0,VLOOKUP(A83,'Données projet'!$A$243:$I$263,4,0))</f>
        <v>0</v>
      </c>
      <c r="GI83" s="155">
        <f>IF(ISNA(VLOOKUP(A83,'Données projet'!$A$243:$I$263,5,0)),0%,VLOOKUP(A83,'Données projet'!$A$243:$I$263,5,0)*VLOOKUP('Données projet'!$B$17,'Paramètres'!$A$1:$I$88,7,0))</f>
        <v>0</v>
      </c>
      <c r="GJ83" s="155">
        <f>IF(ISNA(VLOOKUP(A83,'Données projet'!$A$243:$I$263,6,0)),0%,VLOOKUP(A83,'Données projet'!$A$243:$I$263,6,0)*VLOOKUP('Données projet'!$B$17,'Paramètres'!$A$1:$I$88,7,0))</f>
        <v>0</v>
      </c>
      <c r="GK83" s="155">
        <f>IF(ISNA(VLOOKUP(A83,'Données projet'!$A$243:$I$263,7,0)),0%,VLOOKUP(A83,'Données projet'!$A$243:$I$263,7,0))</f>
        <v>0</v>
      </c>
      <c r="GL83" s="162" t="str">
        <f>EXP(-LN(2)/35)*GL82+(1-EXP(-LN(2)/35))/(LN(2)/35)*GH83*GI83*VLOOKUP('Données projet'!$B$17,'Paramètres'!$A$1:$I$88,3,0)*0.475*44/12</f>
        <v>#N/A</v>
      </c>
      <c r="GM83" s="162" t="str">
        <f>EXP(-LN(2)/25)*GM82+(1-EXP(-LN(2)/25))/(LN(2)/25)*Calculateur!GH83*Calculateur!GJ83*VLOOKUP('Données projet'!$B$17,'Paramètres'!$A$1:$I$88,3,0)*0.475*44/12</f>
        <v>#N/A</v>
      </c>
      <c r="GN83" s="162" t="str">
        <f>EXP(-LN(2)/2)*GN82+(1-EXP(-LN(2)/2))/(LN(2)/2)*GH83*GK83*VLOOKUP('Données projet'!$B$17,'Paramètres'!$A$1:$I$88,3,0)*0.475*44/12</f>
        <v>#N/A</v>
      </c>
      <c r="GO83" s="162" t="str">
        <f t="shared" si="28"/>
        <v>#N/A</v>
      </c>
      <c r="GP83" s="159">
        <f>('Scénario référence'!$F$8+'Scénario référence'!$F$9+'Scénario référence'!$B$17+'Scénario référence'!$B$9+'Scénario référence'!$B$10)*70+IF((45+25*(1-EXP(-0.0175*A83)))&lt;70,'Scénario référence'!$B$16*(45+25*(1-EXP(-0.0175*A83))),70*'Scénario référence'!$B$16)+IF((32+38*(1-EXP(-0.0175*A83)))&lt;70,'Scénario référence'!$B$18*(32+38*(1-EXP(-0.0175*A83))),70*'Scénario référence'!$B$18)</f>
        <v>70</v>
      </c>
      <c r="GQ83" s="151">
        <f>IF(A83&gt;30,10,('Scénario référence'!$B$16+'Scénario référence'!$B$17+'Scénario référence'!$B$18+'Scénario référence'!$B$9+'Scénario référence'!$B$10)*A83*10/30+('Scénario référence'!$F$8+'Scénario référence'!$F$9)*10)</f>
        <v>10</v>
      </c>
      <c r="GR83" s="151" t="str">
        <f>VLOOKUP(A83,'Données projet'!$A$269:$I$289,2,0)</f>
        <v>#N/A</v>
      </c>
      <c r="GS83" s="151" t="str">
        <f>VLOOKUP(A83,'Données projet'!$A$269:$I$289,9,0)</f>
        <v>#N/A</v>
      </c>
      <c r="GT83" s="151" t="str">
        <f t="array" ref="GT83">INDEX(GS:GS,MIN(IF(ISNUMBER(GS83:GS279),ROW(GS83:GS279),"")))</f>
        <v/>
      </c>
      <c r="GU83" s="151">
        <f>IF('Données projet'!$A$270&gt;35,GU82+GT83-HC82,IF(A83&lt;'Données projet'!$A$270,$GR$205^A83,IF(A83='Données projet'!$A$270,'Données projet'!$B$270,GU82+GT83-HC82)))</f>
        <v>0</v>
      </c>
      <c r="GV83" s="158" t="str">
        <f>GU83*VLOOKUP('Données projet'!$B$18,'Paramètres'!$A$1:$I$88,3,0)*VLOOKUP('Données projet'!$B$18,'Paramètres'!$A$1:$I$88,5,0)</f>
        <v>#N/A</v>
      </c>
      <c r="GW83" s="150" t="str">
        <f t="shared" si="52"/>
        <v>#N/A</v>
      </c>
      <c r="GX83" s="161" t="str">
        <f t="shared" si="29"/>
        <v>#N/A</v>
      </c>
      <c r="GY83" s="153" t="str">
        <f t="shared" si="30"/>
        <v>#N/A</v>
      </c>
      <c r="GZ83" s="153" t="str">
        <f>AVERAGE(OFFSET($GY$3,0,0,'Données projet'!$E$18+1,1))-AVERAGE(OFFSET($H$3,0,0,'Données projet'!$E$18+1,1))</f>
        <v>#N/A</v>
      </c>
      <c r="HA83" s="153" t="str">
        <f t="shared" si="53"/>
        <v>#N/A</v>
      </c>
      <c r="HB83" s="154">
        <f>IF(ISNA(VLOOKUP(A83,'Données projet'!$A$269:$I$289,3,0)),0,VLOOKUP(A83,'Données projet'!$A$269:$I$289,3,0))</f>
        <v>0</v>
      </c>
      <c r="HC83" s="154">
        <f>IF(ISNA(VLOOKUP(A83,'Données projet'!$A$269:$I$289,4,0)),0,VLOOKUP(A83,'Données projet'!$A$269:$I$289,4,0))</f>
        <v>0</v>
      </c>
      <c r="HD83" s="155">
        <f>IF(ISNA(VLOOKUP(A83,'Données projet'!$A$269:$I$289,5,0)),0%,VLOOKUP(A83,'Données projet'!$A$269:$I$289,5,0)*VLOOKUP('Données projet'!$B$18,'Paramètres'!$A$1:$I$88,7,0))</f>
        <v>0</v>
      </c>
      <c r="HE83" s="155">
        <f>IF(ISNA(VLOOKUP(A83,'Données projet'!$A$269:$I$289,6,0)),0%,VLOOKUP(A83,'Données projet'!$A$269:$I$289,6,0)*VLOOKUP('Données projet'!$B$18,'Paramètres'!$A$1:$I$88,7,0))</f>
        <v>0</v>
      </c>
      <c r="HF83" s="155">
        <f>IF(ISNA(VLOOKUP(A83,'Données projet'!$A$269:$I$289,7,0)),0%,VLOOKUP(A83,'Données projet'!$A$269:$I$289,7,0))</f>
        <v>0</v>
      </c>
      <c r="HG83" s="162" t="str">
        <f>EXP(-LN(2)/35)*HG82+(1-EXP(-LN(2)/35))/(LN(2)/35)*HC83*HD83*VLOOKUP('Données projet'!$B$18,'Paramètres'!$A$1:$I$88,3,0)*0.475*44/12</f>
        <v>#N/A</v>
      </c>
      <c r="HH83" s="162" t="str">
        <f>EXP(-LN(2)/25)*HH82+(1-EXP(-LN(2)/25))/(LN(2)/25)*Calculateur!HC83*Calculateur!HE83*VLOOKUP('Données projet'!$B$18,'Paramètres'!$A$1:$I$88,3,0)*0.475*44/12</f>
        <v>#N/A</v>
      </c>
      <c r="HI83" s="162" t="str">
        <f>EXP(-LN(2)/2)*HI82+(1-EXP(-LN(2)/2))/(LN(2)/2)*HC83*HF83*VLOOKUP('Données projet'!$B$18,'Paramètres'!$A$1:$I$88,3,0)*0.475*44/12</f>
        <v>#N/A</v>
      </c>
      <c r="HJ83" s="163" t="str">
        <f t="shared" si="31"/>
        <v>#N/A</v>
      </c>
    </row>
    <row r="84" ht="15.75" customHeight="1">
      <c r="A84" s="145">
        <f t="shared" si="32"/>
        <v>81</v>
      </c>
      <c r="B84" s="146">
        <f>'Scénario référence'!$B$16*5+'Scénario référence'!$B$17*0+'Scénario référence'!$B$18*5</f>
        <v>0</v>
      </c>
      <c r="C84" s="160">
        <f>Calculateur!C83+'Scénario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84" s="147">
        <f t="shared" si="33"/>
        <v>0</v>
      </c>
      <c r="E84" s="147">
        <f>'Scénario référence'!$B$16*45+('Scénario référence'!$B$17+'Scénario référence'!$F$8+'Scénario référence'!$F$9+'Scénario référence'!$B$10+'Scénario référence'!$B$9)*70+'Scénario référence'!$B$18*32</f>
        <v>70</v>
      </c>
      <c r="F84" s="147">
        <f>IF(OR('Scénario référence'!$F$8&gt;0,'Scénario référence'!$F$9&gt;0),('Scénario référence'!$F$8+'Scénario référence'!$F$9)*10,0)</f>
        <v>0</v>
      </c>
      <c r="G84" s="147">
        <f>'Scénario référence'!$B$8*B84*44/12+'Scénario référence'!$B$9*(C84+D84)/0.475*44/12+'Scénario référence'!$B$10*(C84+D84)/0.475*44/12+'Scénario référence'!$F$8*(C84+D84)/0.475*44/12+'Scénario référence'!$F$9*(C84+D84)/0.475*44/12</f>
        <v>0</v>
      </c>
      <c r="H84" s="148">
        <f t="shared" si="1"/>
        <v>256.6666667</v>
      </c>
      <c r="I84" s="149">
        <f>('Scénario référence'!$F$8+'Scénario référence'!$F$9+'Scénario référence'!$B$17+'Scénario référence'!$B$9+'Scénario référence'!$B$10)*70+IF((45+25*(1-EXP(-0.0175*A84)))&lt;70,'Scénario référence'!$B$16*(45+25*(1-EXP(-0.0175*A84))),70*'Scénario référence'!$B$16)+IF((32+38*(1-EXP(-0.0175*A84)))&lt;70,'Scénario référence'!$B$18*(32+38*(1-EXP(-0.0175*A84))),70*'Scénario référence'!$B$18)</f>
        <v>70</v>
      </c>
      <c r="J84" s="150">
        <f>IF(A84&gt;30,10,('Scénario référence'!$B$16+'Scénario référence'!$B$17+'Scénario référence'!$B$18+'Scénario référence'!$B$9+'Scénario référence'!$B$10)*A84*10/30+('Scénario référence'!$F$8+'Scénario référence'!$F$9)*10)</f>
        <v>10</v>
      </c>
      <c r="K84" s="151" t="str">
        <f>VLOOKUP(A84,'Données projet'!$A$35:$I$55,2,0)</f>
        <v>#N/A</v>
      </c>
      <c r="L84" s="151" t="str">
        <f>VLOOKUP(A84,'Données projet'!$A$35:$I$55,9,0)</f>
        <v>#N/A</v>
      </c>
      <c r="M84" s="150">
        <f t="array" ref="M84">INDEX(L:L,MIN(IF(ISNUMBER(L84:L280),ROW(L84:L280),"")))</f>
        <v>6.8</v>
      </c>
      <c r="N84" s="150">
        <f>IF('Données projet'!$A$36&gt;35,N83+M84-V83,IF(A84&lt;'Données projet'!$A$36,$K$205^A84,IF(A84='Données projet'!$A$36,'Données projet'!$B$36,N83+M84-V83)))</f>
        <v>298.8</v>
      </c>
      <c r="O84" s="150">
        <f>N84*VLOOKUP('Données projet'!$B$9,'Paramètres'!$A$1:$I$88,3,0)*VLOOKUP('Données projet'!$B$9,'Paramètres'!$A$1:$I$88,5,0)</f>
        <v>270.35424</v>
      </c>
      <c r="P84" s="150">
        <f t="shared" si="34"/>
        <v>64.92444222</v>
      </c>
      <c r="Q84" s="161">
        <f t="shared" si="2"/>
        <v>583.9437049</v>
      </c>
      <c r="R84" s="153">
        <f t="shared" si="3"/>
        <v>877.2770382</v>
      </c>
      <c r="S84" s="153">
        <f>AVERAGE(OFFSET($R$3,0,0,'Données projet'!$E$9+1,1))-AVERAGE(OFFSET($H$3,0,0,'Données projet'!$E$9+1,1))</f>
        <v>439.1985427</v>
      </c>
      <c r="T84" s="153">
        <f t="shared" si="35"/>
        <v>278.2174123</v>
      </c>
      <c r="U84" s="154">
        <f>IF(ISNA(VLOOKUP(A84,'Données projet'!$A$35:$I$55,3,0)),0,VLOOKUP(A84,'Données projet'!$A$35:$I$55,3,0))</f>
        <v>0</v>
      </c>
      <c r="V84" s="154">
        <f>IF(ISNA(VLOOKUP(A84,'Données projet'!$A$35:$I$55,4,0)),0,VLOOKUP(A84,'Données projet'!$A$35:$I$55,4,0))</f>
        <v>0</v>
      </c>
      <c r="W84" s="155">
        <f>IF(ISNA(VLOOKUP(A84,'Données projet'!$A$35:$I$55,5,0)),0%,VLOOKUP(A84,'Données projet'!$A$35:$I$55,5,0)*VLOOKUP('Données projet'!$B$9,'Paramètres'!$A$1:$I$88,7,0))</f>
        <v>0</v>
      </c>
      <c r="X84" s="155">
        <f>IF(ISNA(VLOOKUP(A84,'Données projet'!$A$35:$I$55,6,0)),0%,VLOOKUP(A84,'Données projet'!$A$35:$I$55,6,0)*VLOOKUP('Données projet'!$B$9,'Paramètres'!$A$1:$I$88,7,0))</f>
        <v>0</v>
      </c>
      <c r="Y84" s="155">
        <f>IF(ISNA(VLOOKUP(A84,'Données projet'!$A$35:$I$55,7,0)),0%,VLOOKUP(A84,'Données projet'!$A$35:$I$55,7,0))</f>
        <v>0</v>
      </c>
      <c r="Z84" s="162">
        <f>EXP(-LN(2)/35)*Z83+(1-EXP(-LN(2)/35))/(LN(2)/35)*V84*W84*VLOOKUP('Données projet'!$B$9,'Paramètres'!$A$1:$I$88,3,0)*0.475*44/12</f>
        <v>0</v>
      </c>
      <c r="AA84" s="162">
        <f>EXP(-LN(2)/25)*AA83+(1-EXP(-LN(2)/25))/(LN(2)/25)*Calculateur!V84*Calculateur!X84*VLOOKUP('Données projet'!$B$9,'Paramètres'!$A$1:$I$88,3,0)*0.475*44/12</f>
        <v>1.091216911</v>
      </c>
      <c r="AB84" s="162">
        <f>EXP(-LN(2)/2)*AB83+(1-EXP(-LN(2)/2))/(LN(2)/2)*V84*Y84*VLOOKUP('Données projet'!$B$9,'Paramètres'!$A$1:$I$88,3,0)*0.475*44/12</f>
        <v>0</v>
      </c>
      <c r="AC84" s="163">
        <f t="shared" si="4"/>
        <v>1.091216911</v>
      </c>
      <c r="AD84" s="150">
        <f>('Scénario référence'!$F$8+'Scénario référence'!$F$9+'Scénario référence'!$B$17+'Scénario référence'!$B$9+'Scénario référence'!$B$10)*70+IF((45+25*(1-EXP(-0.0175*A84)))&lt;70,'Scénario référence'!$B$16*(45+25*(1-EXP(-0.0175*A84))),70*'Scénario référence'!$B$16)+IF((32+38*(1-EXP(-0.0175*A84)))&lt;70,'Scénario référence'!$B$18*(32+38*(1-EXP(-0.0175*A84))),70*'Scénario référence'!$B$18)</f>
        <v>70</v>
      </c>
      <c r="AE84" s="150">
        <f>IF(A84&gt;30,10,('Scénario référence'!$B$16+'Scénario référence'!$B$17+'Scénario référence'!$B$18+'Scénario référence'!$B$9+'Scénario référence'!$B$10)*A84*10/30+('Scénario référence'!$F$8+'Scénario référence'!$F$9)*10)</f>
        <v>10</v>
      </c>
      <c r="AF84" s="151" t="str">
        <f>VLOOKUP(A84,'Données projet'!$A$61:$I$81,2,0)</f>
        <v>#N/A</v>
      </c>
      <c r="AG84" s="151" t="str">
        <f>VLOOKUP(A84,'Données projet'!$A$61:$I$81,9,0)</f>
        <v>#N/A</v>
      </c>
      <c r="AH84" s="151" t="str">
        <f t="array" ref="AH84">INDEX(AG:AG,MIN(IF(ISNUMBER(AG84:AG280),ROW(AG84:AG280),"")))</f>
        <v/>
      </c>
      <c r="AI84" s="150">
        <f>IF('Données projet'!$A$62&gt;35,AI83+AH84-AQ83,IF(A84&lt;'Données projet'!$A$62,$AF$205^A84,IF(A84='Données projet'!$A$62,'Données projet'!$B$62,AI83+AH84-AQ83)))</f>
        <v>369</v>
      </c>
      <c r="AJ84" s="150">
        <f>AI84*VLOOKUP('Données projet'!$B$10,'Paramètres'!$A$1:$I$88,3,0)*VLOOKUP('Données projet'!$B$10,'Paramètres'!$A$1:$I$88,5,0)</f>
        <v>293.5764</v>
      </c>
      <c r="AK84" s="150">
        <f t="shared" si="36"/>
        <v>69.82813851</v>
      </c>
      <c r="AL84" s="161">
        <f t="shared" si="5"/>
        <v>632.9295712</v>
      </c>
      <c r="AM84" s="153">
        <f t="shared" si="6"/>
        <v>926.2629046</v>
      </c>
      <c r="AN84" s="153">
        <f>AVERAGE(OFFSET($AM$3,0,0,'Données projet'!$E$10+1,1))-AVERAGE(OFFSET($H$3,0,0,'Données projet'!$E$10+1,1))</f>
        <v>405.6113614</v>
      </c>
      <c r="AO84" s="153">
        <f t="shared" si="37"/>
        <v>393.0787141</v>
      </c>
      <c r="AP84" s="154">
        <f>IF(ISNA(VLOOKUP(A84,'Données projet'!$A$61:$I$81,3,0)),0,VLOOKUP(A84,'Données projet'!$A$61:$I$81,3,0))</f>
        <v>0</v>
      </c>
      <c r="AQ84" s="154">
        <f>IF(ISNA(VLOOKUP(A84,'Données projet'!$A$61:$I$81,4,0)),0,VLOOKUP(A84,'Données projet'!$A$61:$I$81,4,0))</f>
        <v>0</v>
      </c>
      <c r="AR84" s="155">
        <f>IF(ISNA(VLOOKUP(A84,'Données projet'!$A$61:$I$81,5,0)),0%,VLOOKUP(A84,'Données projet'!$A$61:$I$81,5,0)*VLOOKUP('Données projet'!$B$10,'Paramètres'!$A$1:$I$88,7,0))</f>
        <v>0</v>
      </c>
      <c r="AS84" s="155">
        <f>IF(ISNA(VLOOKUP(A84,'Données projet'!$A$61:$I$81,6,0)),0%,VLOOKUP(A84,'Données projet'!$A$61:$I$81,6,0)*VLOOKUP('Données projet'!$B$10,'Paramètres'!$A$1:$I$88,7,0))</f>
        <v>0</v>
      </c>
      <c r="AT84" s="155">
        <f>IF(ISNA(VLOOKUP(A84,'Données projet'!$A$61:$I$81,7,0)),0%,VLOOKUP(A84,'Données projet'!$A$61:$I$81,7,0))</f>
        <v>0</v>
      </c>
      <c r="AU84" s="162">
        <f>EXP(-LN(2)/35)*AU83+(1-EXP(-LN(2)/35))/(LN(2)/35)*AQ84*AR84*VLOOKUP('Données projet'!$B$10,'Paramètres'!$A$1:$I$88,3,0)*0.475*44/12</f>
        <v>0</v>
      </c>
      <c r="AV84" s="162">
        <f>EXP(-LN(2)/25)*AV83+(1-EXP(-LN(2)/25))/(LN(2)/25)*Calculateur!AQ84*Calculateur!AS84*VLOOKUP('Données projet'!$B$10,'Paramètres'!$A$1:$I$88,3,0)*0.475*44/12</f>
        <v>4.434982925</v>
      </c>
      <c r="AW84" s="162">
        <f>EXP(-LN(2)/2)*AW83+(1-EXP(-LN(2)/2))/(LN(2)/2)*AQ84*AT84*VLOOKUP('Données projet'!$B$10,'Paramètres'!$A$1:$I$88,3,0)*0.475*44/12</f>
        <v>0.00000001221652122</v>
      </c>
      <c r="AX84" s="162">
        <f t="shared" si="7"/>
        <v>4.434982937</v>
      </c>
      <c r="AY84" s="157">
        <f>('Scénario référence'!$F$8+'Scénario référence'!$F$9+'Scénario référence'!$B$17+'Scénario référence'!$B$9+'Scénario référence'!$B$10)*70+IF((45+25*(1-EXP(-0.0175*A84)))&lt;70,'Scénario référence'!$B$16*(45+25*(1-EXP(-0.0175*A84))),70*'Scénario référence'!$B$16)+IF((32+38*(1-EXP(-0.0175*A84)))&lt;70,'Scénario référence'!$B$18*(32+38*(1-EXP(-0.0175*A84))),70*'Scénario référence'!$B$18)</f>
        <v>70</v>
      </c>
      <c r="AZ84" s="151">
        <f>IF(A84&gt;30,10,('Scénario référence'!$B$16+'Scénario référence'!$B$17+'Scénario référence'!$B$18+'Scénario référence'!$B$9+'Scénario référence'!$B$10)*A84*10/30+('Scénario référence'!$F$8+'Scénario référence'!$F$9)*10)</f>
        <v>10</v>
      </c>
      <c r="BA84" s="151" t="str">
        <f>VLOOKUP(A84,'Données projet'!$A$87:$I$107,2,0)</f>
        <v>#N/A</v>
      </c>
      <c r="BB84" s="151" t="str">
        <f>VLOOKUP(A84,'Données projet'!$A$87:$I$107,9,0)</f>
        <v>#N/A</v>
      </c>
      <c r="BC84" s="151" t="str">
        <f t="array" ref="BC84">INDEX(BB:BB,MIN(IF(ISNUMBER(BB84:BB280),ROW(BB84:BB280),"")))</f>
        <v/>
      </c>
      <c r="BD84" s="150">
        <f>IF('Données projet'!$A$88&gt;35,BD83+BC84-BL83,IF(A84&lt;'Données projet'!$A$88,$BA$205^A84,IF(A84='Données projet'!$A$88,'Données projet'!$B$88,BD83+BC84-BL83)))</f>
        <v>0</v>
      </c>
      <c r="BE84" s="150">
        <f>BD84*VLOOKUP('Données projet'!$B$11,'Paramètres'!$A$1:$I$88,3,0)*VLOOKUP('Données projet'!$B$11,'Paramètres'!$A$1:$I$88,5,0)</f>
        <v>0</v>
      </c>
      <c r="BF84" s="150" t="str">
        <f t="shared" si="38"/>
        <v>#NUM!</v>
      </c>
      <c r="BG84" s="161" t="str">
        <f t="shared" si="8"/>
        <v>#NUM!</v>
      </c>
      <c r="BH84" s="153" t="str">
        <f t="shared" si="9"/>
        <v>#NUM!</v>
      </c>
      <c r="BI84" s="153">
        <f>AVERAGE(OFFSET($BH$3,0,0,'Données projet'!$E$11+1,1))-AVERAGE(OFFSET($H$3,0,0,'Données projet'!$E$11+1,1))</f>
        <v>0</v>
      </c>
      <c r="BJ84" s="153">
        <f t="shared" si="39"/>
        <v>0</v>
      </c>
      <c r="BK84" s="154">
        <f>IF(ISNA(VLOOKUP(A84,'Données projet'!$A$87:$I$107,3,0)),0,VLOOKUP(A84,'Données projet'!$A$87:$I$107,3,0))</f>
        <v>0</v>
      </c>
      <c r="BL84" s="154">
        <f>IF(ISNA(VLOOKUP(A84,'Données projet'!$A$87:$I$107,4,0)),0,VLOOKUP(A84,'Données projet'!$A$87:$I$107,4,0))</f>
        <v>0</v>
      </c>
      <c r="BM84" s="155">
        <f>IF(ISNA(VLOOKUP(A84,'Données projet'!$A$87:$I$107,5,0)),0%,VLOOKUP(A84,'Données projet'!$A$87:$I$107,5,0)*VLOOKUP('Données projet'!$B$11,'Paramètres'!$A$1:$I$88,7,0))</f>
        <v>0</v>
      </c>
      <c r="BN84" s="155">
        <f>IF(ISNA(VLOOKUP(A84,'Données projet'!$A$87:$I$107,6,0)),0%,VLOOKUP(A84,'Données projet'!$A$87:$I$107,6,0)*VLOOKUP('Données projet'!$B$11,'Paramètres'!$A$1:$I$88,7,0))</f>
        <v>0</v>
      </c>
      <c r="BO84" s="155">
        <f>IF(ISNA(VLOOKUP(A84,'Données projet'!$A$87:$I$107,7,0)),0%,VLOOKUP(A84,'Données projet'!$A$87:$I$107,7,0))</f>
        <v>0</v>
      </c>
      <c r="BP84" s="162">
        <f>EXP(-LN(2)/35)*BP83+(1-EXP(-LN(2)/35))/(LN(2)/35)*BL84*BM84*VLOOKUP('Données projet'!$B$11,'Paramètres'!$A$1:$I$88,3,0)*0.475*44/12</f>
        <v>0</v>
      </c>
      <c r="BQ84" s="162">
        <f>EXP(-LN(2)/25)*BQ83+(1-EXP(-LN(2)/25))/(LN(2)/25)*Calculateur!BL84*Calculateur!BN84*VLOOKUP('Données projet'!$B$11,'Paramètres'!$A$1:$I$88,3,0)*0.475*44/12</f>
        <v>0</v>
      </c>
      <c r="BR84" s="162">
        <f>EXP(-LN(2)/2)*BR83+(1-EXP(-LN(2)/2))/(LN(2)/2)*BL84*BO84*VLOOKUP('Données projet'!$B$11,'Paramètres'!$A$1:$I$88,3,0)*0.475*44/12</f>
        <v>0</v>
      </c>
      <c r="BS84" s="163">
        <f t="shared" si="10"/>
        <v>0</v>
      </c>
      <c r="BT84" s="159">
        <f>('Scénario référence'!$F$8+'Scénario référence'!$F$9+'Scénario référence'!$B$17+'Scénario référence'!$B$9+'Scénario référence'!$B$10)*70+IF((45+25*(1-EXP(-0.0175*A84)))&lt;70,'Scénario référence'!$B$16*(45+25*(1-EXP(-0.0175*A84))),70*'Scénario référence'!$B$16)+IF((32+38*(1-EXP(-0.0175*A84)))&lt;70,'Scénario référence'!$B$18*(32+38*(1-EXP(-0.0175*A84))),70*'Scénario référence'!$B$18)</f>
        <v>70</v>
      </c>
      <c r="BU84" s="151">
        <f>IF(A84&gt;30,10,('Scénario référence'!$B$16+'Scénario référence'!$B$17+'Scénario référence'!$B$18+'Scénario référence'!$B$9+'Scénario référence'!$B$10)*A84*10/30+('Scénario référence'!$F$8+'Scénario référence'!$F$9)*10)</f>
        <v>10</v>
      </c>
      <c r="BV84" s="151" t="str">
        <f>VLOOKUP(A84,'Données projet'!$A$113:$I$133,2,0)</f>
        <v>#N/A</v>
      </c>
      <c r="BW84" s="151" t="str">
        <f>VLOOKUP(A84,'Données projet'!$A$113:$I$133,9,0)</f>
        <v>#N/A</v>
      </c>
      <c r="BX84" s="150" t="str">
        <f t="array" ref="BX84">INDEX(BW:BW,MIN(IF(ISNUMBER(BW84:BW280),ROW(BW84:BW280),"")))</f>
        <v/>
      </c>
      <c r="BY84" s="150">
        <f>IF('Données projet'!$A$114&gt;35,BY83+BX84-CG83,IF(A84&lt;'Données projet'!$A$114,$BV$205^A84,IF(A84='Données projet'!$A$114,'Données projet'!$B$114,BY83+BX84-CG83)))</f>
        <v>0</v>
      </c>
      <c r="BZ84" s="150" t="str">
        <f>BY84*VLOOKUP('Données projet'!$B$12,'Paramètres'!$A$1:$I$88,3,0)*VLOOKUP('Données projet'!$B$12,'Paramètres'!$A$1:$I$88,5,0)</f>
        <v>#N/A</v>
      </c>
      <c r="CA84" s="150" t="str">
        <f t="shared" si="40"/>
        <v>#N/A</v>
      </c>
      <c r="CB84" s="161" t="str">
        <f t="shared" si="11"/>
        <v>#N/A</v>
      </c>
      <c r="CC84" s="153" t="str">
        <f t="shared" si="12"/>
        <v>#N/A</v>
      </c>
      <c r="CD84" s="153" t="str">
        <f>AVERAGE(OFFSET($CC$3,0,0,'Données projet'!$E$12+1,1))-AVERAGE(OFFSET($H$3,0,0,'Données projet'!$E$12+1,1))</f>
        <v>#N/A</v>
      </c>
      <c r="CE84" s="153" t="str">
        <f t="shared" si="41"/>
        <v>#N/A</v>
      </c>
      <c r="CF84" s="154">
        <f>IF(ISNA(VLOOKUP(A84,'Données projet'!$A$113:$I$133,3,0)),0,VLOOKUP(A84,'Données projet'!$A$113:$I$133,3,0))</f>
        <v>0</v>
      </c>
      <c r="CG84" s="154">
        <f>IF(ISNA(VLOOKUP(A84,'Données projet'!$A$113:$I$133,4,0)),0,VLOOKUP(A84,'Données projet'!$A$113:$I$133,4,0))</f>
        <v>0</v>
      </c>
      <c r="CH84" s="155">
        <f>IF(ISNA(VLOOKUP(A84,'Données projet'!$A$113:$I$133,5,0)),0%,VLOOKUP(A84,'Données projet'!$A$113:$I$133,5,0)*VLOOKUP('Données projet'!$B$12,'Paramètres'!$A$1:$I$88,7,0))</f>
        <v>0</v>
      </c>
      <c r="CI84" s="155">
        <f>IF(ISNA(VLOOKUP(A84,'Données projet'!$A$113:$I$133,6,0)),0%,VLOOKUP(A84,'Données projet'!$A$113:$I$133,6,0)*VLOOKUP('Données projet'!$B$12,'Paramètres'!$A$1:$I$88,7,0))</f>
        <v>0</v>
      </c>
      <c r="CJ84" s="155">
        <f>IF(ISNA(VLOOKUP(A84,'Données projet'!$A$113:$I$133,7,0)),0%,VLOOKUP(A84,'Données projet'!$A$113:$I$133,7,0))</f>
        <v>0</v>
      </c>
      <c r="CK84" s="162" t="str">
        <f>EXP(-LN(2)/35)*CK83+(1-EXP(-LN(2)/35))/(LN(2)/35)*CG84*CH84*VLOOKUP('Données projet'!$B$12,'Paramètres'!$A$1:$I$88,3,0)*0.475*44/12</f>
        <v>#N/A</v>
      </c>
      <c r="CL84" s="162" t="str">
        <f>EXP(-LN(2)/25)*CL83+(1-EXP(-LN(2)/25))/(LN(2)/25)*Calculateur!CG84*Calculateur!CI84*VLOOKUP('Données projet'!$B$12,'Paramètres'!$A$1:$I$88,3,0)*0.475*44/12</f>
        <v>#N/A</v>
      </c>
      <c r="CM84" s="162" t="str">
        <f>EXP(-LN(2)/2)*CM83+(1-EXP(-LN(2)/2))/(LN(2)/2)*CG84*CJ84*VLOOKUP('Données projet'!$B$12,'Paramètres'!$A$1:$I$88,3,0)*0.475*44/12</f>
        <v>#N/A</v>
      </c>
      <c r="CN84" s="163" t="str">
        <f t="shared" si="13"/>
        <v>#N/A</v>
      </c>
      <c r="CO84" s="159">
        <f>('Scénario référence'!$F$8+'Scénario référence'!$F$9+'Scénario référence'!$B$17+'Scénario référence'!$B$9+'Scénario référence'!$B$10)*70+IF((45+25*(1-EXP(-0.0175*A84)))&lt;70,'Scénario référence'!$B$16*(45+25*(1-EXP(-0.0175*A84))),70*'Scénario référence'!$B$16)+IF((32+38*(1-EXP(-0.0175*A84)))&lt;70,'Scénario référence'!$B$18*(32+38*(1-EXP(-0.0175*A84))),70*'Scénario référence'!$B$18)</f>
        <v>70</v>
      </c>
      <c r="CP84" s="151">
        <f>IF(A84&gt;30,10,('Scénario référence'!$B$16+'Scénario référence'!$B$17+'Scénario référence'!$B$18+'Scénario référence'!$B$9+'Scénario référence'!$B$10)*A84*10/30+('Scénario référence'!$F$8+'Scénario référence'!$F$9)*10)</f>
        <v>10</v>
      </c>
      <c r="CQ84" s="151" t="str">
        <f>VLOOKUP(A84,'Données projet'!$A$139:$I$159,2,0)</f>
        <v>#N/A</v>
      </c>
      <c r="CR84" s="151" t="str">
        <f>VLOOKUP(A84,'Données projet'!$A$139:$I$159,9,0)</f>
        <v>#N/A</v>
      </c>
      <c r="CS84" s="151" t="str">
        <f t="array" ref="CS84">INDEX(CR:CR,MIN(IF(ISNUMBER(CR84:CR280),ROW(CR84:CR280),"")))</f>
        <v/>
      </c>
      <c r="CT84" s="151">
        <f>IF('Données projet'!$A$140&gt;35,CT83+CS84-DB83,IF(A84&lt;'Données projet'!$A$140,$CQ$205^A84,IF(A84='Données projet'!$A$140,'Données projet'!$B$140,CT83+CS84-DB83)))</f>
        <v>0</v>
      </c>
      <c r="CU84" s="158" t="str">
        <f>CT84*VLOOKUP('Données projet'!$B$13,'Paramètres'!$A$1:$I$88,3,0)*VLOOKUP('Données projet'!$B$13,'Paramètres'!$A$1:$I$88,5,0)</f>
        <v>#N/A</v>
      </c>
      <c r="CV84" s="150" t="str">
        <f t="shared" si="42"/>
        <v>#N/A</v>
      </c>
      <c r="CW84" s="161" t="str">
        <f t="shared" si="14"/>
        <v>#N/A</v>
      </c>
      <c r="CX84" s="153" t="str">
        <f t="shared" si="15"/>
        <v>#N/A</v>
      </c>
      <c r="CY84" s="153" t="str">
        <f>AVERAGE(OFFSET($CX$3,0,0,'Données projet'!$E$13+1,1))-AVERAGE(OFFSET($H$3,0,0,'Données projet'!$E$13+1,1))</f>
        <v>#N/A</v>
      </c>
      <c r="CZ84" s="153" t="str">
        <f t="shared" si="43"/>
        <v>#N/A</v>
      </c>
      <c r="DA84" s="154">
        <f>IF(ISNA(VLOOKUP(A84,'Données projet'!$A$139:$I$159,3,0)),0,VLOOKUP(A84,'Données projet'!$A$139:$I$159,3,0))</f>
        <v>0</v>
      </c>
      <c r="DB84" s="154">
        <f>IF(ISNA(VLOOKUP(A84,'Données projet'!$A$139:$I$159,4,0)),0,VLOOKUP(A84,'Données projet'!$A$139:$I$159,4,0))</f>
        <v>0</v>
      </c>
      <c r="DC84" s="155">
        <f>IF(ISNA(VLOOKUP(A84,'Données projet'!$A$139:$I$159,5,0)),0%,VLOOKUP(A84,'Données projet'!$A$139:$I$159,5,0)*VLOOKUP('Données projet'!$B$13,'Paramètres'!$A$1:$I$88,7,0))</f>
        <v>0</v>
      </c>
      <c r="DD84" s="155">
        <f>IF(ISNA(VLOOKUP(A84,'Données projet'!$A$139:$I$159,6,0)),0%,VLOOKUP(A84,'Données projet'!$A$139:$I$159,6,0)*VLOOKUP('Données projet'!$B$13,'Paramètres'!$A$1:$I$88,7,0))</f>
        <v>0</v>
      </c>
      <c r="DE84" s="155">
        <f>IF(ISNA(VLOOKUP(A84,'Données projet'!$A$139:$I$159,7,0)),0%,VLOOKUP(A84,'Données projet'!$A$139:$I$159,7,0))</f>
        <v>0</v>
      </c>
      <c r="DF84" s="162" t="str">
        <f>EXP(-LN(2)/35)*DF83+(1-EXP(-LN(2)/35))/(LN(2)/35)*DB84*DC84*VLOOKUP('Données projet'!$B$13,'Paramètres'!$A$1:$I$88,3,0)*0.475*44/12</f>
        <v>#N/A</v>
      </c>
      <c r="DG84" s="162" t="str">
        <f>EXP(-LN(2)/25)*DG83+(1-EXP(-LN(2)/25))/(LN(2)/25)*Calculateur!DB84*Calculateur!DD84*VLOOKUP('Données projet'!$B$13,'Paramètres'!$A$1:$I$88,3,0)*0.475*44/12</f>
        <v>#N/A</v>
      </c>
      <c r="DH84" s="162" t="str">
        <f>EXP(-LN(2)/2)*DH83+(1-EXP(-LN(2)/2))/(LN(2)/2)*DB84*DE84*VLOOKUP('Données projet'!$B$13,'Paramètres'!$A$1:$I$88,3,0)*0.475*44/12</f>
        <v>#N/A</v>
      </c>
      <c r="DI84" s="163" t="str">
        <f t="shared" si="16"/>
        <v>#N/A</v>
      </c>
      <c r="DJ84" s="159">
        <f>('Scénario référence'!$F$8+'Scénario référence'!$F$9+'Scénario référence'!$B$17+'Scénario référence'!$B$9+'Scénario référence'!$B$10)*70+IF((45+25*(1-EXP(-0.0175*A84)))&lt;70,'Scénario référence'!$B$16*(45+25*(1-EXP(-0.0175*A84))),70*'Scénario référence'!$B$16)+IF((32+38*(1-EXP(-0.0175*A84)))&lt;70,'Scénario référence'!$B$18*(32+38*(1-EXP(-0.0175*A84))),70*'Scénario référence'!$B$18)</f>
        <v>70</v>
      </c>
      <c r="DK84" s="151">
        <f>IF(A84&gt;30,10,('Scénario référence'!$B$16+'Scénario référence'!$B$17+'Scénario référence'!$B$18+'Scénario référence'!$B$9+'Scénario référence'!$B$10)*A84*10/30+('Scénario référence'!$F$8+'Scénario référence'!$F$9)*10)</f>
        <v>10</v>
      </c>
      <c r="DL84" s="151" t="str">
        <f>VLOOKUP(A84,'Données projet'!$A$165:$I$185,2,0)</f>
        <v>#N/A</v>
      </c>
      <c r="DM84" s="151" t="str">
        <f>VLOOKUP(A84,'Données projet'!$A$165:$I$185,9,0)</f>
        <v>#N/A</v>
      </c>
      <c r="DN84" s="151" t="str">
        <f t="array" ref="DN84">INDEX(DM:DM,MIN(IF(ISNUMBER(DM84:DM280),ROW(DM84:DM280),"")))</f>
        <v/>
      </c>
      <c r="DO84" s="151">
        <f>IF('Données projet'!$A$166&gt;35,DO83+DN84-DW83,IF(A84&lt;'Données projet'!$A$166,$DL$205^A84,IF(A84='Données projet'!$A$166,'Données projet'!$B$166,DO83+DN84-DW83)))</f>
        <v>0</v>
      </c>
      <c r="DP84" s="158" t="str">
        <f>DO84*VLOOKUP('Données projet'!$B$14,'Paramètres'!$A$1:$I$88,3,0)*VLOOKUP('Données projet'!$B$14,'Paramètres'!$A$1:$I$88,5,0)</f>
        <v>#N/A</v>
      </c>
      <c r="DQ84" s="150" t="str">
        <f t="shared" si="44"/>
        <v>#N/A</v>
      </c>
      <c r="DR84" s="161" t="str">
        <f t="shared" si="17"/>
        <v>#N/A</v>
      </c>
      <c r="DS84" s="153" t="str">
        <f t="shared" si="18"/>
        <v>#N/A</v>
      </c>
      <c r="DT84" s="153" t="str">
        <f>AVERAGE(OFFSET($DS$3,0,0,'Données projet'!$E$14+1,1))-AVERAGE(OFFSET($H$3,0,0,'Données projet'!$E$14+1,1))</f>
        <v>#N/A</v>
      </c>
      <c r="DU84" s="153" t="str">
        <f t="shared" si="45"/>
        <v>#N/A</v>
      </c>
      <c r="DV84" s="154">
        <f>IF(ISNA(VLOOKUP(A84,'Données projet'!$A$165:$I$185,3,0)),0,VLOOKUP(A84,'Données projet'!$A$165:$I$185,3,0))</f>
        <v>0</v>
      </c>
      <c r="DW84" s="154">
        <f>IF(ISNA(VLOOKUP(A84,'Données projet'!$A$165:$I$185,4,0)),0,VLOOKUP(A84,'Données projet'!$A$165:$I$185,4,0))</f>
        <v>0</v>
      </c>
      <c r="DX84" s="155">
        <f>IF(ISNA(VLOOKUP(A84,'Données projet'!$A$165:$I$185,5,0)),0%,VLOOKUP(A84,'Données projet'!$A$165:$I$185,5,0)*VLOOKUP('Données projet'!$B$14,'Paramètres'!$A$1:$I$88,7,0))</f>
        <v>0</v>
      </c>
      <c r="DY84" s="155">
        <f>IF(ISNA(VLOOKUP(A84,'Données projet'!$A$165:$I$185,6,0)),0%,VLOOKUP(A84,'Données projet'!$A$165:$I$185,6,0)*VLOOKUP('Données projet'!$B$14,'Paramètres'!$A$1:$I$88,7,0))</f>
        <v>0</v>
      </c>
      <c r="DZ84" s="155">
        <f>IF(ISNA(VLOOKUP(A84,'Données projet'!$A$165:$I$185,7,0)),0%,VLOOKUP(A84,'Données projet'!$A$165:$I$185,7,0))</f>
        <v>0</v>
      </c>
      <c r="EA84" s="162" t="str">
        <f>EXP(-LN(2)/35)*EA83+(1-EXP(-LN(2)/35))/(LN(2)/35)*DW84*DX84*VLOOKUP('Données projet'!$B$14,'Paramètres'!$A$1:$I$88,3,0)*0.475*44/12</f>
        <v>#N/A</v>
      </c>
      <c r="EB84" s="162" t="str">
        <f>EXP(-LN(2)/25)*EB83+(1-EXP(-LN(2)/25))/(LN(2)/25)*Calculateur!DW84*Calculateur!DY84*VLOOKUP('Données projet'!$B$14,'Paramètres'!$A$1:$I$88,3,0)*0.475*44/12</f>
        <v>#N/A</v>
      </c>
      <c r="EC84" s="162" t="str">
        <f>EXP(-LN(2)/2)*EC83+(1-EXP(-LN(2)/2))/(LN(2)/2)*DW84*DZ84*VLOOKUP('Données projet'!$B$14,'Paramètres'!$A$1:$I$88,3,0)*0.475*44/12</f>
        <v>#N/A</v>
      </c>
      <c r="ED84" s="163" t="str">
        <f t="shared" si="19"/>
        <v>#N/A</v>
      </c>
      <c r="EE84" s="159">
        <f>('Scénario référence'!$F$8+'Scénario référence'!$F$9+'Scénario référence'!$B$17+'Scénario référence'!$B$9+'Scénario référence'!$B$10)*70+IF((45+25*(1-EXP(-0.0175*A84)))&lt;70,'Scénario référence'!$B$16*(45+25*(1-EXP(-0.0175*A84))),70*'Scénario référence'!$B$16)+IF((32+38*(1-EXP(-0.0175*A84)))&lt;70,'Scénario référence'!$B$18*(32+38*(1-EXP(-0.0175*A84))),70*'Scénario référence'!$B$18)</f>
        <v>70</v>
      </c>
      <c r="EF84" s="151">
        <f>IF(A84&gt;30,10,('Scénario référence'!$B$16+'Scénario référence'!$B$17+'Scénario référence'!$B$18+'Scénario référence'!$B$9+'Scénario référence'!$B$10)*A84*10/30+('Scénario référence'!$F$8+'Scénario référence'!$F$9)*10)</f>
        <v>10</v>
      </c>
      <c r="EG84" s="151" t="str">
        <f>VLOOKUP(A84,'Données projet'!$A$191:$I$211,2,0)</f>
        <v>#N/A</v>
      </c>
      <c r="EH84" s="151" t="str">
        <f>VLOOKUP(A84,'Données projet'!$A$191:$I$211,9,0)</f>
        <v>#N/A</v>
      </c>
      <c r="EI84" s="151" t="str">
        <f t="array" ref="EI84">INDEX(EH:EH,MIN(IF(ISNUMBER(EH84:EH280),ROW(EH84:EH280),"")))</f>
        <v/>
      </c>
      <c r="EJ84" s="151">
        <f>IF('Données projet'!$A$192&gt;35,EJ83+EI84-ER83,IF(A84&lt;'Données projet'!$A$192,$EG$205^A84,IF(A84='Données projet'!$A$192,'Données projet'!$B$192,EJ83+EI84-ER83)))</f>
        <v>0</v>
      </c>
      <c r="EK84" s="158" t="str">
        <f>EJ84*VLOOKUP('Données projet'!$B$15,'Paramètres'!$A$1:$I$88,3,0)*VLOOKUP('Données projet'!$B$15,'Paramètres'!$A$1:$I$88,5,0)</f>
        <v>#N/A</v>
      </c>
      <c r="EL84" s="150" t="str">
        <f t="shared" si="46"/>
        <v>#N/A</v>
      </c>
      <c r="EM84" s="161" t="str">
        <f t="shared" si="20"/>
        <v>#N/A</v>
      </c>
      <c r="EN84" s="153" t="str">
        <f t="shared" si="21"/>
        <v>#N/A</v>
      </c>
      <c r="EO84" s="153" t="str">
        <f>AVERAGE(OFFSET($EN$3,0,0,'Données projet'!$E$15+1,1))-AVERAGE(OFFSET($H$3,0,0,'Données projet'!$E$15+1,1))</f>
        <v>#N/A</v>
      </c>
      <c r="EP84" s="153" t="str">
        <f t="shared" si="47"/>
        <v>#N/A</v>
      </c>
      <c r="EQ84" s="154">
        <f>IF(ISNA(VLOOKUP(A84,'Données projet'!$A$191:$I$211,3,0)),0,VLOOKUP(A84,'Données projet'!$A$191:$I$211,3,0))</f>
        <v>0</v>
      </c>
      <c r="ER84" s="154">
        <f>IF(ISNA(VLOOKUP(A84,'Données projet'!$A$191:$I$211,4,0)),0,VLOOKUP(A84,'Données projet'!$A$191:$I$211,4,0))</f>
        <v>0</v>
      </c>
      <c r="ES84" s="155">
        <f>IF(ISNA(VLOOKUP(A84,'Données projet'!$A$191:$I$211,5,0)),0%,VLOOKUP(A84,'Données projet'!$A$191:$I$211,5,0)*VLOOKUP('Données projet'!$B$15,'Paramètres'!$A$1:$I$88,7,0))</f>
        <v>0</v>
      </c>
      <c r="ET84" s="155">
        <f>IF(ISNA(VLOOKUP(A84,'Données projet'!$A$191:$I$211,6,0)),0%,VLOOKUP(A84,'Données projet'!$A$191:$I$211,6,0)*VLOOKUP('Données projet'!$B$15,'Paramètres'!$A$1:$I$88,7,0))</f>
        <v>0</v>
      </c>
      <c r="EU84" s="155">
        <f>IF(ISNA(VLOOKUP(A84,'Données projet'!$A$191:$I$211,7,0)),0%,VLOOKUP(A84,'Données projet'!$A$191:$I$211,7,0))</f>
        <v>0</v>
      </c>
      <c r="EV84" s="162" t="str">
        <f>EXP(-LN(2)/35)*EV83+(1-EXP(-LN(2)/35))/(LN(2)/35)*ER84*ES84*VLOOKUP('Données projet'!$B$15,'Paramètres'!$A$1:$I$88,3,0)*0.475*44/12</f>
        <v>#N/A</v>
      </c>
      <c r="EW84" s="162" t="str">
        <f>EXP(-LN(2)/25)*EW83+(1-EXP(-LN(2)/25))/(LN(2)/25)*Calculateur!ER84*Calculateur!ET84*VLOOKUP('Données projet'!$B$15,'Paramètres'!$A$1:$I$88,3,0)*0.475*44/12</f>
        <v>#N/A</v>
      </c>
      <c r="EX84" s="162" t="str">
        <f>EXP(-LN(2)/2)*EX83+(1-EXP(-LN(2)/2))/(LN(2)/2)*ER84*EU84*VLOOKUP('Données projet'!$B$15,'Paramètres'!$A$1:$I$88,3,0)*0.475*44/12</f>
        <v>#N/A</v>
      </c>
      <c r="EY84" s="163" t="str">
        <f t="shared" si="22"/>
        <v>#N/A</v>
      </c>
      <c r="EZ84" s="159">
        <f>('Scénario référence'!$F$8+'Scénario référence'!$F$9+'Scénario référence'!$B$17+'Scénario référence'!$B$9+'Scénario référence'!$B$10)*70+IF((45+25*(1-EXP(-0.0175*A84)))&lt;70,'Scénario référence'!$B$16*(45+25*(1-EXP(-0.0175*A84))),70*'Scénario référence'!$B$16)+IF((32+38*(1-EXP(-0.0175*A84)))&lt;70,'Scénario référence'!$B$18*(32+38*(1-EXP(-0.0175*A84))),70*'Scénario référence'!$B$18)</f>
        <v>70</v>
      </c>
      <c r="FA84" s="151">
        <f>IF(A84&gt;30,10,('Scénario référence'!$B$16+'Scénario référence'!$B$17+'Scénario référence'!$B$18+'Scénario référence'!$B$9+'Scénario référence'!$B$10)*A84*10/30+('Scénario référence'!$F$8+'Scénario référence'!$F$9)*10)</f>
        <v>10</v>
      </c>
      <c r="FB84" s="151" t="str">
        <f>VLOOKUP(A84,'Données projet'!$A$217:$I$237,2,0)</f>
        <v>#N/A</v>
      </c>
      <c r="FC84" s="151" t="str">
        <f>VLOOKUP(A84,'Données projet'!$A$217:$I$237,9,0)</f>
        <v>#N/A</v>
      </c>
      <c r="FD84" s="151" t="str">
        <f t="array" ref="FD84">INDEX(FC:FC,MIN(IF(ISNUMBER(FC84:FC280),ROW(FC84:FC280),"")))</f>
        <v/>
      </c>
      <c r="FE84" s="151">
        <f>IF('Données projet'!$A$218&gt;35,FE83+FD84-FM83,IF(A84&lt;'Données projet'!$A$218,$FB$205^A84,IF(A84='Données projet'!$A$218,'Données projet'!$B$218,FE83+FD84-FM83)))</f>
        <v>0</v>
      </c>
      <c r="FF84" s="158" t="str">
        <f>FE84*VLOOKUP('Données projet'!$B$16,'Paramètres'!$A$1:$I$88,3,0)*VLOOKUP('Données projet'!$B$16,'Paramètres'!$A$1:$I$88,5,0)</f>
        <v>#N/A</v>
      </c>
      <c r="FG84" s="150" t="str">
        <f t="shared" si="48"/>
        <v>#N/A</v>
      </c>
      <c r="FH84" s="161" t="str">
        <f t="shared" si="23"/>
        <v>#N/A</v>
      </c>
      <c r="FI84" s="153" t="str">
        <f t="shared" si="24"/>
        <v>#N/A</v>
      </c>
      <c r="FJ84" s="153" t="str">
        <f>AVERAGE(OFFSET($FI$3,0,0,'Données projet'!$E$16+1,1))-AVERAGE(OFFSET($H$3,0,0,'Données projet'!$E$16+1,1))</f>
        <v>#N/A</v>
      </c>
      <c r="FK84" s="153" t="str">
        <f t="shared" si="49"/>
        <v>#N/A</v>
      </c>
      <c r="FL84" s="154">
        <f>IF(ISNA(VLOOKUP(A84,'Données projet'!$A$217:$I$237,3,0)),0,VLOOKUP(A84,'Données projet'!$A$217:$I$237,3,0))</f>
        <v>0</v>
      </c>
      <c r="FM84" s="154">
        <f>IF(ISNA(VLOOKUP(A84,'Données projet'!$A$217:$I$237,4,0)),0,VLOOKUP(A84,'Données projet'!$A$217:$I$237,4,0))</f>
        <v>0</v>
      </c>
      <c r="FN84" s="155">
        <f>IF(ISNA(VLOOKUP(A84,'Données projet'!$A$217:$I$237,5,0)),0%,VLOOKUP(A84,'Données projet'!$A$217:$I$237,5,0)*VLOOKUP('Données projet'!$B$16,'Paramètres'!$A$1:$I$88,7,0))</f>
        <v>0</v>
      </c>
      <c r="FO84" s="155">
        <f>IF(ISNA(VLOOKUP(A84,'Données projet'!$A$217:$I$237,6,0)),0%,VLOOKUP(A84,'Données projet'!$A$217:$I$237,6,0)*VLOOKUP('Données projet'!$B$16,'Paramètres'!$A$1:$I$88,7,0))</f>
        <v>0</v>
      </c>
      <c r="FP84" s="155">
        <f>IF(ISNA(VLOOKUP(A84,'Données projet'!$A$217:$I$237,7,0)),0%,VLOOKUP(A84,'Données projet'!$A$217:$I$237,7,0))</f>
        <v>0</v>
      </c>
      <c r="FQ84" s="162" t="str">
        <f>EXP(-LN(2)/35)*FQ83+(1-EXP(-LN(2)/35))/(LN(2)/35)*FM84*FN84*VLOOKUP('Données projet'!$B$16,'Paramètres'!$A$1:$I$88,3,0)*0.475*44/12</f>
        <v>#N/A</v>
      </c>
      <c r="FR84" s="162" t="str">
        <f>EXP(-LN(2)/25)*FR83+(1-EXP(-LN(2)/25))/(LN(2)/25)*Calculateur!FM84*Calculateur!FO84*VLOOKUP('Données projet'!$B$16,'Paramètres'!$A$1:$I$88,3,0)*0.475*44/12</f>
        <v>#N/A</v>
      </c>
      <c r="FS84" s="162" t="str">
        <f>EXP(-LN(2)/2)*FS83+(1-EXP(-LN(2)/2))/(LN(2)/2)*FM84*FP84*VLOOKUP('Données projet'!$B$16,'Paramètres'!$A$1:$I$88,3,0)*0.475*44/12</f>
        <v>#N/A</v>
      </c>
      <c r="FT84" s="163" t="str">
        <f t="shared" si="25"/>
        <v>#N/A</v>
      </c>
      <c r="FU84" s="159">
        <f>('Scénario référence'!$F$8+'Scénario référence'!$F$9+'Scénario référence'!$B$17+'Scénario référence'!$B$9+'Scénario référence'!$B$10)*70+IF((45+25*(1-EXP(-0.0175*A84)))&lt;70,'Scénario référence'!$B$16*(45+25*(1-EXP(-0.0175*A84))),70*'Scénario référence'!$B$16)+IF((32+38*(1-EXP(-0.0175*A84)))&lt;70,'Scénario référence'!$B$18*(32+38*(1-EXP(-0.0175*A84))),70*'Scénario référence'!$B$18)</f>
        <v>70</v>
      </c>
      <c r="FV84" s="151">
        <f>IF(A84&gt;30,10,('Scénario référence'!$B$16+'Scénario référence'!$B$17+'Scénario référence'!$B$18+'Scénario référence'!$B$9+'Scénario référence'!$B$10)*A84*10/30+('Scénario référence'!$F$8+'Scénario référence'!$F$9)*10)</f>
        <v>10</v>
      </c>
      <c r="FW84" s="151" t="str">
        <f>VLOOKUP(A84,'Données projet'!$A$243:$I$263,2,0)</f>
        <v>#N/A</v>
      </c>
      <c r="FX84" s="151" t="str">
        <f>VLOOKUP(A84,'Données projet'!$A$243:$I$263,9,0)</f>
        <v>#N/A</v>
      </c>
      <c r="FY84" s="151" t="str">
        <f t="array" ref="FY84">INDEX(FX:FX,MIN(IF(ISNUMBER(FX84:FX280),ROW(FX84:FX280),"")))</f>
        <v/>
      </c>
      <c r="FZ84" s="151">
        <f>IF('Données projet'!$A$244&gt;35,FZ83+FY84-GH83,IF(A84&lt;'Données projet'!$A$244,$FW$205^A84,IF(A84='Données projet'!$A$244,'Données projet'!$B$244,FZ83+FY84-GH83)))</f>
        <v>0</v>
      </c>
      <c r="GA84" s="158" t="str">
        <f>FZ84*VLOOKUP('Données projet'!$B$17,'Paramètres'!$A$1:$I$88,3,0)*VLOOKUP('Données projet'!$B$17,'Paramètres'!$A$1:$I$88,5,0)</f>
        <v>#N/A</v>
      </c>
      <c r="GB84" s="150" t="str">
        <f t="shared" si="50"/>
        <v>#N/A</v>
      </c>
      <c r="GC84" s="161" t="str">
        <f t="shared" si="26"/>
        <v>#N/A</v>
      </c>
      <c r="GD84" s="153" t="str">
        <f t="shared" si="27"/>
        <v>#N/A</v>
      </c>
      <c r="GE84" s="153" t="str">
        <f>AVERAGE(OFFSET($GD$3,0,0,'Données projet'!$E$17+1,1))-AVERAGE(OFFSET($H$3,0,0,'Données projet'!$E$17+1,1))</f>
        <v>#N/A</v>
      </c>
      <c r="GF84" s="153" t="str">
        <f t="shared" si="51"/>
        <v>#N/A</v>
      </c>
      <c r="GG84" s="154">
        <f>IF(ISNA(VLOOKUP(A84,'Données projet'!$A$243:$I$263,3,0)),0,VLOOKUP(A84,'Données projet'!$A$243:$I$263,3,0))</f>
        <v>0</v>
      </c>
      <c r="GH84" s="154">
        <f>IF(ISNA(VLOOKUP(A84,'Données projet'!$A$243:$I$263,4,0)),0,VLOOKUP(A84,'Données projet'!$A$243:$I$263,4,0))</f>
        <v>0</v>
      </c>
      <c r="GI84" s="155">
        <f>IF(ISNA(VLOOKUP(A84,'Données projet'!$A$243:$I$263,5,0)),0%,VLOOKUP(A84,'Données projet'!$A$243:$I$263,5,0)*VLOOKUP('Données projet'!$B$17,'Paramètres'!$A$1:$I$88,7,0))</f>
        <v>0</v>
      </c>
      <c r="GJ84" s="155">
        <f>IF(ISNA(VLOOKUP(A84,'Données projet'!$A$243:$I$263,6,0)),0%,VLOOKUP(A84,'Données projet'!$A$243:$I$263,6,0)*VLOOKUP('Données projet'!$B$17,'Paramètres'!$A$1:$I$88,7,0))</f>
        <v>0</v>
      </c>
      <c r="GK84" s="155">
        <f>IF(ISNA(VLOOKUP(A84,'Données projet'!$A$243:$I$263,7,0)),0%,VLOOKUP(A84,'Données projet'!$A$243:$I$263,7,0))</f>
        <v>0</v>
      </c>
      <c r="GL84" s="162" t="str">
        <f>EXP(-LN(2)/35)*GL83+(1-EXP(-LN(2)/35))/(LN(2)/35)*GH84*GI84*VLOOKUP('Données projet'!$B$17,'Paramètres'!$A$1:$I$88,3,0)*0.475*44/12</f>
        <v>#N/A</v>
      </c>
      <c r="GM84" s="162" t="str">
        <f>EXP(-LN(2)/25)*GM83+(1-EXP(-LN(2)/25))/(LN(2)/25)*Calculateur!GH84*Calculateur!GJ84*VLOOKUP('Données projet'!$B$17,'Paramètres'!$A$1:$I$88,3,0)*0.475*44/12</f>
        <v>#N/A</v>
      </c>
      <c r="GN84" s="162" t="str">
        <f>EXP(-LN(2)/2)*GN83+(1-EXP(-LN(2)/2))/(LN(2)/2)*GH84*GK84*VLOOKUP('Données projet'!$B$17,'Paramètres'!$A$1:$I$88,3,0)*0.475*44/12</f>
        <v>#N/A</v>
      </c>
      <c r="GO84" s="162" t="str">
        <f t="shared" si="28"/>
        <v>#N/A</v>
      </c>
      <c r="GP84" s="159">
        <f>('Scénario référence'!$F$8+'Scénario référence'!$F$9+'Scénario référence'!$B$17+'Scénario référence'!$B$9+'Scénario référence'!$B$10)*70+IF((45+25*(1-EXP(-0.0175*A84)))&lt;70,'Scénario référence'!$B$16*(45+25*(1-EXP(-0.0175*A84))),70*'Scénario référence'!$B$16)+IF((32+38*(1-EXP(-0.0175*A84)))&lt;70,'Scénario référence'!$B$18*(32+38*(1-EXP(-0.0175*A84))),70*'Scénario référence'!$B$18)</f>
        <v>70</v>
      </c>
      <c r="GQ84" s="151">
        <f>IF(A84&gt;30,10,('Scénario référence'!$B$16+'Scénario référence'!$B$17+'Scénario référence'!$B$18+'Scénario référence'!$B$9+'Scénario référence'!$B$10)*A84*10/30+('Scénario référence'!$F$8+'Scénario référence'!$F$9)*10)</f>
        <v>10</v>
      </c>
      <c r="GR84" s="151" t="str">
        <f>VLOOKUP(A84,'Données projet'!$A$269:$I$289,2,0)</f>
        <v>#N/A</v>
      </c>
      <c r="GS84" s="151" t="str">
        <f>VLOOKUP(A84,'Données projet'!$A$269:$I$289,9,0)</f>
        <v>#N/A</v>
      </c>
      <c r="GT84" s="151" t="str">
        <f t="array" ref="GT84">INDEX(GS:GS,MIN(IF(ISNUMBER(GS84:GS280),ROW(GS84:GS280),"")))</f>
        <v/>
      </c>
      <c r="GU84" s="151">
        <f>IF('Données projet'!$A$270&gt;35,GU83+GT84-HC83,IF(A84&lt;'Données projet'!$A$270,$GR$205^A84,IF(A84='Données projet'!$A$270,'Données projet'!$B$270,GU83+GT84-HC83)))</f>
        <v>0</v>
      </c>
      <c r="GV84" s="158" t="str">
        <f>GU84*VLOOKUP('Données projet'!$B$18,'Paramètres'!$A$1:$I$88,3,0)*VLOOKUP('Données projet'!$B$18,'Paramètres'!$A$1:$I$88,5,0)</f>
        <v>#N/A</v>
      </c>
      <c r="GW84" s="150" t="str">
        <f t="shared" si="52"/>
        <v>#N/A</v>
      </c>
      <c r="GX84" s="161" t="str">
        <f t="shared" si="29"/>
        <v>#N/A</v>
      </c>
      <c r="GY84" s="153" t="str">
        <f t="shared" si="30"/>
        <v>#N/A</v>
      </c>
      <c r="GZ84" s="153" t="str">
        <f>AVERAGE(OFFSET($GY$3,0,0,'Données projet'!$E$18+1,1))-AVERAGE(OFFSET($H$3,0,0,'Données projet'!$E$18+1,1))</f>
        <v>#N/A</v>
      </c>
      <c r="HA84" s="153" t="str">
        <f t="shared" si="53"/>
        <v>#N/A</v>
      </c>
      <c r="HB84" s="154">
        <f>IF(ISNA(VLOOKUP(A84,'Données projet'!$A$269:$I$289,3,0)),0,VLOOKUP(A84,'Données projet'!$A$269:$I$289,3,0))</f>
        <v>0</v>
      </c>
      <c r="HC84" s="154">
        <f>IF(ISNA(VLOOKUP(A84,'Données projet'!$A$269:$I$289,4,0)),0,VLOOKUP(A84,'Données projet'!$A$269:$I$289,4,0))</f>
        <v>0</v>
      </c>
      <c r="HD84" s="155">
        <f>IF(ISNA(VLOOKUP(A84,'Données projet'!$A$269:$I$289,5,0)),0%,VLOOKUP(A84,'Données projet'!$A$269:$I$289,5,0)*VLOOKUP('Données projet'!$B$18,'Paramètres'!$A$1:$I$88,7,0))</f>
        <v>0</v>
      </c>
      <c r="HE84" s="155">
        <f>IF(ISNA(VLOOKUP(A84,'Données projet'!$A$269:$I$289,6,0)),0%,VLOOKUP(A84,'Données projet'!$A$269:$I$289,6,0)*VLOOKUP('Données projet'!$B$18,'Paramètres'!$A$1:$I$88,7,0))</f>
        <v>0</v>
      </c>
      <c r="HF84" s="155">
        <f>IF(ISNA(VLOOKUP(A84,'Données projet'!$A$269:$I$289,7,0)),0%,VLOOKUP(A84,'Données projet'!$A$269:$I$289,7,0))</f>
        <v>0</v>
      </c>
      <c r="HG84" s="162" t="str">
        <f>EXP(-LN(2)/35)*HG83+(1-EXP(-LN(2)/35))/(LN(2)/35)*HC84*HD84*VLOOKUP('Données projet'!$B$18,'Paramètres'!$A$1:$I$88,3,0)*0.475*44/12</f>
        <v>#N/A</v>
      </c>
      <c r="HH84" s="162" t="str">
        <f>EXP(-LN(2)/25)*HH83+(1-EXP(-LN(2)/25))/(LN(2)/25)*Calculateur!HC84*Calculateur!HE84*VLOOKUP('Données projet'!$B$18,'Paramètres'!$A$1:$I$88,3,0)*0.475*44/12</f>
        <v>#N/A</v>
      </c>
      <c r="HI84" s="162" t="str">
        <f>EXP(-LN(2)/2)*HI83+(1-EXP(-LN(2)/2))/(LN(2)/2)*HC84*HF84*VLOOKUP('Données projet'!$B$18,'Paramètres'!$A$1:$I$88,3,0)*0.475*44/12</f>
        <v>#N/A</v>
      </c>
      <c r="HJ84" s="163" t="str">
        <f t="shared" si="31"/>
        <v>#N/A</v>
      </c>
    </row>
    <row r="85" ht="15.75" customHeight="1">
      <c r="A85" s="145">
        <f t="shared" si="32"/>
        <v>82</v>
      </c>
      <c r="B85" s="146">
        <f>'Scénario référence'!$B$16*5+'Scénario référence'!$B$17*0+'Scénario référence'!$B$18*5</f>
        <v>0</v>
      </c>
      <c r="C85" s="160">
        <f>Calculateur!C84+'Scénario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85" s="147">
        <f t="shared" si="33"/>
        <v>0</v>
      </c>
      <c r="E85" s="147">
        <f>'Scénario référence'!$B$16*45+('Scénario référence'!$B$17+'Scénario référence'!$F$8+'Scénario référence'!$F$9+'Scénario référence'!$B$10+'Scénario référence'!$B$9)*70+'Scénario référence'!$B$18*32</f>
        <v>70</v>
      </c>
      <c r="F85" s="147">
        <f>IF(OR('Scénario référence'!$F$8&gt;0,'Scénario référence'!$F$9&gt;0),('Scénario référence'!$F$8+'Scénario référence'!$F$9)*10,0)</f>
        <v>0</v>
      </c>
      <c r="G85" s="147">
        <f>'Scénario référence'!$B$8*B85*44/12+'Scénario référence'!$B$9*(C85+D85)/0.475*44/12+'Scénario référence'!$B$10*(C85+D85)/0.475*44/12+'Scénario référence'!$F$8*(C85+D85)/0.475*44/12+'Scénario référence'!$F$9*(C85+D85)/0.475*44/12</f>
        <v>0</v>
      </c>
      <c r="H85" s="148">
        <f t="shared" si="1"/>
        <v>256.6666667</v>
      </c>
      <c r="I85" s="149">
        <f>('Scénario référence'!$F$8+'Scénario référence'!$F$9+'Scénario référence'!$B$17+'Scénario référence'!$B$9+'Scénario référence'!$B$10)*70+IF((45+25*(1-EXP(-0.0175*A85)))&lt;70,'Scénario référence'!$B$16*(45+25*(1-EXP(-0.0175*A85))),70*'Scénario référence'!$B$16)+IF((32+38*(1-EXP(-0.0175*A85)))&lt;70,'Scénario référence'!$B$18*(32+38*(1-EXP(-0.0175*A85))),70*'Scénario référence'!$B$18)</f>
        <v>70</v>
      </c>
      <c r="J85" s="150">
        <f>IF(A85&gt;30,10,('Scénario référence'!$B$16+'Scénario référence'!$B$17+'Scénario référence'!$B$18+'Scénario référence'!$B$9+'Scénario référence'!$B$10)*A85*10/30+('Scénario référence'!$F$8+'Scénario référence'!$F$9)*10)</f>
        <v>10</v>
      </c>
      <c r="K85" s="151" t="str">
        <f>VLOOKUP(A85,'Données projet'!$A$35:$I$55,2,0)</f>
        <v>#N/A</v>
      </c>
      <c r="L85" s="151" t="str">
        <f>VLOOKUP(A85,'Données projet'!$A$35:$I$55,9,0)</f>
        <v>#N/A</v>
      </c>
      <c r="M85" s="150">
        <f t="array" ref="M85">INDEX(L:L,MIN(IF(ISNUMBER(L85:L281),ROW(L85:L281),"")))</f>
        <v>6.8</v>
      </c>
      <c r="N85" s="150">
        <f>IF('Données projet'!$A$36&gt;35,N84+M85-V84,IF(A85&lt;'Données projet'!$A$36,$K$205^A85,IF(A85='Données projet'!$A$36,'Données projet'!$B$36,N84+M85-V84)))</f>
        <v>305.6</v>
      </c>
      <c r="O85" s="150">
        <f>N85*VLOOKUP('Données projet'!$B$9,'Paramètres'!$A$1:$I$88,3,0)*VLOOKUP('Données projet'!$B$9,'Paramètres'!$A$1:$I$88,5,0)</f>
        <v>276.50688</v>
      </c>
      <c r="P85" s="150">
        <f t="shared" si="34"/>
        <v>66.22827372</v>
      </c>
      <c r="Q85" s="161">
        <f t="shared" si="2"/>
        <v>596.9303927</v>
      </c>
      <c r="R85" s="153">
        <f t="shared" si="3"/>
        <v>890.2637261</v>
      </c>
      <c r="S85" s="153">
        <f>AVERAGE(OFFSET($R$3,0,0,'Données projet'!$E$9+1,1))-AVERAGE(OFFSET($H$3,0,0,'Données projet'!$E$9+1,1))</f>
        <v>439.1985427</v>
      </c>
      <c r="T85" s="153">
        <f t="shared" si="35"/>
        <v>278.2174123</v>
      </c>
      <c r="U85" s="154">
        <f>IF(ISNA(VLOOKUP(A85,'Données projet'!$A$35:$I$55,3,0)),0,VLOOKUP(A85,'Données projet'!$A$35:$I$55,3,0))</f>
        <v>0</v>
      </c>
      <c r="V85" s="154">
        <f>IF(ISNA(VLOOKUP(A85,'Données projet'!$A$35:$I$55,4,0)),0,VLOOKUP(A85,'Données projet'!$A$35:$I$55,4,0))</f>
        <v>0</v>
      </c>
      <c r="W85" s="155">
        <f>IF(ISNA(VLOOKUP(A85,'Données projet'!$A$35:$I$55,5,0)),0%,VLOOKUP(A85,'Données projet'!$A$35:$I$55,5,0)*VLOOKUP('Données projet'!$B$9,'Paramètres'!$A$1:$I$88,7,0))</f>
        <v>0</v>
      </c>
      <c r="X85" s="155">
        <f>IF(ISNA(VLOOKUP(A85,'Données projet'!$A$35:$I$55,6,0)),0%,VLOOKUP(A85,'Données projet'!$A$35:$I$55,6,0)*VLOOKUP('Données projet'!$B$9,'Paramètres'!$A$1:$I$88,7,0))</f>
        <v>0</v>
      </c>
      <c r="Y85" s="155">
        <f>IF(ISNA(VLOOKUP(A85,'Données projet'!$A$35:$I$55,7,0)),0%,VLOOKUP(A85,'Données projet'!$A$35:$I$55,7,0))</f>
        <v>0</v>
      </c>
      <c r="Z85" s="162">
        <f>EXP(-LN(2)/35)*Z84+(1-EXP(-LN(2)/35))/(LN(2)/35)*V85*W85*VLOOKUP('Données projet'!$B$9,'Paramètres'!$A$1:$I$88,3,0)*0.475*44/12</f>
        <v>0</v>
      </c>
      <c r="AA85" s="162">
        <f>EXP(-LN(2)/25)*AA84+(1-EXP(-LN(2)/25))/(LN(2)/25)*Calculateur!V85*Calculateur!X85*VLOOKUP('Données projet'!$B$9,'Paramètres'!$A$1:$I$88,3,0)*0.475*44/12</f>
        <v>1.061377527</v>
      </c>
      <c r="AB85" s="162">
        <f>EXP(-LN(2)/2)*AB84+(1-EXP(-LN(2)/2))/(LN(2)/2)*V85*Y85*VLOOKUP('Données projet'!$B$9,'Paramètres'!$A$1:$I$88,3,0)*0.475*44/12</f>
        <v>0</v>
      </c>
      <c r="AC85" s="163">
        <f t="shared" si="4"/>
        <v>1.061377527</v>
      </c>
      <c r="AD85" s="150">
        <f>('Scénario référence'!$F$8+'Scénario référence'!$F$9+'Scénario référence'!$B$17+'Scénario référence'!$B$9+'Scénario référence'!$B$10)*70+IF((45+25*(1-EXP(-0.0175*A85)))&lt;70,'Scénario référence'!$B$16*(45+25*(1-EXP(-0.0175*A85))),70*'Scénario référence'!$B$16)+IF((32+38*(1-EXP(-0.0175*A85)))&lt;70,'Scénario référence'!$B$18*(32+38*(1-EXP(-0.0175*A85))),70*'Scénario référence'!$B$18)</f>
        <v>70</v>
      </c>
      <c r="AE85" s="150">
        <f>IF(A85&gt;30,10,('Scénario référence'!$B$16+'Scénario référence'!$B$17+'Scénario référence'!$B$18+'Scénario référence'!$B$9+'Scénario référence'!$B$10)*A85*10/30+('Scénario référence'!$F$8+'Scénario référence'!$F$9)*10)</f>
        <v>10</v>
      </c>
      <c r="AF85" s="151" t="str">
        <f>VLOOKUP(A85,'Données projet'!$A$61:$I$81,2,0)</f>
        <v>#N/A</v>
      </c>
      <c r="AG85" s="151" t="str">
        <f>VLOOKUP(A85,'Données projet'!$A$61:$I$81,9,0)</f>
        <v>#N/A</v>
      </c>
      <c r="AH85" s="151" t="str">
        <f t="array" ref="AH85">INDEX(AG:AG,MIN(IF(ISNUMBER(AG85:AG281),ROW(AG85:AG281),"")))</f>
        <v/>
      </c>
      <c r="AI85" s="150">
        <f>IF('Données projet'!$A$62&gt;35,AI84+AH85-AQ84,IF(A85&lt;'Données projet'!$A$62,$AF$205^A85,IF(A85='Données projet'!$A$62,'Données projet'!$B$62,AI84+AH85-AQ84)))</f>
        <v>369</v>
      </c>
      <c r="AJ85" s="150">
        <f>AI85*VLOOKUP('Données projet'!$B$10,'Paramètres'!$A$1:$I$88,3,0)*VLOOKUP('Données projet'!$B$10,'Paramètres'!$A$1:$I$88,5,0)</f>
        <v>293.5764</v>
      </c>
      <c r="AK85" s="150">
        <f t="shared" si="36"/>
        <v>69.82813851</v>
      </c>
      <c r="AL85" s="161">
        <f t="shared" si="5"/>
        <v>632.9295712</v>
      </c>
      <c r="AM85" s="153">
        <f t="shared" si="6"/>
        <v>926.2629046</v>
      </c>
      <c r="AN85" s="153">
        <f>AVERAGE(OFFSET($AM$3,0,0,'Données projet'!$E$10+1,1))-AVERAGE(OFFSET($H$3,0,0,'Données projet'!$E$10+1,1))</f>
        <v>405.6113614</v>
      </c>
      <c r="AO85" s="153">
        <f t="shared" si="37"/>
        <v>393.0787141</v>
      </c>
      <c r="AP85" s="154">
        <f>IF(ISNA(VLOOKUP(A85,'Données projet'!$A$61:$I$81,3,0)),0,VLOOKUP(A85,'Données projet'!$A$61:$I$81,3,0))</f>
        <v>0</v>
      </c>
      <c r="AQ85" s="154">
        <f>IF(ISNA(VLOOKUP(A85,'Données projet'!$A$61:$I$81,4,0)),0,VLOOKUP(A85,'Données projet'!$A$61:$I$81,4,0))</f>
        <v>0</v>
      </c>
      <c r="AR85" s="155">
        <f>IF(ISNA(VLOOKUP(A85,'Données projet'!$A$61:$I$81,5,0)),0%,VLOOKUP(A85,'Données projet'!$A$61:$I$81,5,0)*VLOOKUP('Données projet'!$B$10,'Paramètres'!$A$1:$I$88,7,0))</f>
        <v>0</v>
      </c>
      <c r="AS85" s="155">
        <f>IF(ISNA(VLOOKUP(A85,'Données projet'!$A$61:$I$81,6,0)),0%,VLOOKUP(A85,'Données projet'!$A$61:$I$81,6,0)*VLOOKUP('Données projet'!$B$10,'Paramètres'!$A$1:$I$88,7,0))</f>
        <v>0</v>
      </c>
      <c r="AT85" s="155">
        <f>IF(ISNA(VLOOKUP(A85,'Données projet'!$A$61:$I$81,7,0)),0%,VLOOKUP(A85,'Données projet'!$A$61:$I$81,7,0))</f>
        <v>0</v>
      </c>
      <c r="AU85" s="162">
        <f>EXP(-LN(2)/35)*AU84+(1-EXP(-LN(2)/35))/(LN(2)/35)*AQ85*AR85*VLOOKUP('Données projet'!$B$10,'Paramètres'!$A$1:$I$88,3,0)*0.475*44/12</f>
        <v>0</v>
      </c>
      <c r="AV85" s="162">
        <f>EXP(-LN(2)/25)*AV84+(1-EXP(-LN(2)/25))/(LN(2)/25)*Calculateur!AQ85*Calculateur!AS85*VLOOKUP('Données projet'!$B$10,'Paramètres'!$A$1:$I$88,3,0)*0.475*44/12</f>
        <v>4.313708084</v>
      </c>
      <c r="AW85" s="162">
        <f>EXP(-LN(2)/2)*AW84+(1-EXP(-LN(2)/2))/(LN(2)/2)*AQ85*AT85*VLOOKUP('Données projet'!$B$10,'Paramètres'!$A$1:$I$88,3,0)*0.475*44/12</f>
        <v>0.000000008638384997</v>
      </c>
      <c r="AX85" s="162">
        <f t="shared" si="7"/>
        <v>4.313708092</v>
      </c>
      <c r="AY85" s="157">
        <f>('Scénario référence'!$F$8+'Scénario référence'!$F$9+'Scénario référence'!$B$17+'Scénario référence'!$B$9+'Scénario référence'!$B$10)*70+IF((45+25*(1-EXP(-0.0175*A85)))&lt;70,'Scénario référence'!$B$16*(45+25*(1-EXP(-0.0175*A85))),70*'Scénario référence'!$B$16)+IF((32+38*(1-EXP(-0.0175*A85)))&lt;70,'Scénario référence'!$B$18*(32+38*(1-EXP(-0.0175*A85))),70*'Scénario référence'!$B$18)</f>
        <v>70</v>
      </c>
      <c r="AZ85" s="151">
        <f>IF(A85&gt;30,10,('Scénario référence'!$B$16+'Scénario référence'!$B$17+'Scénario référence'!$B$18+'Scénario référence'!$B$9+'Scénario référence'!$B$10)*A85*10/30+('Scénario référence'!$F$8+'Scénario référence'!$F$9)*10)</f>
        <v>10</v>
      </c>
      <c r="BA85" s="151" t="str">
        <f>VLOOKUP(A85,'Données projet'!$A$87:$I$107,2,0)</f>
        <v>#N/A</v>
      </c>
      <c r="BB85" s="151" t="str">
        <f>VLOOKUP(A85,'Données projet'!$A$87:$I$107,9,0)</f>
        <v>#N/A</v>
      </c>
      <c r="BC85" s="151" t="str">
        <f t="array" ref="BC85">INDEX(BB:BB,MIN(IF(ISNUMBER(BB85:BB281),ROW(BB85:BB281),"")))</f>
        <v/>
      </c>
      <c r="BD85" s="150">
        <f>IF('Données projet'!$A$88&gt;35,BD84+BC85-BL84,IF(A85&lt;'Données projet'!$A$88,$BA$205^A85,IF(A85='Données projet'!$A$88,'Données projet'!$B$88,BD84+BC85-BL84)))</f>
        <v>0</v>
      </c>
      <c r="BE85" s="150">
        <f>BD85*VLOOKUP('Données projet'!$B$11,'Paramètres'!$A$1:$I$88,3,0)*VLOOKUP('Données projet'!$B$11,'Paramètres'!$A$1:$I$88,5,0)</f>
        <v>0</v>
      </c>
      <c r="BF85" s="150" t="str">
        <f t="shared" si="38"/>
        <v>#NUM!</v>
      </c>
      <c r="BG85" s="161" t="str">
        <f t="shared" si="8"/>
        <v>#NUM!</v>
      </c>
      <c r="BH85" s="153" t="str">
        <f t="shared" si="9"/>
        <v>#NUM!</v>
      </c>
      <c r="BI85" s="153">
        <f>AVERAGE(OFFSET($BH$3,0,0,'Données projet'!$E$11+1,1))-AVERAGE(OFFSET($H$3,0,0,'Données projet'!$E$11+1,1))</f>
        <v>0</v>
      </c>
      <c r="BJ85" s="153">
        <f t="shared" si="39"/>
        <v>0</v>
      </c>
      <c r="BK85" s="154">
        <f>IF(ISNA(VLOOKUP(A85,'Données projet'!$A$87:$I$107,3,0)),0,VLOOKUP(A85,'Données projet'!$A$87:$I$107,3,0))</f>
        <v>0</v>
      </c>
      <c r="BL85" s="154">
        <f>IF(ISNA(VLOOKUP(A85,'Données projet'!$A$87:$I$107,4,0)),0,VLOOKUP(A85,'Données projet'!$A$87:$I$107,4,0))</f>
        <v>0</v>
      </c>
      <c r="BM85" s="155">
        <f>IF(ISNA(VLOOKUP(A85,'Données projet'!$A$87:$I$107,5,0)),0%,VLOOKUP(A85,'Données projet'!$A$87:$I$107,5,0)*VLOOKUP('Données projet'!$B$11,'Paramètres'!$A$1:$I$88,7,0))</f>
        <v>0</v>
      </c>
      <c r="BN85" s="155">
        <f>IF(ISNA(VLOOKUP(A85,'Données projet'!$A$87:$I$107,6,0)),0%,VLOOKUP(A85,'Données projet'!$A$87:$I$107,6,0)*VLOOKUP('Données projet'!$B$11,'Paramètres'!$A$1:$I$88,7,0))</f>
        <v>0</v>
      </c>
      <c r="BO85" s="155">
        <f>IF(ISNA(VLOOKUP(A85,'Données projet'!$A$87:$I$107,7,0)),0%,VLOOKUP(A85,'Données projet'!$A$87:$I$107,7,0))</f>
        <v>0</v>
      </c>
      <c r="BP85" s="162">
        <f>EXP(-LN(2)/35)*BP84+(1-EXP(-LN(2)/35))/(LN(2)/35)*BL85*BM85*VLOOKUP('Données projet'!$B$11,'Paramètres'!$A$1:$I$88,3,0)*0.475*44/12</f>
        <v>0</v>
      </c>
      <c r="BQ85" s="162">
        <f>EXP(-LN(2)/25)*BQ84+(1-EXP(-LN(2)/25))/(LN(2)/25)*Calculateur!BL85*Calculateur!BN85*VLOOKUP('Données projet'!$B$11,'Paramètres'!$A$1:$I$88,3,0)*0.475*44/12</f>
        <v>0</v>
      </c>
      <c r="BR85" s="162">
        <f>EXP(-LN(2)/2)*BR84+(1-EXP(-LN(2)/2))/(LN(2)/2)*BL85*BO85*VLOOKUP('Données projet'!$B$11,'Paramètres'!$A$1:$I$88,3,0)*0.475*44/12</f>
        <v>0</v>
      </c>
      <c r="BS85" s="163">
        <f t="shared" si="10"/>
        <v>0</v>
      </c>
      <c r="BT85" s="159">
        <f>('Scénario référence'!$F$8+'Scénario référence'!$F$9+'Scénario référence'!$B$17+'Scénario référence'!$B$9+'Scénario référence'!$B$10)*70+IF((45+25*(1-EXP(-0.0175*A85)))&lt;70,'Scénario référence'!$B$16*(45+25*(1-EXP(-0.0175*A85))),70*'Scénario référence'!$B$16)+IF((32+38*(1-EXP(-0.0175*A85)))&lt;70,'Scénario référence'!$B$18*(32+38*(1-EXP(-0.0175*A85))),70*'Scénario référence'!$B$18)</f>
        <v>70</v>
      </c>
      <c r="BU85" s="151">
        <f>IF(A85&gt;30,10,('Scénario référence'!$B$16+'Scénario référence'!$B$17+'Scénario référence'!$B$18+'Scénario référence'!$B$9+'Scénario référence'!$B$10)*A85*10/30+('Scénario référence'!$F$8+'Scénario référence'!$F$9)*10)</f>
        <v>10</v>
      </c>
      <c r="BV85" s="151" t="str">
        <f>VLOOKUP(A85,'Données projet'!$A$113:$I$133,2,0)</f>
        <v>#N/A</v>
      </c>
      <c r="BW85" s="151" t="str">
        <f>VLOOKUP(A85,'Données projet'!$A$113:$I$133,9,0)</f>
        <v>#N/A</v>
      </c>
      <c r="BX85" s="150" t="str">
        <f t="array" ref="BX85">INDEX(BW:BW,MIN(IF(ISNUMBER(BW85:BW281),ROW(BW85:BW281),"")))</f>
        <v/>
      </c>
      <c r="BY85" s="150">
        <f>IF('Données projet'!$A$114&gt;35,BY84+BX85-CG84,IF(A85&lt;'Données projet'!$A$114,$BV$205^A85,IF(A85='Données projet'!$A$114,'Données projet'!$B$114,BY84+BX85-CG84)))</f>
        <v>0</v>
      </c>
      <c r="BZ85" s="150" t="str">
        <f>BY85*VLOOKUP('Données projet'!$B$12,'Paramètres'!$A$1:$I$88,3,0)*VLOOKUP('Données projet'!$B$12,'Paramètres'!$A$1:$I$88,5,0)</f>
        <v>#N/A</v>
      </c>
      <c r="CA85" s="150" t="str">
        <f t="shared" si="40"/>
        <v>#N/A</v>
      </c>
      <c r="CB85" s="161" t="str">
        <f t="shared" si="11"/>
        <v>#N/A</v>
      </c>
      <c r="CC85" s="153" t="str">
        <f t="shared" si="12"/>
        <v>#N/A</v>
      </c>
      <c r="CD85" s="153" t="str">
        <f>AVERAGE(OFFSET($CC$3,0,0,'Données projet'!$E$12+1,1))-AVERAGE(OFFSET($H$3,0,0,'Données projet'!$E$12+1,1))</f>
        <v>#N/A</v>
      </c>
      <c r="CE85" s="153" t="str">
        <f t="shared" si="41"/>
        <v>#N/A</v>
      </c>
      <c r="CF85" s="154">
        <f>IF(ISNA(VLOOKUP(A85,'Données projet'!$A$113:$I$133,3,0)),0,VLOOKUP(A85,'Données projet'!$A$113:$I$133,3,0))</f>
        <v>0</v>
      </c>
      <c r="CG85" s="154">
        <f>IF(ISNA(VLOOKUP(A85,'Données projet'!$A$113:$I$133,4,0)),0,VLOOKUP(A85,'Données projet'!$A$113:$I$133,4,0))</f>
        <v>0</v>
      </c>
      <c r="CH85" s="155">
        <f>IF(ISNA(VLOOKUP(A85,'Données projet'!$A$113:$I$133,5,0)),0%,VLOOKUP(A85,'Données projet'!$A$113:$I$133,5,0)*VLOOKUP('Données projet'!$B$12,'Paramètres'!$A$1:$I$88,7,0))</f>
        <v>0</v>
      </c>
      <c r="CI85" s="155">
        <f>IF(ISNA(VLOOKUP(A85,'Données projet'!$A$113:$I$133,6,0)),0%,VLOOKUP(A85,'Données projet'!$A$113:$I$133,6,0)*VLOOKUP('Données projet'!$B$12,'Paramètres'!$A$1:$I$88,7,0))</f>
        <v>0</v>
      </c>
      <c r="CJ85" s="155">
        <f>IF(ISNA(VLOOKUP(A85,'Données projet'!$A$113:$I$133,7,0)),0%,VLOOKUP(A85,'Données projet'!$A$113:$I$133,7,0))</f>
        <v>0</v>
      </c>
      <c r="CK85" s="162" t="str">
        <f>EXP(-LN(2)/35)*CK84+(1-EXP(-LN(2)/35))/(LN(2)/35)*CG85*CH85*VLOOKUP('Données projet'!$B$12,'Paramètres'!$A$1:$I$88,3,0)*0.475*44/12</f>
        <v>#N/A</v>
      </c>
      <c r="CL85" s="162" t="str">
        <f>EXP(-LN(2)/25)*CL84+(1-EXP(-LN(2)/25))/(LN(2)/25)*Calculateur!CG85*Calculateur!CI85*VLOOKUP('Données projet'!$B$12,'Paramètres'!$A$1:$I$88,3,0)*0.475*44/12</f>
        <v>#N/A</v>
      </c>
      <c r="CM85" s="162" t="str">
        <f>EXP(-LN(2)/2)*CM84+(1-EXP(-LN(2)/2))/(LN(2)/2)*CG85*CJ85*VLOOKUP('Données projet'!$B$12,'Paramètres'!$A$1:$I$88,3,0)*0.475*44/12</f>
        <v>#N/A</v>
      </c>
      <c r="CN85" s="163" t="str">
        <f t="shared" si="13"/>
        <v>#N/A</v>
      </c>
      <c r="CO85" s="159">
        <f>('Scénario référence'!$F$8+'Scénario référence'!$F$9+'Scénario référence'!$B$17+'Scénario référence'!$B$9+'Scénario référence'!$B$10)*70+IF((45+25*(1-EXP(-0.0175*A85)))&lt;70,'Scénario référence'!$B$16*(45+25*(1-EXP(-0.0175*A85))),70*'Scénario référence'!$B$16)+IF((32+38*(1-EXP(-0.0175*A85)))&lt;70,'Scénario référence'!$B$18*(32+38*(1-EXP(-0.0175*A85))),70*'Scénario référence'!$B$18)</f>
        <v>70</v>
      </c>
      <c r="CP85" s="151">
        <f>IF(A85&gt;30,10,('Scénario référence'!$B$16+'Scénario référence'!$B$17+'Scénario référence'!$B$18+'Scénario référence'!$B$9+'Scénario référence'!$B$10)*A85*10/30+('Scénario référence'!$F$8+'Scénario référence'!$F$9)*10)</f>
        <v>10</v>
      </c>
      <c r="CQ85" s="151" t="str">
        <f>VLOOKUP(A85,'Données projet'!$A$139:$I$159,2,0)</f>
        <v>#N/A</v>
      </c>
      <c r="CR85" s="151" t="str">
        <f>VLOOKUP(A85,'Données projet'!$A$139:$I$159,9,0)</f>
        <v>#N/A</v>
      </c>
      <c r="CS85" s="151" t="str">
        <f t="array" ref="CS85">INDEX(CR:CR,MIN(IF(ISNUMBER(CR85:CR281),ROW(CR85:CR281),"")))</f>
        <v/>
      </c>
      <c r="CT85" s="151">
        <f>IF('Données projet'!$A$140&gt;35,CT84+CS85-DB84,IF(A85&lt;'Données projet'!$A$140,$CQ$205^A85,IF(A85='Données projet'!$A$140,'Données projet'!$B$140,CT84+CS85-DB84)))</f>
        <v>0</v>
      </c>
      <c r="CU85" s="158" t="str">
        <f>CT85*VLOOKUP('Données projet'!$B$13,'Paramètres'!$A$1:$I$88,3,0)*VLOOKUP('Données projet'!$B$13,'Paramètres'!$A$1:$I$88,5,0)</f>
        <v>#N/A</v>
      </c>
      <c r="CV85" s="150" t="str">
        <f t="shared" si="42"/>
        <v>#N/A</v>
      </c>
      <c r="CW85" s="161" t="str">
        <f t="shared" si="14"/>
        <v>#N/A</v>
      </c>
      <c r="CX85" s="153" t="str">
        <f t="shared" si="15"/>
        <v>#N/A</v>
      </c>
      <c r="CY85" s="153" t="str">
        <f>AVERAGE(OFFSET($CX$3,0,0,'Données projet'!$E$13+1,1))-AVERAGE(OFFSET($H$3,0,0,'Données projet'!$E$13+1,1))</f>
        <v>#N/A</v>
      </c>
      <c r="CZ85" s="153" t="str">
        <f t="shared" si="43"/>
        <v>#N/A</v>
      </c>
      <c r="DA85" s="154">
        <f>IF(ISNA(VLOOKUP(A85,'Données projet'!$A$139:$I$159,3,0)),0,VLOOKUP(A85,'Données projet'!$A$139:$I$159,3,0))</f>
        <v>0</v>
      </c>
      <c r="DB85" s="154">
        <f>IF(ISNA(VLOOKUP(A85,'Données projet'!$A$139:$I$159,4,0)),0,VLOOKUP(A85,'Données projet'!$A$139:$I$159,4,0))</f>
        <v>0</v>
      </c>
      <c r="DC85" s="155">
        <f>IF(ISNA(VLOOKUP(A85,'Données projet'!$A$139:$I$159,5,0)),0%,VLOOKUP(A85,'Données projet'!$A$139:$I$159,5,0)*VLOOKUP('Données projet'!$B$13,'Paramètres'!$A$1:$I$88,7,0))</f>
        <v>0</v>
      </c>
      <c r="DD85" s="155">
        <f>IF(ISNA(VLOOKUP(A85,'Données projet'!$A$139:$I$159,6,0)),0%,VLOOKUP(A85,'Données projet'!$A$139:$I$159,6,0)*VLOOKUP('Données projet'!$B$13,'Paramètres'!$A$1:$I$88,7,0))</f>
        <v>0</v>
      </c>
      <c r="DE85" s="155">
        <f>IF(ISNA(VLOOKUP(A85,'Données projet'!$A$139:$I$159,7,0)),0%,VLOOKUP(A85,'Données projet'!$A$139:$I$159,7,0))</f>
        <v>0</v>
      </c>
      <c r="DF85" s="162" t="str">
        <f>EXP(-LN(2)/35)*DF84+(1-EXP(-LN(2)/35))/(LN(2)/35)*DB85*DC85*VLOOKUP('Données projet'!$B$13,'Paramètres'!$A$1:$I$88,3,0)*0.475*44/12</f>
        <v>#N/A</v>
      </c>
      <c r="DG85" s="162" t="str">
        <f>EXP(-LN(2)/25)*DG84+(1-EXP(-LN(2)/25))/(LN(2)/25)*Calculateur!DB85*Calculateur!DD85*VLOOKUP('Données projet'!$B$13,'Paramètres'!$A$1:$I$88,3,0)*0.475*44/12</f>
        <v>#N/A</v>
      </c>
      <c r="DH85" s="162" t="str">
        <f>EXP(-LN(2)/2)*DH84+(1-EXP(-LN(2)/2))/(LN(2)/2)*DB85*DE85*VLOOKUP('Données projet'!$B$13,'Paramètres'!$A$1:$I$88,3,0)*0.475*44/12</f>
        <v>#N/A</v>
      </c>
      <c r="DI85" s="163" t="str">
        <f t="shared" si="16"/>
        <v>#N/A</v>
      </c>
      <c r="DJ85" s="159">
        <f>('Scénario référence'!$F$8+'Scénario référence'!$F$9+'Scénario référence'!$B$17+'Scénario référence'!$B$9+'Scénario référence'!$B$10)*70+IF((45+25*(1-EXP(-0.0175*A85)))&lt;70,'Scénario référence'!$B$16*(45+25*(1-EXP(-0.0175*A85))),70*'Scénario référence'!$B$16)+IF((32+38*(1-EXP(-0.0175*A85)))&lt;70,'Scénario référence'!$B$18*(32+38*(1-EXP(-0.0175*A85))),70*'Scénario référence'!$B$18)</f>
        <v>70</v>
      </c>
      <c r="DK85" s="151">
        <f>IF(A85&gt;30,10,('Scénario référence'!$B$16+'Scénario référence'!$B$17+'Scénario référence'!$B$18+'Scénario référence'!$B$9+'Scénario référence'!$B$10)*A85*10/30+('Scénario référence'!$F$8+'Scénario référence'!$F$9)*10)</f>
        <v>10</v>
      </c>
      <c r="DL85" s="151" t="str">
        <f>VLOOKUP(A85,'Données projet'!$A$165:$I$185,2,0)</f>
        <v>#N/A</v>
      </c>
      <c r="DM85" s="151" t="str">
        <f>VLOOKUP(A85,'Données projet'!$A$165:$I$185,9,0)</f>
        <v>#N/A</v>
      </c>
      <c r="DN85" s="151" t="str">
        <f t="array" ref="DN85">INDEX(DM:DM,MIN(IF(ISNUMBER(DM85:DM281),ROW(DM85:DM281),"")))</f>
        <v/>
      </c>
      <c r="DO85" s="151">
        <f>IF('Données projet'!$A$166&gt;35,DO84+DN85-DW84,IF(A85&lt;'Données projet'!$A$166,$DL$205^A85,IF(A85='Données projet'!$A$166,'Données projet'!$B$166,DO84+DN85-DW84)))</f>
        <v>0</v>
      </c>
      <c r="DP85" s="158" t="str">
        <f>DO85*VLOOKUP('Données projet'!$B$14,'Paramètres'!$A$1:$I$88,3,0)*VLOOKUP('Données projet'!$B$14,'Paramètres'!$A$1:$I$88,5,0)</f>
        <v>#N/A</v>
      </c>
      <c r="DQ85" s="150" t="str">
        <f t="shared" si="44"/>
        <v>#N/A</v>
      </c>
      <c r="DR85" s="161" t="str">
        <f t="shared" si="17"/>
        <v>#N/A</v>
      </c>
      <c r="DS85" s="153" t="str">
        <f t="shared" si="18"/>
        <v>#N/A</v>
      </c>
      <c r="DT85" s="153" t="str">
        <f>AVERAGE(OFFSET($DS$3,0,0,'Données projet'!$E$14+1,1))-AVERAGE(OFFSET($H$3,0,0,'Données projet'!$E$14+1,1))</f>
        <v>#N/A</v>
      </c>
      <c r="DU85" s="153" t="str">
        <f t="shared" si="45"/>
        <v>#N/A</v>
      </c>
      <c r="DV85" s="154">
        <f>IF(ISNA(VLOOKUP(A85,'Données projet'!$A$165:$I$185,3,0)),0,VLOOKUP(A85,'Données projet'!$A$165:$I$185,3,0))</f>
        <v>0</v>
      </c>
      <c r="DW85" s="154">
        <f>IF(ISNA(VLOOKUP(A85,'Données projet'!$A$165:$I$185,4,0)),0,VLOOKUP(A85,'Données projet'!$A$165:$I$185,4,0))</f>
        <v>0</v>
      </c>
      <c r="DX85" s="155">
        <f>IF(ISNA(VLOOKUP(A85,'Données projet'!$A$165:$I$185,5,0)),0%,VLOOKUP(A85,'Données projet'!$A$165:$I$185,5,0)*VLOOKUP('Données projet'!$B$14,'Paramètres'!$A$1:$I$88,7,0))</f>
        <v>0</v>
      </c>
      <c r="DY85" s="155">
        <f>IF(ISNA(VLOOKUP(A85,'Données projet'!$A$165:$I$185,6,0)),0%,VLOOKUP(A85,'Données projet'!$A$165:$I$185,6,0)*VLOOKUP('Données projet'!$B$14,'Paramètres'!$A$1:$I$88,7,0))</f>
        <v>0</v>
      </c>
      <c r="DZ85" s="155">
        <f>IF(ISNA(VLOOKUP(A85,'Données projet'!$A$165:$I$185,7,0)),0%,VLOOKUP(A85,'Données projet'!$A$165:$I$185,7,0))</f>
        <v>0</v>
      </c>
      <c r="EA85" s="162" t="str">
        <f>EXP(-LN(2)/35)*EA84+(1-EXP(-LN(2)/35))/(LN(2)/35)*DW85*DX85*VLOOKUP('Données projet'!$B$14,'Paramètres'!$A$1:$I$88,3,0)*0.475*44/12</f>
        <v>#N/A</v>
      </c>
      <c r="EB85" s="162" t="str">
        <f>EXP(-LN(2)/25)*EB84+(1-EXP(-LN(2)/25))/(LN(2)/25)*Calculateur!DW85*Calculateur!DY85*VLOOKUP('Données projet'!$B$14,'Paramètres'!$A$1:$I$88,3,0)*0.475*44/12</f>
        <v>#N/A</v>
      </c>
      <c r="EC85" s="162" t="str">
        <f>EXP(-LN(2)/2)*EC84+(1-EXP(-LN(2)/2))/(LN(2)/2)*DW85*DZ85*VLOOKUP('Données projet'!$B$14,'Paramètres'!$A$1:$I$88,3,0)*0.475*44/12</f>
        <v>#N/A</v>
      </c>
      <c r="ED85" s="163" t="str">
        <f t="shared" si="19"/>
        <v>#N/A</v>
      </c>
      <c r="EE85" s="159">
        <f>('Scénario référence'!$F$8+'Scénario référence'!$F$9+'Scénario référence'!$B$17+'Scénario référence'!$B$9+'Scénario référence'!$B$10)*70+IF((45+25*(1-EXP(-0.0175*A85)))&lt;70,'Scénario référence'!$B$16*(45+25*(1-EXP(-0.0175*A85))),70*'Scénario référence'!$B$16)+IF((32+38*(1-EXP(-0.0175*A85)))&lt;70,'Scénario référence'!$B$18*(32+38*(1-EXP(-0.0175*A85))),70*'Scénario référence'!$B$18)</f>
        <v>70</v>
      </c>
      <c r="EF85" s="151">
        <f>IF(A85&gt;30,10,('Scénario référence'!$B$16+'Scénario référence'!$B$17+'Scénario référence'!$B$18+'Scénario référence'!$B$9+'Scénario référence'!$B$10)*A85*10/30+('Scénario référence'!$F$8+'Scénario référence'!$F$9)*10)</f>
        <v>10</v>
      </c>
      <c r="EG85" s="151" t="str">
        <f>VLOOKUP(A85,'Données projet'!$A$191:$I$211,2,0)</f>
        <v>#N/A</v>
      </c>
      <c r="EH85" s="151" t="str">
        <f>VLOOKUP(A85,'Données projet'!$A$191:$I$211,9,0)</f>
        <v>#N/A</v>
      </c>
      <c r="EI85" s="151" t="str">
        <f t="array" ref="EI85">INDEX(EH:EH,MIN(IF(ISNUMBER(EH85:EH281),ROW(EH85:EH281),"")))</f>
        <v/>
      </c>
      <c r="EJ85" s="151">
        <f>IF('Données projet'!$A$192&gt;35,EJ84+EI85-ER84,IF(A85&lt;'Données projet'!$A$192,$EG$205^A85,IF(A85='Données projet'!$A$192,'Données projet'!$B$192,EJ84+EI85-ER84)))</f>
        <v>0</v>
      </c>
      <c r="EK85" s="158" t="str">
        <f>EJ85*VLOOKUP('Données projet'!$B$15,'Paramètres'!$A$1:$I$88,3,0)*VLOOKUP('Données projet'!$B$15,'Paramètres'!$A$1:$I$88,5,0)</f>
        <v>#N/A</v>
      </c>
      <c r="EL85" s="150" t="str">
        <f t="shared" si="46"/>
        <v>#N/A</v>
      </c>
      <c r="EM85" s="161" t="str">
        <f t="shared" si="20"/>
        <v>#N/A</v>
      </c>
      <c r="EN85" s="153" t="str">
        <f t="shared" si="21"/>
        <v>#N/A</v>
      </c>
      <c r="EO85" s="153" t="str">
        <f>AVERAGE(OFFSET($EN$3,0,0,'Données projet'!$E$15+1,1))-AVERAGE(OFFSET($H$3,0,0,'Données projet'!$E$15+1,1))</f>
        <v>#N/A</v>
      </c>
      <c r="EP85" s="153" t="str">
        <f t="shared" si="47"/>
        <v>#N/A</v>
      </c>
      <c r="EQ85" s="154">
        <f>IF(ISNA(VLOOKUP(A85,'Données projet'!$A$191:$I$211,3,0)),0,VLOOKUP(A85,'Données projet'!$A$191:$I$211,3,0))</f>
        <v>0</v>
      </c>
      <c r="ER85" s="154">
        <f>IF(ISNA(VLOOKUP(A85,'Données projet'!$A$191:$I$211,4,0)),0,VLOOKUP(A85,'Données projet'!$A$191:$I$211,4,0))</f>
        <v>0</v>
      </c>
      <c r="ES85" s="155">
        <f>IF(ISNA(VLOOKUP(A85,'Données projet'!$A$191:$I$211,5,0)),0%,VLOOKUP(A85,'Données projet'!$A$191:$I$211,5,0)*VLOOKUP('Données projet'!$B$15,'Paramètres'!$A$1:$I$88,7,0))</f>
        <v>0</v>
      </c>
      <c r="ET85" s="155">
        <f>IF(ISNA(VLOOKUP(A85,'Données projet'!$A$191:$I$211,6,0)),0%,VLOOKUP(A85,'Données projet'!$A$191:$I$211,6,0)*VLOOKUP('Données projet'!$B$15,'Paramètres'!$A$1:$I$88,7,0))</f>
        <v>0</v>
      </c>
      <c r="EU85" s="155">
        <f>IF(ISNA(VLOOKUP(A85,'Données projet'!$A$191:$I$211,7,0)),0%,VLOOKUP(A85,'Données projet'!$A$191:$I$211,7,0))</f>
        <v>0</v>
      </c>
      <c r="EV85" s="162" t="str">
        <f>EXP(-LN(2)/35)*EV84+(1-EXP(-LN(2)/35))/(LN(2)/35)*ER85*ES85*VLOOKUP('Données projet'!$B$15,'Paramètres'!$A$1:$I$88,3,0)*0.475*44/12</f>
        <v>#N/A</v>
      </c>
      <c r="EW85" s="162" t="str">
        <f>EXP(-LN(2)/25)*EW84+(1-EXP(-LN(2)/25))/(LN(2)/25)*Calculateur!ER85*Calculateur!ET85*VLOOKUP('Données projet'!$B$15,'Paramètres'!$A$1:$I$88,3,0)*0.475*44/12</f>
        <v>#N/A</v>
      </c>
      <c r="EX85" s="162" t="str">
        <f>EXP(-LN(2)/2)*EX84+(1-EXP(-LN(2)/2))/(LN(2)/2)*ER85*EU85*VLOOKUP('Données projet'!$B$15,'Paramètres'!$A$1:$I$88,3,0)*0.475*44/12</f>
        <v>#N/A</v>
      </c>
      <c r="EY85" s="163" t="str">
        <f t="shared" si="22"/>
        <v>#N/A</v>
      </c>
      <c r="EZ85" s="159">
        <f>('Scénario référence'!$F$8+'Scénario référence'!$F$9+'Scénario référence'!$B$17+'Scénario référence'!$B$9+'Scénario référence'!$B$10)*70+IF((45+25*(1-EXP(-0.0175*A85)))&lt;70,'Scénario référence'!$B$16*(45+25*(1-EXP(-0.0175*A85))),70*'Scénario référence'!$B$16)+IF((32+38*(1-EXP(-0.0175*A85)))&lt;70,'Scénario référence'!$B$18*(32+38*(1-EXP(-0.0175*A85))),70*'Scénario référence'!$B$18)</f>
        <v>70</v>
      </c>
      <c r="FA85" s="151">
        <f>IF(A85&gt;30,10,('Scénario référence'!$B$16+'Scénario référence'!$B$17+'Scénario référence'!$B$18+'Scénario référence'!$B$9+'Scénario référence'!$B$10)*A85*10/30+('Scénario référence'!$F$8+'Scénario référence'!$F$9)*10)</f>
        <v>10</v>
      </c>
      <c r="FB85" s="151" t="str">
        <f>VLOOKUP(A85,'Données projet'!$A$217:$I$237,2,0)</f>
        <v>#N/A</v>
      </c>
      <c r="FC85" s="151" t="str">
        <f>VLOOKUP(A85,'Données projet'!$A$217:$I$237,9,0)</f>
        <v>#N/A</v>
      </c>
      <c r="FD85" s="151" t="str">
        <f t="array" ref="FD85">INDEX(FC:FC,MIN(IF(ISNUMBER(FC85:FC281),ROW(FC85:FC281),"")))</f>
        <v/>
      </c>
      <c r="FE85" s="151">
        <f>IF('Données projet'!$A$218&gt;35,FE84+FD85-FM84,IF(A85&lt;'Données projet'!$A$218,$FB$205^A85,IF(A85='Données projet'!$A$218,'Données projet'!$B$218,FE84+FD85-FM84)))</f>
        <v>0</v>
      </c>
      <c r="FF85" s="158" t="str">
        <f>FE85*VLOOKUP('Données projet'!$B$16,'Paramètres'!$A$1:$I$88,3,0)*VLOOKUP('Données projet'!$B$16,'Paramètres'!$A$1:$I$88,5,0)</f>
        <v>#N/A</v>
      </c>
      <c r="FG85" s="150" t="str">
        <f t="shared" si="48"/>
        <v>#N/A</v>
      </c>
      <c r="FH85" s="161" t="str">
        <f t="shared" si="23"/>
        <v>#N/A</v>
      </c>
      <c r="FI85" s="153" t="str">
        <f t="shared" si="24"/>
        <v>#N/A</v>
      </c>
      <c r="FJ85" s="153" t="str">
        <f>AVERAGE(OFFSET($FI$3,0,0,'Données projet'!$E$16+1,1))-AVERAGE(OFFSET($H$3,0,0,'Données projet'!$E$16+1,1))</f>
        <v>#N/A</v>
      </c>
      <c r="FK85" s="153" t="str">
        <f t="shared" si="49"/>
        <v>#N/A</v>
      </c>
      <c r="FL85" s="154">
        <f>IF(ISNA(VLOOKUP(A85,'Données projet'!$A$217:$I$237,3,0)),0,VLOOKUP(A85,'Données projet'!$A$217:$I$237,3,0))</f>
        <v>0</v>
      </c>
      <c r="FM85" s="154">
        <f>IF(ISNA(VLOOKUP(A85,'Données projet'!$A$217:$I$237,4,0)),0,VLOOKUP(A85,'Données projet'!$A$217:$I$237,4,0))</f>
        <v>0</v>
      </c>
      <c r="FN85" s="155">
        <f>IF(ISNA(VLOOKUP(A85,'Données projet'!$A$217:$I$237,5,0)),0%,VLOOKUP(A85,'Données projet'!$A$217:$I$237,5,0)*VLOOKUP('Données projet'!$B$16,'Paramètres'!$A$1:$I$88,7,0))</f>
        <v>0</v>
      </c>
      <c r="FO85" s="155">
        <f>IF(ISNA(VLOOKUP(A85,'Données projet'!$A$217:$I$237,6,0)),0%,VLOOKUP(A85,'Données projet'!$A$217:$I$237,6,0)*VLOOKUP('Données projet'!$B$16,'Paramètres'!$A$1:$I$88,7,0))</f>
        <v>0</v>
      </c>
      <c r="FP85" s="155">
        <f>IF(ISNA(VLOOKUP(A85,'Données projet'!$A$217:$I$237,7,0)),0%,VLOOKUP(A85,'Données projet'!$A$217:$I$237,7,0))</f>
        <v>0</v>
      </c>
      <c r="FQ85" s="162" t="str">
        <f>EXP(-LN(2)/35)*FQ84+(1-EXP(-LN(2)/35))/(LN(2)/35)*FM85*FN85*VLOOKUP('Données projet'!$B$16,'Paramètres'!$A$1:$I$88,3,0)*0.475*44/12</f>
        <v>#N/A</v>
      </c>
      <c r="FR85" s="162" t="str">
        <f>EXP(-LN(2)/25)*FR84+(1-EXP(-LN(2)/25))/(LN(2)/25)*Calculateur!FM85*Calculateur!FO85*VLOOKUP('Données projet'!$B$16,'Paramètres'!$A$1:$I$88,3,0)*0.475*44/12</f>
        <v>#N/A</v>
      </c>
      <c r="FS85" s="162" t="str">
        <f>EXP(-LN(2)/2)*FS84+(1-EXP(-LN(2)/2))/(LN(2)/2)*FM85*FP85*VLOOKUP('Données projet'!$B$16,'Paramètres'!$A$1:$I$88,3,0)*0.475*44/12</f>
        <v>#N/A</v>
      </c>
      <c r="FT85" s="163" t="str">
        <f t="shared" si="25"/>
        <v>#N/A</v>
      </c>
      <c r="FU85" s="159">
        <f>('Scénario référence'!$F$8+'Scénario référence'!$F$9+'Scénario référence'!$B$17+'Scénario référence'!$B$9+'Scénario référence'!$B$10)*70+IF((45+25*(1-EXP(-0.0175*A85)))&lt;70,'Scénario référence'!$B$16*(45+25*(1-EXP(-0.0175*A85))),70*'Scénario référence'!$B$16)+IF((32+38*(1-EXP(-0.0175*A85)))&lt;70,'Scénario référence'!$B$18*(32+38*(1-EXP(-0.0175*A85))),70*'Scénario référence'!$B$18)</f>
        <v>70</v>
      </c>
      <c r="FV85" s="151">
        <f>IF(A85&gt;30,10,('Scénario référence'!$B$16+'Scénario référence'!$B$17+'Scénario référence'!$B$18+'Scénario référence'!$B$9+'Scénario référence'!$B$10)*A85*10/30+('Scénario référence'!$F$8+'Scénario référence'!$F$9)*10)</f>
        <v>10</v>
      </c>
      <c r="FW85" s="151" t="str">
        <f>VLOOKUP(A85,'Données projet'!$A$243:$I$263,2,0)</f>
        <v>#N/A</v>
      </c>
      <c r="FX85" s="151" t="str">
        <f>VLOOKUP(A85,'Données projet'!$A$243:$I$263,9,0)</f>
        <v>#N/A</v>
      </c>
      <c r="FY85" s="151" t="str">
        <f t="array" ref="FY85">INDEX(FX:FX,MIN(IF(ISNUMBER(FX85:FX281),ROW(FX85:FX281),"")))</f>
        <v/>
      </c>
      <c r="FZ85" s="151">
        <f>IF('Données projet'!$A$244&gt;35,FZ84+FY85-GH84,IF(A85&lt;'Données projet'!$A$244,$FW$205^A85,IF(A85='Données projet'!$A$244,'Données projet'!$B$244,FZ84+FY85-GH84)))</f>
        <v>0</v>
      </c>
      <c r="GA85" s="158" t="str">
        <f>FZ85*VLOOKUP('Données projet'!$B$17,'Paramètres'!$A$1:$I$88,3,0)*VLOOKUP('Données projet'!$B$17,'Paramètres'!$A$1:$I$88,5,0)</f>
        <v>#N/A</v>
      </c>
      <c r="GB85" s="150" t="str">
        <f t="shared" si="50"/>
        <v>#N/A</v>
      </c>
      <c r="GC85" s="161" t="str">
        <f t="shared" si="26"/>
        <v>#N/A</v>
      </c>
      <c r="GD85" s="153" t="str">
        <f t="shared" si="27"/>
        <v>#N/A</v>
      </c>
      <c r="GE85" s="153" t="str">
        <f>AVERAGE(OFFSET($GD$3,0,0,'Données projet'!$E$17+1,1))-AVERAGE(OFFSET($H$3,0,0,'Données projet'!$E$17+1,1))</f>
        <v>#N/A</v>
      </c>
      <c r="GF85" s="153" t="str">
        <f t="shared" si="51"/>
        <v>#N/A</v>
      </c>
      <c r="GG85" s="154">
        <f>IF(ISNA(VLOOKUP(A85,'Données projet'!$A$243:$I$263,3,0)),0,VLOOKUP(A85,'Données projet'!$A$243:$I$263,3,0))</f>
        <v>0</v>
      </c>
      <c r="GH85" s="154">
        <f>IF(ISNA(VLOOKUP(A85,'Données projet'!$A$243:$I$263,4,0)),0,VLOOKUP(A85,'Données projet'!$A$243:$I$263,4,0))</f>
        <v>0</v>
      </c>
      <c r="GI85" s="155">
        <f>IF(ISNA(VLOOKUP(A85,'Données projet'!$A$243:$I$263,5,0)),0%,VLOOKUP(A85,'Données projet'!$A$243:$I$263,5,0)*VLOOKUP('Données projet'!$B$17,'Paramètres'!$A$1:$I$88,7,0))</f>
        <v>0</v>
      </c>
      <c r="GJ85" s="155">
        <f>IF(ISNA(VLOOKUP(A85,'Données projet'!$A$243:$I$263,6,0)),0%,VLOOKUP(A85,'Données projet'!$A$243:$I$263,6,0)*VLOOKUP('Données projet'!$B$17,'Paramètres'!$A$1:$I$88,7,0))</f>
        <v>0</v>
      </c>
      <c r="GK85" s="155">
        <f>IF(ISNA(VLOOKUP(A85,'Données projet'!$A$243:$I$263,7,0)),0%,VLOOKUP(A85,'Données projet'!$A$243:$I$263,7,0))</f>
        <v>0</v>
      </c>
      <c r="GL85" s="162" t="str">
        <f>EXP(-LN(2)/35)*GL84+(1-EXP(-LN(2)/35))/(LN(2)/35)*GH85*GI85*VLOOKUP('Données projet'!$B$17,'Paramètres'!$A$1:$I$88,3,0)*0.475*44/12</f>
        <v>#N/A</v>
      </c>
      <c r="GM85" s="162" t="str">
        <f>EXP(-LN(2)/25)*GM84+(1-EXP(-LN(2)/25))/(LN(2)/25)*Calculateur!GH85*Calculateur!GJ85*VLOOKUP('Données projet'!$B$17,'Paramètres'!$A$1:$I$88,3,0)*0.475*44/12</f>
        <v>#N/A</v>
      </c>
      <c r="GN85" s="162" t="str">
        <f>EXP(-LN(2)/2)*GN84+(1-EXP(-LN(2)/2))/(LN(2)/2)*GH85*GK85*VLOOKUP('Données projet'!$B$17,'Paramètres'!$A$1:$I$88,3,0)*0.475*44/12</f>
        <v>#N/A</v>
      </c>
      <c r="GO85" s="162" t="str">
        <f t="shared" si="28"/>
        <v>#N/A</v>
      </c>
      <c r="GP85" s="159">
        <f>('Scénario référence'!$F$8+'Scénario référence'!$F$9+'Scénario référence'!$B$17+'Scénario référence'!$B$9+'Scénario référence'!$B$10)*70+IF((45+25*(1-EXP(-0.0175*A85)))&lt;70,'Scénario référence'!$B$16*(45+25*(1-EXP(-0.0175*A85))),70*'Scénario référence'!$B$16)+IF((32+38*(1-EXP(-0.0175*A85)))&lt;70,'Scénario référence'!$B$18*(32+38*(1-EXP(-0.0175*A85))),70*'Scénario référence'!$B$18)</f>
        <v>70</v>
      </c>
      <c r="GQ85" s="151">
        <f>IF(A85&gt;30,10,('Scénario référence'!$B$16+'Scénario référence'!$B$17+'Scénario référence'!$B$18+'Scénario référence'!$B$9+'Scénario référence'!$B$10)*A85*10/30+('Scénario référence'!$F$8+'Scénario référence'!$F$9)*10)</f>
        <v>10</v>
      </c>
      <c r="GR85" s="151" t="str">
        <f>VLOOKUP(A85,'Données projet'!$A$269:$I$289,2,0)</f>
        <v>#N/A</v>
      </c>
      <c r="GS85" s="151" t="str">
        <f>VLOOKUP(A85,'Données projet'!$A$269:$I$289,9,0)</f>
        <v>#N/A</v>
      </c>
      <c r="GT85" s="151" t="str">
        <f t="array" ref="GT85">INDEX(GS:GS,MIN(IF(ISNUMBER(GS85:GS281),ROW(GS85:GS281),"")))</f>
        <v/>
      </c>
      <c r="GU85" s="151">
        <f>IF('Données projet'!$A$270&gt;35,GU84+GT85-HC84,IF(A85&lt;'Données projet'!$A$270,$GR$205^A85,IF(A85='Données projet'!$A$270,'Données projet'!$B$270,GU84+GT85-HC84)))</f>
        <v>0</v>
      </c>
      <c r="GV85" s="158" t="str">
        <f>GU85*VLOOKUP('Données projet'!$B$18,'Paramètres'!$A$1:$I$88,3,0)*VLOOKUP('Données projet'!$B$18,'Paramètres'!$A$1:$I$88,5,0)</f>
        <v>#N/A</v>
      </c>
      <c r="GW85" s="150" t="str">
        <f t="shared" si="52"/>
        <v>#N/A</v>
      </c>
      <c r="GX85" s="161" t="str">
        <f t="shared" si="29"/>
        <v>#N/A</v>
      </c>
      <c r="GY85" s="153" t="str">
        <f t="shared" si="30"/>
        <v>#N/A</v>
      </c>
      <c r="GZ85" s="153" t="str">
        <f>AVERAGE(OFFSET($GY$3,0,0,'Données projet'!$E$18+1,1))-AVERAGE(OFFSET($H$3,0,0,'Données projet'!$E$18+1,1))</f>
        <v>#N/A</v>
      </c>
      <c r="HA85" s="153" t="str">
        <f t="shared" si="53"/>
        <v>#N/A</v>
      </c>
      <c r="HB85" s="154">
        <f>IF(ISNA(VLOOKUP(A85,'Données projet'!$A$269:$I$289,3,0)),0,VLOOKUP(A85,'Données projet'!$A$269:$I$289,3,0))</f>
        <v>0</v>
      </c>
      <c r="HC85" s="154">
        <f>IF(ISNA(VLOOKUP(A85,'Données projet'!$A$269:$I$289,4,0)),0,VLOOKUP(A85,'Données projet'!$A$269:$I$289,4,0))</f>
        <v>0</v>
      </c>
      <c r="HD85" s="155">
        <f>IF(ISNA(VLOOKUP(A85,'Données projet'!$A$269:$I$289,5,0)),0%,VLOOKUP(A85,'Données projet'!$A$269:$I$289,5,0)*VLOOKUP('Données projet'!$B$18,'Paramètres'!$A$1:$I$88,7,0))</f>
        <v>0</v>
      </c>
      <c r="HE85" s="155">
        <f>IF(ISNA(VLOOKUP(A85,'Données projet'!$A$269:$I$289,6,0)),0%,VLOOKUP(A85,'Données projet'!$A$269:$I$289,6,0)*VLOOKUP('Données projet'!$B$18,'Paramètres'!$A$1:$I$88,7,0))</f>
        <v>0</v>
      </c>
      <c r="HF85" s="155">
        <f>IF(ISNA(VLOOKUP(A85,'Données projet'!$A$269:$I$289,7,0)),0%,VLOOKUP(A85,'Données projet'!$A$269:$I$289,7,0))</f>
        <v>0</v>
      </c>
      <c r="HG85" s="162" t="str">
        <f>EXP(-LN(2)/35)*HG84+(1-EXP(-LN(2)/35))/(LN(2)/35)*HC85*HD85*VLOOKUP('Données projet'!$B$18,'Paramètres'!$A$1:$I$88,3,0)*0.475*44/12</f>
        <v>#N/A</v>
      </c>
      <c r="HH85" s="162" t="str">
        <f>EXP(-LN(2)/25)*HH84+(1-EXP(-LN(2)/25))/(LN(2)/25)*Calculateur!HC85*Calculateur!HE85*VLOOKUP('Données projet'!$B$18,'Paramètres'!$A$1:$I$88,3,0)*0.475*44/12</f>
        <v>#N/A</v>
      </c>
      <c r="HI85" s="162" t="str">
        <f>EXP(-LN(2)/2)*HI84+(1-EXP(-LN(2)/2))/(LN(2)/2)*HC85*HF85*VLOOKUP('Données projet'!$B$18,'Paramètres'!$A$1:$I$88,3,0)*0.475*44/12</f>
        <v>#N/A</v>
      </c>
      <c r="HJ85" s="163" t="str">
        <f t="shared" si="31"/>
        <v>#N/A</v>
      </c>
    </row>
    <row r="86" ht="15.75" customHeight="1">
      <c r="A86" s="145">
        <f t="shared" si="32"/>
        <v>83</v>
      </c>
      <c r="B86" s="146">
        <f>'Scénario référence'!$B$16*5+'Scénario référence'!$B$17*0+'Scénario référence'!$B$18*5</f>
        <v>0</v>
      </c>
      <c r="C86" s="160">
        <f>Calculateur!C85+'Scénario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86" s="147">
        <f t="shared" si="33"/>
        <v>0</v>
      </c>
      <c r="E86" s="147">
        <f>'Scénario référence'!$B$16*45+('Scénario référence'!$B$17+'Scénario référence'!$F$8+'Scénario référence'!$F$9+'Scénario référence'!$B$10+'Scénario référence'!$B$9)*70+'Scénario référence'!$B$18*32</f>
        <v>70</v>
      </c>
      <c r="F86" s="147">
        <f>IF(OR('Scénario référence'!$F$8&gt;0,'Scénario référence'!$F$9&gt;0),('Scénario référence'!$F$8+'Scénario référence'!$F$9)*10,0)</f>
        <v>0</v>
      </c>
      <c r="G86" s="147">
        <f>'Scénario référence'!$B$8*B86*44/12+'Scénario référence'!$B$9*(C86+D86)/0.475*44/12+'Scénario référence'!$B$10*(C86+D86)/0.475*44/12+'Scénario référence'!$F$8*(C86+D86)/0.475*44/12+'Scénario référence'!$F$9*(C86+D86)/0.475*44/12</f>
        <v>0</v>
      </c>
      <c r="H86" s="148">
        <f t="shared" si="1"/>
        <v>256.6666667</v>
      </c>
      <c r="I86" s="149">
        <f>('Scénario référence'!$F$8+'Scénario référence'!$F$9+'Scénario référence'!$B$17+'Scénario référence'!$B$9+'Scénario référence'!$B$10)*70+IF((45+25*(1-EXP(-0.0175*A86)))&lt;70,'Scénario référence'!$B$16*(45+25*(1-EXP(-0.0175*A86))),70*'Scénario référence'!$B$16)+IF((32+38*(1-EXP(-0.0175*A86)))&lt;70,'Scénario référence'!$B$18*(32+38*(1-EXP(-0.0175*A86))),70*'Scénario référence'!$B$18)</f>
        <v>70</v>
      </c>
      <c r="J86" s="150">
        <f>IF(A86&gt;30,10,('Scénario référence'!$B$16+'Scénario référence'!$B$17+'Scénario référence'!$B$18+'Scénario référence'!$B$9+'Scénario référence'!$B$10)*A86*10/30+('Scénario référence'!$F$8+'Scénario référence'!$F$9)*10)</f>
        <v>10</v>
      </c>
      <c r="K86" s="151" t="str">
        <f>VLOOKUP(A86,'Données projet'!$A$35:$I$55,2,0)</f>
        <v>#N/A</v>
      </c>
      <c r="L86" s="151" t="str">
        <f>VLOOKUP(A86,'Données projet'!$A$35:$I$55,9,0)</f>
        <v>#N/A</v>
      </c>
      <c r="M86" s="150">
        <f t="array" ref="M86">INDEX(L:L,MIN(IF(ISNUMBER(L86:L282),ROW(L86:L282),"")))</f>
        <v>6.8</v>
      </c>
      <c r="N86" s="150">
        <f>IF('Données projet'!$A$36&gt;35,N85+M86-V85,IF(A86&lt;'Données projet'!$A$36,$K$205^A86,IF(A86='Données projet'!$A$36,'Données projet'!$B$36,N85+M86-V85)))</f>
        <v>312.4</v>
      </c>
      <c r="O86" s="150">
        <f>N86*VLOOKUP('Données projet'!$B$9,'Paramètres'!$A$1:$I$88,3,0)*VLOOKUP('Données projet'!$B$9,'Paramètres'!$A$1:$I$88,5,0)</f>
        <v>282.65952</v>
      </c>
      <c r="P86" s="150">
        <f t="shared" si="34"/>
        <v>67.52873231</v>
      </c>
      <c r="Q86" s="161">
        <f t="shared" si="2"/>
        <v>609.9112061</v>
      </c>
      <c r="R86" s="153">
        <f t="shared" si="3"/>
        <v>903.2445394</v>
      </c>
      <c r="S86" s="153">
        <f>AVERAGE(OFFSET($R$3,0,0,'Données projet'!$E$9+1,1))-AVERAGE(OFFSET($H$3,0,0,'Données projet'!$E$9+1,1))</f>
        <v>439.1985427</v>
      </c>
      <c r="T86" s="153">
        <f t="shared" si="35"/>
        <v>278.2174123</v>
      </c>
      <c r="U86" s="154">
        <f>IF(ISNA(VLOOKUP(A86,'Données projet'!$A$35:$I$55,3,0)),0,VLOOKUP(A86,'Données projet'!$A$35:$I$55,3,0))</f>
        <v>0</v>
      </c>
      <c r="V86" s="154">
        <f>IF(ISNA(VLOOKUP(A86,'Données projet'!$A$35:$I$55,4,0)),0,VLOOKUP(A86,'Données projet'!$A$35:$I$55,4,0))</f>
        <v>0</v>
      </c>
      <c r="W86" s="155">
        <f>IF(ISNA(VLOOKUP(A86,'Données projet'!$A$35:$I$55,5,0)),0%,VLOOKUP(A86,'Données projet'!$A$35:$I$55,5,0)*VLOOKUP('Données projet'!$B$9,'Paramètres'!$A$1:$I$88,7,0))</f>
        <v>0</v>
      </c>
      <c r="X86" s="155">
        <f>IF(ISNA(VLOOKUP(A86,'Données projet'!$A$35:$I$55,6,0)),0%,VLOOKUP(A86,'Données projet'!$A$35:$I$55,6,0)*VLOOKUP('Données projet'!$B$9,'Paramètres'!$A$1:$I$88,7,0))</f>
        <v>0</v>
      </c>
      <c r="Y86" s="155">
        <f>IF(ISNA(VLOOKUP(A86,'Données projet'!$A$35:$I$55,7,0)),0%,VLOOKUP(A86,'Données projet'!$A$35:$I$55,7,0))</f>
        <v>0</v>
      </c>
      <c r="Z86" s="162">
        <f>EXP(-LN(2)/35)*Z85+(1-EXP(-LN(2)/35))/(LN(2)/35)*V86*W86*VLOOKUP('Données projet'!$B$9,'Paramètres'!$A$1:$I$88,3,0)*0.475*44/12</f>
        <v>0</v>
      </c>
      <c r="AA86" s="162">
        <f>EXP(-LN(2)/25)*AA85+(1-EXP(-LN(2)/25))/(LN(2)/25)*Calculateur!V86*Calculateur!X86*VLOOKUP('Données projet'!$B$9,'Paramètres'!$A$1:$I$88,3,0)*0.475*44/12</f>
        <v>1.032354103</v>
      </c>
      <c r="AB86" s="162">
        <f>EXP(-LN(2)/2)*AB85+(1-EXP(-LN(2)/2))/(LN(2)/2)*V86*Y86*VLOOKUP('Données projet'!$B$9,'Paramètres'!$A$1:$I$88,3,0)*0.475*44/12</f>
        <v>0</v>
      </c>
      <c r="AC86" s="163">
        <f t="shared" si="4"/>
        <v>1.032354103</v>
      </c>
      <c r="AD86" s="150">
        <f>('Scénario référence'!$F$8+'Scénario référence'!$F$9+'Scénario référence'!$B$17+'Scénario référence'!$B$9+'Scénario référence'!$B$10)*70+IF((45+25*(1-EXP(-0.0175*A86)))&lt;70,'Scénario référence'!$B$16*(45+25*(1-EXP(-0.0175*A86))),70*'Scénario référence'!$B$16)+IF((32+38*(1-EXP(-0.0175*A86)))&lt;70,'Scénario référence'!$B$18*(32+38*(1-EXP(-0.0175*A86))),70*'Scénario référence'!$B$18)</f>
        <v>70</v>
      </c>
      <c r="AE86" s="150">
        <f>IF(A86&gt;30,10,('Scénario référence'!$B$16+'Scénario référence'!$B$17+'Scénario référence'!$B$18+'Scénario référence'!$B$9+'Scénario référence'!$B$10)*A86*10/30+('Scénario référence'!$F$8+'Scénario référence'!$F$9)*10)</f>
        <v>10</v>
      </c>
      <c r="AF86" s="151" t="str">
        <f>VLOOKUP(A86,'Données projet'!$A$61:$I$81,2,0)</f>
        <v>#N/A</v>
      </c>
      <c r="AG86" s="151" t="str">
        <f>VLOOKUP(A86,'Données projet'!$A$61:$I$81,9,0)</f>
        <v>#N/A</v>
      </c>
      <c r="AH86" s="151" t="str">
        <f t="array" ref="AH86">INDEX(AG:AG,MIN(IF(ISNUMBER(AG86:AG282),ROW(AG86:AG282),"")))</f>
        <v/>
      </c>
      <c r="AI86" s="150">
        <f>IF('Données projet'!$A$62&gt;35,AI85+AH86-AQ85,IF(A86&lt;'Données projet'!$A$62,$AF$205^A86,IF(A86='Données projet'!$A$62,'Données projet'!$B$62,AI85+AH86-AQ85)))</f>
        <v>369</v>
      </c>
      <c r="AJ86" s="150">
        <f>AI86*VLOOKUP('Données projet'!$B$10,'Paramètres'!$A$1:$I$88,3,0)*VLOOKUP('Données projet'!$B$10,'Paramètres'!$A$1:$I$88,5,0)</f>
        <v>293.5764</v>
      </c>
      <c r="AK86" s="150">
        <f t="shared" si="36"/>
        <v>69.82813851</v>
      </c>
      <c r="AL86" s="161">
        <f t="shared" si="5"/>
        <v>632.9295712</v>
      </c>
      <c r="AM86" s="153">
        <f t="shared" si="6"/>
        <v>926.2629046</v>
      </c>
      <c r="AN86" s="153">
        <f>AVERAGE(OFFSET($AM$3,0,0,'Données projet'!$E$10+1,1))-AVERAGE(OFFSET($H$3,0,0,'Données projet'!$E$10+1,1))</f>
        <v>405.6113614</v>
      </c>
      <c r="AO86" s="153">
        <f t="shared" si="37"/>
        <v>393.0787141</v>
      </c>
      <c r="AP86" s="154">
        <f>IF(ISNA(VLOOKUP(A86,'Données projet'!$A$61:$I$81,3,0)),0,VLOOKUP(A86,'Données projet'!$A$61:$I$81,3,0))</f>
        <v>0</v>
      </c>
      <c r="AQ86" s="154">
        <f>IF(ISNA(VLOOKUP(A86,'Données projet'!$A$61:$I$81,4,0)),0,VLOOKUP(A86,'Données projet'!$A$61:$I$81,4,0))</f>
        <v>0</v>
      </c>
      <c r="AR86" s="155">
        <f>IF(ISNA(VLOOKUP(A86,'Données projet'!$A$61:$I$81,5,0)),0%,VLOOKUP(A86,'Données projet'!$A$61:$I$81,5,0)*VLOOKUP('Données projet'!$B$10,'Paramètres'!$A$1:$I$88,7,0))</f>
        <v>0</v>
      </c>
      <c r="AS86" s="155">
        <f>IF(ISNA(VLOOKUP(A86,'Données projet'!$A$61:$I$81,6,0)),0%,VLOOKUP(A86,'Données projet'!$A$61:$I$81,6,0)*VLOOKUP('Données projet'!$B$10,'Paramètres'!$A$1:$I$88,7,0))</f>
        <v>0</v>
      </c>
      <c r="AT86" s="155">
        <f>IF(ISNA(VLOOKUP(A86,'Données projet'!$A$61:$I$81,7,0)),0%,VLOOKUP(A86,'Données projet'!$A$61:$I$81,7,0))</f>
        <v>0</v>
      </c>
      <c r="AU86" s="162">
        <f>EXP(-LN(2)/35)*AU85+(1-EXP(-LN(2)/35))/(LN(2)/35)*AQ86*AR86*VLOOKUP('Données projet'!$B$10,'Paramètres'!$A$1:$I$88,3,0)*0.475*44/12</f>
        <v>0</v>
      </c>
      <c r="AV86" s="162">
        <f>EXP(-LN(2)/25)*AV85+(1-EXP(-LN(2)/25))/(LN(2)/25)*Calculateur!AQ86*Calculateur!AS86*VLOOKUP('Données projet'!$B$10,'Paramètres'!$A$1:$I$88,3,0)*0.475*44/12</f>
        <v>4.195749509</v>
      </c>
      <c r="AW86" s="162">
        <f>EXP(-LN(2)/2)*AW85+(1-EXP(-LN(2)/2))/(LN(2)/2)*AQ86*AT86*VLOOKUP('Données projet'!$B$10,'Paramètres'!$A$1:$I$88,3,0)*0.475*44/12</f>
        <v>0.00000000610826061</v>
      </c>
      <c r="AX86" s="162">
        <f t="shared" si="7"/>
        <v>4.195749515</v>
      </c>
      <c r="AY86" s="157">
        <f>('Scénario référence'!$F$8+'Scénario référence'!$F$9+'Scénario référence'!$B$17+'Scénario référence'!$B$9+'Scénario référence'!$B$10)*70+IF((45+25*(1-EXP(-0.0175*A86)))&lt;70,'Scénario référence'!$B$16*(45+25*(1-EXP(-0.0175*A86))),70*'Scénario référence'!$B$16)+IF((32+38*(1-EXP(-0.0175*A86)))&lt;70,'Scénario référence'!$B$18*(32+38*(1-EXP(-0.0175*A86))),70*'Scénario référence'!$B$18)</f>
        <v>70</v>
      </c>
      <c r="AZ86" s="151">
        <f>IF(A86&gt;30,10,('Scénario référence'!$B$16+'Scénario référence'!$B$17+'Scénario référence'!$B$18+'Scénario référence'!$B$9+'Scénario référence'!$B$10)*A86*10/30+('Scénario référence'!$F$8+'Scénario référence'!$F$9)*10)</f>
        <v>10</v>
      </c>
      <c r="BA86" s="151" t="str">
        <f>VLOOKUP(A86,'Données projet'!$A$87:$I$107,2,0)</f>
        <v>#N/A</v>
      </c>
      <c r="BB86" s="151" t="str">
        <f>VLOOKUP(A86,'Données projet'!$A$87:$I$107,9,0)</f>
        <v>#N/A</v>
      </c>
      <c r="BC86" s="151" t="str">
        <f t="array" ref="BC86">INDEX(BB:BB,MIN(IF(ISNUMBER(BB86:BB282),ROW(BB86:BB282),"")))</f>
        <v/>
      </c>
      <c r="BD86" s="150">
        <f>IF('Données projet'!$A$88&gt;35,BD85+BC86-BL85,IF(A86&lt;'Données projet'!$A$88,$BA$205^A86,IF(A86='Données projet'!$A$88,'Données projet'!$B$88,BD85+BC86-BL85)))</f>
        <v>0</v>
      </c>
      <c r="BE86" s="150">
        <f>BD86*VLOOKUP('Données projet'!$B$11,'Paramètres'!$A$1:$I$88,3,0)*VLOOKUP('Données projet'!$B$11,'Paramètres'!$A$1:$I$88,5,0)</f>
        <v>0</v>
      </c>
      <c r="BF86" s="150" t="str">
        <f t="shared" si="38"/>
        <v>#NUM!</v>
      </c>
      <c r="BG86" s="161" t="str">
        <f t="shared" si="8"/>
        <v>#NUM!</v>
      </c>
      <c r="BH86" s="153" t="str">
        <f t="shared" si="9"/>
        <v>#NUM!</v>
      </c>
      <c r="BI86" s="153">
        <f>AVERAGE(OFFSET($BH$3,0,0,'Données projet'!$E$11+1,1))-AVERAGE(OFFSET($H$3,0,0,'Données projet'!$E$11+1,1))</f>
        <v>0</v>
      </c>
      <c r="BJ86" s="153">
        <f t="shared" si="39"/>
        <v>0</v>
      </c>
      <c r="BK86" s="154">
        <f>IF(ISNA(VLOOKUP(A86,'Données projet'!$A$87:$I$107,3,0)),0,VLOOKUP(A86,'Données projet'!$A$87:$I$107,3,0))</f>
        <v>0</v>
      </c>
      <c r="BL86" s="154">
        <f>IF(ISNA(VLOOKUP(A86,'Données projet'!$A$87:$I$107,4,0)),0,VLOOKUP(A86,'Données projet'!$A$87:$I$107,4,0))</f>
        <v>0</v>
      </c>
      <c r="BM86" s="155">
        <f>IF(ISNA(VLOOKUP(A86,'Données projet'!$A$87:$I$107,5,0)),0%,VLOOKUP(A86,'Données projet'!$A$87:$I$107,5,0)*VLOOKUP('Données projet'!$B$11,'Paramètres'!$A$1:$I$88,7,0))</f>
        <v>0</v>
      </c>
      <c r="BN86" s="155">
        <f>IF(ISNA(VLOOKUP(A86,'Données projet'!$A$87:$I$107,6,0)),0%,VLOOKUP(A86,'Données projet'!$A$87:$I$107,6,0)*VLOOKUP('Données projet'!$B$11,'Paramètres'!$A$1:$I$88,7,0))</f>
        <v>0</v>
      </c>
      <c r="BO86" s="155">
        <f>IF(ISNA(VLOOKUP(A86,'Données projet'!$A$87:$I$107,7,0)),0%,VLOOKUP(A86,'Données projet'!$A$87:$I$107,7,0))</f>
        <v>0</v>
      </c>
      <c r="BP86" s="162">
        <f>EXP(-LN(2)/35)*BP85+(1-EXP(-LN(2)/35))/(LN(2)/35)*BL86*BM86*VLOOKUP('Données projet'!$B$11,'Paramètres'!$A$1:$I$88,3,0)*0.475*44/12</f>
        <v>0</v>
      </c>
      <c r="BQ86" s="162">
        <f>EXP(-LN(2)/25)*BQ85+(1-EXP(-LN(2)/25))/(LN(2)/25)*Calculateur!BL86*Calculateur!BN86*VLOOKUP('Données projet'!$B$11,'Paramètres'!$A$1:$I$88,3,0)*0.475*44/12</f>
        <v>0</v>
      </c>
      <c r="BR86" s="162">
        <f>EXP(-LN(2)/2)*BR85+(1-EXP(-LN(2)/2))/(LN(2)/2)*BL86*BO86*VLOOKUP('Données projet'!$B$11,'Paramètres'!$A$1:$I$88,3,0)*0.475*44/12</f>
        <v>0</v>
      </c>
      <c r="BS86" s="163">
        <f t="shared" si="10"/>
        <v>0</v>
      </c>
      <c r="BT86" s="159">
        <f>('Scénario référence'!$F$8+'Scénario référence'!$F$9+'Scénario référence'!$B$17+'Scénario référence'!$B$9+'Scénario référence'!$B$10)*70+IF((45+25*(1-EXP(-0.0175*A86)))&lt;70,'Scénario référence'!$B$16*(45+25*(1-EXP(-0.0175*A86))),70*'Scénario référence'!$B$16)+IF((32+38*(1-EXP(-0.0175*A86)))&lt;70,'Scénario référence'!$B$18*(32+38*(1-EXP(-0.0175*A86))),70*'Scénario référence'!$B$18)</f>
        <v>70</v>
      </c>
      <c r="BU86" s="151">
        <f>IF(A86&gt;30,10,('Scénario référence'!$B$16+'Scénario référence'!$B$17+'Scénario référence'!$B$18+'Scénario référence'!$B$9+'Scénario référence'!$B$10)*A86*10/30+('Scénario référence'!$F$8+'Scénario référence'!$F$9)*10)</f>
        <v>10</v>
      </c>
      <c r="BV86" s="151" t="str">
        <f>VLOOKUP(A86,'Données projet'!$A$113:$I$133,2,0)</f>
        <v>#N/A</v>
      </c>
      <c r="BW86" s="151" t="str">
        <f>VLOOKUP(A86,'Données projet'!$A$113:$I$133,9,0)</f>
        <v>#N/A</v>
      </c>
      <c r="BX86" s="150" t="str">
        <f t="array" ref="BX86">INDEX(BW:BW,MIN(IF(ISNUMBER(BW86:BW282),ROW(BW86:BW282),"")))</f>
        <v/>
      </c>
      <c r="BY86" s="150">
        <f>IF('Données projet'!$A$114&gt;35,BY85+BX86-CG85,IF(A86&lt;'Données projet'!$A$114,$BV$205^A86,IF(A86='Données projet'!$A$114,'Données projet'!$B$114,BY85+BX86-CG85)))</f>
        <v>0</v>
      </c>
      <c r="BZ86" s="150" t="str">
        <f>BY86*VLOOKUP('Données projet'!$B$12,'Paramètres'!$A$1:$I$88,3,0)*VLOOKUP('Données projet'!$B$12,'Paramètres'!$A$1:$I$88,5,0)</f>
        <v>#N/A</v>
      </c>
      <c r="CA86" s="150" t="str">
        <f t="shared" si="40"/>
        <v>#N/A</v>
      </c>
      <c r="CB86" s="161" t="str">
        <f t="shared" si="11"/>
        <v>#N/A</v>
      </c>
      <c r="CC86" s="153" t="str">
        <f t="shared" si="12"/>
        <v>#N/A</v>
      </c>
      <c r="CD86" s="153" t="str">
        <f>AVERAGE(OFFSET($CC$3,0,0,'Données projet'!$E$12+1,1))-AVERAGE(OFFSET($H$3,0,0,'Données projet'!$E$12+1,1))</f>
        <v>#N/A</v>
      </c>
      <c r="CE86" s="153" t="str">
        <f t="shared" si="41"/>
        <v>#N/A</v>
      </c>
      <c r="CF86" s="154">
        <f>IF(ISNA(VLOOKUP(A86,'Données projet'!$A$113:$I$133,3,0)),0,VLOOKUP(A86,'Données projet'!$A$113:$I$133,3,0))</f>
        <v>0</v>
      </c>
      <c r="CG86" s="154">
        <f>IF(ISNA(VLOOKUP(A86,'Données projet'!$A$113:$I$133,4,0)),0,VLOOKUP(A86,'Données projet'!$A$113:$I$133,4,0))</f>
        <v>0</v>
      </c>
      <c r="CH86" s="155">
        <f>IF(ISNA(VLOOKUP(A86,'Données projet'!$A$113:$I$133,5,0)),0%,VLOOKUP(A86,'Données projet'!$A$113:$I$133,5,0)*VLOOKUP('Données projet'!$B$12,'Paramètres'!$A$1:$I$88,7,0))</f>
        <v>0</v>
      </c>
      <c r="CI86" s="155">
        <f>IF(ISNA(VLOOKUP(A86,'Données projet'!$A$113:$I$133,6,0)),0%,VLOOKUP(A86,'Données projet'!$A$113:$I$133,6,0)*VLOOKUP('Données projet'!$B$12,'Paramètres'!$A$1:$I$88,7,0))</f>
        <v>0</v>
      </c>
      <c r="CJ86" s="155">
        <f>IF(ISNA(VLOOKUP(A86,'Données projet'!$A$113:$I$133,7,0)),0%,VLOOKUP(A86,'Données projet'!$A$113:$I$133,7,0))</f>
        <v>0</v>
      </c>
      <c r="CK86" s="162" t="str">
        <f>EXP(-LN(2)/35)*CK85+(1-EXP(-LN(2)/35))/(LN(2)/35)*CG86*CH86*VLOOKUP('Données projet'!$B$12,'Paramètres'!$A$1:$I$88,3,0)*0.475*44/12</f>
        <v>#N/A</v>
      </c>
      <c r="CL86" s="162" t="str">
        <f>EXP(-LN(2)/25)*CL85+(1-EXP(-LN(2)/25))/(LN(2)/25)*Calculateur!CG86*Calculateur!CI86*VLOOKUP('Données projet'!$B$12,'Paramètres'!$A$1:$I$88,3,0)*0.475*44/12</f>
        <v>#N/A</v>
      </c>
      <c r="CM86" s="162" t="str">
        <f>EXP(-LN(2)/2)*CM85+(1-EXP(-LN(2)/2))/(LN(2)/2)*CG86*CJ86*VLOOKUP('Données projet'!$B$12,'Paramètres'!$A$1:$I$88,3,0)*0.475*44/12</f>
        <v>#N/A</v>
      </c>
      <c r="CN86" s="163" t="str">
        <f t="shared" si="13"/>
        <v>#N/A</v>
      </c>
      <c r="CO86" s="159">
        <f>('Scénario référence'!$F$8+'Scénario référence'!$F$9+'Scénario référence'!$B$17+'Scénario référence'!$B$9+'Scénario référence'!$B$10)*70+IF((45+25*(1-EXP(-0.0175*A86)))&lt;70,'Scénario référence'!$B$16*(45+25*(1-EXP(-0.0175*A86))),70*'Scénario référence'!$B$16)+IF((32+38*(1-EXP(-0.0175*A86)))&lt;70,'Scénario référence'!$B$18*(32+38*(1-EXP(-0.0175*A86))),70*'Scénario référence'!$B$18)</f>
        <v>70</v>
      </c>
      <c r="CP86" s="151">
        <f>IF(A86&gt;30,10,('Scénario référence'!$B$16+'Scénario référence'!$B$17+'Scénario référence'!$B$18+'Scénario référence'!$B$9+'Scénario référence'!$B$10)*A86*10/30+('Scénario référence'!$F$8+'Scénario référence'!$F$9)*10)</f>
        <v>10</v>
      </c>
      <c r="CQ86" s="151" t="str">
        <f>VLOOKUP(A86,'Données projet'!$A$139:$I$159,2,0)</f>
        <v>#N/A</v>
      </c>
      <c r="CR86" s="151" t="str">
        <f>VLOOKUP(A86,'Données projet'!$A$139:$I$159,9,0)</f>
        <v>#N/A</v>
      </c>
      <c r="CS86" s="151" t="str">
        <f t="array" ref="CS86">INDEX(CR:CR,MIN(IF(ISNUMBER(CR86:CR282),ROW(CR86:CR282),"")))</f>
        <v/>
      </c>
      <c r="CT86" s="151">
        <f>IF('Données projet'!$A$140&gt;35,CT85+CS86-DB85,IF(A86&lt;'Données projet'!$A$140,$CQ$205^A86,IF(A86='Données projet'!$A$140,'Données projet'!$B$140,CT85+CS86-DB85)))</f>
        <v>0</v>
      </c>
      <c r="CU86" s="158" t="str">
        <f>CT86*VLOOKUP('Données projet'!$B$13,'Paramètres'!$A$1:$I$88,3,0)*VLOOKUP('Données projet'!$B$13,'Paramètres'!$A$1:$I$88,5,0)</f>
        <v>#N/A</v>
      </c>
      <c r="CV86" s="150" t="str">
        <f t="shared" si="42"/>
        <v>#N/A</v>
      </c>
      <c r="CW86" s="161" t="str">
        <f t="shared" si="14"/>
        <v>#N/A</v>
      </c>
      <c r="CX86" s="153" t="str">
        <f t="shared" si="15"/>
        <v>#N/A</v>
      </c>
      <c r="CY86" s="153" t="str">
        <f>AVERAGE(OFFSET($CX$3,0,0,'Données projet'!$E$13+1,1))-AVERAGE(OFFSET($H$3,0,0,'Données projet'!$E$13+1,1))</f>
        <v>#N/A</v>
      </c>
      <c r="CZ86" s="153" t="str">
        <f t="shared" si="43"/>
        <v>#N/A</v>
      </c>
      <c r="DA86" s="154">
        <f>IF(ISNA(VLOOKUP(A86,'Données projet'!$A$139:$I$159,3,0)),0,VLOOKUP(A86,'Données projet'!$A$139:$I$159,3,0))</f>
        <v>0</v>
      </c>
      <c r="DB86" s="154">
        <f>IF(ISNA(VLOOKUP(A86,'Données projet'!$A$139:$I$159,4,0)),0,VLOOKUP(A86,'Données projet'!$A$139:$I$159,4,0))</f>
        <v>0</v>
      </c>
      <c r="DC86" s="155">
        <f>IF(ISNA(VLOOKUP(A86,'Données projet'!$A$139:$I$159,5,0)),0%,VLOOKUP(A86,'Données projet'!$A$139:$I$159,5,0)*VLOOKUP('Données projet'!$B$13,'Paramètres'!$A$1:$I$88,7,0))</f>
        <v>0</v>
      </c>
      <c r="DD86" s="155">
        <f>IF(ISNA(VLOOKUP(A86,'Données projet'!$A$139:$I$159,6,0)),0%,VLOOKUP(A86,'Données projet'!$A$139:$I$159,6,0)*VLOOKUP('Données projet'!$B$13,'Paramètres'!$A$1:$I$88,7,0))</f>
        <v>0</v>
      </c>
      <c r="DE86" s="155">
        <f>IF(ISNA(VLOOKUP(A86,'Données projet'!$A$139:$I$159,7,0)),0%,VLOOKUP(A86,'Données projet'!$A$139:$I$159,7,0))</f>
        <v>0</v>
      </c>
      <c r="DF86" s="162" t="str">
        <f>EXP(-LN(2)/35)*DF85+(1-EXP(-LN(2)/35))/(LN(2)/35)*DB86*DC86*VLOOKUP('Données projet'!$B$13,'Paramètres'!$A$1:$I$88,3,0)*0.475*44/12</f>
        <v>#N/A</v>
      </c>
      <c r="DG86" s="162" t="str">
        <f>EXP(-LN(2)/25)*DG85+(1-EXP(-LN(2)/25))/(LN(2)/25)*Calculateur!DB86*Calculateur!DD86*VLOOKUP('Données projet'!$B$13,'Paramètres'!$A$1:$I$88,3,0)*0.475*44/12</f>
        <v>#N/A</v>
      </c>
      <c r="DH86" s="162" t="str">
        <f>EXP(-LN(2)/2)*DH85+(1-EXP(-LN(2)/2))/(LN(2)/2)*DB86*DE86*VLOOKUP('Données projet'!$B$13,'Paramètres'!$A$1:$I$88,3,0)*0.475*44/12</f>
        <v>#N/A</v>
      </c>
      <c r="DI86" s="163" t="str">
        <f t="shared" si="16"/>
        <v>#N/A</v>
      </c>
      <c r="DJ86" s="159">
        <f>('Scénario référence'!$F$8+'Scénario référence'!$F$9+'Scénario référence'!$B$17+'Scénario référence'!$B$9+'Scénario référence'!$B$10)*70+IF((45+25*(1-EXP(-0.0175*A86)))&lt;70,'Scénario référence'!$B$16*(45+25*(1-EXP(-0.0175*A86))),70*'Scénario référence'!$B$16)+IF((32+38*(1-EXP(-0.0175*A86)))&lt;70,'Scénario référence'!$B$18*(32+38*(1-EXP(-0.0175*A86))),70*'Scénario référence'!$B$18)</f>
        <v>70</v>
      </c>
      <c r="DK86" s="151">
        <f>IF(A86&gt;30,10,('Scénario référence'!$B$16+'Scénario référence'!$B$17+'Scénario référence'!$B$18+'Scénario référence'!$B$9+'Scénario référence'!$B$10)*A86*10/30+('Scénario référence'!$F$8+'Scénario référence'!$F$9)*10)</f>
        <v>10</v>
      </c>
      <c r="DL86" s="151" t="str">
        <f>VLOOKUP(A86,'Données projet'!$A$165:$I$185,2,0)</f>
        <v>#N/A</v>
      </c>
      <c r="DM86" s="151" t="str">
        <f>VLOOKUP(A86,'Données projet'!$A$165:$I$185,9,0)</f>
        <v>#N/A</v>
      </c>
      <c r="DN86" s="151" t="str">
        <f t="array" ref="DN86">INDEX(DM:DM,MIN(IF(ISNUMBER(DM86:DM282),ROW(DM86:DM282),"")))</f>
        <v/>
      </c>
      <c r="DO86" s="151">
        <f>IF('Données projet'!$A$166&gt;35,DO85+DN86-DW85,IF(A86&lt;'Données projet'!$A$166,$DL$205^A86,IF(A86='Données projet'!$A$166,'Données projet'!$B$166,DO85+DN86-DW85)))</f>
        <v>0</v>
      </c>
      <c r="DP86" s="158" t="str">
        <f>DO86*VLOOKUP('Données projet'!$B$14,'Paramètres'!$A$1:$I$88,3,0)*VLOOKUP('Données projet'!$B$14,'Paramètres'!$A$1:$I$88,5,0)</f>
        <v>#N/A</v>
      </c>
      <c r="DQ86" s="150" t="str">
        <f t="shared" si="44"/>
        <v>#N/A</v>
      </c>
      <c r="DR86" s="161" t="str">
        <f t="shared" si="17"/>
        <v>#N/A</v>
      </c>
      <c r="DS86" s="153" t="str">
        <f t="shared" si="18"/>
        <v>#N/A</v>
      </c>
      <c r="DT86" s="153" t="str">
        <f>AVERAGE(OFFSET($DS$3,0,0,'Données projet'!$E$14+1,1))-AVERAGE(OFFSET($H$3,0,0,'Données projet'!$E$14+1,1))</f>
        <v>#N/A</v>
      </c>
      <c r="DU86" s="153" t="str">
        <f t="shared" si="45"/>
        <v>#N/A</v>
      </c>
      <c r="DV86" s="154">
        <f>IF(ISNA(VLOOKUP(A86,'Données projet'!$A$165:$I$185,3,0)),0,VLOOKUP(A86,'Données projet'!$A$165:$I$185,3,0))</f>
        <v>0</v>
      </c>
      <c r="DW86" s="154">
        <f>IF(ISNA(VLOOKUP(A86,'Données projet'!$A$165:$I$185,4,0)),0,VLOOKUP(A86,'Données projet'!$A$165:$I$185,4,0))</f>
        <v>0</v>
      </c>
      <c r="DX86" s="155">
        <f>IF(ISNA(VLOOKUP(A86,'Données projet'!$A$165:$I$185,5,0)),0%,VLOOKUP(A86,'Données projet'!$A$165:$I$185,5,0)*VLOOKUP('Données projet'!$B$14,'Paramètres'!$A$1:$I$88,7,0))</f>
        <v>0</v>
      </c>
      <c r="DY86" s="155">
        <f>IF(ISNA(VLOOKUP(A86,'Données projet'!$A$165:$I$185,6,0)),0%,VLOOKUP(A86,'Données projet'!$A$165:$I$185,6,0)*VLOOKUP('Données projet'!$B$14,'Paramètres'!$A$1:$I$88,7,0))</f>
        <v>0</v>
      </c>
      <c r="DZ86" s="155">
        <f>IF(ISNA(VLOOKUP(A86,'Données projet'!$A$165:$I$185,7,0)),0%,VLOOKUP(A86,'Données projet'!$A$165:$I$185,7,0))</f>
        <v>0</v>
      </c>
      <c r="EA86" s="162" t="str">
        <f>EXP(-LN(2)/35)*EA85+(1-EXP(-LN(2)/35))/(LN(2)/35)*DW86*DX86*VLOOKUP('Données projet'!$B$14,'Paramètres'!$A$1:$I$88,3,0)*0.475*44/12</f>
        <v>#N/A</v>
      </c>
      <c r="EB86" s="162" t="str">
        <f>EXP(-LN(2)/25)*EB85+(1-EXP(-LN(2)/25))/(LN(2)/25)*Calculateur!DW86*Calculateur!DY86*VLOOKUP('Données projet'!$B$14,'Paramètres'!$A$1:$I$88,3,0)*0.475*44/12</f>
        <v>#N/A</v>
      </c>
      <c r="EC86" s="162" t="str">
        <f>EXP(-LN(2)/2)*EC85+(1-EXP(-LN(2)/2))/(LN(2)/2)*DW86*DZ86*VLOOKUP('Données projet'!$B$14,'Paramètres'!$A$1:$I$88,3,0)*0.475*44/12</f>
        <v>#N/A</v>
      </c>
      <c r="ED86" s="163" t="str">
        <f t="shared" si="19"/>
        <v>#N/A</v>
      </c>
      <c r="EE86" s="159">
        <f>('Scénario référence'!$F$8+'Scénario référence'!$F$9+'Scénario référence'!$B$17+'Scénario référence'!$B$9+'Scénario référence'!$B$10)*70+IF((45+25*(1-EXP(-0.0175*A86)))&lt;70,'Scénario référence'!$B$16*(45+25*(1-EXP(-0.0175*A86))),70*'Scénario référence'!$B$16)+IF((32+38*(1-EXP(-0.0175*A86)))&lt;70,'Scénario référence'!$B$18*(32+38*(1-EXP(-0.0175*A86))),70*'Scénario référence'!$B$18)</f>
        <v>70</v>
      </c>
      <c r="EF86" s="151">
        <f>IF(A86&gt;30,10,('Scénario référence'!$B$16+'Scénario référence'!$B$17+'Scénario référence'!$B$18+'Scénario référence'!$B$9+'Scénario référence'!$B$10)*A86*10/30+('Scénario référence'!$F$8+'Scénario référence'!$F$9)*10)</f>
        <v>10</v>
      </c>
      <c r="EG86" s="151" t="str">
        <f>VLOOKUP(A86,'Données projet'!$A$191:$I$211,2,0)</f>
        <v>#N/A</v>
      </c>
      <c r="EH86" s="151" t="str">
        <f>VLOOKUP(A86,'Données projet'!$A$191:$I$211,9,0)</f>
        <v>#N/A</v>
      </c>
      <c r="EI86" s="151" t="str">
        <f t="array" ref="EI86">INDEX(EH:EH,MIN(IF(ISNUMBER(EH86:EH282),ROW(EH86:EH282),"")))</f>
        <v/>
      </c>
      <c r="EJ86" s="151">
        <f>IF('Données projet'!$A$192&gt;35,EJ85+EI86-ER85,IF(A86&lt;'Données projet'!$A$192,$EG$205^A86,IF(A86='Données projet'!$A$192,'Données projet'!$B$192,EJ85+EI86-ER85)))</f>
        <v>0</v>
      </c>
      <c r="EK86" s="158" t="str">
        <f>EJ86*VLOOKUP('Données projet'!$B$15,'Paramètres'!$A$1:$I$88,3,0)*VLOOKUP('Données projet'!$B$15,'Paramètres'!$A$1:$I$88,5,0)</f>
        <v>#N/A</v>
      </c>
      <c r="EL86" s="150" t="str">
        <f t="shared" si="46"/>
        <v>#N/A</v>
      </c>
      <c r="EM86" s="161" t="str">
        <f t="shared" si="20"/>
        <v>#N/A</v>
      </c>
      <c r="EN86" s="153" t="str">
        <f t="shared" si="21"/>
        <v>#N/A</v>
      </c>
      <c r="EO86" s="153" t="str">
        <f>AVERAGE(OFFSET($EN$3,0,0,'Données projet'!$E$15+1,1))-AVERAGE(OFFSET($H$3,0,0,'Données projet'!$E$15+1,1))</f>
        <v>#N/A</v>
      </c>
      <c r="EP86" s="153" t="str">
        <f t="shared" si="47"/>
        <v>#N/A</v>
      </c>
      <c r="EQ86" s="154">
        <f>IF(ISNA(VLOOKUP(A86,'Données projet'!$A$191:$I$211,3,0)),0,VLOOKUP(A86,'Données projet'!$A$191:$I$211,3,0))</f>
        <v>0</v>
      </c>
      <c r="ER86" s="154">
        <f>IF(ISNA(VLOOKUP(A86,'Données projet'!$A$191:$I$211,4,0)),0,VLOOKUP(A86,'Données projet'!$A$191:$I$211,4,0))</f>
        <v>0</v>
      </c>
      <c r="ES86" s="155">
        <f>IF(ISNA(VLOOKUP(A86,'Données projet'!$A$191:$I$211,5,0)),0%,VLOOKUP(A86,'Données projet'!$A$191:$I$211,5,0)*VLOOKUP('Données projet'!$B$15,'Paramètres'!$A$1:$I$88,7,0))</f>
        <v>0</v>
      </c>
      <c r="ET86" s="155">
        <f>IF(ISNA(VLOOKUP(A86,'Données projet'!$A$191:$I$211,6,0)),0%,VLOOKUP(A86,'Données projet'!$A$191:$I$211,6,0)*VLOOKUP('Données projet'!$B$15,'Paramètres'!$A$1:$I$88,7,0))</f>
        <v>0</v>
      </c>
      <c r="EU86" s="155">
        <f>IF(ISNA(VLOOKUP(A86,'Données projet'!$A$191:$I$211,7,0)),0%,VLOOKUP(A86,'Données projet'!$A$191:$I$211,7,0))</f>
        <v>0</v>
      </c>
      <c r="EV86" s="162" t="str">
        <f>EXP(-LN(2)/35)*EV85+(1-EXP(-LN(2)/35))/(LN(2)/35)*ER86*ES86*VLOOKUP('Données projet'!$B$15,'Paramètres'!$A$1:$I$88,3,0)*0.475*44/12</f>
        <v>#N/A</v>
      </c>
      <c r="EW86" s="162" t="str">
        <f>EXP(-LN(2)/25)*EW85+(1-EXP(-LN(2)/25))/(LN(2)/25)*Calculateur!ER86*Calculateur!ET86*VLOOKUP('Données projet'!$B$15,'Paramètres'!$A$1:$I$88,3,0)*0.475*44/12</f>
        <v>#N/A</v>
      </c>
      <c r="EX86" s="162" t="str">
        <f>EXP(-LN(2)/2)*EX85+(1-EXP(-LN(2)/2))/(LN(2)/2)*ER86*EU86*VLOOKUP('Données projet'!$B$15,'Paramètres'!$A$1:$I$88,3,0)*0.475*44/12</f>
        <v>#N/A</v>
      </c>
      <c r="EY86" s="163" t="str">
        <f t="shared" si="22"/>
        <v>#N/A</v>
      </c>
      <c r="EZ86" s="159">
        <f>('Scénario référence'!$F$8+'Scénario référence'!$F$9+'Scénario référence'!$B$17+'Scénario référence'!$B$9+'Scénario référence'!$B$10)*70+IF((45+25*(1-EXP(-0.0175*A86)))&lt;70,'Scénario référence'!$B$16*(45+25*(1-EXP(-0.0175*A86))),70*'Scénario référence'!$B$16)+IF((32+38*(1-EXP(-0.0175*A86)))&lt;70,'Scénario référence'!$B$18*(32+38*(1-EXP(-0.0175*A86))),70*'Scénario référence'!$B$18)</f>
        <v>70</v>
      </c>
      <c r="FA86" s="151">
        <f>IF(A86&gt;30,10,('Scénario référence'!$B$16+'Scénario référence'!$B$17+'Scénario référence'!$B$18+'Scénario référence'!$B$9+'Scénario référence'!$B$10)*A86*10/30+('Scénario référence'!$F$8+'Scénario référence'!$F$9)*10)</f>
        <v>10</v>
      </c>
      <c r="FB86" s="151" t="str">
        <f>VLOOKUP(A86,'Données projet'!$A$217:$I$237,2,0)</f>
        <v>#N/A</v>
      </c>
      <c r="FC86" s="151" t="str">
        <f>VLOOKUP(A86,'Données projet'!$A$217:$I$237,9,0)</f>
        <v>#N/A</v>
      </c>
      <c r="FD86" s="151" t="str">
        <f t="array" ref="FD86">INDEX(FC:FC,MIN(IF(ISNUMBER(FC86:FC282),ROW(FC86:FC282),"")))</f>
        <v/>
      </c>
      <c r="FE86" s="151">
        <f>IF('Données projet'!$A$218&gt;35,FE85+FD86-FM85,IF(A86&lt;'Données projet'!$A$218,$FB$205^A86,IF(A86='Données projet'!$A$218,'Données projet'!$B$218,FE85+FD86-FM85)))</f>
        <v>0</v>
      </c>
      <c r="FF86" s="158" t="str">
        <f>FE86*VLOOKUP('Données projet'!$B$16,'Paramètres'!$A$1:$I$88,3,0)*VLOOKUP('Données projet'!$B$16,'Paramètres'!$A$1:$I$88,5,0)</f>
        <v>#N/A</v>
      </c>
      <c r="FG86" s="150" t="str">
        <f t="shared" si="48"/>
        <v>#N/A</v>
      </c>
      <c r="FH86" s="161" t="str">
        <f t="shared" si="23"/>
        <v>#N/A</v>
      </c>
      <c r="FI86" s="153" t="str">
        <f t="shared" si="24"/>
        <v>#N/A</v>
      </c>
      <c r="FJ86" s="153" t="str">
        <f>AVERAGE(OFFSET($FI$3,0,0,'Données projet'!$E$16+1,1))-AVERAGE(OFFSET($H$3,0,0,'Données projet'!$E$16+1,1))</f>
        <v>#N/A</v>
      </c>
      <c r="FK86" s="153" t="str">
        <f t="shared" si="49"/>
        <v>#N/A</v>
      </c>
      <c r="FL86" s="154">
        <f>IF(ISNA(VLOOKUP(A86,'Données projet'!$A$217:$I$237,3,0)),0,VLOOKUP(A86,'Données projet'!$A$217:$I$237,3,0))</f>
        <v>0</v>
      </c>
      <c r="FM86" s="154">
        <f>IF(ISNA(VLOOKUP(A86,'Données projet'!$A$217:$I$237,4,0)),0,VLOOKUP(A86,'Données projet'!$A$217:$I$237,4,0))</f>
        <v>0</v>
      </c>
      <c r="FN86" s="155">
        <f>IF(ISNA(VLOOKUP(A86,'Données projet'!$A$217:$I$237,5,0)),0%,VLOOKUP(A86,'Données projet'!$A$217:$I$237,5,0)*VLOOKUP('Données projet'!$B$16,'Paramètres'!$A$1:$I$88,7,0))</f>
        <v>0</v>
      </c>
      <c r="FO86" s="155">
        <f>IF(ISNA(VLOOKUP(A86,'Données projet'!$A$217:$I$237,6,0)),0%,VLOOKUP(A86,'Données projet'!$A$217:$I$237,6,0)*VLOOKUP('Données projet'!$B$16,'Paramètres'!$A$1:$I$88,7,0))</f>
        <v>0</v>
      </c>
      <c r="FP86" s="155">
        <f>IF(ISNA(VLOOKUP(A86,'Données projet'!$A$217:$I$237,7,0)),0%,VLOOKUP(A86,'Données projet'!$A$217:$I$237,7,0))</f>
        <v>0</v>
      </c>
      <c r="FQ86" s="162" t="str">
        <f>EXP(-LN(2)/35)*FQ85+(1-EXP(-LN(2)/35))/(LN(2)/35)*FM86*FN86*VLOOKUP('Données projet'!$B$16,'Paramètres'!$A$1:$I$88,3,0)*0.475*44/12</f>
        <v>#N/A</v>
      </c>
      <c r="FR86" s="162" t="str">
        <f>EXP(-LN(2)/25)*FR85+(1-EXP(-LN(2)/25))/(LN(2)/25)*Calculateur!FM86*Calculateur!FO86*VLOOKUP('Données projet'!$B$16,'Paramètres'!$A$1:$I$88,3,0)*0.475*44/12</f>
        <v>#N/A</v>
      </c>
      <c r="FS86" s="162" t="str">
        <f>EXP(-LN(2)/2)*FS85+(1-EXP(-LN(2)/2))/(LN(2)/2)*FM86*FP86*VLOOKUP('Données projet'!$B$16,'Paramètres'!$A$1:$I$88,3,0)*0.475*44/12</f>
        <v>#N/A</v>
      </c>
      <c r="FT86" s="163" t="str">
        <f t="shared" si="25"/>
        <v>#N/A</v>
      </c>
      <c r="FU86" s="159">
        <f>('Scénario référence'!$F$8+'Scénario référence'!$F$9+'Scénario référence'!$B$17+'Scénario référence'!$B$9+'Scénario référence'!$B$10)*70+IF((45+25*(1-EXP(-0.0175*A86)))&lt;70,'Scénario référence'!$B$16*(45+25*(1-EXP(-0.0175*A86))),70*'Scénario référence'!$B$16)+IF((32+38*(1-EXP(-0.0175*A86)))&lt;70,'Scénario référence'!$B$18*(32+38*(1-EXP(-0.0175*A86))),70*'Scénario référence'!$B$18)</f>
        <v>70</v>
      </c>
      <c r="FV86" s="151">
        <f>IF(A86&gt;30,10,('Scénario référence'!$B$16+'Scénario référence'!$B$17+'Scénario référence'!$B$18+'Scénario référence'!$B$9+'Scénario référence'!$B$10)*A86*10/30+('Scénario référence'!$F$8+'Scénario référence'!$F$9)*10)</f>
        <v>10</v>
      </c>
      <c r="FW86" s="151" t="str">
        <f>VLOOKUP(A86,'Données projet'!$A$243:$I$263,2,0)</f>
        <v>#N/A</v>
      </c>
      <c r="FX86" s="151" t="str">
        <f>VLOOKUP(A86,'Données projet'!$A$243:$I$263,9,0)</f>
        <v>#N/A</v>
      </c>
      <c r="FY86" s="151" t="str">
        <f t="array" ref="FY86">INDEX(FX:FX,MIN(IF(ISNUMBER(FX86:FX282),ROW(FX86:FX282),"")))</f>
        <v/>
      </c>
      <c r="FZ86" s="151">
        <f>IF('Données projet'!$A$244&gt;35,FZ85+FY86-GH85,IF(A86&lt;'Données projet'!$A$244,$FW$205^A86,IF(A86='Données projet'!$A$244,'Données projet'!$B$244,FZ85+FY86-GH85)))</f>
        <v>0</v>
      </c>
      <c r="GA86" s="158" t="str">
        <f>FZ86*VLOOKUP('Données projet'!$B$17,'Paramètres'!$A$1:$I$88,3,0)*VLOOKUP('Données projet'!$B$17,'Paramètres'!$A$1:$I$88,5,0)</f>
        <v>#N/A</v>
      </c>
      <c r="GB86" s="150" t="str">
        <f t="shared" si="50"/>
        <v>#N/A</v>
      </c>
      <c r="GC86" s="161" t="str">
        <f t="shared" si="26"/>
        <v>#N/A</v>
      </c>
      <c r="GD86" s="153" t="str">
        <f t="shared" si="27"/>
        <v>#N/A</v>
      </c>
      <c r="GE86" s="153" t="str">
        <f>AVERAGE(OFFSET($GD$3,0,0,'Données projet'!$E$17+1,1))-AVERAGE(OFFSET($H$3,0,0,'Données projet'!$E$17+1,1))</f>
        <v>#N/A</v>
      </c>
      <c r="GF86" s="153" t="str">
        <f t="shared" si="51"/>
        <v>#N/A</v>
      </c>
      <c r="GG86" s="154">
        <f>IF(ISNA(VLOOKUP(A86,'Données projet'!$A$243:$I$263,3,0)),0,VLOOKUP(A86,'Données projet'!$A$243:$I$263,3,0))</f>
        <v>0</v>
      </c>
      <c r="GH86" s="154">
        <f>IF(ISNA(VLOOKUP(A86,'Données projet'!$A$243:$I$263,4,0)),0,VLOOKUP(A86,'Données projet'!$A$243:$I$263,4,0))</f>
        <v>0</v>
      </c>
      <c r="GI86" s="155">
        <f>IF(ISNA(VLOOKUP(A86,'Données projet'!$A$243:$I$263,5,0)),0%,VLOOKUP(A86,'Données projet'!$A$243:$I$263,5,0)*VLOOKUP('Données projet'!$B$17,'Paramètres'!$A$1:$I$88,7,0))</f>
        <v>0</v>
      </c>
      <c r="GJ86" s="155">
        <f>IF(ISNA(VLOOKUP(A86,'Données projet'!$A$243:$I$263,6,0)),0%,VLOOKUP(A86,'Données projet'!$A$243:$I$263,6,0)*VLOOKUP('Données projet'!$B$17,'Paramètres'!$A$1:$I$88,7,0))</f>
        <v>0</v>
      </c>
      <c r="GK86" s="155">
        <f>IF(ISNA(VLOOKUP(A86,'Données projet'!$A$243:$I$263,7,0)),0%,VLOOKUP(A86,'Données projet'!$A$243:$I$263,7,0))</f>
        <v>0</v>
      </c>
      <c r="GL86" s="162" t="str">
        <f>EXP(-LN(2)/35)*GL85+(1-EXP(-LN(2)/35))/(LN(2)/35)*GH86*GI86*VLOOKUP('Données projet'!$B$17,'Paramètres'!$A$1:$I$88,3,0)*0.475*44/12</f>
        <v>#N/A</v>
      </c>
      <c r="GM86" s="162" t="str">
        <f>EXP(-LN(2)/25)*GM85+(1-EXP(-LN(2)/25))/(LN(2)/25)*Calculateur!GH86*Calculateur!GJ86*VLOOKUP('Données projet'!$B$17,'Paramètres'!$A$1:$I$88,3,0)*0.475*44/12</f>
        <v>#N/A</v>
      </c>
      <c r="GN86" s="162" t="str">
        <f>EXP(-LN(2)/2)*GN85+(1-EXP(-LN(2)/2))/(LN(2)/2)*GH86*GK86*VLOOKUP('Données projet'!$B$17,'Paramètres'!$A$1:$I$88,3,0)*0.475*44/12</f>
        <v>#N/A</v>
      </c>
      <c r="GO86" s="162" t="str">
        <f t="shared" si="28"/>
        <v>#N/A</v>
      </c>
      <c r="GP86" s="159">
        <f>('Scénario référence'!$F$8+'Scénario référence'!$F$9+'Scénario référence'!$B$17+'Scénario référence'!$B$9+'Scénario référence'!$B$10)*70+IF((45+25*(1-EXP(-0.0175*A86)))&lt;70,'Scénario référence'!$B$16*(45+25*(1-EXP(-0.0175*A86))),70*'Scénario référence'!$B$16)+IF((32+38*(1-EXP(-0.0175*A86)))&lt;70,'Scénario référence'!$B$18*(32+38*(1-EXP(-0.0175*A86))),70*'Scénario référence'!$B$18)</f>
        <v>70</v>
      </c>
      <c r="GQ86" s="151">
        <f>IF(A86&gt;30,10,('Scénario référence'!$B$16+'Scénario référence'!$B$17+'Scénario référence'!$B$18+'Scénario référence'!$B$9+'Scénario référence'!$B$10)*A86*10/30+('Scénario référence'!$F$8+'Scénario référence'!$F$9)*10)</f>
        <v>10</v>
      </c>
      <c r="GR86" s="151" t="str">
        <f>VLOOKUP(A86,'Données projet'!$A$269:$I$289,2,0)</f>
        <v>#N/A</v>
      </c>
      <c r="GS86" s="151" t="str">
        <f>VLOOKUP(A86,'Données projet'!$A$269:$I$289,9,0)</f>
        <v>#N/A</v>
      </c>
      <c r="GT86" s="151" t="str">
        <f t="array" ref="GT86">INDEX(GS:GS,MIN(IF(ISNUMBER(GS86:GS282),ROW(GS86:GS282),"")))</f>
        <v/>
      </c>
      <c r="GU86" s="151">
        <f>IF('Données projet'!$A$270&gt;35,GU85+GT86-HC85,IF(A86&lt;'Données projet'!$A$270,$GR$205^A86,IF(A86='Données projet'!$A$270,'Données projet'!$B$270,GU85+GT86-HC85)))</f>
        <v>0</v>
      </c>
      <c r="GV86" s="158" t="str">
        <f>GU86*VLOOKUP('Données projet'!$B$18,'Paramètres'!$A$1:$I$88,3,0)*VLOOKUP('Données projet'!$B$18,'Paramètres'!$A$1:$I$88,5,0)</f>
        <v>#N/A</v>
      </c>
      <c r="GW86" s="150" t="str">
        <f t="shared" si="52"/>
        <v>#N/A</v>
      </c>
      <c r="GX86" s="161" t="str">
        <f t="shared" si="29"/>
        <v>#N/A</v>
      </c>
      <c r="GY86" s="153" t="str">
        <f t="shared" si="30"/>
        <v>#N/A</v>
      </c>
      <c r="GZ86" s="153" t="str">
        <f>AVERAGE(OFFSET($GY$3,0,0,'Données projet'!$E$18+1,1))-AVERAGE(OFFSET($H$3,0,0,'Données projet'!$E$18+1,1))</f>
        <v>#N/A</v>
      </c>
      <c r="HA86" s="153" t="str">
        <f t="shared" si="53"/>
        <v>#N/A</v>
      </c>
      <c r="HB86" s="154">
        <f>IF(ISNA(VLOOKUP(A86,'Données projet'!$A$269:$I$289,3,0)),0,VLOOKUP(A86,'Données projet'!$A$269:$I$289,3,0))</f>
        <v>0</v>
      </c>
      <c r="HC86" s="154">
        <f>IF(ISNA(VLOOKUP(A86,'Données projet'!$A$269:$I$289,4,0)),0,VLOOKUP(A86,'Données projet'!$A$269:$I$289,4,0))</f>
        <v>0</v>
      </c>
      <c r="HD86" s="155">
        <f>IF(ISNA(VLOOKUP(A86,'Données projet'!$A$269:$I$289,5,0)),0%,VLOOKUP(A86,'Données projet'!$A$269:$I$289,5,0)*VLOOKUP('Données projet'!$B$18,'Paramètres'!$A$1:$I$88,7,0))</f>
        <v>0</v>
      </c>
      <c r="HE86" s="155">
        <f>IF(ISNA(VLOOKUP(A86,'Données projet'!$A$269:$I$289,6,0)),0%,VLOOKUP(A86,'Données projet'!$A$269:$I$289,6,0)*VLOOKUP('Données projet'!$B$18,'Paramètres'!$A$1:$I$88,7,0))</f>
        <v>0</v>
      </c>
      <c r="HF86" s="155">
        <f>IF(ISNA(VLOOKUP(A86,'Données projet'!$A$269:$I$289,7,0)),0%,VLOOKUP(A86,'Données projet'!$A$269:$I$289,7,0))</f>
        <v>0</v>
      </c>
      <c r="HG86" s="162" t="str">
        <f>EXP(-LN(2)/35)*HG85+(1-EXP(-LN(2)/35))/(LN(2)/35)*HC86*HD86*VLOOKUP('Données projet'!$B$18,'Paramètres'!$A$1:$I$88,3,0)*0.475*44/12</f>
        <v>#N/A</v>
      </c>
      <c r="HH86" s="162" t="str">
        <f>EXP(-LN(2)/25)*HH85+(1-EXP(-LN(2)/25))/(LN(2)/25)*Calculateur!HC86*Calculateur!HE86*VLOOKUP('Données projet'!$B$18,'Paramètres'!$A$1:$I$88,3,0)*0.475*44/12</f>
        <v>#N/A</v>
      </c>
      <c r="HI86" s="162" t="str">
        <f>EXP(-LN(2)/2)*HI85+(1-EXP(-LN(2)/2))/(LN(2)/2)*HC86*HF86*VLOOKUP('Données projet'!$B$18,'Paramètres'!$A$1:$I$88,3,0)*0.475*44/12</f>
        <v>#N/A</v>
      </c>
      <c r="HJ86" s="163" t="str">
        <f t="shared" si="31"/>
        <v>#N/A</v>
      </c>
    </row>
    <row r="87" ht="15.75" customHeight="1">
      <c r="A87" s="145">
        <f t="shared" si="32"/>
        <v>84</v>
      </c>
      <c r="B87" s="146">
        <f>'Scénario référence'!$B$16*5+'Scénario référence'!$B$17*0+'Scénario référence'!$B$18*5</f>
        <v>0</v>
      </c>
      <c r="C87" s="160">
        <f>Calculateur!C86+'Scénario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87" s="147">
        <f t="shared" si="33"/>
        <v>0</v>
      </c>
      <c r="E87" s="147">
        <f>'Scénario référence'!$B$16*45+('Scénario référence'!$B$17+'Scénario référence'!$F$8+'Scénario référence'!$F$9+'Scénario référence'!$B$10+'Scénario référence'!$B$9)*70+'Scénario référence'!$B$18*32</f>
        <v>70</v>
      </c>
      <c r="F87" s="147">
        <f>IF(OR('Scénario référence'!$F$8&gt;0,'Scénario référence'!$F$9&gt;0),('Scénario référence'!$F$8+'Scénario référence'!$F$9)*10,0)</f>
        <v>0</v>
      </c>
      <c r="G87" s="147">
        <f>'Scénario référence'!$B$8*B87*44/12+'Scénario référence'!$B$9*(C87+D87)/0.475*44/12+'Scénario référence'!$B$10*(C87+D87)/0.475*44/12+'Scénario référence'!$F$8*(C87+D87)/0.475*44/12+'Scénario référence'!$F$9*(C87+D87)/0.475*44/12</f>
        <v>0</v>
      </c>
      <c r="H87" s="148">
        <f t="shared" si="1"/>
        <v>256.6666667</v>
      </c>
      <c r="I87" s="149">
        <f>('Scénario référence'!$F$8+'Scénario référence'!$F$9+'Scénario référence'!$B$17+'Scénario référence'!$B$9+'Scénario référence'!$B$10)*70+IF((45+25*(1-EXP(-0.0175*A87)))&lt;70,'Scénario référence'!$B$16*(45+25*(1-EXP(-0.0175*A87))),70*'Scénario référence'!$B$16)+IF((32+38*(1-EXP(-0.0175*A87)))&lt;70,'Scénario référence'!$B$18*(32+38*(1-EXP(-0.0175*A87))),70*'Scénario référence'!$B$18)</f>
        <v>70</v>
      </c>
      <c r="J87" s="150">
        <f>IF(A87&gt;30,10,('Scénario référence'!$B$16+'Scénario référence'!$B$17+'Scénario référence'!$B$18+'Scénario référence'!$B$9+'Scénario référence'!$B$10)*A87*10/30+('Scénario référence'!$F$8+'Scénario référence'!$F$9)*10)</f>
        <v>10</v>
      </c>
      <c r="K87" s="151" t="str">
        <f>VLOOKUP(A87,'Données projet'!$A$35:$I$55,2,0)</f>
        <v>#N/A</v>
      </c>
      <c r="L87" s="151" t="str">
        <f>VLOOKUP(A87,'Données projet'!$A$35:$I$55,9,0)</f>
        <v>#N/A</v>
      </c>
      <c r="M87" s="150">
        <f t="array" ref="M87">INDEX(L:L,MIN(IF(ISNUMBER(L87:L283),ROW(L87:L283),"")))</f>
        <v>6.8</v>
      </c>
      <c r="N87" s="150">
        <f>IF('Données projet'!$A$36&gt;35,N86+M87-V86,IF(A87&lt;'Données projet'!$A$36,$K$205^A87,IF(A87='Données projet'!$A$36,'Données projet'!$B$36,N86+M87-V86)))</f>
        <v>319.2</v>
      </c>
      <c r="O87" s="150">
        <f>N87*VLOOKUP('Données projet'!$B$9,'Paramètres'!$A$1:$I$88,3,0)*VLOOKUP('Données projet'!$B$9,'Paramètres'!$A$1:$I$88,5,0)</f>
        <v>288.81216</v>
      </c>
      <c r="P87" s="150">
        <f t="shared" si="34"/>
        <v>68.82589985</v>
      </c>
      <c r="Q87" s="161">
        <f t="shared" si="2"/>
        <v>622.8862876</v>
      </c>
      <c r="R87" s="153">
        <f t="shared" si="3"/>
        <v>916.2196209</v>
      </c>
      <c r="S87" s="153">
        <f>AVERAGE(OFFSET($R$3,0,0,'Données projet'!$E$9+1,1))-AVERAGE(OFFSET($H$3,0,0,'Données projet'!$E$9+1,1))</f>
        <v>439.1985427</v>
      </c>
      <c r="T87" s="153">
        <f t="shared" si="35"/>
        <v>278.2174123</v>
      </c>
      <c r="U87" s="154">
        <f>IF(ISNA(VLOOKUP(A87,'Données projet'!$A$35:$I$55,3,0)),0,VLOOKUP(A87,'Données projet'!$A$35:$I$55,3,0))</f>
        <v>0</v>
      </c>
      <c r="V87" s="154">
        <f>IF(ISNA(VLOOKUP(A87,'Données projet'!$A$35:$I$55,4,0)),0,VLOOKUP(A87,'Données projet'!$A$35:$I$55,4,0))</f>
        <v>0</v>
      </c>
      <c r="W87" s="155">
        <f>IF(ISNA(VLOOKUP(A87,'Données projet'!$A$35:$I$55,5,0)),0%,VLOOKUP(A87,'Données projet'!$A$35:$I$55,5,0)*VLOOKUP('Données projet'!$B$9,'Paramètres'!$A$1:$I$88,7,0))</f>
        <v>0</v>
      </c>
      <c r="X87" s="155">
        <f>IF(ISNA(VLOOKUP(A87,'Données projet'!$A$35:$I$55,6,0)),0%,VLOOKUP(A87,'Données projet'!$A$35:$I$55,6,0)*VLOOKUP('Données projet'!$B$9,'Paramètres'!$A$1:$I$88,7,0))</f>
        <v>0</v>
      </c>
      <c r="Y87" s="155">
        <f>IF(ISNA(VLOOKUP(A87,'Données projet'!$A$35:$I$55,7,0)),0%,VLOOKUP(A87,'Données projet'!$A$35:$I$55,7,0))</f>
        <v>0</v>
      </c>
      <c r="Z87" s="162">
        <f>EXP(-LN(2)/35)*Z86+(1-EXP(-LN(2)/35))/(LN(2)/35)*V87*W87*VLOOKUP('Données projet'!$B$9,'Paramètres'!$A$1:$I$88,3,0)*0.475*44/12</f>
        <v>0</v>
      </c>
      <c r="AA87" s="162">
        <f>EXP(-LN(2)/25)*AA86+(1-EXP(-LN(2)/25))/(LN(2)/25)*Calculateur!V87*Calculateur!X87*VLOOKUP('Données projet'!$B$9,'Paramètres'!$A$1:$I$88,3,0)*0.475*44/12</f>
        <v>1.004124326</v>
      </c>
      <c r="AB87" s="162">
        <f>EXP(-LN(2)/2)*AB86+(1-EXP(-LN(2)/2))/(LN(2)/2)*V87*Y87*VLOOKUP('Données projet'!$B$9,'Paramètres'!$A$1:$I$88,3,0)*0.475*44/12</f>
        <v>0</v>
      </c>
      <c r="AC87" s="163">
        <f t="shared" si="4"/>
        <v>1.004124326</v>
      </c>
      <c r="AD87" s="150">
        <f>('Scénario référence'!$F$8+'Scénario référence'!$F$9+'Scénario référence'!$B$17+'Scénario référence'!$B$9+'Scénario référence'!$B$10)*70+IF((45+25*(1-EXP(-0.0175*A87)))&lt;70,'Scénario référence'!$B$16*(45+25*(1-EXP(-0.0175*A87))),70*'Scénario référence'!$B$16)+IF((32+38*(1-EXP(-0.0175*A87)))&lt;70,'Scénario référence'!$B$18*(32+38*(1-EXP(-0.0175*A87))),70*'Scénario référence'!$B$18)</f>
        <v>70</v>
      </c>
      <c r="AE87" s="150">
        <f>IF(A87&gt;30,10,('Scénario référence'!$B$16+'Scénario référence'!$B$17+'Scénario référence'!$B$18+'Scénario référence'!$B$9+'Scénario référence'!$B$10)*A87*10/30+('Scénario référence'!$F$8+'Scénario référence'!$F$9)*10)</f>
        <v>10</v>
      </c>
      <c r="AF87" s="151" t="str">
        <f>VLOOKUP(A87,'Données projet'!$A$61:$I$81,2,0)</f>
        <v>#N/A</v>
      </c>
      <c r="AG87" s="151" t="str">
        <f>VLOOKUP(A87,'Données projet'!$A$61:$I$81,9,0)</f>
        <v>#N/A</v>
      </c>
      <c r="AH87" s="151" t="str">
        <f t="array" ref="AH87">INDEX(AG:AG,MIN(IF(ISNUMBER(AG87:AG283),ROW(AG87:AG283),"")))</f>
        <v/>
      </c>
      <c r="AI87" s="150">
        <f>IF('Données projet'!$A$62&gt;35,AI86+AH87-AQ86,IF(A87&lt;'Données projet'!$A$62,$AF$205^A87,IF(A87='Données projet'!$A$62,'Données projet'!$B$62,AI86+AH87-AQ86)))</f>
        <v>369</v>
      </c>
      <c r="AJ87" s="150">
        <f>AI87*VLOOKUP('Données projet'!$B$10,'Paramètres'!$A$1:$I$88,3,0)*VLOOKUP('Données projet'!$B$10,'Paramètres'!$A$1:$I$88,5,0)</f>
        <v>293.5764</v>
      </c>
      <c r="AK87" s="150">
        <f t="shared" si="36"/>
        <v>69.82813851</v>
      </c>
      <c r="AL87" s="161">
        <f t="shared" si="5"/>
        <v>632.9295712</v>
      </c>
      <c r="AM87" s="153">
        <f t="shared" si="6"/>
        <v>926.2629046</v>
      </c>
      <c r="AN87" s="153">
        <f>AVERAGE(OFFSET($AM$3,0,0,'Données projet'!$E$10+1,1))-AVERAGE(OFFSET($H$3,0,0,'Données projet'!$E$10+1,1))</f>
        <v>405.6113614</v>
      </c>
      <c r="AO87" s="153">
        <f t="shared" si="37"/>
        <v>393.0787141</v>
      </c>
      <c r="AP87" s="154">
        <f>IF(ISNA(VLOOKUP(A87,'Données projet'!$A$61:$I$81,3,0)),0,VLOOKUP(A87,'Données projet'!$A$61:$I$81,3,0))</f>
        <v>0</v>
      </c>
      <c r="AQ87" s="154">
        <f>IF(ISNA(VLOOKUP(A87,'Données projet'!$A$61:$I$81,4,0)),0,VLOOKUP(A87,'Données projet'!$A$61:$I$81,4,0))</f>
        <v>0</v>
      </c>
      <c r="AR87" s="155">
        <f>IF(ISNA(VLOOKUP(A87,'Données projet'!$A$61:$I$81,5,0)),0%,VLOOKUP(A87,'Données projet'!$A$61:$I$81,5,0)*VLOOKUP('Données projet'!$B$10,'Paramètres'!$A$1:$I$88,7,0))</f>
        <v>0</v>
      </c>
      <c r="AS87" s="155">
        <f>IF(ISNA(VLOOKUP(A87,'Données projet'!$A$61:$I$81,6,0)),0%,VLOOKUP(A87,'Données projet'!$A$61:$I$81,6,0)*VLOOKUP('Données projet'!$B$10,'Paramètres'!$A$1:$I$88,7,0))</f>
        <v>0</v>
      </c>
      <c r="AT87" s="155">
        <f>IF(ISNA(VLOOKUP(A87,'Données projet'!$A$61:$I$81,7,0)),0%,VLOOKUP(A87,'Données projet'!$A$61:$I$81,7,0))</f>
        <v>0</v>
      </c>
      <c r="AU87" s="162">
        <f>EXP(-LN(2)/35)*AU86+(1-EXP(-LN(2)/35))/(LN(2)/35)*AQ87*AR87*VLOOKUP('Données projet'!$B$10,'Paramètres'!$A$1:$I$88,3,0)*0.475*44/12</f>
        <v>0</v>
      </c>
      <c r="AV87" s="162">
        <f>EXP(-LN(2)/25)*AV86+(1-EXP(-LN(2)/25))/(LN(2)/25)*Calculateur!AQ87*Calculateur!AS87*VLOOKUP('Données projet'!$B$10,'Paramètres'!$A$1:$I$88,3,0)*0.475*44/12</f>
        <v>4.081016518</v>
      </c>
      <c r="AW87" s="162">
        <f>EXP(-LN(2)/2)*AW86+(1-EXP(-LN(2)/2))/(LN(2)/2)*AQ87*AT87*VLOOKUP('Données projet'!$B$10,'Paramètres'!$A$1:$I$88,3,0)*0.475*44/12</f>
        <v>0.000000004319192499</v>
      </c>
      <c r="AX87" s="162">
        <f t="shared" si="7"/>
        <v>4.081016522</v>
      </c>
      <c r="AY87" s="157">
        <f>('Scénario référence'!$F$8+'Scénario référence'!$F$9+'Scénario référence'!$B$17+'Scénario référence'!$B$9+'Scénario référence'!$B$10)*70+IF((45+25*(1-EXP(-0.0175*A87)))&lt;70,'Scénario référence'!$B$16*(45+25*(1-EXP(-0.0175*A87))),70*'Scénario référence'!$B$16)+IF((32+38*(1-EXP(-0.0175*A87)))&lt;70,'Scénario référence'!$B$18*(32+38*(1-EXP(-0.0175*A87))),70*'Scénario référence'!$B$18)</f>
        <v>70</v>
      </c>
      <c r="AZ87" s="151">
        <f>IF(A87&gt;30,10,('Scénario référence'!$B$16+'Scénario référence'!$B$17+'Scénario référence'!$B$18+'Scénario référence'!$B$9+'Scénario référence'!$B$10)*A87*10/30+('Scénario référence'!$F$8+'Scénario référence'!$F$9)*10)</f>
        <v>10</v>
      </c>
      <c r="BA87" s="151" t="str">
        <f>VLOOKUP(A87,'Données projet'!$A$87:$I$107,2,0)</f>
        <v>#N/A</v>
      </c>
      <c r="BB87" s="151" t="str">
        <f>VLOOKUP(A87,'Données projet'!$A$87:$I$107,9,0)</f>
        <v>#N/A</v>
      </c>
      <c r="BC87" s="151" t="str">
        <f t="array" ref="BC87">INDEX(BB:BB,MIN(IF(ISNUMBER(BB87:BB283),ROW(BB87:BB283),"")))</f>
        <v/>
      </c>
      <c r="BD87" s="150">
        <f>IF('Données projet'!$A$88&gt;35,BD86+BC87-BL86,IF(A87&lt;'Données projet'!$A$88,$BA$205^A87,IF(A87='Données projet'!$A$88,'Données projet'!$B$88,BD86+BC87-BL86)))</f>
        <v>0</v>
      </c>
      <c r="BE87" s="150">
        <f>BD87*VLOOKUP('Données projet'!$B$11,'Paramètres'!$A$1:$I$88,3,0)*VLOOKUP('Données projet'!$B$11,'Paramètres'!$A$1:$I$88,5,0)</f>
        <v>0</v>
      </c>
      <c r="BF87" s="150" t="str">
        <f t="shared" si="38"/>
        <v>#NUM!</v>
      </c>
      <c r="BG87" s="161" t="str">
        <f t="shared" si="8"/>
        <v>#NUM!</v>
      </c>
      <c r="BH87" s="153" t="str">
        <f t="shared" si="9"/>
        <v>#NUM!</v>
      </c>
      <c r="BI87" s="153">
        <f>AVERAGE(OFFSET($BH$3,0,0,'Données projet'!$E$11+1,1))-AVERAGE(OFFSET($H$3,0,0,'Données projet'!$E$11+1,1))</f>
        <v>0</v>
      </c>
      <c r="BJ87" s="153">
        <f t="shared" si="39"/>
        <v>0</v>
      </c>
      <c r="BK87" s="154">
        <f>IF(ISNA(VLOOKUP(A87,'Données projet'!$A$87:$I$107,3,0)),0,VLOOKUP(A87,'Données projet'!$A$87:$I$107,3,0))</f>
        <v>0</v>
      </c>
      <c r="BL87" s="154">
        <f>IF(ISNA(VLOOKUP(A87,'Données projet'!$A$87:$I$107,4,0)),0,VLOOKUP(A87,'Données projet'!$A$87:$I$107,4,0))</f>
        <v>0</v>
      </c>
      <c r="BM87" s="155">
        <f>IF(ISNA(VLOOKUP(A87,'Données projet'!$A$87:$I$107,5,0)),0%,VLOOKUP(A87,'Données projet'!$A$87:$I$107,5,0)*VLOOKUP('Données projet'!$B$11,'Paramètres'!$A$1:$I$88,7,0))</f>
        <v>0</v>
      </c>
      <c r="BN87" s="155">
        <f>IF(ISNA(VLOOKUP(A87,'Données projet'!$A$87:$I$107,6,0)),0%,VLOOKUP(A87,'Données projet'!$A$87:$I$107,6,0)*VLOOKUP('Données projet'!$B$11,'Paramètres'!$A$1:$I$88,7,0))</f>
        <v>0</v>
      </c>
      <c r="BO87" s="155">
        <f>IF(ISNA(VLOOKUP(A87,'Données projet'!$A$87:$I$107,7,0)),0%,VLOOKUP(A87,'Données projet'!$A$87:$I$107,7,0))</f>
        <v>0</v>
      </c>
      <c r="BP87" s="162">
        <f>EXP(-LN(2)/35)*BP86+(1-EXP(-LN(2)/35))/(LN(2)/35)*BL87*BM87*VLOOKUP('Données projet'!$B$11,'Paramètres'!$A$1:$I$88,3,0)*0.475*44/12</f>
        <v>0</v>
      </c>
      <c r="BQ87" s="162">
        <f>EXP(-LN(2)/25)*BQ86+(1-EXP(-LN(2)/25))/(LN(2)/25)*Calculateur!BL87*Calculateur!BN87*VLOOKUP('Données projet'!$B$11,'Paramètres'!$A$1:$I$88,3,0)*0.475*44/12</f>
        <v>0</v>
      </c>
      <c r="BR87" s="162">
        <f>EXP(-LN(2)/2)*BR86+(1-EXP(-LN(2)/2))/(LN(2)/2)*BL87*BO87*VLOOKUP('Données projet'!$B$11,'Paramètres'!$A$1:$I$88,3,0)*0.475*44/12</f>
        <v>0</v>
      </c>
      <c r="BS87" s="163">
        <f t="shared" si="10"/>
        <v>0</v>
      </c>
      <c r="BT87" s="159">
        <f>('Scénario référence'!$F$8+'Scénario référence'!$F$9+'Scénario référence'!$B$17+'Scénario référence'!$B$9+'Scénario référence'!$B$10)*70+IF((45+25*(1-EXP(-0.0175*A87)))&lt;70,'Scénario référence'!$B$16*(45+25*(1-EXP(-0.0175*A87))),70*'Scénario référence'!$B$16)+IF((32+38*(1-EXP(-0.0175*A87)))&lt;70,'Scénario référence'!$B$18*(32+38*(1-EXP(-0.0175*A87))),70*'Scénario référence'!$B$18)</f>
        <v>70</v>
      </c>
      <c r="BU87" s="151">
        <f>IF(A87&gt;30,10,('Scénario référence'!$B$16+'Scénario référence'!$B$17+'Scénario référence'!$B$18+'Scénario référence'!$B$9+'Scénario référence'!$B$10)*A87*10/30+('Scénario référence'!$F$8+'Scénario référence'!$F$9)*10)</f>
        <v>10</v>
      </c>
      <c r="BV87" s="151" t="str">
        <f>VLOOKUP(A87,'Données projet'!$A$113:$I$133,2,0)</f>
        <v>#N/A</v>
      </c>
      <c r="BW87" s="151" t="str">
        <f>VLOOKUP(A87,'Données projet'!$A$113:$I$133,9,0)</f>
        <v>#N/A</v>
      </c>
      <c r="BX87" s="150" t="str">
        <f t="array" ref="BX87">INDEX(BW:BW,MIN(IF(ISNUMBER(BW87:BW283),ROW(BW87:BW283),"")))</f>
        <v/>
      </c>
      <c r="BY87" s="150">
        <f>IF('Données projet'!$A$114&gt;35,BY86+BX87-CG86,IF(A87&lt;'Données projet'!$A$114,$BV$205^A87,IF(A87='Données projet'!$A$114,'Données projet'!$B$114,BY86+BX87-CG86)))</f>
        <v>0</v>
      </c>
      <c r="BZ87" s="150" t="str">
        <f>BY87*VLOOKUP('Données projet'!$B$12,'Paramètres'!$A$1:$I$88,3,0)*VLOOKUP('Données projet'!$B$12,'Paramètres'!$A$1:$I$88,5,0)</f>
        <v>#N/A</v>
      </c>
      <c r="CA87" s="150" t="str">
        <f t="shared" si="40"/>
        <v>#N/A</v>
      </c>
      <c r="CB87" s="161" t="str">
        <f t="shared" si="11"/>
        <v>#N/A</v>
      </c>
      <c r="CC87" s="153" t="str">
        <f t="shared" si="12"/>
        <v>#N/A</v>
      </c>
      <c r="CD87" s="153" t="str">
        <f>AVERAGE(OFFSET($CC$3,0,0,'Données projet'!$E$12+1,1))-AVERAGE(OFFSET($H$3,0,0,'Données projet'!$E$12+1,1))</f>
        <v>#N/A</v>
      </c>
      <c r="CE87" s="153" t="str">
        <f t="shared" si="41"/>
        <v>#N/A</v>
      </c>
      <c r="CF87" s="154">
        <f>IF(ISNA(VLOOKUP(A87,'Données projet'!$A$113:$I$133,3,0)),0,VLOOKUP(A87,'Données projet'!$A$113:$I$133,3,0))</f>
        <v>0</v>
      </c>
      <c r="CG87" s="154">
        <f>IF(ISNA(VLOOKUP(A87,'Données projet'!$A$113:$I$133,4,0)),0,VLOOKUP(A87,'Données projet'!$A$113:$I$133,4,0))</f>
        <v>0</v>
      </c>
      <c r="CH87" s="155">
        <f>IF(ISNA(VLOOKUP(A87,'Données projet'!$A$113:$I$133,5,0)),0%,VLOOKUP(A87,'Données projet'!$A$113:$I$133,5,0)*VLOOKUP('Données projet'!$B$12,'Paramètres'!$A$1:$I$88,7,0))</f>
        <v>0</v>
      </c>
      <c r="CI87" s="155">
        <f>IF(ISNA(VLOOKUP(A87,'Données projet'!$A$113:$I$133,6,0)),0%,VLOOKUP(A87,'Données projet'!$A$113:$I$133,6,0)*VLOOKUP('Données projet'!$B$12,'Paramètres'!$A$1:$I$88,7,0))</f>
        <v>0</v>
      </c>
      <c r="CJ87" s="155">
        <f>IF(ISNA(VLOOKUP(A87,'Données projet'!$A$113:$I$133,7,0)),0%,VLOOKUP(A87,'Données projet'!$A$113:$I$133,7,0))</f>
        <v>0</v>
      </c>
      <c r="CK87" s="162" t="str">
        <f>EXP(-LN(2)/35)*CK86+(1-EXP(-LN(2)/35))/(LN(2)/35)*CG87*CH87*VLOOKUP('Données projet'!$B$12,'Paramètres'!$A$1:$I$88,3,0)*0.475*44/12</f>
        <v>#N/A</v>
      </c>
      <c r="CL87" s="162" t="str">
        <f>EXP(-LN(2)/25)*CL86+(1-EXP(-LN(2)/25))/(LN(2)/25)*Calculateur!CG87*Calculateur!CI87*VLOOKUP('Données projet'!$B$12,'Paramètres'!$A$1:$I$88,3,0)*0.475*44/12</f>
        <v>#N/A</v>
      </c>
      <c r="CM87" s="162" t="str">
        <f>EXP(-LN(2)/2)*CM86+(1-EXP(-LN(2)/2))/(LN(2)/2)*CG87*CJ87*VLOOKUP('Données projet'!$B$12,'Paramètres'!$A$1:$I$88,3,0)*0.475*44/12</f>
        <v>#N/A</v>
      </c>
      <c r="CN87" s="163" t="str">
        <f t="shared" si="13"/>
        <v>#N/A</v>
      </c>
      <c r="CO87" s="159">
        <f>('Scénario référence'!$F$8+'Scénario référence'!$F$9+'Scénario référence'!$B$17+'Scénario référence'!$B$9+'Scénario référence'!$B$10)*70+IF((45+25*(1-EXP(-0.0175*A87)))&lt;70,'Scénario référence'!$B$16*(45+25*(1-EXP(-0.0175*A87))),70*'Scénario référence'!$B$16)+IF((32+38*(1-EXP(-0.0175*A87)))&lt;70,'Scénario référence'!$B$18*(32+38*(1-EXP(-0.0175*A87))),70*'Scénario référence'!$B$18)</f>
        <v>70</v>
      </c>
      <c r="CP87" s="151">
        <f>IF(A87&gt;30,10,('Scénario référence'!$B$16+'Scénario référence'!$B$17+'Scénario référence'!$B$18+'Scénario référence'!$B$9+'Scénario référence'!$B$10)*A87*10/30+('Scénario référence'!$F$8+'Scénario référence'!$F$9)*10)</f>
        <v>10</v>
      </c>
      <c r="CQ87" s="151" t="str">
        <f>VLOOKUP(A87,'Données projet'!$A$139:$I$159,2,0)</f>
        <v>#N/A</v>
      </c>
      <c r="CR87" s="151" t="str">
        <f>VLOOKUP(A87,'Données projet'!$A$139:$I$159,9,0)</f>
        <v>#N/A</v>
      </c>
      <c r="CS87" s="151" t="str">
        <f t="array" ref="CS87">INDEX(CR:CR,MIN(IF(ISNUMBER(CR87:CR283),ROW(CR87:CR283),"")))</f>
        <v/>
      </c>
      <c r="CT87" s="151">
        <f>IF('Données projet'!$A$140&gt;35,CT86+CS87-DB86,IF(A87&lt;'Données projet'!$A$140,$CQ$205^A87,IF(A87='Données projet'!$A$140,'Données projet'!$B$140,CT86+CS87-DB86)))</f>
        <v>0</v>
      </c>
      <c r="CU87" s="158" t="str">
        <f>CT87*VLOOKUP('Données projet'!$B$13,'Paramètres'!$A$1:$I$88,3,0)*VLOOKUP('Données projet'!$B$13,'Paramètres'!$A$1:$I$88,5,0)</f>
        <v>#N/A</v>
      </c>
      <c r="CV87" s="150" t="str">
        <f t="shared" si="42"/>
        <v>#N/A</v>
      </c>
      <c r="CW87" s="161" t="str">
        <f t="shared" si="14"/>
        <v>#N/A</v>
      </c>
      <c r="CX87" s="153" t="str">
        <f t="shared" si="15"/>
        <v>#N/A</v>
      </c>
      <c r="CY87" s="153" t="str">
        <f>AVERAGE(OFFSET($CX$3,0,0,'Données projet'!$E$13+1,1))-AVERAGE(OFFSET($H$3,0,0,'Données projet'!$E$13+1,1))</f>
        <v>#N/A</v>
      </c>
      <c r="CZ87" s="153" t="str">
        <f t="shared" si="43"/>
        <v>#N/A</v>
      </c>
      <c r="DA87" s="154">
        <f>IF(ISNA(VLOOKUP(A87,'Données projet'!$A$139:$I$159,3,0)),0,VLOOKUP(A87,'Données projet'!$A$139:$I$159,3,0))</f>
        <v>0</v>
      </c>
      <c r="DB87" s="154">
        <f>IF(ISNA(VLOOKUP(A87,'Données projet'!$A$139:$I$159,4,0)),0,VLOOKUP(A87,'Données projet'!$A$139:$I$159,4,0))</f>
        <v>0</v>
      </c>
      <c r="DC87" s="155">
        <f>IF(ISNA(VLOOKUP(A87,'Données projet'!$A$139:$I$159,5,0)),0%,VLOOKUP(A87,'Données projet'!$A$139:$I$159,5,0)*VLOOKUP('Données projet'!$B$13,'Paramètres'!$A$1:$I$88,7,0))</f>
        <v>0</v>
      </c>
      <c r="DD87" s="155">
        <f>IF(ISNA(VLOOKUP(A87,'Données projet'!$A$139:$I$159,6,0)),0%,VLOOKUP(A87,'Données projet'!$A$139:$I$159,6,0)*VLOOKUP('Données projet'!$B$13,'Paramètres'!$A$1:$I$88,7,0))</f>
        <v>0</v>
      </c>
      <c r="DE87" s="155">
        <f>IF(ISNA(VLOOKUP(A87,'Données projet'!$A$139:$I$159,7,0)),0%,VLOOKUP(A87,'Données projet'!$A$139:$I$159,7,0))</f>
        <v>0</v>
      </c>
      <c r="DF87" s="162" t="str">
        <f>EXP(-LN(2)/35)*DF86+(1-EXP(-LN(2)/35))/(LN(2)/35)*DB87*DC87*VLOOKUP('Données projet'!$B$13,'Paramètres'!$A$1:$I$88,3,0)*0.475*44/12</f>
        <v>#N/A</v>
      </c>
      <c r="DG87" s="162" t="str">
        <f>EXP(-LN(2)/25)*DG86+(1-EXP(-LN(2)/25))/(LN(2)/25)*Calculateur!DB87*Calculateur!DD87*VLOOKUP('Données projet'!$B$13,'Paramètres'!$A$1:$I$88,3,0)*0.475*44/12</f>
        <v>#N/A</v>
      </c>
      <c r="DH87" s="162" t="str">
        <f>EXP(-LN(2)/2)*DH86+(1-EXP(-LN(2)/2))/(LN(2)/2)*DB87*DE87*VLOOKUP('Données projet'!$B$13,'Paramètres'!$A$1:$I$88,3,0)*0.475*44/12</f>
        <v>#N/A</v>
      </c>
      <c r="DI87" s="163" t="str">
        <f t="shared" si="16"/>
        <v>#N/A</v>
      </c>
      <c r="DJ87" s="159">
        <f>('Scénario référence'!$F$8+'Scénario référence'!$F$9+'Scénario référence'!$B$17+'Scénario référence'!$B$9+'Scénario référence'!$B$10)*70+IF((45+25*(1-EXP(-0.0175*A87)))&lt;70,'Scénario référence'!$B$16*(45+25*(1-EXP(-0.0175*A87))),70*'Scénario référence'!$B$16)+IF((32+38*(1-EXP(-0.0175*A87)))&lt;70,'Scénario référence'!$B$18*(32+38*(1-EXP(-0.0175*A87))),70*'Scénario référence'!$B$18)</f>
        <v>70</v>
      </c>
      <c r="DK87" s="151">
        <f>IF(A87&gt;30,10,('Scénario référence'!$B$16+'Scénario référence'!$B$17+'Scénario référence'!$B$18+'Scénario référence'!$B$9+'Scénario référence'!$B$10)*A87*10/30+('Scénario référence'!$F$8+'Scénario référence'!$F$9)*10)</f>
        <v>10</v>
      </c>
      <c r="DL87" s="151" t="str">
        <f>VLOOKUP(A87,'Données projet'!$A$165:$I$185,2,0)</f>
        <v>#N/A</v>
      </c>
      <c r="DM87" s="151" t="str">
        <f>VLOOKUP(A87,'Données projet'!$A$165:$I$185,9,0)</f>
        <v>#N/A</v>
      </c>
      <c r="DN87" s="151" t="str">
        <f t="array" ref="DN87">INDEX(DM:DM,MIN(IF(ISNUMBER(DM87:DM283),ROW(DM87:DM283),"")))</f>
        <v/>
      </c>
      <c r="DO87" s="151">
        <f>IF('Données projet'!$A$166&gt;35,DO86+DN87-DW86,IF(A87&lt;'Données projet'!$A$166,$DL$205^A87,IF(A87='Données projet'!$A$166,'Données projet'!$B$166,DO86+DN87-DW86)))</f>
        <v>0</v>
      </c>
      <c r="DP87" s="158" t="str">
        <f>DO87*VLOOKUP('Données projet'!$B$14,'Paramètres'!$A$1:$I$88,3,0)*VLOOKUP('Données projet'!$B$14,'Paramètres'!$A$1:$I$88,5,0)</f>
        <v>#N/A</v>
      </c>
      <c r="DQ87" s="150" t="str">
        <f t="shared" si="44"/>
        <v>#N/A</v>
      </c>
      <c r="DR87" s="161" t="str">
        <f t="shared" si="17"/>
        <v>#N/A</v>
      </c>
      <c r="DS87" s="153" t="str">
        <f t="shared" si="18"/>
        <v>#N/A</v>
      </c>
      <c r="DT87" s="153" t="str">
        <f>AVERAGE(OFFSET($DS$3,0,0,'Données projet'!$E$14+1,1))-AVERAGE(OFFSET($H$3,0,0,'Données projet'!$E$14+1,1))</f>
        <v>#N/A</v>
      </c>
      <c r="DU87" s="153" t="str">
        <f t="shared" si="45"/>
        <v>#N/A</v>
      </c>
      <c r="DV87" s="154">
        <f>IF(ISNA(VLOOKUP(A87,'Données projet'!$A$165:$I$185,3,0)),0,VLOOKUP(A87,'Données projet'!$A$165:$I$185,3,0))</f>
        <v>0</v>
      </c>
      <c r="DW87" s="154">
        <f>IF(ISNA(VLOOKUP(A87,'Données projet'!$A$165:$I$185,4,0)),0,VLOOKUP(A87,'Données projet'!$A$165:$I$185,4,0))</f>
        <v>0</v>
      </c>
      <c r="DX87" s="155">
        <f>IF(ISNA(VLOOKUP(A87,'Données projet'!$A$165:$I$185,5,0)),0%,VLOOKUP(A87,'Données projet'!$A$165:$I$185,5,0)*VLOOKUP('Données projet'!$B$14,'Paramètres'!$A$1:$I$88,7,0))</f>
        <v>0</v>
      </c>
      <c r="DY87" s="155">
        <f>IF(ISNA(VLOOKUP(A87,'Données projet'!$A$165:$I$185,6,0)),0%,VLOOKUP(A87,'Données projet'!$A$165:$I$185,6,0)*VLOOKUP('Données projet'!$B$14,'Paramètres'!$A$1:$I$88,7,0))</f>
        <v>0</v>
      </c>
      <c r="DZ87" s="155">
        <f>IF(ISNA(VLOOKUP(A87,'Données projet'!$A$165:$I$185,7,0)),0%,VLOOKUP(A87,'Données projet'!$A$165:$I$185,7,0))</f>
        <v>0</v>
      </c>
      <c r="EA87" s="162" t="str">
        <f>EXP(-LN(2)/35)*EA86+(1-EXP(-LN(2)/35))/(LN(2)/35)*DW87*DX87*VLOOKUP('Données projet'!$B$14,'Paramètres'!$A$1:$I$88,3,0)*0.475*44/12</f>
        <v>#N/A</v>
      </c>
      <c r="EB87" s="162" t="str">
        <f>EXP(-LN(2)/25)*EB86+(1-EXP(-LN(2)/25))/(LN(2)/25)*Calculateur!DW87*Calculateur!DY87*VLOOKUP('Données projet'!$B$14,'Paramètres'!$A$1:$I$88,3,0)*0.475*44/12</f>
        <v>#N/A</v>
      </c>
      <c r="EC87" s="162" t="str">
        <f>EXP(-LN(2)/2)*EC86+(1-EXP(-LN(2)/2))/(LN(2)/2)*DW87*DZ87*VLOOKUP('Données projet'!$B$14,'Paramètres'!$A$1:$I$88,3,0)*0.475*44/12</f>
        <v>#N/A</v>
      </c>
      <c r="ED87" s="163" t="str">
        <f t="shared" si="19"/>
        <v>#N/A</v>
      </c>
      <c r="EE87" s="159">
        <f>('Scénario référence'!$F$8+'Scénario référence'!$F$9+'Scénario référence'!$B$17+'Scénario référence'!$B$9+'Scénario référence'!$B$10)*70+IF((45+25*(1-EXP(-0.0175*A87)))&lt;70,'Scénario référence'!$B$16*(45+25*(1-EXP(-0.0175*A87))),70*'Scénario référence'!$B$16)+IF((32+38*(1-EXP(-0.0175*A87)))&lt;70,'Scénario référence'!$B$18*(32+38*(1-EXP(-0.0175*A87))),70*'Scénario référence'!$B$18)</f>
        <v>70</v>
      </c>
      <c r="EF87" s="151">
        <f>IF(A87&gt;30,10,('Scénario référence'!$B$16+'Scénario référence'!$B$17+'Scénario référence'!$B$18+'Scénario référence'!$B$9+'Scénario référence'!$B$10)*A87*10/30+('Scénario référence'!$F$8+'Scénario référence'!$F$9)*10)</f>
        <v>10</v>
      </c>
      <c r="EG87" s="151" t="str">
        <f>VLOOKUP(A87,'Données projet'!$A$191:$I$211,2,0)</f>
        <v>#N/A</v>
      </c>
      <c r="EH87" s="151" t="str">
        <f>VLOOKUP(A87,'Données projet'!$A$191:$I$211,9,0)</f>
        <v>#N/A</v>
      </c>
      <c r="EI87" s="151" t="str">
        <f t="array" ref="EI87">INDEX(EH:EH,MIN(IF(ISNUMBER(EH87:EH283),ROW(EH87:EH283),"")))</f>
        <v/>
      </c>
      <c r="EJ87" s="151">
        <f>IF('Données projet'!$A$192&gt;35,EJ86+EI87-ER86,IF(A87&lt;'Données projet'!$A$192,$EG$205^A87,IF(A87='Données projet'!$A$192,'Données projet'!$B$192,EJ86+EI87-ER86)))</f>
        <v>0</v>
      </c>
      <c r="EK87" s="158" t="str">
        <f>EJ87*VLOOKUP('Données projet'!$B$15,'Paramètres'!$A$1:$I$88,3,0)*VLOOKUP('Données projet'!$B$15,'Paramètres'!$A$1:$I$88,5,0)</f>
        <v>#N/A</v>
      </c>
      <c r="EL87" s="150" t="str">
        <f t="shared" si="46"/>
        <v>#N/A</v>
      </c>
      <c r="EM87" s="161" t="str">
        <f t="shared" si="20"/>
        <v>#N/A</v>
      </c>
      <c r="EN87" s="153" t="str">
        <f t="shared" si="21"/>
        <v>#N/A</v>
      </c>
      <c r="EO87" s="153" t="str">
        <f>AVERAGE(OFFSET($EN$3,0,0,'Données projet'!$E$15+1,1))-AVERAGE(OFFSET($H$3,0,0,'Données projet'!$E$15+1,1))</f>
        <v>#N/A</v>
      </c>
      <c r="EP87" s="153" t="str">
        <f t="shared" si="47"/>
        <v>#N/A</v>
      </c>
      <c r="EQ87" s="154">
        <f>IF(ISNA(VLOOKUP(A87,'Données projet'!$A$191:$I$211,3,0)),0,VLOOKUP(A87,'Données projet'!$A$191:$I$211,3,0))</f>
        <v>0</v>
      </c>
      <c r="ER87" s="154">
        <f>IF(ISNA(VLOOKUP(A87,'Données projet'!$A$191:$I$211,4,0)),0,VLOOKUP(A87,'Données projet'!$A$191:$I$211,4,0))</f>
        <v>0</v>
      </c>
      <c r="ES87" s="155">
        <f>IF(ISNA(VLOOKUP(A87,'Données projet'!$A$191:$I$211,5,0)),0%,VLOOKUP(A87,'Données projet'!$A$191:$I$211,5,0)*VLOOKUP('Données projet'!$B$15,'Paramètres'!$A$1:$I$88,7,0))</f>
        <v>0</v>
      </c>
      <c r="ET87" s="155">
        <f>IF(ISNA(VLOOKUP(A87,'Données projet'!$A$191:$I$211,6,0)),0%,VLOOKUP(A87,'Données projet'!$A$191:$I$211,6,0)*VLOOKUP('Données projet'!$B$15,'Paramètres'!$A$1:$I$88,7,0))</f>
        <v>0</v>
      </c>
      <c r="EU87" s="155">
        <f>IF(ISNA(VLOOKUP(A87,'Données projet'!$A$191:$I$211,7,0)),0%,VLOOKUP(A87,'Données projet'!$A$191:$I$211,7,0))</f>
        <v>0</v>
      </c>
      <c r="EV87" s="162" t="str">
        <f>EXP(-LN(2)/35)*EV86+(1-EXP(-LN(2)/35))/(LN(2)/35)*ER87*ES87*VLOOKUP('Données projet'!$B$15,'Paramètres'!$A$1:$I$88,3,0)*0.475*44/12</f>
        <v>#N/A</v>
      </c>
      <c r="EW87" s="162" t="str">
        <f>EXP(-LN(2)/25)*EW86+(1-EXP(-LN(2)/25))/(LN(2)/25)*Calculateur!ER87*Calculateur!ET87*VLOOKUP('Données projet'!$B$15,'Paramètres'!$A$1:$I$88,3,0)*0.475*44/12</f>
        <v>#N/A</v>
      </c>
      <c r="EX87" s="162" t="str">
        <f>EXP(-LN(2)/2)*EX86+(1-EXP(-LN(2)/2))/(LN(2)/2)*ER87*EU87*VLOOKUP('Données projet'!$B$15,'Paramètres'!$A$1:$I$88,3,0)*0.475*44/12</f>
        <v>#N/A</v>
      </c>
      <c r="EY87" s="163" t="str">
        <f t="shared" si="22"/>
        <v>#N/A</v>
      </c>
      <c r="EZ87" s="159">
        <f>('Scénario référence'!$F$8+'Scénario référence'!$F$9+'Scénario référence'!$B$17+'Scénario référence'!$B$9+'Scénario référence'!$B$10)*70+IF((45+25*(1-EXP(-0.0175*A87)))&lt;70,'Scénario référence'!$B$16*(45+25*(1-EXP(-0.0175*A87))),70*'Scénario référence'!$B$16)+IF((32+38*(1-EXP(-0.0175*A87)))&lt;70,'Scénario référence'!$B$18*(32+38*(1-EXP(-0.0175*A87))),70*'Scénario référence'!$B$18)</f>
        <v>70</v>
      </c>
      <c r="FA87" s="151">
        <f>IF(A87&gt;30,10,('Scénario référence'!$B$16+'Scénario référence'!$B$17+'Scénario référence'!$B$18+'Scénario référence'!$B$9+'Scénario référence'!$B$10)*A87*10/30+('Scénario référence'!$F$8+'Scénario référence'!$F$9)*10)</f>
        <v>10</v>
      </c>
      <c r="FB87" s="151" t="str">
        <f>VLOOKUP(A87,'Données projet'!$A$217:$I$237,2,0)</f>
        <v>#N/A</v>
      </c>
      <c r="FC87" s="151" t="str">
        <f>VLOOKUP(A87,'Données projet'!$A$217:$I$237,9,0)</f>
        <v>#N/A</v>
      </c>
      <c r="FD87" s="151" t="str">
        <f t="array" ref="FD87">INDEX(FC:FC,MIN(IF(ISNUMBER(FC87:FC283),ROW(FC87:FC283),"")))</f>
        <v/>
      </c>
      <c r="FE87" s="151">
        <f>IF('Données projet'!$A$218&gt;35,FE86+FD87-FM86,IF(A87&lt;'Données projet'!$A$218,$FB$205^A87,IF(A87='Données projet'!$A$218,'Données projet'!$B$218,FE86+FD87-FM86)))</f>
        <v>0</v>
      </c>
      <c r="FF87" s="158" t="str">
        <f>FE87*VLOOKUP('Données projet'!$B$16,'Paramètres'!$A$1:$I$88,3,0)*VLOOKUP('Données projet'!$B$16,'Paramètres'!$A$1:$I$88,5,0)</f>
        <v>#N/A</v>
      </c>
      <c r="FG87" s="150" t="str">
        <f t="shared" si="48"/>
        <v>#N/A</v>
      </c>
      <c r="FH87" s="161" t="str">
        <f t="shared" si="23"/>
        <v>#N/A</v>
      </c>
      <c r="FI87" s="153" t="str">
        <f t="shared" si="24"/>
        <v>#N/A</v>
      </c>
      <c r="FJ87" s="153" t="str">
        <f>AVERAGE(OFFSET($FI$3,0,0,'Données projet'!$E$16+1,1))-AVERAGE(OFFSET($H$3,0,0,'Données projet'!$E$16+1,1))</f>
        <v>#N/A</v>
      </c>
      <c r="FK87" s="153" t="str">
        <f t="shared" si="49"/>
        <v>#N/A</v>
      </c>
      <c r="FL87" s="154">
        <f>IF(ISNA(VLOOKUP(A87,'Données projet'!$A$217:$I$237,3,0)),0,VLOOKUP(A87,'Données projet'!$A$217:$I$237,3,0))</f>
        <v>0</v>
      </c>
      <c r="FM87" s="154">
        <f>IF(ISNA(VLOOKUP(A87,'Données projet'!$A$217:$I$237,4,0)),0,VLOOKUP(A87,'Données projet'!$A$217:$I$237,4,0))</f>
        <v>0</v>
      </c>
      <c r="FN87" s="155">
        <f>IF(ISNA(VLOOKUP(A87,'Données projet'!$A$217:$I$237,5,0)),0%,VLOOKUP(A87,'Données projet'!$A$217:$I$237,5,0)*VLOOKUP('Données projet'!$B$16,'Paramètres'!$A$1:$I$88,7,0))</f>
        <v>0</v>
      </c>
      <c r="FO87" s="155">
        <f>IF(ISNA(VLOOKUP(A87,'Données projet'!$A$217:$I$237,6,0)),0%,VLOOKUP(A87,'Données projet'!$A$217:$I$237,6,0)*VLOOKUP('Données projet'!$B$16,'Paramètres'!$A$1:$I$88,7,0))</f>
        <v>0</v>
      </c>
      <c r="FP87" s="155">
        <f>IF(ISNA(VLOOKUP(A87,'Données projet'!$A$217:$I$237,7,0)),0%,VLOOKUP(A87,'Données projet'!$A$217:$I$237,7,0))</f>
        <v>0</v>
      </c>
      <c r="FQ87" s="162" t="str">
        <f>EXP(-LN(2)/35)*FQ86+(1-EXP(-LN(2)/35))/(LN(2)/35)*FM87*FN87*VLOOKUP('Données projet'!$B$16,'Paramètres'!$A$1:$I$88,3,0)*0.475*44/12</f>
        <v>#N/A</v>
      </c>
      <c r="FR87" s="162" t="str">
        <f>EXP(-LN(2)/25)*FR86+(1-EXP(-LN(2)/25))/(LN(2)/25)*Calculateur!FM87*Calculateur!FO87*VLOOKUP('Données projet'!$B$16,'Paramètres'!$A$1:$I$88,3,0)*0.475*44/12</f>
        <v>#N/A</v>
      </c>
      <c r="FS87" s="162" t="str">
        <f>EXP(-LN(2)/2)*FS86+(1-EXP(-LN(2)/2))/(LN(2)/2)*FM87*FP87*VLOOKUP('Données projet'!$B$16,'Paramètres'!$A$1:$I$88,3,0)*0.475*44/12</f>
        <v>#N/A</v>
      </c>
      <c r="FT87" s="163" t="str">
        <f t="shared" si="25"/>
        <v>#N/A</v>
      </c>
      <c r="FU87" s="159">
        <f>('Scénario référence'!$F$8+'Scénario référence'!$F$9+'Scénario référence'!$B$17+'Scénario référence'!$B$9+'Scénario référence'!$B$10)*70+IF((45+25*(1-EXP(-0.0175*A87)))&lt;70,'Scénario référence'!$B$16*(45+25*(1-EXP(-0.0175*A87))),70*'Scénario référence'!$B$16)+IF((32+38*(1-EXP(-0.0175*A87)))&lt;70,'Scénario référence'!$B$18*(32+38*(1-EXP(-0.0175*A87))),70*'Scénario référence'!$B$18)</f>
        <v>70</v>
      </c>
      <c r="FV87" s="151">
        <f>IF(A87&gt;30,10,('Scénario référence'!$B$16+'Scénario référence'!$B$17+'Scénario référence'!$B$18+'Scénario référence'!$B$9+'Scénario référence'!$B$10)*A87*10/30+('Scénario référence'!$F$8+'Scénario référence'!$F$9)*10)</f>
        <v>10</v>
      </c>
      <c r="FW87" s="151" t="str">
        <f>VLOOKUP(A87,'Données projet'!$A$243:$I$263,2,0)</f>
        <v>#N/A</v>
      </c>
      <c r="FX87" s="151" t="str">
        <f>VLOOKUP(A87,'Données projet'!$A$243:$I$263,9,0)</f>
        <v>#N/A</v>
      </c>
      <c r="FY87" s="151" t="str">
        <f t="array" ref="FY87">INDEX(FX:FX,MIN(IF(ISNUMBER(FX87:FX283),ROW(FX87:FX283),"")))</f>
        <v/>
      </c>
      <c r="FZ87" s="151">
        <f>IF('Données projet'!$A$244&gt;35,FZ86+FY87-GH86,IF(A87&lt;'Données projet'!$A$244,$FW$205^A87,IF(A87='Données projet'!$A$244,'Données projet'!$B$244,FZ86+FY87-GH86)))</f>
        <v>0</v>
      </c>
      <c r="GA87" s="158" t="str">
        <f>FZ87*VLOOKUP('Données projet'!$B$17,'Paramètres'!$A$1:$I$88,3,0)*VLOOKUP('Données projet'!$B$17,'Paramètres'!$A$1:$I$88,5,0)</f>
        <v>#N/A</v>
      </c>
      <c r="GB87" s="150" t="str">
        <f t="shared" si="50"/>
        <v>#N/A</v>
      </c>
      <c r="GC87" s="161" t="str">
        <f t="shared" si="26"/>
        <v>#N/A</v>
      </c>
      <c r="GD87" s="153" t="str">
        <f t="shared" si="27"/>
        <v>#N/A</v>
      </c>
      <c r="GE87" s="153" t="str">
        <f>AVERAGE(OFFSET($GD$3,0,0,'Données projet'!$E$17+1,1))-AVERAGE(OFFSET($H$3,0,0,'Données projet'!$E$17+1,1))</f>
        <v>#N/A</v>
      </c>
      <c r="GF87" s="153" t="str">
        <f t="shared" si="51"/>
        <v>#N/A</v>
      </c>
      <c r="GG87" s="154">
        <f>IF(ISNA(VLOOKUP(A87,'Données projet'!$A$243:$I$263,3,0)),0,VLOOKUP(A87,'Données projet'!$A$243:$I$263,3,0))</f>
        <v>0</v>
      </c>
      <c r="GH87" s="154">
        <f>IF(ISNA(VLOOKUP(A87,'Données projet'!$A$243:$I$263,4,0)),0,VLOOKUP(A87,'Données projet'!$A$243:$I$263,4,0))</f>
        <v>0</v>
      </c>
      <c r="GI87" s="155">
        <f>IF(ISNA(VLOOKUP(A87,'Données projet'!$A$243:$I$263,5,0)),0%,VLOOKUP(A87,'Données projet'!$A$243:$I$263,5,0)*VLOOKUP('Données projet'!$B$17,'Paramètres'!$A$1:$I$88,7,0))</f>
        <v>0</v>
      </c>
      <c r="GJ87" s="155">
        <f>IF(ISNA(VLOOKUP(A87,'Données projet'!$A$243:$I$263,6,0)),0%,VLOOKUP(A87,'Données projet'!$A$243:$I$263,6,0)*VLOOKUP('Données projet'!$B$17,'Paramètres'!$A$1:$I$88,7,0))</f>
        <v>0</v>
      </c>
      <c r="GK87" s="155">
        <f>IF(ISNA(VLOOKUP(A87,'Données projet'!$A$243:$I$263,7,0)),0%,VLOOKUP(A87,'Données projet'!$A$243:$I$263,7,0))</f>
        <v>0</v>
      </c>
      <c r="GL87" s="162" t="str">
        <f>EXP(-LN(2)/35)*GL86+(1-EXP(-LN(2)/35))/(LN(2)/35)*GH87*GI87*VLOOKUP('Données projet'!$B$17,'Paramètres'!$A$1:$I$88,3,0)*0.475*44/12</f>
        <v>#N/A</v>
      </c>
      <c r="GM87" s="162" t="str">
        <f>EXP(-LN(2)/25)*GM86+(1-EXP(-LN(2)/25))/(LN(2)/25)*Calculateur!GH87*Calculateur!GJ87*VLOOKUP('Données projet'!$B$17,'Paramètres'!$A$1:$I$88,3,0)*0.475*44/12</f>
        <v>#N/A</v>
      </c>
      <c r="GN87" s="162" t="str">
        <f>EXP(-LN(2)/2)*GN86+(1-EXP(-LN(2)/2))/(LN(2)/2)*GH87*GK87*VLOOKUP('Données projet'!$B$17,'Paramètres'!$A$1:$I$88,3,0)*0.475*44/12</f>
        <v>#N/A</v>
      </c>
      <c r="GO87" s="162" t="str">
        <f t="shared" si="28"/>
        <v>#N/A</v>
      </c>
      <c r="GP87" s="159">
        <f>('Scénario référence'!$F$8+'Scénario référence'!$F$9+'Scénario référence'!$B$17+'Scénario référence'!$B$9+'Scénario référence'!$B$10)*70+IF((45+25*(1-EXP(-0.0175*A87)))&lt;70,'Scénario référence'!$B$16*(45+25*(1-EXP(-0.0175*A87))),70*'Scénario référence'!$B$16)+IF((32+38*(1-EXP(-0.0175*A87)))&lt;70,'Scénario référence'!$B$18*(32+38*(1-EXP(-0.0175*A87))),70*'Scénario référence'!$B$18)</f>
        <v>70</v>
      </c>
      <c r="GQ87" s="151">
        <f>IF(A87&gt;30,10,('Scénario référence'!$B$16+'Scénario référence'!$B$17+'Scénario référence'!$B$18+'Scénario référence'!$B$9+'Scénario référence'!$B$10)*A87*10/30+('Scénario référence'!$F$8+'Scénario référence'!$F$9)*10)</f>
        <v>10</v>
      </c>
      <c r="GR87" s="151" t="str">
        <f>VLOOKUP(A87,'Données projet'!$A$269:$I$289,2,0)</f>
        <v>#N/A</v>
      </c>
      <c r="GS87" s="151" t="str">
        <f>VLOOKUP(A87,'Données projet'!$A$269:$I$289,9,0)</f>
        <v>#N/A</v>
      </c>
      <c r="GT87" s="151" t="str">
        <f t="array" ref="GT87">INDEX(GS:GS,MIN(IF(ISNUMBER(GS87:GS283),ROW(GS87:GS283),"")))</f>
        <v/>
      </c>
      <c r="GU87" s="151">
        <f>IF('Données projet'!$A$270&gt;35,GU86+GT87-HC86,IF(A87&lt;'Données projet'!$A$270,$GR$205^A87,IF(A87='Données projet'!$A$270,'Données projet'!$B$270,GU86+GT87-HC86)))</f>
        <v>0</v>
      </c>
      <c r="GV87" s="158" t="str">
        <f>GU87*VLOOKUP('Données projet'!$B$18,'Paramètres'!$A$1:$I$88,3,0)*VLOOKUP('Données projet'!$B$18,'Paramètres'!$A$1:$I$88,5,0)</f>
        <v>#N/A</v>
      </c>
      <c r="GW87" s="150" t="str">
        <f t="shared" si="52"/>
        <v>#N/A</v>
      </c>
      <c r="GX87" s="161" t="str">
        <f t="shared" si="29"/>
        <v>#N/A</v>
      </c>
      <c r="GY87" s="153" t="str">
        <f t="shared" si="30"/>
        <v>#N/A</v>
      </c>
      <c r="GZ87" s="153" t="str">
        <f>AVERAGE(OFFSET($GY$3,0,0,'Données projet'!$E$18+1,1))-AVERAGE(OFFSET($H$3,0,0,'Données projet'!$E$18+1,1))</f>
        <v>#N/A</v>
      </c>
      <c r="HA87" s="153" t="str">
        <f t="shared" si="53"/>
        <v>#N/A</v>
      </c>
      <c r="HB87" s="154">
        <f>IF(ISNA(VLOOKUP(A87,'Données projet'!$A$269:$I$289,3,0)),0,VLOOKUP(A87,'Données projet'!$A$269:$I$289,3,0))</f>
        <v>0</v>
      </c>
      <c r="HC87" s="154">
        <f>IF(ISNA(VLOOKUP(A87,'Données projet'!$A$269:$I$289,4,0)),0,VLOOKUP(A87,'Données projet'!$A$269:$I$289,4,0))</f>
        <v>0</v>
      </c>
      <c r="HD87" s="155">
        <f>IF(ISNA(VLOOKUP(A87,'Données projet'!$A$269:$I$289,5,0)),0%,VLOOKUP(A87,'Données projet'!$A$269:$I$289,5,0)*VLOOKUP('Données projet'!$B$18,'Paramètres'!$A$1:$I$88,7,0))</f>
        <v>0</v>
      </c>
      <c r="HE87" s="155">
        <f>IF(ISNA(VLOOKUP(A87,'Données projet'!$A$269:$I$289,6,0)),0%,VLOOKUP(A87,'Données projet'!$A$269:$I$289,6,0)*VLOOKUP('Données projet'!$B$18,'Paramètres'!$A$1:$I$88,7,0))</f>
        <v>0</v>
      </c>
      <c r="HF87" s="155">
        <f>IF(ISNA(VLOOKUP(A87,'Données projet'!$A$269:$I$289,7,0)),0%,VLOOKUP(A87,'Données projet'!$A$269:$I$289,7,0))</f>
        <v>0</v>
      </c>
      <c r="HG87" s="162" t="str">
        <f>EXP(-LN(2)/35)*HG86+(1-EXP(-LN(2)/35))/(LN(2)/35)*HC87*HD87*VLOOKUP('Données projet'!$B$18,'Paramètres'!$A$1:$I$88,3,0)*0.475*44/12</f>
        <v>#N/A</v>
      </c>
      <c r="HH87" s="162" t="str">
        <f>EXP(-LN(2)/25)*HH86+(1-EXP(-LN(2)/25))/(LN(2)/25)*Calculateur!HC87*Calculateur!HE87*VLOOKUP('Données projet'!$B$18,'Paramètres'!$A$1:$I$88,3,0)*0.475*44/12</f>
        <v>#N/A</v>
      </c>
      <c r="HI87" s="162" t="str">
        <f>EXP(-LN(2)/2)*HI86+(1-EXP(-LN(2)/2))/(LN(2)/2)*HC87*HF87*VLOOKUP('Données projet'!$B$18,'Paramètres'!$A$1:$I$88,3,0)*0.475*44/12</f>
        <v>#N/A</v>
      </c>
      <c r="HJ87" s="163" t="str">
        <f t="shared" si="31"/>
        <v>#N/A</v>
      </c>
    </row>
    <row r="88" ht="15.75" customHeight="1">
      <c r="A88" s="145">
        <f t="shared" si="32"/>
        <v>85</v>
      </c>
      <c r="B88" s="146">
        <f>'Scénario référence'!$B$16*5+'Scénario référence'!$B$17*0+'Scénario référence'!$B$18*5</f>
        <v>0</v>
      </c>
      <c r="C88" s="160">
        <f>Calculateur!C87+'Scénario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88" s="147">
        <f t="shared" si="33"/>
        <v>0</v>
      </c>
      <c r="E88" s="147">
        <f>'Scénario référence'!$B$16*45+('Scénario référence'!$B$17+'Scénario référence'!$F$8+'Scénario référence'!$F$9+'Scénario référence'!$B$10+'Scénario référence'!$B$9)*70+'Scénario référence'!$B$18*32</f>
        <v>70</v>
      </c>
      <c r="F88" s="147">
        <f>IF(OR('Scénario référence'!$F$8&gt;0,'Scénario référence'!$F$9&gt;0),('Scénario référence'!$F$8+'Scénario référence'!$F$9)*10,0)</f>
        <v>0</v>
      </c>
      <c r="G88" s="147">
        <f>'Scénario référence'!$B$8*B88*44/12+'Scénario référence'!$B$9*(C88+D88)/0.475*44/12+'Scénario référence'!$B$10*(C88+D88)/0.475*44/12+'Scénario référence'!$F$8*(C88+D88)/0.475*44/12+'Scénario référence'!$F$9*(C88+D88)/0.475*44/12</f>
        <v>0</v>
      </c>
      <c r="H88" s="148">
        <f t="shared" si="1"/>
        <v>256.6666667</v>
      </c>
      <c r="I88" s="149">
        <f>('Scénario référence'!$F$8+'Scénario référence'!$F$9+'Scénario référence'!$B$17+'Scénario référence'!$B$9+'Scénario référence'!$B$10)*70+IF((45+25*(1-EXP(-0.0175*A88)))&lt;70,'Scénario référence'!$B$16*(45+25*(1-EXP(-0.0175*A88))),70*'Scénario référence'!$B$16)+IF((32+38*(1-EXP(-0.0175*A88)))&lt;70,'Scénario référence'!$B$18*(32+38*(1-EXP(-0.0175*A88))),70*'Scénario référence'!$B$18)</f>
        <v>70</v>
      </c>
      <c r="J88" s="150">
        <f>IF(A88&gt;30,10,('Scénario référence'!$B$16+'Scénario référence'!$B$17+'Scénario référence'!$B$18+'Scénario référence'!$B$9+'Scénario référence'!$B$10)*A88*10/30+('Scénario référence'!$F$8+'Scénario référence'!$F$9)*10)</f>
        <v>10</v>
      </c>
      <c r="K88" s="165">
        <f>VLOOKUP(A88,'Données projet'!$A$35:$I$55,2,0)</f>
        <v>326</v>
      </c>
      <c r="L88" s="151">
        <f>VLOOKUP(A88,'Données projet'!$A$35:$I$55,9,0)</f>
        <v>6.8</v>
      </c>
      <c r="M88" s="150">
        <f t="array" ref="M88">INDEX(L:L,MIN(IF(ISNUMBER(L88:L284),ROW(L88:L284),"")))</f>
        <v>6.8</v>
      </c>
      <c r="N88" s="150">
        <f>IF('Données projet'!$A$36&gt;35,N87+M88-V87,IF(A88&lt;'Données projet'!$A$36,$K$205^A88,IF(A88='Données projet'!$A$36,'Données projet'!$B$36,N87+M88-V87)))</f>
        <v>326</v>
      </c>
      <c r="O88" s="150">
        <f>N88*VLOOKUP('Données projet'!$B$9,'Paramètres'!$A$1:$I$88,3,0)*VLOOKUP('Données projet'!$B$9,'Paramètres'!$A$1:$I$88,5,0)</f>
        <v>294.9648</v>
      </c>
      <c r="P88" s="150">
        <f t="shared" si="34"/>
        <v>70.11985454</v>
      </c>
      <c r="Q88" s="161">
        <f t="shared" si="2"/>
        <v>635.8557733</v>
      </c>
      <c r="R88" s="153">
        <f t="shared" si="3"/>
        <v>929.1891067</v>
      </c>
      <c r="S88" s="153">
        <f>AVERAGE(OFFSET($R$3,0,0,'Données projet'!$E$9+1,1))-AVERAGE(OFFSET($H$3,0,0,'Données projet'!$E$9+1,1))</f>
        <v>439.1985427</v>
      </c>
      <c r="T88" s="153">
        <f t="shared" si="35"/>
        <v>278.2174123</v>
      </c>
      <c r="U88" s="154">
        <f>IF(ISNA(VLOOKUP(A88,'Données projet'!$A$35:$I$55,3,0)),0,VLOOKUP(A88,'Données projet'!$A$35:$I$55,3,0))</f>
        <v>14</v>
      </c>
      <c r="V88" s="164">
        <f>IF(ISNA(VLOOKUP(A88,'Données projet'!$A$35:$I$55,4,0)),0,VLOOKUP(A88,'Données projet'!$A$35:$I$55,4,0))</f>
        <v>28</v>
      </c>
      <c r="W88" s="155">
        <f>IF(ISNA(VLOOKUP(A88,'Données projet'!$A$35:$I$55,5,0)),0%,VLOOKUP(A88,'Données projet'!$A$35:$I$55,5,0)*VLOOKUP('Données projet'!$B$9,'Paramètres'!$A$1:$I$88,7,0))</f>
        <v>0</v>
      </c>
      <c r="X88" s="155">
        <f>IF(ISNA(VLOOKUP(A88,'Données projet'!$A$35:$I$55,6,0)),0%,VLOOKUP(A88,'Données projet'!$A$35:$I$55,6,0)*VLOOKUP('Données projet'!$B$9,'Paramètres'!$A$1:$I$88,7,0))</f>
        <v>0</v>
      </c>
      <c r="Y88" s="155" t="str">
        <f>IF(ISNA(VLOOKUP(A88,'Données projet'!$A$35:$I$55,7,0)),0%,VLOOKUP(A88,'Données projet'!$A$35:$I$55,7,0))</f>
        <v/>
      </c>
      <c r="Z88" s="162">
        <f>EXP(-LN(2)/35)*Z87+(1-EXP(-LN(2)/35))/(LN(2)/35)*V88*W88*VLOOKUP('Données projet'!$B$9,'Paramètres'!$A$1:$I$88,3,0)*0.475*44/12</f>
        <v>0</v>
      </c>
      <c r="AA88" s="162">
        <f>EXP(-LN(2)/25)*AA87+(1-EXP(-LN(2)/25))/(LN(2)/25)*Calculateur!V88*Calculateur!X88*VLOOKUP('Données projet'!$B$9,'Paramètres'!$A$1:$I$88,3,0)*0.475*44/12</f>
        <v>0.9766664932</v>
      </c>
      <c r="AB88" s="162">
        <f>EXP(-LN(2)/2)*AB87+(1-EXP(-LN(2)/2))/(LN(2)/2)*V88*Y88*VLOOKUP('Données projet'!$B$9,'Paramètres'!$A$1:$I$88,3,0)*0.475*44/12</f>
        <v>0</v>
      </c>
      <c r="AC88" s="163">
        <f t="shared" si="4"/>
        <v>0.9766664932</v>
      </c>
      <c r="AD88" s="150">
        <f>('Scénario référence'!$F$8+'Scénario référence'!$F$9+'Scénario référence'!$B$17+'Scénario référence'!$B$9+'Scénario référence'!$B$10)*70+IF((45+25*(1-EXP(-0.0175*A88)))&lt;70,'Scénario référence'!$B$16*(45+25*(1-EXP(-0.0175*A88))),70*'Scénario référence'!$B$16)+IF((32+38*(1-EXP(-0.0175*A88)))&lt;70,'Scénario référence'!$B$18*(32+38*(1-EXP(-0.0175*A88))),70*'Scénario référence'!$B$18)</f>
        <v>70</v>
      </c>
      <c r="AE88" s="150">
        <f>IF(A88&gt;30,10,('Scénario référence'!$B$16+'Scénario référence'!$B$17+'Scénario référence'!$B$18+'Scénario référence'!$B$9+'Scénario référence'!$B$10)*A88*10/30+('Scénario référence'!$F$8+'Scénario référence'!$F$9)*10)</f>
        <v>10</v>
      </c>
      <c r="AF88" s="151" t="str">
        <f>VLOOKUP(A88,'Données projet'!$A$61:$I$81,2,0)</f>
        <v>#N/A</v>
      </c>
      <c r="AG88" s="151" t="str">
        <f>VLOOKUP(A88,'Données projet'!$A$61:$I$81,9,0)</f>
        <v>#N/A</v>
      </c>
      <c r="AH88" s="151" t="str">
        <f t="array" ref="AH88">INDEX(AG:AG,MIN(IF(ISNUMBER(AG88:AG284),ROW(AG88:AG284),"")))</f>
        <v/>
      </c>
      <c r="AI88" s="150">
        <f>IF('Données projet'!$A$62&gt;35,AI87+AH88-AQ87,IF(A88&lt;'Données projet'!$A$62,$AF$205^A88,IF(A88='Données projet'!$A$62,'Données projet'!$B$62,AI87+AH88-AQ87)))</f>
        <v>369</v>
      </c>
      <c r="AJ88" s="150">
        <f>AI88*VLOOKUP('Données projet'!$B$10,'Paramètres'!$A$1:$I$88,3,0)*VLOOKUP('Données projet'!$B$10,'Paramètres'!$A$1:$I$88,5,0)</f>
        <v>293.5764</v>
      </c>
      <c r="AK88" s="150">
        <f t="shared" si="36"/>
        <v>69.82813851</v>
      </c>
      <c r="AL88" s="161">
        <f t="shared" si="5"/>
        <v>632.9295712</v>
      </c>
      <c r="AM88" s="153">
        <f t="shared" si="6"/>
        <v>926.2629046</v>
      </c>
      <c r="AN88" s="153">
        <f>AVERAGE(OFFSET($AM$3,0,0,'Données projet'!$E$10+1,1))-AVERAGE(OFFSET($H$3,0,0,'Données projet'!$E$10+1,1))</f>
        <v>405.6113614</v>
      </c>
      <c r="AO88" s="153">
        <f t="shared" si="37"/>
        <v>393.0787141</v>
      </c>
      <c r="AP88" s="154">
        <f>IF(ISNA(VLOOKUP(A88,'Données projet'!$A$61:$I$81,3,0)),0,VLOOKUP(A88,'Données projet'!$A$61:$I$81,3,0))</f>
        <v>0</v>
      </c>
      <c r="AQ88" s="154">
        <f>IF(ISNA(VLOOKUP(A88,'Données projet'!$A$61:$I$81,4,0)),0,VLOOKUP(A88,'Données projet'!$A$61:$I$81,4,0))</f>
        <v>0</v>
      </c>
      <c r="AR88" s="155">
        <f>IF(ISNA(VLOOKUP(A88,'Données projet'!$A$61:$I$81,5,0)),0%,VLOOKUP(A88,'Données projet'!$A$61:$I$81,5,0)*VLOOKUP('Données projet'!$B$10,'Paramètres'!$A$1:$I$88,7,0))</f>
        <v>0</v>
      </c>
      <c r="AS88" s="155">
        <f>IF(ISNA(VLOOKUP(A88,'Données projet'!$A$61:$I$81,6,0)),0%,VLOOKUP(A88,'Données projet'!$A$61:$I$81,6,0)*VLOOKUP('Données projet'!$B$10,'Paramètres'!$A$1:$I$88,7,0))</f>
        <v>0</v>
      </c>
      <c r="AT88" s="155">
        <f>IF(ISNA(VLOOKUP(A88,'Données projet'!$A$61:$I$81,7,0)),0%,VLOOKUP(A88,'Données projet'!$A$61:$I$81,7,0))</f>
        <v>0</v>
      </c>
      <c r="AU88" s="162">
        <f>EXP(-LN(2)/35)*AU87+(1-EXP(-LN(2)/35))/(LN(2)/35)*AQ88*AR88*VLOOKUP('Données projet'!$B$10,'Paramètres'!$A$1:$I$88,3,0)*0.475*44/12</f>
        <v>0</v>
      </c>
      <c r="AV88" s="162">
        <f>EXP(-LN(2)/25)*AV87+(1-EXP(-LN(2)/25))/(LN(2)/25)*Calculateur!AQ88*Calculateur!AS88*VLOOKUP('Données projet'!$B$10,'Paramètres'!$A$1:$I$88,3,0)*0.475*44/12</f>
        <v>3.969420907</v>
      </c>
      <c r="AW88" s="162">
        <f>EXP(-LN(2)/2)*AW87+(1-EXP(-LN(2)/2))/(LN(2)/2)*AQ88*AT88*VLOOKUP('Données projet'!$B$10,'Paramètres'!$A$1:$I$88,3,0)*0.475*44/12</f>
        <v>0.000000003054130305</v>
      </c>
      <c r="AX88" s="162">
        <f t="shared" si="7"/>
        <v>3.96942091</v>
      </c>
      <c r="AY88" s="157">
        <f>('Scénario référence'!$F$8+'Scénario référence'!$F$9+'Scénario référence'!$B$17+'Scénario référence'!$B$9+'Scénario référence'!$B$10)*70+IF((45+25*(1-EXP(-0.0175*A88)))&lt;70,'Scénario référence'!$B$16*(45+25*(1-EXP(-0.0175*A88))),70*'Scénario référence'!$B$16)+IF((32+38*(1-EXP(-0.0175*A88)))&lt;70,'Scénario référence'!$B$18*(32+38*(1-EXP(-0.0175*A88))),70*'Scénario référence'!$B$18)</f>
        <v>70</v>
      </c>
      <c r="AZ88" s="151">
        <f>IF(A88&gt;30,10,('Scénario référence'!$B$16+'Scénario référence'!$B$17+'Scénario référence'!$B$18+'Scénario référence'!$B$9+'Scénario référence'!$B$10)*A88*10/30+('Scénario référence'!$F$8+'Scénario référence'!$F$9)*10)</f>
        <v>10</v>
      </c>
      <c r="BA88" s="151" t="str">
        <f>VLOOKUP(A88,'Données projet'!$A$87:$I$107,2,0)</f>
        <v>#N/A</v>
      </c>
      <c r="BB88" s="151" t="str">
        <f>VLOOKUP(A88,'Données projet'!$A$87:$I$107,9,0)</f>
        <v>#N/A</v>
      </c>
      <c r="BC88" s="151" t="str">
        <f t="array" ref="BC88">INDEX(BB:BB,MIN(IF(ISNUMBER(BB88:BB284),ROW(BB88:BB284),"")))</f>
        <v/>
      </c>
      <c r="BD88" s="150">
        <f>IF('Données projet'!$A$88&gt;35,BD87+BC88-BL87,IF(A88&lt;'Données projet'!$A$88,$BA$205^A88,IF(A88='Données projet'!$A$88,'Données projet'!$B$88,BD87+BC88-BL87)))</f>
        <v>0</v>
      </c>
      <c r="BE88" s="150">
        <f>BD88*VLOOKUP('Données projet'!$B$11,'Paramètres'!$A$1:$I$88,3,0)*VLOOKUP('Données projet'!$B$11,'Paramètres'!$A$1:$I$88,5,0)</f>
        <v>0</v>
      </c>
      <c r="BF88" s="150" t="str">
        <f t="shared" si="38"/>
        <v>#NUM!</v>
      </c>
      <c r="BG88" s="161" t="str">
        <f t="shared" si="8"/>
        <v>#NUM!</v>
      </c>
      <c r="BH88" s="153" t="str">
        <f t="shared" si="9"/>
        <v>#NUM!</v>
      </c>
      <c r="BI88" s="153">
        <f>AVERAGE(OFFSET($BH$3,0,0,'Données projet'!$E$11+1,1))-AVERAGE(OFFSET($H$3,0,0,'Données projet'!$E$11+1,1))</f>
        <v>0</v>
      </c>
      <c r="BJ88" s="153">
        <f t="shared" si="39"/>
        <v>0</v>
      </c>
      <c r="BK88" s="154">
        <f>IF(ISNA(VLOOKUP(A88,'Données projet'!$A$87:$I$107,3,0)),0,VLOOKUP(A88,'Données projet'!$A$87:$I$107,3,0))</f>
        <v>0</v>
      </c>
      <c r="BL88" s="154">
        <f>IF(ISNA(VLOOKUP(A88,'Données projet'!$A$87:$I$107,4,0)),0,VLOOKUP(A88,'Données projet'!$A$87:$I$107,4,0))</f>
        <v>0</v>
      </c>
      <c r="BM88" s="155">
        <f>IF(ISNA(VLOOKUP(A88,'Données projet'!$A$87:$I$107,5,0)),0%,VLOOKUP(A88,'Données projet'!$A$87:$I$107,5,0)*VLOOKUP('Données projet'!$B$11,'Paramètres'!$A$1:$I$88,7,0))</f>
        <v>0</v>
      </c>
      <c r="BN88" s="155">
        <f>IF(ISNA(VLOOKUP(A88,'Données projet'!$A$87:$I$107,6,0)),0%,VLOOKUP(A88,'Données projet'!$A$87:$I$107,6,0)*VLOOKUP('Données projet'!$B$11,'Paramètres'!$A$1:$I$88,7,0))</f>
        <v>0</v>
      </c>
      <c r="BO88" s="155">
        <f>IF(ISNA(VLOOKUP(A88,'Données projet'!$A$87:$I$107,7,0)),0%,VLOOKUP(A88,'Données projet'!$A$87:$I$107,7,0))</f>
        <v>0</v>
      </c>
      <c r="BP88" s="162">
        <f>EXP(-LN(2)/35)*BP87+(1-EXP(-LN(2)/35))/(LN(2)/35)*BL88*BM88*VLOOKUP('Données projet'!$B$11,'Paramètres'!$A$1:$I$88,3,0)*0.475*44/12</f>
        <v>0</v>
      </c>
      <c r="BQ88" s="162">
        <f>EXP(-LN(2)/25)*BQ87+(1-EXP(-LN(2)/25))/(LN(2)/25)*Calculateur!BL88*Calculateur!BN88*VLOOKUP('Données projet'!$B$11,'Paramètres'!$A$1:$I$88,3,0)*0.475*44/12</f>
        <v>0</v>
      </c>
      <c r="BR88" s="162">
        <f>EXP(-LN(2)/2)*BR87+(1-EXP(-LN(2)/2))/(LN(2)/2)*BL88*BO88*VLOOKUP('Données projet'!$B$11,'Paramètres'!$A$1:$I$88,3,0)*0.475*44/12</f>
        <v>0</v>
      </c>
      <c r="BS88" s="163">
        <f t="shared" si="10"/>
        <v>0</v>
      </c>
      <c r="BT88" s="159">
        <f>('Scénario référence'!$F$8+'Scénario référence'!$F$9+'Scénario référence'!$B$17+'Scénario référence'!$B$9+'Scénario référence'!$B$10)*70+IF((45+25*(1-EXP(-0.0175*A88)))&lt;70,'Scénario référence'!$B$16*(45+25*(1-EXP(-0.0175*A88))),70*'Scénario référence'!$B$16)+IF((32+38*(1-EXP(-0.0175*A88)))&lt;70,'Scénario référence'!$B$18*(32+38*(1-EXP(-0.0175*A88))),70*'Scénario référence'!$B$18)</f>
        <v>70</v>
      </c>
      <c r="BU88" s="151">
        <f>IF(A88&gt;30,10,('Scénario référence'!$B$16+'Scénario référence'!$B$17+'Scénario référence'!$B$18+'Scénario référence'!$B$9+'Scénario référence'!$B$10)*A88*10/30+('Scénario référence'!$F$8+'Scénario référence'!$F$9)*10)</f>
        <v>10</v>
      </c>
      <c r="BV88" s="151" t="str">
        <f>VLOOKUP(A88,'Données projet'!$A$113:$I$133,2,0)</f>
        <v>#N/A</v>
      </c>
      <c r="BW88" s="151" t="str">
        <f>VLOOKUP(A88,'Données projet'!$A$113:$I$133,9,0)</f>
        <v>#N/A</v>
      </c>
      <c r="BX88" s="150" t="str">
        <f t="array" ref="BX88">INDEX(BW:BW,MIN(IF(ISNUMBER(BW88:BW284),ROW(BW88:BW284),"")))</f>
        <v/>
      </c>
      <c r="BY88" s="150">
        <f>IF('Données projet'!$A$114&gt;35,BY87+BX88-CG87,IF(A88&lt;'Données projet'!$A$114,$BV$205^A88,IF(A88='Données projet'!$A$114,'Données projet'!$B$114,BY87+BX88-CG87)))</f>
        <v>0</v>
      </c>
      <c r="BZ88" s="150" t="str">
        <f>BY88*VLOOKUP('Données projet'!$B$12,'Paramètres'!$A$1:$I$88,3,0)*VLOOKUP('Données projet'!$B$12,'Paramètres'!$A$1:$I$88,5,0)</f>
        <v>#N/A</v>
      </c>
      <c r="CA88" s="150" t="str">
        <f t="shared" si="40"/>
        <v>#N/A</v>
      </c>
      <c r="CB88" s="161" t="str">
        <f t="shared" si="11"/>
        <v>#N/A</v>
      </c>
      <c r="CC88" s="153" t="str">
        <f t="shared" si="12"/>
        <v>#N/A</v>
      </c>
      <c r="CD88" s="153" t="str">
        <f>AVERAGE(OFFSET($CC$3,0,0,'Données projet'!$E$12+1,1))-AVERAGE(OFFSET($H$3,0,0,'Données projet'!$E$12+1,1))</f>
        <v>#N/A</v>
      </c>
      <c r="CE88" s="153" t="str">
        <f t="shared" si="41"/>
        <v>#N/A</v>
      </c>
      <c r="CF88" s="154">
        <f>IF(ISNA(VLOOKUP(A88,'Données projet'!$A$113:$I$133,3,0)),0,VLOOKUP(A88,'Données projet'!$A$113:$I$133,3,0))</f>
        <v>0</v>
      </c>
      <c r="CG88" s="154">
        <f>IF(ISNA(VLOOKUP(A88,'Données projet'!$A$113:$I$133,4,0)),0,VLOOKUP(A88,'Données projet'!$A$113:$I$133,4,0))</f>
        <v>0</v>
      </c>
      <c r="CH88" s="155">
        <f>IF(ISNA(VLOOKUP(A88,'Données projet'!$A$113:$I$133,5,0)),0%,VLOOKUP(A88,'Données projet'!$A$113:$I$133,5,0)*VLOOKUP('Données projet'!$B$12,'Paramètres'!$A$1:$I$88,7,0))</f>
        <v>0</v>
      </c>
      <c r="CI88" s="155">
        <f>IF(ISNA(VLOOKUP(A88,'Données projet'!$A$113:$I$133,6,0)),0%,VLOOKUP(A88,'Données projet'!$A$113:$I$133,6,0)*VLOOKUP('Données projet'!$B$12,'Paramètres'!$A$1:$I$88,7,0))</f>
        <v>0</v>
      </c>
      <c r="CJ88" s="155">
        <f>IF(ISNA(VLOOKUP(A88,'Données projet'!$A$113:$I$133,7,0)),0%,VLOOKUP(A88,'Données projet'!$A$113:$I$133,7,0))</f>
        <v>0</v>
      </c>
      <c r="CK88" s="162" t="str">
        <f>EXP(-LN(2)/35)*CK87+(1-EXP(-LN(2)/35))/(LN(2)/35)*CG88*CH88*VLOOKUP('Données projet'!$B$12,'Paramètres'!$A$1:$I$88,3,0)*0.475*44/12</f>
        <v>#N/A</v>
      </c>
      <c r="CL88" s="162" t="str">
        <f>EXP(-LN(2)/25)*CL87+(1-EXP(-LN(2)/25))/(LN(2)/25)*Calculateur!CG88*Calculateur!CI88*VLOOKUP('Données projet'!$B$12,'Paramètres'!$A$1:$I$88,3,0)*0.475*44/12</f>
        <v>#N/A</v>
      </c>
      <c r="CM88" s="162" t="str">
        <f>EXP(-LN(2)/2)*CM87+(1-EXP(-LN(2)/2))/(LN(2)/2)*CG88*CJ88*VLOOKUP('Données projet'!$B$12,'Paramètres'!$A$1:$I$88,3,0)*0.475*44/12</f>
        <v>#N/A</v>
      </c>
      <c r="CN88" s="163" t="str">
        <f t="shared" si="13"/>
        <v>#N/A</v>
      </c>
      <c r="CO88" s="159">
        <f>('Scénario référence'!$F$8+'Scénario référence'!$F$9+'Scénario référence'!$B$17+'Scénario référence'!$B$9+'Scénario référence'!$B$10)*70+IF((45+25*(1-EXP(-0.0175*A88)))&lt;70,'Scénario référence'!$B$16*(45+25*(1-EXP(-0.0175*A88))),70*'Scénario référence'!$B$16)+IF((32+38*(1-EXP(-0.0175*A88)))&lt;70,'Scénario référence'!$B$18*(32+38*(1-EXP(-0.0175*A88))),70*'Scénario référence'!$B$18)</f>
        <v>70</v>
      </c>
      <c r="CP88" s="151">
        <f>IF(A88&gt;30,10,('Scénario référence'!$B$16+'Scénario référence'!$B$17+'Scénario référence'!$B$18+'Scénario référence'!$B$9+'Scénario référence'!$B$10)*A88*10/30+('Scénario référence'!$F$8+'Scénario référence'!$F$9)*10)</f>
        <v>10</v>
      </c>
      <c r="CQ88" s="151" t="str">
        <f>VLOOKUP(A88,'Données projet'!$A$139:$I$159,2,0)</f>
        <v>#N/A</v>
      </c>
      <c r="CR88" s="151" t="str">
        <f>VLOOKUP(A88,'Données projet'!$A$139:$I$159,9,0)</f>
        <v>#N/A</v>
      </c>
      <c r="CS88" s="151" t="str">
        <f t="array" ref="CS88">INDEX(CR:CR,MIN(IF(ISNUMBER(CR88:CR284),ROW(CR88:CR284),"")))</f>
        <v/>
      </c>
      <c r="CT88" s="151">
        <f>IF('Données projet'!$A$140&gt;35,CT87+CS88-DB87,IF(A88&lt;'Données projet'!$A$140,$CQ$205^A88,IF(A88='Données projet'!$A$140,'Données projet'!$B$140,CT87+CS88-DB87)))</f>
        <v>0</v>
      </c>
      <c r="CU88" s="158" t="str">
        <f>CT88*VLOOKUP('Données projet'!$B$13,'Paramètres'!$A$1:$I$88,3,0)*VLOOKUP('Données projet'!$B$13,'Paramètres'!$A$1:$I$88,5,0)</f>
        <v>#N/A</v>
      </c>
      <c r="CV88" s="150" t="str">
        <f t="shared" si="42"/>
        <v>#N/A</v>
      </c>
      <c r="CW88" s="161" t="str">
        <f t="shared" si="14"/>
        <v>#N/A</v>
      </c>
      <c r="CX88" s="153" t="str">
        <f t="shared" si="15"/>
        <v>#N/A</v>
      </c>
      <c r="CY88" s="153" t="str">
        <f>AVERAGE(OFFSET($CX$3,0,0,'Données projet'!$E$13+1,1))-AVERAGE(OFFSET($H$3,0,0,'Données projet'!$E$13+1,1))</f>
        <v>#N/A</v>
      </c>
      <c r="CZ88" s="153" t="str">
        <f t="shared" si="43"/>
        <v>#N/A</v>
      </c>
      <c r="DA88" s="154">
        <f>IF(ISNA(VLOOKUP(A88,'Données projet'!$A$139:$I$159,3,0)),0,VLOOKUP(A88,'Données projet'!$A$139:$I$159,3,0))</f>
        <v>0</v>
      </c>
      <c r="DB88" s="154">
        <f>IF(ISNA(VLOOKUP(A88,'Données projet'!$A$139:$I$159,4,0)),0,VLOOKUP(A88,'Données projet'!$A$139:$I$159,4,0))</f>
        <v>0</v>
      </c>
      <c r="DC88" s="155">
        <f>IF(ISNA(VLOOKUP(A88,'Données projet'!$A$139:$I$159,5,0)),0%,VLOOKUP(A88,'Données projet'!$A$139:$I$159,5,0)*VLOOKUP('Données projet'!$B$13,'Paramètres'!$A$1:$I$88,7,0))</f>
        <v>0</v>
      </c>
      <c r="DD88" s="155">
        <f>IF(ISNA(VLOOKUP(A88,'Données projet'!$A$139:$I$159,6,0)),0%,VLOOKUP(A88,'Données projet'!$A$139:$I$159,6,0)*VLOOKUP('Données projet'!$B$13,'Paramètres'!$A$1:$I$88,7,0))</f>
        <v>0</v>
      </c>
      <c r="DE88" s="155">
        <f>IF(ISNA(VLOOKUP(A88,'Données projet'!$A$139:$I$159,7,0)),0%,VLOOKUP(A88,'Données projet'!$A$139:$I$159,7,0))</f>
        <v>0</v>
      </c>
      <c r="DF88" s="162" t="str">
        <f>EXP(-LN(2)/35)*DF87+(1-EXP(-LN(2)/35))/(LN(2)/35)*DB88*DC88*VLOOKUP('Données projet'!$B$13,'Paramètres'!$A$1:$I$88,3,0)*0.475*44/12</f>
        <v>#N/A</v>
      </c>
      <c r="DG88" s="162" t="str">
        <f>EXP(-LN(2)/25)*DG87+(1-EXP(-LN(2)/25))/(LN(2)/25)*Calculateur!DB88*Calculateur!DD88*VLOOKUP('Données projet'!$B$13,'Paramètres'!$A$1:$I$88,3,0)*0.475*44/12</f>
        <v>#N/A</v>
      </c>
      <c r="DH88" s="162" t="str">
        <f>EXP(-LN(2)/2)*DH87+(1-EXP(-LN(2)/2))/(LN(2)/2)*DB88*DE88*VLOOKUP('Données projet'!$B$13,'Paramètres'!$A$1:$I$88,3,0)*0.475*44/12</f>
        <v>#N/A</v>
      </c>
      <c r="DI88" s="163" t="str">
        <f t="shared" si="16"/>
        <v>#N/A</v>
      </c>
      <c r="DJ88" s="159">
        <f>('Scénario référence'!$F$8+'Scénario référence'!$F$9+'Scénario référence'!$B$17+'Scénario référence'!$B$9+'Scénario référence'!$B$10)*70+IF((45+25*(1-EXP(-0.0175*A88)))&lt;70,'Scénario référence'!$B$16*(45+25*(1-EXP(-0.0175*A88))),70*'Scénario référence'!$B$16)+IF((32+38*(1-EXP(-0.0175*A88)))&lt;70,'Scénario référence'!$B$18*(32+38*(1-EXP(-0.0175*A88))),70*'Scénario référence'!$B$18)</f>
        <v>70</v>
      </c>
      <c r="DK88" s="151">
        <f>IF(A88&gt;30,10,('Scénario référence'!$B$16+'Scénario référence'!$B$17+'Scénario référence'!$B$18+'Scénario référence'!$B$9+'Scénario référence'!$B$10)*A88*10/30+('Scénario référence'!$F$8+'Scénario référence'!$F$9)*10)</f>
        <v>10</v>
      </c>
      <c r="DL88" s="151" t="str">
        <f>VLOOKUP(A88,'Données projet'!$A$165:$I$185,2,0)</f>
        <v>#N/A</v>
      </c>
      <c r="DM88" s="151" t="str">
        <f>VLOOKUP(A88,'Données projet'!$A$165:$I$185,9,0)</f>
        <v>#N/A</v>
      </c>
      <c r="DN88" s="151" t="str">
        <f t="array" ref="DN88">INDEX(DM:DM,MIN(IF(ISNUMBER(DM88:DM284),ROW(DM88:DM284),"")))</f>
        <v/>
      </c>
      <c r="DO88" s="151">
        <f>IF('Données projet'!$A$166&gt;35,DO87+DN88-DW87,IF(A88&lt;'Données projet'!$A$166,$DL$205^A88,IF(A88='Données projet'!$A$166,'Données projet'!$B$166,DO87+DN88-DW87)))</f>
        <v>0</v>
      </c>
      <c r="DP88" s="158" t="str">
        <f>DO88*VLOOKUP('Données projet'!$B$14,'Paramètres'!$A$1:$I$88,3,0)*VLOOKUP('Données projet'!$B$14,'Paramètres'!$A$1:$I$88,5,0)</f>
        <v>#N/A</v>
      </c>
      <c r="DQ88" s="150" t="str">
        <f t="shared" si="44"/>
        <v>#N/A</v>
      </c>
      <c r="DR88" s="161" t="str">
        <f t="shared" si="17"/>
        <v>#N/A</v>
      </c>
      <c r="DS88" s="153" t="str">
        <f t="shared" si="18"/>
        <v>#N/A</v>
      </c>
      <c r="DT88" s="153" t="str">
        <f>AVERAGE(OFFSET($DS$3,0,0,'Données projet'!$E$14+1,1))-AVERAGE(OFFSET($H$3,0,0,'Données projet'!$E$14+1,1))</f>
        <v>#N/A</v>
      </c>
      <c r="DU88" s="153" t="str">
        <f t="shared" si="45"/>
        <v>#N/A</v>
      </c>
      <c r="DV88" s="154">
        <f>IF(ISNA(VLOOKUP(A88,'Données projet'!$A$165:$I$185,3,0)),0,VLOOKUP(A88,'Données projet'!$A$165:$I$185,3,0))</f>
        <v>0</v>
      </c>
      <c r="DW88" s="154">
        <f>IF(ISNA(VLOOKUP(A88,'Données projet'!$A$165:$I$185,4,0)),0,VLOOKUP(A88,'Données projet'!$A$165:$I$185,4,0))</f>
        <v>0</v>
      </c>
      <c r="DX88" s="155">
        <f>IF(ISNA(VLOOKUP(A88,'Données projet'!$A$165:$I$185,5,0)),0%,VLOOKUP(A88,'Données projet'!$A$165:$I$185,5,0)*VLOOKUP('Données projet'!$B$14,'Paramètres'!$A$1:$I$88,7,0))</f>
        <v>0</v>
      </c>
      <c r="DY88" s="155">
        <f>IF(ISNA(VLOOKUP(A88,'Données projet'!$A$165:$I$185,6,0)),0%,VLOOKUP(A88,'Données projet'!$A$165:$I$185,6,0)*VLOOKUP('Données projet'!$B$14,'Paramètres'!$A$1:$I$88,7,0))</f>
        <v>0</v>
      </c>
      <c r="DZ88" s="155">
        <f>IF(ISNA(VLOOKUP(A88,'Données projet'!$A$165:$I$185,7,0)),0%,VLOOKUP(A88,'Données projet'!$A$165:$I$185,7,0))</f>
        <v>0</v>
      </c>
      <c r="EA88" s="162" t="str">
        <f>EXP(-LN(2)/35)*EA87+(1-EXP(-LN(2)/35))/(LN(2)/35)*DW88*DX88*VLOOKUP('Données projet'!$B$14,'Paramètres'!$A$1:$I$88,3,0)*0.475*44/12</f>
        <v>#N/A</v>
      </c>
      <c r="EB88" s="162" t="str">
        <f>EXP(-LN(2)/25)*EB87+(1-EXP(-LN(2)/25))/(LN(2)/25)*Calculateur!DW88*Calculateur!DY88*VLOOKUP('Données projet'!$B$14,'Paramètres'!$A$1:$I$88,3,0)*0.475*44/12</f>
        <v>#N/A</v>
      </c>
      <c r="EC88" s="162" t="str">
        <f>EXP(-LN(2)/2)*EC87+(1-EXP(-LN(2)/2))/(LN(2)/2)*DW88*DZ88*VLOOKUP('Données projet'!$B$14,'Paramètres'!$A$1:$I$88,3,0)*0.475*44/12</f>
        <v>#N/A</v>
      </c>
      <c r="ED88" s="163" t="str">
        <f t="shared" si="19"/>
        <v>#N/A</v>
      </c>
      <c r="EE88" s="159">
        <f>('Scénario référence'!$F$8+'Scénario référence'!$F$9+'Scénario référence'!$B$17+'Scénario référence'!$B$9+'Scénario référence'!$B$10)*70+IF((45+25*(1-EXP(-0.0175*A88)))&lt;70,'Scénario référence'!$B$16*(45+25*(1-EXP(-0.0175*A88))),70*'Scénario référence'!$B$16)+IF((32+38*(1-EXP(-0.0175*A88)))&lt;70,'Scénario référence'!$B$18*(32+38*(1-EXP(-0.0175*A88))),70*'Scénario référence'!$B$18)</f>
        <v>70</v>
      </c>
      <c r="EF88" s="151">
        <f>IF(A88&gt;30,10,('Scénario référence'!$B$16+'Scénario référence'!$B$17+'Scénario référence'!$B$18+'Scénario référence'!$B$9+'Scénario référence'!$B$10)*A88*10/30+('Scénario référence'!$F$8+'Scénario référence'!$F$9)*10)</f>
        <v>10</v>
      </c>
      <c r="EG88" s="151" t="str">
        <f>VLOOKUP(A88,'Données projet'!$A$191:$I$211,2,0)</f>
        <v>#N/A</v>
      </c>
      <c r="EH88" s="151" t="str">
        <f>VLOOKUP(A88,'Données projet'!$A$191:$I$211,9,0)</f>
        <v>#N/A</v>
      </c>
      <c r="EI88" s="151" t="str">
        <f t="array" ref="EI88">INDEX(EH:EH,MIN(IF(ISNUMBER(EH88:EH284),ROW(EH88:EH284),"")))</f>
        <v/>
      </c>
      <c r="EJ88" s="151">
        <f>IF('Données projet'!$A$192&gt;35,EJ87+EI88-ER87,IF(A88&lt;'Données projet'!$A$192,$EG$205^A88,IF(A88='Données projet'!$A$192,'Données projet'!$B$192,EJ87+EI88-ER87)))</f>
        <v>0</v>
      </c>
      <c r="EK88" s="158" t="str">
        <f>EJ88*VLOOKUP('Données projet'!$B$15,'Paramètres'!$A$1:$I$88,3,0)*VLOOKUP('Données projet'!$B$15,'Paramètres'!$A$1:$I$88,5,0)</f>
        <v>#N/A</v>
      </c>
      <c r="EL88" s="150" t="str">
        <f t="shared" si="46"/>
        <v>#N/A</v>
      </c>
      <c r="EM88" s="161" t="str">
        <f t="shared" si="20"/>
        <v>#N/A</v>
      </c>
      <c r="EN88" s="153" t="str">
        <f t="shared" si="21"/>
        <v>#N/A</v>
      </c>
      <c r="EO88" s="153" t="str">
        <f>AVERAGE(OFFSET($EN$3,0,0,'Données projet'!$E$15+1,1))-AVERAGE(OFFSET($H$3,0,0,'Données projet'!$E$15+1,1))</f>
        <v>#N/A</v>
      </c>
      <c r="EP88" s="153" t="str">
        <f t="shared" si="47"/>
        <v>#N/A</v>
      </c>
      <c r="EQ88" s="154">
        <f>IF(ISNA(VLOOKUP(A88,'Données projet'!$A$191:$I$211,3,0)),0,VLOOKUP(A88,'Données projet'!$A$191:$I$211,3,0))</f>
        <v>0</v>
      </c>
      <c r="ER88" s="154">
        <f>IF(ISNA(VLOOKUP(A88,'Données projet'!$A$191:$I$211,4,0)),0,VLOOKUP(A88,'Données projet'!$A$191:$I$211,4,0))</f>
        <v>0</v>
      </c>
      <c r="ES88" s="155">
        <f>IF(ISNA(VLOOKUP(A88,'Données projet'!$A$191:$I$211,5,0)),0%,VLOOKUP(A88,'Données projet'!$A$191:$I$211,5,0)*VLOOKUP('Données projet'!$B$15,'Paramètres'!$A$1:$I$88,7,0))</f>
        <v>0</v>
      </c>
      <c r="ET88" s="155">
        <f>IF(ISNA(VLOOKUP(A88,'Données projet'!$A$191:$I$211,6,0)),0%,VLOOKUP(A88,'Données projet'!$A$191:$I$211,6,0)*VLOOKUP('Données projet'!$B$15,'Paramètres'!$A$1:$I$88,7,0))</f>
        <v>0</v>
      </c>
      <c r="EU88" s="155">
        <f>IF(ISNA(VLOOKUP(A88,'Données projet'!$A$191:$I$211,7,0)),0%,VLOOKUP(A88,'Données projet'!$A$191:$I$211,7,0))</f>
        <v>0</v>
      </c>
      <c r="EV88" s="162" t="str">
        <f>EXP(-LN(2)/35)*EV87+(1-EXP(-LN(2)/35))/(LN(2)/35)*ER88*ES88*VLOOKUP('Données projet'!$B$15,'Paramètres'!$A$1:$I$88,3,0)*0.475*44/12</f>
        <v>#N/A</v>
      </c>
      <c r="EW88" s="162" t="str">
        <f>EXP(-LN(2)/25)*EW87+(1-EXP(-LN(2)/25))/(LN(2)/25)*Calculateur!ER88*Calculateur!ET88*VLOOKUP('Données projet'!$B$15,'Paramètres'!$A$1:$I$88,3,0)*0.475*44/12</f>
        <v>#N/A</v>
      </c>
      <c r="EX88" s="162" t="str">
        <f>EXP(-LN(2)/2)*EX87+(1-EXP(-LN(2)/2))/(LN(2)/2)*ER88*EU88*VLOOKUP('Données projet'!$B$15,'Paramètres'!$A$1:$I$88,3,0)*0.475*44/12</f>
        <v>#N/A</v>
      </c>
      <c r="EY88" s="163" t="str">
        <f t="shared" si="22"/>
        <v>#N/A</v>
      </c>
      <c r="EZ88" s="159">
        <f>('Scénario référence'!$F$8+'Scénario référence'!$F$9+'Scénario référence'!$B$17+'Scénario référence'!$B$9+'Scénario référence'!$B$10)*70+IF((45+25*(1-EXP(-0.0175*A88)))&lt;70,'Scénario référence'!$B$16*(45+25*(1-EXP(-0.0175*A88))),70*'Scénario référence'!$B$16)+IF((32+38*(1-EXP(-0.0175*A88)))&lt;70,'Scénario référence'!$B$18*(32+38*(1-EXP(-0.0175*A88))),70*'Scénario référence'!$B$18)</f>
        <v>70</v>
      </c>
      <c r="FA88" s="151">
        <f>IF(A88&gt;30,10,('Scénario référence'!$B$16+'Scénario référence'!$B$17+'Scénario référence'!$B$18+'Scénario référence'!$B$9+'Scénario référence'!$B$10)*A88*10/30+('Scénario référence'!$F$8+'Scénario référence'!$F$9)*10)</f>
        <v>10</v>
      </c>
      <c r="FB88" s="151" t="str">
        <f>VLOOKUP(A88,'Données projet'!$A$217:$I$237,2,0)</f>
        <v>#N/A</v>
      </c>
      <c r="FC88" s="151" t="str">
        <f>VLOOKUP(A88,'Données projet'!$A$217:$I$237,9,0)</f>
        <v>#N/A</v>
      </c>
      <c r="FD88" s="151" t="str">
        <f t="array" ref="FD88">INDEX(FC:FC,MIN(IF(ISNUMBER(FC88:FC284),ROW(FC88:FC284),"")))</f>
        <v/>
      </c>
      <c r="FE88" s="151">
        <f>IF('Données projet'!$A$218&gt;35,FE87+FD88-FM87,IF(A88&lt;'Données projet'!$A$218,$FB$205^A88,IF(A88='Données projet'!$A$218,'Données projet'!$B$218,FE87+FD88-FM87)))</f>
        <v>0</v>
      </c>
      <c r="FF88" s="158" t="str">
        <f>FE88*VLOOKUP('Données projet'!$B$16,'Paramètres'!$A$1:$I$88,3,0)*VLOOKUP('Données projet'!$B$16,'Paramètres'!$A$1:$I$88,5,0)</f>
        <v>#N/A</v>
      </c>
      <c r="FG88" s="150" t="str">
        <f t="shared" si="48"/>
        <v>#N/A</v>
      </c>
      <c r="FH88" s="161" t="str">
        <f t="shared" si="23"/>
        <v>#N/A</v>
      </c>
      <c r="FI88" s="153" t="str">
        <f t="shared" si="24"/>
        <v>#N/A</v>
      </c>
      <c r="FJ88" s="153" t="str">
        <f>AVERAGE(OFFSET($FI$3,0,0,'Données projet'!$E$16+1,1))-AVERAGE(OFFSET($H$3,0,0,'Données projet'!$E$16+1,1))</f>
        <v>#N/A</v>
      </c>
      <c r="FK88" s="153" t="str">
        <f t="shared" si="49"/>
        <v>#N/A</v>
      </c>
      <c r="FL88" s="154">
        <f>IF(ISNA(VLOOKUP(A88,'Données projet'!$A$217:$I$237,3,0)),0,VLOOKUP(A88,'Données projet'!$A$217:$I$237,3,0))</f>
        <v>0</v>
      </c>
      <c r="FM88" s="154">
        <f>IF(ISNA(VLOOKUP(A88,'Données projet'!$A$217:$I$237,4,0)),0,VLOOKUP(A88,'Données projet'!$A$217:$I$237,4,0))</f>
        <v>0</v>
      </c>
      <c r="FN88" s="155">
        <f>IF(ISNA(VLOOKUP(A88,'Données projet'!$A$217:$I$237,5,0)),0%,VLOOKUP(A88,'Données projet'!$A$217:$I$237,5,0)*VLOOKUP('Données projet'!$B$16,'Paramètres'!$A$1:$I$88,7,0))</f>
        <v>0</v>
      </c>
      <c r="FO88" s="155">
        <f>IF(ISNA(VLOOKUP(A88,'Données projet'!$A$217:$I$237,6,0)),0%,VLOOKUP(A88,'Données projet'!$A$217:$I$237,6,0)*VLOOKUP('Données projet'!$B$16,'Paramètres'!$A$1:$I$88,7,0))</f>
        <v>0</v>
      </c>
      <c r="FP88" s="155">
        <f>IF(ISNA(VLOOKUP(A88,'Données projet'!$A$217:$I$237,7,0)),0%,VLOOKUP(A88,'Données projet'!$A$217:$I$237,7,0))</f>
        <v>0</v>
      </c>
      <c r="FQ88" s="162" t="str">
        <f>EXP(-LN(2)/35)*FQ87+(1-EXP(-LN(2)/35))/(LN(2)/35)*FM88*FN88*VLOOKUP('Données projet'!$B$16,'Paramètres'!$A$1:$I$88,3,0)*0.475*44/12</f>
        <v>#N/A</v>
      </c>
      <c r="FR88" s="162" t="str">
        <f>EXP(-LN(2)/25)*FR87+(1-EXP(-LN(2)/25))/(LN(2)/25)*Calculateur!FM88*Calculateur!FO88*VLOOKUP('Données projet'!$B$16,'Paramètres'!$A$1:$I$88,3,0)*0.475*44/12</f>
        <v>#N/A</v>
      </c>
      <c r="FS88" s="162" t="str">
        <f>EXP(-LN(2)/2)*FS87+(1-EXP(-LN(2)/2))/(LN(2)/2)*FM88*FP88*VLOOKUP('Données projet'!$B$16,'Paramètres'!$A$1:$I$88,3,0)*0.475*44/12</f>
        <v>#N/A</v>
      </c>
      <c r="FT88" s="163" t="str">
        <f t="shared" si="25"/>
        <v>#N/A</v>
      </c>
      <c r="FU88" s="159">
        <f>('Scénario référence'!$F$8+'Scénario référence'!$F$9+'Scénario référence'!$B$17+'Scénario référence'!$B$9+'Scénario référence'!$B$10)*70+IF((45+25*(1-EXP(-0.0175*A88)))&lt;70,'Scénario référence'!$B$16*(45+25*(1-EXP(-0.0175*A88))),70*'Scénario référence'!$B$16)+IF((32+38*(1-EXP(-0.0175*A88)))&lt;70,'Scénario référence'!$B$18*(32+38*(1-EXP(-0.0175*A88))),70*'Scénario référence'!$B$18)</f>
        <v>70</v>
      </c>
      <c r="FV88" s="151">
        <f>IF(A88&gt;30,10,('Scénario référence'!$B$16+'Scénario référence'!$B$17+'Scénario référence'!$B$18+'Scénario référence'!$B$9+'Scénario référence'!$B$10)*A88*10/30+('Scénario référence'!$F$8+'Scénario référence'!$F$9)*10)</f>
        <v>10</v>
      </c>
      <c r="FW88" s="151" t="str">
        <f>VLOOKUP(A88,'Données projet'!$A$243:$I$263,2,0)</f>
        <v>#N/A</v>
      </c>
      <c r="FX88" s="151" t="str">
        <f>VLOOKUP(A88,'Données projet'!$A$243:$I$263,9,0)</f>
        <v>#N/A</v>
      </c>
      <c r="FY88" s="151" t="str">
        <f t="array" ref="FY88">INDEX(FX:FX,MIN(IF(ISNUMBER(FX88:FX284),ROW(FX88:FX284),"")))</f>
        <v/>
      </c>
      <c r="FZ88" s="151">
        <f>IF('Données projet'!$A$244&gt;35,FZ87+FY88-GH87,IF(A88&lt;'Données projet'!$A$244,$FW$205^A88,IF(A88='Données projet'!$A$244,'Données projet'!$B$244,FZ87+FY88-GH87)))</f>
        <v>0</v>
      </c>
      <c r="GA88" s="158" t="str">
        <f>FZ88*VLOOKUP('Données projet'!$B$17,'Paramètres'!$A$1:$I$88,3,0)*VLOOKUP('Données projet'!$B$17,'Paramètres'!$A$1:$I$88,5,0)</f>
        <v>#N/A</v>
      </c>
      <c r="GB88" s="150" t="str">
        <f t="shared" si="50"/>
        <v>#N/A</v>
      </c>
      <c r="GC88" s="161" t="str">
        <f t="shared" si="26"/>
        <v>#N/A</v>
      </c>
      <c r="GD88" s="153" t="str">
        <f t="shared" si="27"/>
        <v>#N/A</v>
      </c>
      <c r="GE88" s="153" t="str">
        <f>AVERAGE(OFFSET($GD$3,0,0,'Données projet'!$E$17+1,1))-AVERAGE(OFFSET($H$3,0,0,'Données projet'!$E$17+1,1))</f>
        <v>#N/A</v>
      </c>
      <c r="GF88" s="153" t="str">
        <f t="shared" si="51"/>
        <v>#N/A</v>
      </c>
      <c r="GG88" s="154">
        <f>IF(ISNA(VLOOKUP(A88,'Données projet'!$A$243:$I$263,3,0)),0,VLOOKUP(A88,'Données projet'!$A$243:$I$263,3,0))</f>
        <v>0</v>
      </c>
      <c r="GH88" s="154">
        <f>IF(ISNA(VLOOKUP(A88,'Données projet'!$A$243:$I$263,4,0)),0,VLOOKUP(A88,'Données projet'!$A$243:$I$263,4,0))</f>
        <v>0</v>
      </c>
      <c r="GI88" s="155">
        <f>IF(ISNA(VLOOKUP(A88,'Données projet'!$A$243:$I$263,5,0)),0%,VLOOKUP(A88,'Données projet'!$A$243:$I$263,5,0)*VLOOKUP('Données projet'!$B$17,'Paramètres'!$A$1:$I$88,7,0))</f>
        <v>0</v>
      </c>
      <c r="GJ88" s="155">
        <f>IF(ISNA(VLOOKUP(A88,'Données projet'!$A$243:$I$263,6,0)),0%,VLOOKUP(A88,'Données projet'!$A$243:$I$263,6,0)*VLOOKUP('Données projet'!$B$17,'Paramètres'!$A$1:$I$88,7,0))</f>
        <v>0</v>
      </c>
      <c r="GK88" s="155">
        <f>IF(ISNA(VLOOKUP(A88,'Données projet'!$A$243:$I$263,7,0)),0%,VLOOKUP(A88,'Données projet'!$A$243:$I$263,7,0))</f>
        <v>0</v>
      </c>
      <c r="GL88" s="162" t="str">
        <f>EXP(-LN(2)/35)*GL87+(1-EXP(-LN(2)/35))/(LN(2)/35)*GH88*GI88*VLOOKUP('Données projet'!$B$17,'Paramètres'!$A$1:$I$88,3,0)*0.475*44/12</f>
        <v>#N/A</v>
      </c>
      <c r="GM88" s="162" t="str">
        <f>EXP(-LN(2)/25)*GM87+(1-EXP(-LN(2)/25))/(LN(2)/25)*Calculateur!GH88*Calculateur!GJ88*VLOOKUP('Données projet'!$B$17,'Paramètres'!$A$1:$I$88,3,0)*0.475*44/12</f>
        <v>#N/A</v>
      </c>
      <c r="GN88" s="162" t="str">
        <f>EXP(-LN(2)/2)*GN87+(1-EXP(-LN(2)/2))/(LN(2)/2)*GH88*GK88*VLOOKUP('Données projet'!$B$17,'Paramètres'!$A$1:$I$88,3,0)*0.475*44/12</f>
        <v>#N/A</v>
      </c>
      <c r="GO88" s="162" t="str">
        <f t="shared" si="28"/>
        <v>#N/A</v>
      </c>
      <c r="GP88" s="159">
        <f>('Scénario référence'!$F$8+'Scénario référence'!$F$9+'Scénario référence'!$B$17+'Scénario référence'!$B$9+'Scénario référence'!$B$10)*70+IF((45+25*(1-EXP(-0.0175*A88)))&lt;70,'Scénario référence'!$B$16*(45+25*(1-EXP(-0.0175*A88))),70*'Scénario référence'!$B$16)+IF((32+38*(1-EXP(-0.0175*A88)))&lt;70,'Scénario référence'!$B$18*(32+38*(1-EXP(-0.0175*A88))),70*'Scénario référence'!$B$18)</f>
        <v>70</v>
      </c>
      <c r="GQ88" s="151">
        <f>IF(A88&gt;30,10,('Scénario référence'!$B$16+'Scénario référence'!$B$17+'Scénario référence'!$B$18+'Scénario référence'!$B$9+'Scénario référence'!$B$10)*A88*10/30+('Scénario référence'!$F$8+'Scénario référence'!$F$9)*10)</f>
        <v>10</v>
      </c>
      <c r="GR88" s="151" t="str">
        <f>VLOOKUP(A88,'Données projet'!$A$269:$I$289,2,0)</f>
        <v>#N/A</v>
      </c>
      <c r="GS88" s="151" t="str">
        <f>VLOOKUP(A88,'Données projet'!$A$269:$I$289,9,0)</f>
        <v>#N/A</v>
      </c>
      <c r="GT88" s="151" t="str">
        <f t="array" ref="GT88">INDEX(GS:GS,MIN(IF(ISNUMBER(GS88:GS284),ROW(GS88:GS284),"")))</f>
        <v/>
      </c>
      <c r="GU88" s="151">
        <f>IF('Données projet'!$A$270&gt;35,GU87+GT88-HC87,IF(A88&lt;'Données projet'!$A$270,$GR$205^A88,IF(A88='Données projet'!$A$270,'Données projet'!$B$270,GU87+GT88-HC87)))</f>
        <v>0</v>
      </c>
      <c r="GV88" s="158" t="str">
        <f>GU88*VLOOKUP('Données projet'!$B$18,'Paramètres'!$A$1:$I$88,3,0)*VLOOKUP('Données projet'!$B$18,'Paramètres'!$A$1:$I$88,5,0)</f>
        <v>#N/A</v>
      </c>
      <c r="GW88" s="150" t="str">
        <f t="shared" si="52"/>
        <v>#N/A</v>
      </c>
      <c r="GX88" s="161" t="str">
        <f t="shared" si="29"/>
        <v>#N/A</v>
      </c>
      <c r="GY88" s="153" t="str">
        <f t="shared" si="30"/>
        <v>#N/A</v>
      </c>
      <c r="GZ88" s="153" t="str">
        <f>AVERAGE(OFFSET($GY$3,0,0,'Données projet'!$E$18+1,1))-AVERAGE(OFFSET($H$3,0,0,'Données projet'!$E$18+1,1))</f>
        <v>#N/A</v>
      </c>
      <c r="HA88" s="153" t="str">
        <f t="shared" si="53"/>
        <v>#N/A</v>
      </c>
      <c r="HB88" s="154">
        <f>IF(ISNA(VLOOKUP(A88,'Données projet'!$A$269:$I$289,3,0)),0,VLOOKUP(A88,'Données projet'!$A$269:$I$289,3,0))</f>
        <v>0</v>
      </c>
      <c r="HC88" s="154">
        <f>IF(ISNA(VLOOKUP(A88,'Données projet'!$A$269:$I$289,4,0)),0,VLOOKUP(A88,'Données projet'!$A$269:$I$289,4,0))</f>
        <v>0</v>
      </c>
      <c r="HD88" s="155">
        <f>IF(ISNA(VLOOKUP(A88,'Données projet'!$A$269:$I$289,5,0)),0%,VLOOKUP(A88,'Données projet'!$A$269:$I$289,5,0)*VLOOKUP('Données projet'!$B$18,'Paramètres'!$A$1:$I$88,7,0))</f>
        <v>0</v>
      </c>
      <c r="HE88" s="155">
        <f>IF(ISNA(VLOOKUP(A88,'Données projet'!$A$269:$I$289,6,0)),0%,VLOOKUP(A88,'Données projet'!$A$269:$I$289,6,0)*VLOOKUP('Données projet'!$B$18,'Paramètres'!$A$1:$I$88,7,0))</f>
        <v>0</v>
      </c>
      <c r="HF88" s="155">
        <f>IF(ISNA(VLOOKUP(A88,'Données projet'!$A$269:$I$289,7,0)),0%,VLOOKUP(A88,'Données projet'!$A$269:$I$289,7,0))</f>
        <v>0</v>
      </c>
      <c r="HG88" s="162" t="str">
        <f>EXP(-LN(2)/35)*HG87+(1-EXP(-LN(2)/35))/(LN(2)/35)*HC88*HD88*VLOOKUP('Données projet'!$B$18,'Paramètres'!$A$1:$I$88,3,0)*0.475*44/12</f>
        <v>#N/A</v>
      </c>
      <c r="HH88" s="162" t="str">
        <f>EXP(-LN(2)/25)*HH87+(1-EXP(-LN(2)/25))/(LN(2)/25)*Calculateur!HC88*Calculateur!HE88*VLOOKUP('Données projet'!$B$18,'Paramètres'!$A$1:$I$88,3,0)*0.475*44/12</f>
        <v>#N/A</v>
      </c>
      <c r="HI88" s="162" t="str">
        <f>EXP(-LN(2)/2)*HI87+(1-EXP(-LN(2)/2))/(LN(2)/2)*HC88*HF88*VLOOKUP('Données projet'!$B$18,'Paramètres'!$A$1:$I$88,3,0)*0.475*44/12</f>
        <v>#N/A</v>
      </c>
      <c r="HJ88" s="163" t="str">
        <f t="shared" si="31"/>
        <v>#N/A</v>
      </c>
    </row>
    <row r="89" ht="15.75" customHeight="1">
      <c r="A89" s="145">
        <f t="shared" si="32"/>
        <v>86</v>
      </c>
      <c r="B89" s="146">
        <f>'Scénario référence'!$B$16*5+'Scénario référence'!$B$17*0+'Scénario référence'!$B$18*5</f>
        <v>0</v>
      </c>
      <c r="C89" s="160">
        <f>Calculateur!C88+'Scénario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89" s="147">
        <f t="shared" si="33"/>
        <v>0</v>
      </c>
      <c r="E89" s="147">
        <f>'Scénario référence'!$B$16*45+('Scénario référence'!$B$17+'Scénario référence'!$F$8+'Scénario référence'!$F$9+'Scénario référence'!$B$10+'Scénario référence'!$B$9)*70+'Scénario référence'!$B$18*32</f>
        <v>70</v>
      </c>
      <c r="F89" s="147">
        <f>IF(OR('Scénario référence'!$F$8&gt;0,'Scénario référence'!$F$9&gt;0),('Scénario référence'!$F$8+'Scénario référence'!$F$9)*10,0)</f>
        <v>0</v>
      </c>
      <c r="G89" s="147">
        <f>'Scénario référence'!$B$8*B89*44/12+'Scénario référence'!$B$9*(C89+D89)/0.475*44/12+'Scénario référence'!$B$10*(C89+D89)/0.475*44/12+'Scénario référence'!$F$8*(C89+D89)/0.475*44/12+'Scénario référence'!$F$9*(C89+D89)/0.475*44/12</f>
        <v>0</v>
      </c>
      <c r="H89" s="148">
        <f t="shared" si="1"/>
        <v>256.6666667</v>
      </c>
      <c r="I89" s="149">
        <f>('Scénario référence'!$F$8+'Scénario référence'!$F$9+'Scénario référence'!$B$17+'Scénario référence'!$B$9+'Scénario référence'!$B$10)*70+IF((45+25*(1-EXP(-0.0175*A89)))&lt;70,'Scénario référence'!$B$16*(45+25*(1-EXP(-0.0175*A89))),70*'Scénario référence'!$B$16)+IF((32+38*(1-EXP(-0.0175*A89)))&lt;70,'Scénario référence'!$B$18*(32+38*(1-EXP(-0.0175*A89))),70*'Scénario référence'!$B$18)</f>
        <v>70</v>
      </c>
      <c r="J89" s="150">
        <f>IF(A89&gt;30,10,('Scénario référence'!$B$16+'Scénario référence'!$B$17+'Scénario référence'!$B$18+'Scénario référence'!$B$9+'Scénario référence'!$B$10)*A89*10/30+('Scénario référence'!$F$8+'Scénario référence'!$F$9)*10)</f>
        <v>10</v>
      </c>
      <c r="K89" s="151" t="str">
        <f>VLOOKUP(A89,'Données projet'!$A$35:$I$55,2,0)</f>
        <v>#N/A</v>
      </c>
      <c r="L89" s="151" t="str">
        <f>VLOOKUP(A89,'Données projet'!$A$35:$I$55,9,0)</f>
        <v>#N/A</v>
      </c>
      <c r="M89" s="150">
        <f t="array" ref="M89">INDEX(L:L,MIN(IF(ISNUMBER(L89:L285),ROW(L89:L285),"")))</f>
        <v>6.4</v>
      </c>
      <c r="N89" s="150">
        <f>IF('Données projet'!$A$36&gt;35,N88+M89-V88,IF(A89&lt;'Données projet'!$A$36,$K$205^A89,IF(A89='Données projet'!$A$36,'Données projet'!$B$36,N88+M89-V88)))</f>
        <v>304.4</v>
      </c>
      <c r="O89" s="150">
        <f>N89*VLOOKUP('Données projet'!$B$9,'Paramètres'!$A$1:$I$88,3,0)*VLOOKUP('Données projet'!$B$9,'Paramètres'!$A$1:$I$88,5,0)</f>
        <v>275.42112</v>
      </c>
      <c r="P89" s="150">
        <f t="shared" si="34"/>
        <v>65.99843329</v>
      </c>
      <c r="Q89" s="161">
        <f t="shared" si="2"/>
        <v>594.6390553</v>
      </c>
      <c r="R89" s="153">
        <f t="shared" si="3"/>
        <v>887.9723887</v>
      </c>
      <c r="S89" s="153">
        <f>AVERAGE(OFFSET($R$3,0,0,'Données projet'!$E$9+1,1))-AVERAGE(OFFSET($H$3,0,0,'Données projet'!$E$9+1,1))</f>
        <v>439.1985427</v>
      </c>
      <c r="T89" s="153">
        <f t="shared" si="35"/>
        <v>278.2174123</v>
      </c>
      <c r="U89" s="154">
        <f>IF(ISNA(VLOOKUP(A89,'Données projet'!$A$35:$I$55,3,0)),0,VLOOKUP(A89,'Données projet'!$A$35:$I$55,3,0))</f>
        <v>0</v>
      </c>
      <c r="V89" s="154">
        <f>IF(ISNA(VLOOKUP(A89,'Données projet'!$A$35:$I$55,4,0)),0,VLOOKUP(A89,'Données projet'!$A$35:$I$55,4,0))</f>
        <v>0</v>
      </c>
      <c r="W89" s="155">
        <f>IF(ISNA(VLOOKUP(A89,'Données projet'!$A$35:$I$55,5,0)),0%,VLOOKUP(A89,'Données projet'!$A$35:$I$55,5,0)*VLOOKUP('Données projet'!$B$9,'Paramètres'!$A$1:$I$88,7,0))</f>
        <v>0</v>
      </c>
      <c r="X89" s="155">
        <f>IF(ISNA(VLOOKUP(A89,'Données projet'!$A$35:$I$55,6,0)),0%,VLOOKUP(A89,'Données projet'!$A$35:$I$55,6,0)*VLOOKUP('Données projet'!$B$9,'Paramètres'!$A$1:$I$88,7,0))</f>
        <v>0</v>
      </c>
      <c r="Y89" s="155">
        <f>IF(ISNA(VLOOKUP(A89,'Données projet'!$A$35:$I$55,7,0)),0%,VLOOKUP(A89,'Données projet'!$A$35:$I$55,7,0))</f>
        <v>0</v>
      </c>
      <c r="Z89" s="162">
        <f>EXP(-LN(2)/35)*Z88+(1-EXP(-LN(2)/35))/(LN(2)/35)*V89*W89*VLOOKUP('Données projet'!$B$9,'Paramètres'!$A$1:$I$88,3,0)*0.475*44/12</f>
        <v>0</v>
      </c>
      <c r="AA89" s="162">
        <f>EXP(-LN(2)/25)*AA88+(1-EXP(-LN(2)/25))/(LN(2)/25)*Calculateur!V89*Calculateur!X89*VLOOKUP('Données projet'!$B$9,'Paramètres'!$A$1:$I$88,3,0)*0.475*44/12</f>
        <v>0.9499594966</v>
      </c>
      <c r="AB89" s="162">
        <f>EXP(-LN(2)/2)*AB88+(1-EXP(-LN(2)/2))/(LN(2)/2)*V89*Y89*VLOOKUP('Données projet'!$B$9,'Paramètres'!$A$1:$I$88,3,0)*0.475*44/12</f>
        <v>0</v>
      </c>
      <c r="AC89" s="163">
        <f t="shared" si="4"/>
        <v>0.9499594966</v>
      </c>
      <c r="AD89" s="150">
        <f>('Scénario référence'!$F$8+'Scénario référence'!$F$9+'Scénario référence'!$B$17+'Scénario référence'!$B$9+'Scénario référence'!$B$10)*70+IF((45+25*(1-EXP(-0.0175*A89)))&lt;70,'Scénario référence'!$B$16*(45+25*(1-EXP(-0.0175*A89))),70*'Scénario référence'!$B$16)+IF((32+38*(1-EXP(-0.0175*A89)))&lt;70,'Scénario référence'!$B$18*(32+38*(1-EXP(-0.0175*A89))),70*'Scénario référence'!$B$18)</f>
        <v>70</v>
      </c>
      <c r="AE89" s="150">
        <f>IF(A89&gt;30,10,('Scénario référence'!$B$16+'Scénario référence'!$B$17+'Scénario référence'!$B$18+'Scénario référence'!$B$9+'Scénario référence'!$B$10)*A89*10/30+('Scénario référence'!$F$8+'Scénario référence'!$F$9)*10)</f>
        <v>10</v>
      </c>
      <c r="AF89" s="151" t="str">
        <f>VLOOKUP(A89,'Données projet'!$A$61:$I$81,2,0)</f>
        <v>#N/A</v>
      </c>
      <c r="AG89" s="151" t="str">
        <f>VLOOKUP(A89,'Données projet'!$A$61:$I$81,9,0)</f>
        <v>#N/A</v>
      </c>
      <c r="AH89" s="151" t="str">
        <f t="array" ref="AH89">INDEX(AG:AG,MIN(IF(ISNUMBER(AG89:AG285),ROW(AG89:AG285),"")))</f>
        <v/>
      </c>
      <c r="AI89" s="150">
        <f>IF('Données projet'!$A$62&gt;35,AI88+AH89-AQ88,IF(A89&lt;'Données projet'!$A$62,$AF$205^A89,IF(A89='Données projet'!$A$62,'Données projet'!$B$62,AI88+AH89-AQ88)))</f>
        <v>369</v>
      </c>
      <c r="AJ89" s="150">
        <f>AI89*VLOOKUP('Données projet'!$B$10,'Paramètres'!$A$1:$I$88,3,0)*VLOOKUP('Données projet'!$B$10,'Paramètres'!$A$1:$I$88,5,0)</f>
        <v>293.5764</v>
      </c>
      <c r="AK89" s="150">
        <f t="shared" si="36"/>
        <v>69.82813851</v>
      </c>
      <c r="AL89" s="161">
        <f t="shared" si="5"/>
        <v>632.9295712</v>
      </c>
      <c r="AM89" s="153">
        <f t="shared" si="6"/>
        <v>926.2629046</v>
      </c>
      <c r="AN89" s="153">
        <f>AVERAGE(OFFSET($AM$3,0,0,'Données projet'!$E$10+1,1))-AVERAGE(OFFSET($H$3,0,0,'Données projet'!$E$10+1,1))</f>
        <v>405.6113614</v>
      </c>
      <c r="AO89" s="153">
        <f t="shared" si="37"/>
        <v>393.0787141</v>
      </c>
      <c r="AP89" s="154">
        <f>IF(ISNA(VLOOKUP(A89,'Données projet'!$A$61:$I$81,3,0)),0,VLOOKUP(A89,'Données projet'!$A$61:$I$81,3,0))</f>
        <v>0</v>
      </c>
      <c r="AQ89" s="154">
        <f>IF(ISNA(VLOOKUP(A89,'Données projet'!$A$61:$I$81,4,0)),0,VLOOKUP(A89,'Données projet'!$A$61:$I$81,4,0))</f>
        <v>0</v>
      </c>
      <c r="AR89" s="155">
        <f>IF(ISNA(VLOOKUP(A89,'Données projet'!$A$61:$I$81,5,0)),0%,VLOOKUP(A89,'Données projet'!$A$61:$I$81,5,0)*VLOOKUP('Données projet'!$B$10,'Paramètres'!$A$1:$I$88,7,0))</f>
        <v>0</v>
      </c>
      <c r="AS89" s="155">
        <f>IF(ISNA(VLOOKUP(A89,'Données projet'!$A$61:$I$81,6,0)),0%,VLOOKUP(A89,'Données projet'!$A$61:$I$81,6,0)*VLOOKUP('Données projet'!$B$10,'Paramètres'!$A$1:$I$88,7,0))</f>
        <v>0</v>
      </c>
      <c r="AT89" s="155">
        <f>IF(ISNA(VLOOKUP(A89,'Données projet'!$A$61:$I$81,7,0)),0%,VLOOKUP(A89,'Données projet'!$A$61:$I$81,7,0))</f>
        <v>0</v>
      </c>
      <c r="AU89" s="162">
        <f>EXP(-LN(2)/35)*AU88+(1-EXP(-LN(2)/35))/(LN(2)/35)*AQ89*AR89*VLOOKUP('Données projet'!$B$10,'Paramètres'!$A$1:$I$88,3,0)*0.475*44/12</f>
        <v>0</v>
      </c>
      <c r="AV89" s="162">
        <f>EXP(-LN(2)/25)*AV88+(1-EXP(-LN(2)/25))/(LN(2)/25)*Calculateur!AQ89*Calculateur!AS89*VLOOKUP('Données projet'!$B$10,'Paramètres'!$A$1:$I$88,3,0)*0.475*44/12</f>
        <v>3.860876883</v>
      </c>
      <c r="AW89" s="162">
        <f>EXP(-LN(2)/2)*AW88+(1-EXP(-LN(2)/2))/(LN(2)/2)*AQ89*AT89*VLOOKUP('Données projet'!$B$10,'Paramètres'!$A$1:$I$88,3,0)*0.475*44/12</f>
        <v>0.000000002159596249</v>
      </c>
      <c r="AX89" s="162">
        <f t="shared" si="7"/>
        <v>3.860876886</v>
      </c>
      <c r="AY89" s="157">
        <f>('Scénario référence'!$F$8+'Scénario référence'!$F$9+'Scénario référence'!$B$17+'Scénario référence'!$B$9+'Scénario référence'!$B$10)*70+IF((45+25*(1-EXP(-0.0175*A89)))&lt;70,'Scénario référence'!$B$16*(45+25*(1-EXP(-0.0175*A89))),70*'Scénario référence'!$B$16)+IF((32+38*(1-EXP(-0.0175*A89)))&lt;70,'Scénario référence'!$B$18*(32+38*(1-EXP(-0.0175*A89))),70*'Scénario référence'!$B$18)</f>
        <v>70</v>
      </c>
      <c r="AZ89" s="151">
        <f>IF(A89&gt;30,10,('Scénario référence'!$B$16+'Scénario référence'!$B$17+'Scénario référence'!$B$18+'Scénario référence'!$B$9+'Scénario référence'!$B$10)*A89*10/30+('Scénario référence'!$F$8+'Scénario référence'!$F$9)*10)</f>
        <v>10</v>
      </c>
      <c r="BA89" s="151" t="str">
        <f>VLOOKUP(A89,'Données projet'!$A$87:$I$107,2,0)</f>
        <v>#N/A</v>
      </c>
      <c r="BB89" s="151" t="str">
        <f>VLOOKUP(A89,'Données projet'!$A$87:$I$107,9,0)</f>
        <v>#N/A</v>
      </c>
      <c r="BC89" s="151" t="str">
        <f t="array" ref="BC89">INDEX(BB:BB,MIN(IF(ISNUMBER(BB89:BB285),ROW(BB89:BB285),"")))</f>
        <v/>
      </c>
      <c r="BD89" s="150">
        <f>IF('Données projet'!$A$88&gt;35,BD88+BC89-BL88,IF(A89&lt;'Données projet'!$A$88,$BA$205^A89,IF(A89='Données projet'!$A$88,'Données projet'!$B$88,BD88+BC89-BL88)))</f>
        <v>0</v>
      </c>
      <c r="BE89" s="150">
        <f>BD89*VLOOKUP('Données projet'!$B$11,'Paramètres'!$A$1:$I$88,3,0)*VLOOKUP('Données projet'!$B$11,'Paramètres'!$A$1:$I$88,5,0)</f>
        <v>0</v>
      </c>
      <c r="BF89" s="150" t="str">
        <f t="shared" si="38"/>
        <v>#NUM!</v>
      </c>
      <c r="BG89" s="161" t="str">
        <f t="shared" si="8"/>
        <v>#NUM!</v>
      </c>
      <c r="BH89" s="153" t="str">
        <f t="shared" si="9"/>
        <v>#NUM!</v>
      </c>
      <c r="BI89" s="153">
        <f>AVERAGE(OFFSET($BH$3,0,0,'Données projet'!$E$11+1,1))-AVERAGE(OFFSET($H$3,0,0,'Données projet'!$E$11+1,1))</f>
        <v>0</v>
      </c>
      <c r="BJ89" s="153">
        <f t="shared" si="39"/>
        <v>0</v>
      </c>
      <c r="BK89" s="154">
        <f>IF(ISNA(VLOOKUP(A89,'Données projet'!$A$87:$I$107,3,0)),0,VLOOKUP(A89,'Données projet'!$A$87:$I$107,3,0))</f>
        <v>0</v>
      </c>
      <c r="BL89" s="154">
        <f>IF(ISNA(VLOOKUP(A89,'Données projet'!$A$87:$I$107,4,0)),0,VLOOKUP(A89,'Données projet'!$A$87:$I$107,4,0))</f>
        <v>0</v>
      </c>
      <c r="BM89" s="155">
        <f>IF(ISNA(VLOOKUP(A89,'Données projet'!$A$87:$I$107,5,0)),0%,VLOOKUP(A89,'Données projet'!$A$87:$I$107,5,0)*VLOOKUP('Données projet'!$B$11,'Paramètres'!$A$1:$I$88,7,0))</f>
        <v>0</v>
      </c>
      <c r="BN89" s="155">
        <f>IF(ISNA(VLOOKUP(A89,'Données projet'!$A$87:$I$107,6,0)),0%,VLOOKUP(A89,'Données projet'!$A$87:$I$107,6,0)*VLOOKUP('Données projet'!$B$11,'Paramètres'!$A$1:$I$88,7,0))</f>
        <v>0</v>
      </c>
      <c r="BO89" s="155">
        <f>IF(ISNA(VLOOKUP(A89,'Données projet'!$A$87:$I$107,7,0)),0%,VLOOKUP(A89,'Données projet'!$A$87:$I$107,7,0))</f>
        <v>0</v>
      </c>
      <c r="BP89" s="162">
        <f>EXP(-LN(2)/35)*BP88+(1-EXP(-LN(2)/35))/(LN(2)/35)*BL89*BM89*VLOOKUP('Données projet'!$B$11,'Paramètres'!$A$1:$I$88,3,0)*0.475*44/12</f>
        <v>0</v>
      </c>
      <c r="BQ89" s="162">
        <f>EXP(-LN(2)/25)*BQ88+(1-EXP(-LN(2)/25))/(LN(2)/25)*Calculateur!BL89*Calculateur!BN89*VLOOKUP('Données projet'!$B$11,'Paramètres'!$A$1:$I$88,3,0)*0.475*44/12</f>
        <v>0</v>
      </c>
      <c r="BR89" s="162">
        <f>EXP(-LN(2)/2)*BR88+(1-EXP(-LN(2)/2))/(LN(2)/2)*BL89*BO89*VLOOKUP('Données projet'!$B$11,'Paramètres'!$A$1:$I$88,3,0)*0.475*44/12</f>
        <v>0</v>
      </c>
      <c r="BS89" s="163">
        <f t="shared" si="10"/>
        <v>0</v>
      </c>
      <c r="BT89" s="159">
        <f>('Scénario référence'!$F$8+'Scénario référence'!$F$9+'Scénario référence'!$B$17+'Scénario référence'!$B$9+'Scénario référence'!$B$10)*70+IF((45+25*(1-EXP(-0.0175*A89)))&lt;70,'Scénario référence'!$B$16*(45+25*(1-EXP(-0.0175*A89))),70*'Scénario référence'!$B$16)+IF((32+38*(1-EXP(-0.0175*A89)))&lt;70,'Scénario référence'!$B$18*(32+38*(1-EXP(-0.0175*A89))),70*'Scénario référence'!$B$18)</f>
        <v>70</v>
      </c>
      <c r="BU89" s="151">
        <f>IF(A89&gt;30,10,('Scénario référence'!$B$16+'Scénario référence'!$B$17+'Scénario référence'!$B$18+'Scénario référence'!$B$9+'Scénario référence'!$B$10)*A89*10/30+('Scénario référence'!$F$8+'Scénario référence'!$F$9)*10)</f>
        <v>10</v>
      </c>
      <c r="BV89" s="151" t="str">
        <f>VLOOKUP(A89,'Données projet'!$A$113:$I$133,2,0)</f>
        <v>#N/A</v>
      </c>
      <c r="BW89" s="151" t="str">
        <f>VLOOKUP(A89,'Données projet'!$A$113:$I$133,9,0)</f>
        <v>#N/A</v>
      </c>
      <c r="BX89" s="150" t="str">
        <f t="array" ref="BX89">INDEX(BW:BW,MIN(IF(ISNUMBER(BW89:BW285),ROW(BW89:BW285),"")))</f>
        <v/>
      </c>
      <c r="BY89" s="150">
        <f>IF('Données projet'!$A$114&gt;35,BY88+BX89-CG88,IF(A89&lt;'Données projet'!$A$114,$BV$205^A89,IF(A89='Données projet'!$A$114,'Données projet'!$B$114,BY88+BX89-CG88)))</f>
        <v>0</v>
      </c>
      <c r="BZ89" s="150" t="str">
        <f>BY89*VLOOKUP('Données projet'!$B$12,'Paramètres'!$A$1:$I$88,3,0)*VLOOKUP('Données projet'!$B$12,'Paramètres'!$A$1:$I$88,5,0)</f>
        <v>#N/A</v>
      </c>
      <c r="CA89" s="150" t="str">
        <f t="shared" si="40"/>
        <v>#N/A</v>
      </c>
      <c r="CB89" s="161" t="str">
        <f t="shared" si="11"/>
        <v>#N/A</v>
      </c>
      <c r="CC89" s="153" t="str">
        <f t="shared" si="12"/>
        <v>#N/A</v>
      </c>
      <c r="CD89" s="153" t="str">
        <f>AVERAGE(OFFSET($CC$3,0,0,'Données projet'!$E$12+1,1))-AVERAGE(OFFSET($H$3,0,0,'Données projet'!$E$12+1,1))</f>
        <v>#N/A</v>
      </c>
      <c r="CE89" s="153" t="str">
        <f t="shared" si="41"/>
        <v>#N/A</v>
      </c>
      <c r="CF89" s="154">
        <f>IF(ISNA(VLOOKUP(A89,'Données projet'!$A$113:$I$133,3,0)),0,VLOOKUP(A89,'Données projet'!$A$113:$I$133,3,0))</f>
        <v>0</v>
      </c>
      <c r="CG89" s="154">
        <f>IF(ISNA(VLOOKUP(A89,'Données projet'!$A$113:$I$133,4,0)),0,VLOOKUP(A89,'Données projet'!$A$113:$I$133,4,0))</f>
        <v>0</v>
      </c>
      <c r="CH89" s="155">
        <f>IF(ISNA(VLOOKUP(A89,'Données projet'!$A$113:$I$133,5,0)),0%,VLOOKUP(A89,'Données projet'!$A$113:$I$133,5,0)*VLOOKUP('Données projet'!$B$12,'Paramètres'!$A$1:$I$88,7,0))</f>
        <v>0</v>
      </c>
      <c r="CI89" s="155">
        <f>IF(ISNA(VLOOKUP(A89,'Données projet'!$A$113:$I$133,6,0)),0%,VLOOKUP(A89,'Données projet'!$A$113:$I$133,6,0)*VLOOKUP('Données projet'!$B$12,'Paramètres'!$A$1:$I$88,7,0))</f>
        <v>0</v>
      </c>
      <c r="CJ89" s="155">
        <f>IF(ISNA(VLOOKUP(A89,'Données projet'!$A$113:$I$133,7,0)),0%,VLOOKUP(A89,'Données projet'!$A$113:$I$133,7,0))</f>
        <v>0</v>
      </c>
      <c r="CK89" s="162" t="str">
        <f>EXP(-LN(2)/35)*CK88+(1-EXP(-LN(2)/35))/(LN(2)/35)*CG89*CH89*VLOOKUP('Données projet'!$B$12,'Paramètres'!$A$1:$I$88,3,0)*0.475*44/12</f>
        <v>#N/A</v>
      </c>
      <c r="CL89" s="162" t="str">
        <f>EXP(-LN(2)/25)*CL88+(1-EXP(-LN(2)/25))/(LN(2)/25)*Calculateur!CG89*Calculateur!CI89*VLOOKUP('Données projet'!$B$12,'Paramètres'!$A$1:$I$88,3,0)*0.475*44/12</f>
        <v>#N/A</v>
      </c>
      <c r="CM89" s="162" t="str">
        <f>EXP(-LN(2)/2)*CM88+(1-EXP(-LN(2)/2))/(LN(2)/2)*CG89*CJ89*VLOOKUP('Données projet'!$B$12,'Paramètres'!$A$1:$I$88,3,0)*0.475*44/12</f>
        <v>#N/A</v>
      </c>
      <c r="CN89" s="163" t="str">
        <f t="shared" si="13"/>
        <v>#N/A</v>
      </c>
      <c r="CO89" s="159">
        <f>('Scénario référence'!$F$8+'Scénario référence'!$F$9+'Scénario référence'!$B$17+'Scénario référence'!$B$9+'Scénario référence'!$B$10)*70+IF((45+25*(1-EXP(-0.0175*A89)))&lt;70,'Scénario référence'!$B$16*(45+25*(1-EXP(-0.0175*A89))),70*'Scénario référence'!$B$16)+IF((32+38*(1-EXP(-0.0175*A89)))&lt;70,'Scénario référence'!$B$18*(32+38*(1-EXP(-0.0175*A89))),70*'Scénario référence'!$B$18)</f>
        <v>70</v>
      </c>
      <c r="CP89" s="151">
        <f>IF(A89&gt;30,10,('Scénario référence'!$B$16+'Scénario référence'!$B$17+'Scénario référence'!$B$18+'Scénario référence'!$B$9+'Scénario référence'!$B$10)*A89*10/30+('Scénario référence'!$F$8+'Scénario référence'!$F$9)*10)</f>
        <v>10</v>
      </c>
      <c r="CQ89" s="151" t="str">
        <f>VLOOKUP(A89,'Données projet'!$A$139:$I$159,2,0)</f>
        <v>#N/A</v>
      </c>
      <c r="CR89" s="151" t="str">
        <f>VLOOKUP(A89,'Données projet'!$A$139:$I$159,9,0)</f>
        <v>#N/A</v>
      </c>
      <c r="CS89" s="151" t="str">
        <f t="array" ref="CS89">INDEX(CR:CR,MIN(IF(ISNUMBER(CR89:CR285),ROW(CR89:CR285),"")))</f>
        <v/>
      </c>
      <c r="CT89" s="151">
        <f>IF('Données projet'!$A$140&gt;35,CT88+CS89-DB88,IF(A89&lt;'Données projet'!$A$140,$CQ$205^A89,IF(A89='Données projet'!$A$140,'Données projet'!$B$140,CT88+CS89-DB88)))</f>
        <v>0</v>
      </c>
      <c r="CU89" s="158" t="str">
        <f>CT89*VLOOKUP('Données projet'!$B$13,'Paramètres'!$A$1:$I$88,3,0)*VLOOKUP('Données projet'!$B$13,'Paramètres'!$A$1:$I$88,5,0)</f>
        <v>#N/A</v>
      </c>
      <c r="CV89" s="150" t="str">
        <f t="shared" si="42"/>
        <v>#N/A</v>
      </c>
      <c r="CW89" s="161" t="str">
        <f t="shared" si="14"/>
        <v>#N/A</v>
      </c>
      <c r="CX89" s="153" t="str">
        <f t="shared" si="15"/>
        <v>#N/A</v>
      </c>
      <c r="CY89" s="153" t="str">
        <f>AVERAGE(OFFSET($CX$3,0,0,'Données projet'!$E$13+1,1))-AVERAGE(OFFSET($H$3,0,0,'Données projet'!$E$13+1,1))</f>
        <v>#N/A</v>
      </c>
      <c r="CZ89" s="153" t="str">
        <f t="shared" si="43"/>
        <v>#N/A</v>
      </c>
      <c r="DA89" s="154">
        <f>IF(ISNA(VLOOKUP(A89,'Données projet'!$A$139:$I$159,3,0)),0,VLOOKUP(A89,'Données projet'!$A$139:$I$159,3,0))</f>
        <v>0</v>
      </c>
      <c r="DB89" s="154">
        <f>IF(ISNA(VLOOKUP(A89,'Données projet'!$A$139:$I$159,4,0)),0,VLOOKUP(A89,'Données projet'!$A$139:$I$159,4,0))</f>
        <v>0</v>
      </c>
      <c r="DC89" s="155">
        <f>IF(ISNA(VLOOKUP(A89,'Données projet'!$A$139:$I$159,5,0)),0%,VLOOKUP(A89,'Données projet'!$A$139:$I$159,5,0)*VLOOKUP('Données projet'!$B$13,'Paramètres'!$A$1:$I$88,7,0))</f>
        <v>0</v>
      </c>
      <c r="DD89" s="155">
        <f>IF(ISNA(VLOOKUP(A89,'Données projet'!$A$139:$I$159,6,0)),0%,VLOOKUP(A89,'Données projet'!$A$139:$I$159,6,0)*VLOOKUP('Données projet'!$B$13,'Paramètres'!$A$1:$I$88,7,0))</f>
        <v>0</v>
      </c>
      <c r="DE89" s="155">
        <f>IF(ISNA(VLOOKUP(A89,'Données projet'!$A$139:$I$159,7,0)),0%,VLOOKUP(A89,'Données projet'!$A$139:$I$159,7,0))</f>
        <v>0</v>
      </c>
      <c r="DF89" s="162" t="str">
        <f>EXP(-LN(2)/35)*DF88+(1-EXP(-LN(2)/35))/(LN(2)/35)*DB89*DC89*VLOOKUP('Données projet'!$B$13,'Paramètres'!$A$1:$I$88,3,0)*0.475*44/12</f>
        <v>#N/A</v>
      </c>
      <c r="DG89" s="162" t="str">
        <f>EXP(-LN(2)/25)*DG88+(1-EXP(-LN(2)/25))/(LN(2)/25)*Calculateur!DB89*Calculateur!DD89*VLOOKUP('Données projet'!$B$13,'Paramètres'!$A$1:$I$88,3,0)*0.475*44/12</f>
        <v>#N/A</v>
      </c>
      <c r="DH89" s="162" t="str">
        <f>EXP(-LN(2)/2)*DH88+(1-EXP(-LN(2)/2))/(LN(2)/2)*DB89*DE89*VLOOKUP('Données projet'!$B$13,'Paramètres'!$A$1:$I$88,3,0)*0.475*44/12</f>
        <v>#N/A</v>
      </c>
      <c r="DI89" s="163" t="str">
        <f t="shared" si="16"/>
        <v>#N/A</v>
      </c>
      <c r="DJ89" s="159">
        <f>('Scénario référence'!$F$8+'Scénario référence'!$F$9+'Scénario référence'!$B$17+'Scénario référence'!$B$9+'Scénario référence'!$B$10)*70+IF((45+25*(1-EXP(-0.0175*A89)))&lt;70,'Scénario référence'!$B$16*(45+25*(1-EXP(-0.0175*A89))),70*'Scénario référence'!$B$16)+IF((32+38*(1-EXP(-0.0175*A89)))&lt;70,'Scénario référence'!$B$18*(32+38*(1-EXP(-0.0175*A89))),70*'Scénario référence'!$B$18)</f>
        <v>70</v>
      </c>
      <c r="DK89" s="151">
        <f>IF(A89&gt;30,10,('Scénario référence'!$B$16+'Scénario référence'!$B$17+'Scénario référence'!$B$18+'Scénario référence'!$B$9+'Scénario référence'!$B$10)*A89*10/30+('Scénario référence'!$F$8+'Scénario référence'!$F$9)*10)</f>
        <v>10</v>
      </c>
      <c r="DL89" s="151" t="str">
        <f>VLOOKUP(A89,'Données projet'!$A$165:$I$185,2,0)</f>
        <v>#N/A</v>
      </c>
      <c r="DM89" s="151" t="str">
        <f>VLOOKUP(A89,'Données projet'!$A$165:$I$185,9,0)</f>
        <v>#N/A</v>
      </c>
      <c r="DN89" s="151" t="str">
        <f t="array" ref="DN89">INDEX(DM:DM,MIN(IF(ISNUMBER(DM89:DM285),ROW(DM89:DM285),"")))</f>
        <v/>
      </c>
      <c r="DO89" s="151">
        <f>IF('Données projet'!$A$166&gt;35,DO88+DN89-DW88,IF(A89&lt;'Données projet'!$A$166,$DL$205^A89,IF(A89='Données projet'!$A$166,'Données projet'!$B$166,DO88+DN89-DW88)))</f>
        <v>0</v>
      </c>
      <c r="DP89" s="158" t="str">
        <f>DO89*VLOOKUP('Données projet'!$B$14,'Paramètres'!$A$1:$I$88,3,0)*VLOOKUP('Données projet'!$B$14,'Paramètres'!$A$1:$I$88,5,0)</f>
        <v>#N/A</v>
      </c>
      <c r="DQ89" s="150" t="str">
        <f t="shared" si="44"/>
        <v>#N/A</v>
      </c>
      <c r="DR89" s="161" t="str">
        <f t="shared" si="17"/>
        <v>#N/A</v>
      </c>
      <c r="DS89" s="153" t="str">
        <f t="shared" si="18"/>
        <v>#N/A</v>
      </c>
      <c r="DT89" s="153" t="str">
        <f>AVERAGE(OFFSET($DS$3,0,0,'Données projet'!$E$14+1,1))-AVERAGE(OFFSET($H$3,0,0,'Données projet'!$E$14+1,1))</f>
        <v>#N/A</v>
      </c>
      <c r="DU89" s="153" t="str">
        <f t="shared" si="45"/>
        <v>#N/A</v>
      </c>
      <c r="DV89" s="154">
        <f>IF(ISNA(VLOOKUP(A89,'Données projet'!$A$165:$I$185,3,0)),0,VLOOKUP(A89,'Données projet'!$A$165:$I$185,3,0))</f>
        <v>0</v>
      </c>
      <c r="DW89" s="154">
        <f>IF(ISNA(VLOOKUP(A89,'Données projet'!$A$165:$I$185,4,0)),0,VLOOKUP(A89,'Données projet'!$A$165:$I$185,4,0))</f>
        <v>0</v>
      </c>
      <c r="DX89" s="155">
        <f>IF(ISNA(VLOOKUP(A89,'Données projet'!$A$165:$I$185,5,0)),0%,VLOOKUP(A89,'Données projet'!$A$165:$I$185,5,0)*VLOOKUP('Données projet'!$B$14,'Paramètres'!$A$1:$I$88,7,0))</f>
        <v>0</v>
      </c>
      <c r="DY89" s="155">
        <f>IF(ISNA(VLOOKUP(A89,'Données projet'!$A$165:$I$185,6,0)),0%,VLOOKUP(A89,'Données projet'!$A$165:$I$185,6,0)*VLOOKUP('Données projet'!$B$14,'Paramètres'!$A$1:$I$88,7,0))</f>
        <v>0</v>
      </c>
      <c r="DZ89" s="155">
        <f>IF(ISNA(VLOOKUP(A89,'Données projet'!$A$165:$I$185,7,0)),0%,VLOOKUP(A89,'Données projet'!$A$165:$I$185,7,0))</f>
        <v>0</v>
      </c>
      <c r="EA89" s="162" t="str">
        <f>EXP(-LN(2)/35)*EA88+(1-EXP(-LN(2)/35))/(LN(2)/35)*DW89*DX89*VLOOKUP('Données projet'!$B$14,'Paramètres'!$A$1:$I$88,3,0)*0.475*44/12</f>
        <v>#N/A</v>
      </c>
      <c r="EB89" s="162" t="str">
        <f>EXP(-LN(2)/25)*EB88+(1-EXP(-LN(2)/25))/(LN(2)/25)*Calculateur!DW89*Calculateur!DY89*VLOOKUP('Données projet'!$B$14,'Paramètres'!$A$1:$I$88,3,0)*0.475*44/12</f>
        <v>#N/A</v>
      </c>
      <c r="EC89" s="162" t="str">
        <f>EXP(-LN(2)/2)*EC88+(1-EXP(-LN(2)/2))/(LN(2)/2)*DW89*DZ89*VLOOKUP('Données projet'!$B$14,'Paramètres'!$A$1:$I$88,3,0)*0.475*44/12</f>
        <v>#N/A</v>
      </c>
      <c r="ED89" s="163" t="str">
        <f t="shared" si="19"/>
        <v>#N/A</v>
      </c>
      <c r="EE89" s="159">
        <f>('Scénario référence'!$F$8+'Scénario référence'!$F$9+'Scénario référence'!$B$17+'Scénario référence'!$B$9+'Scénario référence'!$B$10)*70+IF((45+25*(1-EXP(-0.0175*A89)))&lt;70,'Scénario référence'!$B$16*(45+25*(1-EXP(-0.0175*A89))),70*'Scénario référence'!$B$16)+IF((32+38*(1-EXP(-0.0175*A89)))&lt;70,'Scénario référence'!$B$18*(32+38*(1-EXP(-0.0175*A89))),70*'Scénario référence'!$B$18)</f>
        <v>70</v>
      </c>
      <c r="EF89" s="151">
        <f>IF(A89&gt;30,10,('Scénario référence'!$B$16+'Scénario référence'!$B$17+'Scénario référence'!$B$18+'Scénario référence'!$B$9+'Scénario référence'!$B$10)*A89*10/30+('Scénario référence'!$F$8+'Scénario référence'!$F$9)*10)</f>
        <v>10</v>
      </c>
      <c r="EG89" s="151" t="str">
        <f>VLOOKUP(A89,'Données projet'!$A$191:$I$211,2,0)</f>
        <v>#N/A</v>
      </c>
      <c r="EH89" s="151" t="str">
        <f>VLOOKUP(A89,'Données projet'!$A$191:$I$211,9,0)</f>
        <v>#N/A</v>
      </c>
      <c r="EI89" s="151" t="str">
        <f t="array" ref="EI89">INDEX(EH:EH,MIN(IF(ISNUMBER(EH89:EH285),ROW(EH89:EH285),"")))</f>
        <v/>
      </c>
      <c r="EJ89" s="151">
        <f>IF('Données projet'!$A$192&gt;35,EJ88+EI89-ER88,IF(A89&lt;'Données projet'!$A$192,$EG$205^A89,IF(A89='Données projet'!$A$192,'Données projet'!$B$192,EJ88+EI89-ER88)))</f>
        <v>0</v>
      </c>
      <c r="EK89" s="158" t="str">
        <f>EJ89*VLOOKUP('Données projet'!$B$15,'Paramètres'!$A$1:$I$88,3,0)*VLOOKUP('Données projet'!$B$15,'Paramètres'!$A$1:$I$88,5,0)</f>
        <v>#N/A</v>
      </c>
      <c r="EL89" s="150" t="str">
        <f t="shared" si="46"/>
        <v>#N/A</v>
      </c>
      <c r="EM89" s="161" t="str">
        <f t="shared" si="20"/>
        <v>#N/A</v>
      </c>
      <c r="EN89" s="153" t="str">
        <f t="shared" si="21"/>
        <v>#N/A</v>
      </c>
      <c r="EO89" s="153" t="str">
        <f>AVERAGE(OFFSET($EN$3,0,0,'Données projet'!$E$15+1,1))-AVERAGE(OFFSET($H$3,0,0,'Données projet'!$E$15+1,1))</f>
        <v>#N/A</v>
      </c>
      <c r="EP89" s="153" t="str">
        <f t="shared" si="47"/>
        <v>#N/A</v>
      </c>
      <c r="EQ89" s="154">
        <f>IF(ISNA(VLOOKUP(A89,'Données projet'!$A$191:$I$211,3,0)),0,VLOOKUP(A89,'Données projet'!$A$191:$I$211,3,0))</f>
        <v>0</v>
      </c>
      <c r="ER89" s="154">
        <f>IF(ISNA(VLOOKUP(A89,'Données projet'!$A$191:$I$211,4,0)),0,VLOOKUP(A89,'Données projet'!$A$191:$I$211,4,0))</f>
        <v>0</v>
      </c>
      <c r="ES89" s="155">
        <f>IF(ISNA(VLOOKUP(A89,'Données projet'!$A$191:$I$211,5,0)),0%,VLOOKUP(A89,'Données projet'!$A$191:$I$211,5,0)*VLOOKUP('Données projet'!$B$15,'Paramètres'!$A$1:$I$88,7,0))</f>
        <v>0</v>
      </c>
      <c r="ET89" s="155">
        <f>IF(ISNA(VLOOKUP(A89,'Données projet'!$A$191:$I$211,6,0)),0%,VLOOKUP(A89,'Données projet'!$A$191:$I$211,6,0)*VLOOKUP('Données projet'!$B$15,'Paramètres'!$A$1:$I$88,7,0))</f>
        <v>0</v>
      </c>
      <c r="EU89" s="155">
        <f>IF(ISNA(VLOOKUP(A89,'Données projet'!$A$191:$I$211,7,0)),0%,VLOOKUP(A89,'Données projet'!$A$191:$I$211,7,0))</f>
        <v>0</v>
      </c>
      <c r="EV89" s="162" t="str">
        <f>EXP(-LN(2)/35)*EV88+(1-EXP(-LN(2)/35))/(LN(2)/35)*ER89*ES89*VLOOKUP('Données projet'!$B$15,'Paramètres'!$A$1:$I$88,3,0)*0.475*44/12</f>
        <v>#N/A</v>
      </c>
      <c r="EW89" s="162" t="str">
        <f>EXP(-LN(2)/25)*EW88+(1-EXP(-LN(2)/25))/(LN(2)/25)*Calculateur!ER89*Calculateur!ET89*VLOOKUP('Données projet'!$B$15,'Paramètres'!$A$1:$I$88,3,0)*0.475*44/12</f>
        <v>#N/A</v>
      </c>
      <c r="EX89" s="162" t="str">
        <f>EXP(-LN(2)/2)*EX88+(1-EXP(-LN(2)/2))/(LN(2)/2)*ER89*EU89*VLOOKUP('Données projet'!$B$15,'Paramètres'!$A$1:$I$88,3,0)*0.475*44/12</f>
        <v>#N/A</v>
      </c>
      <c r="EY89" s="163" t="str">
        <f t="shared" si="22"/>
        <v>#N/A</v>
      </c>
      <c r="EZ89" s="159">
        <f>('Scénario référence'!$F$8+'Scénario référence'!$F$9+'Scénario référence'!$B$17+'Scénario référence'!$B$9+'Scénario référence'!$B$10)*70+IF((45+25*(1-EXP(-0.0175*A89)))&lt;70,'Scénario référence'!$B$16*(45+25*(1-EXP(-0.0175*A89))),70*'Scénario référence'!$B$16)+IF((32+38*(1-EXP(-0.0175*A89)))&lt;70,'Scénario référence'!$B$18*(32+38*(1-EXP(-0.0175*A89))),70*'Scénario référence'!$B$18)</f>
        <v>70</v>
      </c>
      <c r="FA89" s="151">
        <f>IF(A89&gt;30,10,('Scénario référence'!$B$16+'Scénario référence'!$B$17+'Scénario référence'!$B$18+'Scénario référence'!$B$9+'Scénario référence'!$B$10)*A89*10/30+('Scénario référence'!$F$8+'Scénario référence'!$F$9)*10)</f>
        <v>10</v>
      </c>
      <c r="FB89" s="151" t="str">
        <f>VLOOKUP(A89,'Données projet'!$A$217:$I$237,2,0)</f>
        <v>#N/A</v>
      </c>
      <c r="FC89" s="151" t="str">
        <f>VLOOKUP(A89,'Données projet'!$A$217:$I$237,9,0)</f>
        <v>#N/A</v>
      </c>
      <c r="FD89" s="151" t="str">
        <f t="array" ref="FD89">INDEX(FC:FC,MIN(IF(ISNUMBER(FC89:FC285),ROW(FC89:FC285),"")))</f>
        <v/>
      </c>
      <c r="FE89" s="151">
        <f>IF('Données projet'!$A$218&gt;35,FE88+FD89-FM88,IF(A89&lt;'Données projet'!$A$218,$FB$205^A89,IF(A89='Données projet'!$A$218,'Données projet'!$B$218,FE88+FD89-FM88)))</f>
        <v>0</v>
      </c>
      <c r="FF89" s="158" t="str">
        <f>FE89*VLOOKUP('Données projet'!$B$16,'Paramètres'!$A$1:$I$88,3,0)*VLOOKUP('Données projet'!$B$16,'Paramètres'!$A$1:$I$88,5,0)</f>
        <v>#N/A</v>
      </c>
      <c r="FG89" s="150" t="str">
        <f t="shared" si="48"/>
        <v>#N/A</v>
      </c>
      <c r="FH89" s="161" t="str">
        <f t="shared" si="23"/>
        <v>#N/A</v>
      </c>
      <c r="FI89" s="153" t="str">
        <f t="shared" si="24"/>
        <v>#N/A</v>
      </c>
      <c r="FJ89" s="153" t="str">
        <f>AVERAGE(OFFSET($FI$3,0,0,'Données projet'!$E$16+1,1))-AVERAGE(OFFSET($H$3,0,0,'Données projet'!$E$16+1,1))</f>
        <v>#N/A</v>
      </c>
      <c r="FK89" s="153" t="str">
        <f t="shared" si="49"/>
        <v>#N/A</v>
      </c>
      <c r="FL89" s="154">
        <f>IF(ISNA(VLOOKUP(A89,'Données projet'!$A$217:$I$237,3,0)),0,VLOOKUP(A89,'Données projet'!$A$217:$I$237,3,0))</f>
        <v>0</v>
      </c>
      <c r="FM89" s="154">
        <f>IF(ISNA(VLOOKUP(A89,'Données projet'!$A$217:$I$237,4,0)),0,VLOOKUP(A89,'Données projet'!$A$217:$I$237,4,0))</f>
        <v>0</v>
      </c>
      <c r="FN89" s="155">
        <f>IF(ISNA(VLOOKUP(A89,'Données projet'!$A$217:$I$237,5,0)),0%,VLOOKUP(A89,'Données projet'!$A$217:$I$237,5,0)*VLOOKUP('Données projet'!$B$16,'Paramètres'!$A$1:$I$88,7,0))</f>
        <v>0</v>
      </c>
      <c r="FO89" s="155">
        <f>IF(ISNA(VLOOKUP(A89,'Données projet'!$A$217:$I$237,6,0)),0%,VLOOKUP(A89,'Données projet'!$A$217:$I$237,6,0)*VLOOKUP('Données projet'!$B$16,'Paramètres'!$A$1:$I$88,7,0))</f>
        <v>0</v>
      </c>
      <c r="FP89" s="155">
        <f>IF(ISNA(VLOOKUP(A89,'Données projet'!$A$217:$I$237,7,0)),0%,VLOOKUP(A89,'Données projet'!$A$217:$I$237,7,0))</f>
        <v>0</v>
      </c>
      <c r="FQ89" s="162" t="str">
        <f>EXP(-LN(2)/35)*FQ88+(1-EXP(-LN(2)/35))/(LN(2)/35)*FM89*FN89*VLOOKUP('Données projet'!$B$16,'Paramètres'!$A$1:$I$88,3,0)*0.475*44/12</f>
        <v>#N/A</v>
      </c>
      <c r="FR89" s="162" t="str">
        <f>EXP(-LN(2)/25)*FR88+(1-EXP(-LN(2)/25))/(LN(2)/25)*Calculateur!FM89*Calculateur!FO89*VLOOKUP('Données projet'!$B$16,'Paramètres'!$A$1:$I$88,3,0)*0.475*44/12</f>
        <v>#N/A</v>
      </c>
      <c r="FS89" s="162" t="str">
        <f>EXP(-LN(2)/2)*FS88+(1-EXP(-LN(2)/2))/(LN(2)/2)*FM89*FP89*VLOOKUP('Données projet'!$B$16,'Paramètres'!$A$1:$I$88,3,0)*0.475*44/12</f>
        <v>#N/A</v>
      </c>
      <c r="FT89" s="163" t="str">
        <f t="shared" si="25"/>
        <v>#N/A</v>
      </c>
      <c r="FU89" s="159">
        <f>('Scénario référence'!$F$8+'Scénario référence'!$F$9+'Scénario référence'!$B$17+'Scénario référence'!$B$9+'Scénario référence'!$B$10)*70+IF((45+25*(1-EXP(-0.0175*A89)))&lt;70,'Scénario référence'!$B$16*(45+25*(1-EXP(-0.0175*A89))),70*'Scénario référence'!$B$16)+IF((32+38*(1-EXP(-0.0175*A89)))&lt;70,'Scénario référence'!$B$18*(32+38*(1-EXP(-0.0175*A89))),70*'Scénario référence'!$B$18)</f>
        <v>70</v>
      </c>
      <c r="FV89" s="151">
        <f>IF(A89&gt;30,10,('Scénario référence'!$B$16+'Scénario référence'!$B$17+'Scénario référence'!$B$18+'Scénario référence'!$B$9+'Scénario référence'!$B$10)*A89*10/30+('Scénario référence'!$F$8+'Scénario référence'!$F$9)*10)</f>
        <v>10</v>
      </c>
      <c r="FW89" s="151" t="str">
        <f>VLOOKUP(A89,'Données projet'!$A$243:$I$263,2,0)</f>
        <v>#N/A</v>
      </c>
      <c r="FX89" s="151" t="str">
        <f>VLOOKUP(A89,'Données projet'!$A$243:$I$263,9,0)</f>
        <v>#N/A</v>
      </c>
      <c r="FY89" s="151" t="str">
        <f t="array" ref="FY89">INDEX(FX:FX,MIN(IF(ISNUMBER(FX89:FX285),ROW(FX89:FX285),"")))</f>
        <v/>
      </c>
      <c r="FZ89" s="151">
        <f>IF('Données projet'!$A$244&gt;35,FZ88+FY89-GH88,IF(A89&lt;'Données projet'!$A$244,$FW$205^A89,IF(A89='Données projet'!$A$244,'Données projet'!$B$244,FZ88+FY89-GH88)))</f>
        <v>0</v>
      </c>
      <c r="GA89" s="158" t="str">
        <f>FZ89*VLOOKUP('Données projet'!$B$17,'Paramètres'!$A$1:$I$88,3,0)*VLOOKUP('Données projet'!$B$17,'Paramètres'!$A$1:$I$88,5,0)</f>
        <v>#N/A</v>
      </c>
      <c r="GB89" s="150" t="str">
        <f t="shared" si="50"/>
        <v>#N/A</v>
      </c>
      <c r="GC89" s="161" t="str">
        <f t="shared" si="26"/>
        <v>#N/A</v>
      </c>
      <c r="GD89" s="153" t="str">
        <f t="shared" si="27"/>
        <v>#N/A</v>
      </c>
      <c r="GE89" s="153" t="str">
        <f>AVERAGE(OFFSET($GD$3,0,0,'Données projet'!$E$17+1,1))-AVERAGE(OFFSET($H$3,0,0,'Données projet'!$E$17+1,1))</f>
        <v>#N/A</v>
      </c>
      <c r="GF89" s="153" t="str">
        <f t="shared" si="51"/>
        <v>#N/A</v>
      </c>
      <c r="GG89" s="154">
        <f>IF(ISNA(VLOOKUP(A89,'Données projet'!$A$243:$I$263,3,0)),0,VLOOKUP(A89,'Données projet'!$A$243:$I$263,3,0))</f>
        <v>0</v>
      </c>
      <c r="GH89" s="154">
        <f>IF(ISNA(VLOOKUP(A89,'Données projet'!$A$243:$I$263,4,0)),0,VLOOKUP(A89,'Données projet'!$A$243:$I$263,4,0))</f>
        <v>0</v>
      </c>
      <c r="GI89" s="155">
        <f>IF(ISNA(VLOOKUP(A89,'Données projet'!$A$243:$I$263,5,0)),0%,VLOOKUP(A89,'Données projet'!$A$243:$I$263,5,0)*VLOOKUP('Données projet'!$B$17,'Paramètres'!$A$1:$I$88,7,0))</f>
        <v>0</v>
      </c>
      <c r="GJ89" s="155">
        <f>IF(ISNA(VLOOKUP(A89,'Données projet'!$A$243:$I$263,6,0)),0%,VLOOKUP(A89,'Données projet'!$A$243:$I$263,6,0)*VLOOKUP('Données projet'!$B$17,'Paramètres'!$A$1:$I$88,7,0))</f>
        <v>0</v>
      </c>
      <c r="GK89" s="155">
        <f>IF(ISNA(VLOOKUP(A89,'Données projet'!$A$243:$I$263,7,0)),0%,VLOOKUP(A89,'Données projet'!$A$243:$I$263,7,0))</f>
        <v>0</v>
      </c>
      <c r="GL89" s="162" t="str">
        <f>EXP(-LN(2)/35)*GL88+(1-EXP(-LN(2)/35))/(LN(2)/35)*GH89*GI89*VLOOKUP('Données projet'!$B$17,'Paramètres'!$A$1:$I$88,3,0)*0.475*44/12</f>
        <v>#N/A</v>
      </c>
      <c r="GM89" s="162" t="str">
        <f>EXP(-LN(2)/25)*GM88+(1-EXP(-LN(2)/25))/(LN(2)/25)*Calculateur!GH89*Calculateur!GJ89*VLOOKUP('Données projet'!$B$17,'Paramètres'!$A$1:$I$88,3,0)*0.475*44/12</f>
        <v>#N/A</v>
      </c>
      <c r="GN89" s="162" t="str">
        <f>EXP(-LN(2)/2)*GN88+(1-EXP(-LN(2)/2))/(LN(2)/2)*GH89*GK89*VLOOKUP('Données projet'!$B$17,'Paramètres'!$A$1:$I$88,3,0)*0.475*44/12</f>
        <v>#N/A</v>
      </c>
      <c r="GO89" s="162" t="str">
        <f t="shared" si="28"/>
        <v>#N/A</v>
      </c>
      <c r="GP89" s="159">
        <f>('Scénario référence'!$F$8+'Scénario référence'!$F$9+'Scénario référence'!$B$17+'Scénario référence'!$B$9+'Scénario référence'!$B$10)*70+IF((45+25*(1-EXP(-0.0175*A89)))&lt;70,'Scénario référence'!$B$16*(45+25*(1-EXP(-0.0175*A89))),70*'Scénario référence'!$B$16)+IF((32+38*(1-EXP(-0.0175*A89)))&lt;70,'Scénario référence'!$B$18*(32+38*(1-EXP(-0.0175*A89))),70*'Scénario référence'!$B$18)</f>
        <v>70</v>
      </c>
      <c r="GQ89" s="151">
        <f>IF(A89&gt;30,10,('Scénario référence'!$B$16+'Scénario référence'!$B$17+'Scénario référence'!$B$18+'Scénario référence'!$B$9+'Scénario référence'!$B$10)*A89*10/30+('Scénario référence'!$F$8+'Scénario référence'!$F$9)*10)</f>
        <v>10</v>
      </c>
      <c r="GR89" s="151" t="str">
        <f>VLOOKUP(A89,'Données projet'!$A$269:$I$289,2,0)</f>
        <v>#N/A</v>
      </c>
      <c r="GS89" s="151" t="str">
        <f>VLOOKUP(A89,'Données projet'!$A$269:$I$289,9,0)</f>
        <v>#N/A</v>
      </c>
      <c r="GT89" s="151" t="str">
        <f t="array" ref="GT89">INDEX(GS:GS,MIN(IF(ISNUMBER(GS89:GS285),ROW(GS89:GS285),"")))</f>
        <v/>
      </c>
      <c r="GU89" s="151">
        <f>IF('Données projet'!$A$270&gt;35,GU88+GT89-HC88,IF(A89&lt;'Données projet'!$A$270,$GR$205^A89,IF(A89='Données projet'!$A$270,'Données projet'!$B$270,GU88+GT89-HC88)))</f>
        <v>0</v>
      </c>
      <c r="GV89" s="158" t="str">
        <f>GU89*VLOOKUP('Données projet'!$B$18,'Paramètres'!$A$1:$I$88,3,0)*VLOOKUP('Données projet'!$B$18,'Paramètres'!$A$1:$I$88,5,0)</f>
        <v>#N/A</v>
      </c>
      <c r="GW89" s="150" t="str">
        <f t="shared" si="52"/>
        <v>#N/A</v>
      </c>
      <c r="GX89" s="161" t="str">
        <f t="shared" si="29"/>
        <v>#N/A</v>
      </c>
      <c r="GY89" s="153" t="str">
        <f t="shared" si="30"/>
        <v>#N/A</v>
      </c>
      <c r="GZ89" s="153" t="str">
        <f>AVERAGE(OFFSET($GY$3,0,0,'Données projet'!$E$18+1,1))-AVERAGE(OFFSET($H$3,0,0,'Données projet'!$E$18+1,1))</f>
        <v>#N/A</v>
      </c>
      <c r="HA89" s="153" t="str">
        <f t="shared" si="53"/>
        <v>#N/A</v>
      </c>
      <c r="HB89" s="154">
        <f>IF(ISNA(VLOOKUP(A89,'Données projet'!$A$269:$I$289,3,0)),0,VLOOKUP(A89,'Données projet'!$A$269:$I$289,3,0))</f>
        <v>0</v>
      </c>
      <c r="HC89" s="154">
        <f>IF(ISNA(VLOOKUP(A89,'Données projet'!$A$269:$I$289,4,0)),0,VLOOKUP(A89,'Données projet'!$A$269:$I$289,4,0))</f>
        <v>0</v>
      </c>
      <c r="HD89" s="155">
        <f>IF(ISNA(VLOOKUP(A89,'Données projet'!$A$269:$I$289,5,0)),0%,VLOOKUP(A89,'Données projet'!$A$269:$I$289,5,0)*VLOOKUP('Données projet'!$B$18,'Paramètres'!$A$1:$I$88,7,0))</f>
        <v>0</v>
      </c>
      <c r="HE89" s="155">
        <f>IF(ISNA(VLOOKUP(A89,'Données projet'!$A$269:$I$289,6,0)),0%,VLOOKUP(A89,'Données projet'!$A$269:$I$289,6,0)*VLOOKUP('Données projet'!$B$18,'Paramètres'!$A$1:$I$88,7,0))</f>
        <v>0</v>
      </c>
      <c r="HF89" s="155">
        <f>IF(ISNA(VLOOKUP(A89,'Données projet'!$A$269:$I$289,7,0)),0%,VLOOKUP(A89,'Données projet'!$A$269:$I$289,7,0))</f>
        <v>0</v>
      </c>
      <c r="HG89" s="162" t="str">
        <f>EXP(-LN(2)/35)*HG88+(1-EXP(-LN(2)/35))/(LN(2)/35)*HC89*HD89*VLOOKUP('Données projet'!$B$18,'Paramètres'!$A$1:$I$88,3,0)*0.475*44/12</f>
        <v>#N/A</v>
      </c>
      <c r="HH89" s="162" t="str">
        <f>EXP(-LN(2)/25)*HH88+(1-EXP(-LN(2)/25))/(LN(2)/25)*Calculateur!HC89*Calculateur!HE89*VLOOKUP('Données projet'!$B$18,'Paramètres'!$A$1:$I$88,3,0)*0.475*44/12</f>
        <v>#N/A</v>
      </c>
      <c r="HI89" s="162" t="str">
        <f>EXP(-LN(2)/2)*HI88+(1-EXP(-LN(2)/2))/(LN(2)/2)*HC89*HF89*VLOOKUP('Données projet'!$B$18,'Paramètres'!$A$1:$I$88,3,0)*0.475*44/12</f>
        <v>#N/A</v>
      </c>
      <c r="HJ89" s="163" t="str">
        <f t="shared" si="31"/>
        <v>#N/A</v>
      </c>
    </row>
    <row r="90" ht="15.75" customHeight="1">
      <c r="A90" s="145">
        <f t="shared" si="32"/>
        <v>87</v>
      </c>
      <c r="B90" s="146">
        <f>'Scénario référence'!$B$16*5+'Scénario référence'!$B$17*0+'Scénario référence'!$B$18*5</f>
        <v>0</v>
      </c>
      <c r="C90" s="160">
        <f>Calculateur!C89+'Scénario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90" s="147">
        <f t="shared" si="33"/>
        <v>0</v>
      </c>
      <c r="E90" s="147">
        <f>'Scénario référence'!$B$16*45+('Scénario référence'!$B$17+'Scénario référence'!$F$8+'Scénario référence'!$F$9+'Scénario référence'!$B$10+'Scénario référence'!$B$9)*70+'Scénario référence'!$B$18*32</f>
        <v>70</v>
      </c>
      <c r="F90" s="147">
        <f>IF(OR('Scénario référence'!$F$8&gt;0,'Scénario référence'!$F$9&gt;0),('Scénario référence'!$F$8+'Scénario référence'!$F$9)*10,0)</f>
        <v>0</v>
      </c>
      <c r="G90" s="147">
        <f>'Scénario référence'!$B$8*B90*44/12+'Scénario référence'!$B$9*(C90+D90)/0.475*44/12+'Scénario référence'!$B$10*(C90+D90)/0.475*44/12+'Scénario référence'!$F$8*(C90+D90)/0.475*44/12+'Scénario référence'!$F$9*(C90+D90)/0.475*44/12</f>
        <v>0</v>
      </c>
      <c r="H90" s="148">
        <f t="shared" si="1"/>
        <v>256.6666667</v>
      </c>
      <c r="I90" s="149">
        <f>('Scénario référence'!$F$8+'Scénario référence'!$F$9+'Scénario référence'!$B$17+'Scénario référence'!$B$9+'Scénario référence'!$B$10)*70+IF((45+25*(1-EXP(-0.0175*A90)))&lt;70,'Scénario référence'!$B$16*(45+25*(1-EXP(-0.0175*A90))),70*'Scénario référence'!$B$16)+IF((32+38*(1-EXP(-0.0175*A90)))&lt;70,'Scénario référence'!$B$18*(32+38*(1-EXP(-0.0175*A90))),70*'Scénario référence'!$B$18)</f>
        <v>70</v>
      </c>
      <c r="J90" s="150">
        <f>IF(A90&gt;30,10,('Scénario référence'!$B$16+'Scénario référence'!$B$17+'Scénario référence'!$B$18+'Scénario référence'!$B$9+'Scénario référence'!$B$10)*A90*10/30+('Scénario référence'!$F$8+'Scénario référence'!$F$9)*10)</f>
        <v>10</v>
      </c>
      <c r="K90" s="151" t="str">
        <f>VLOOKUP(A90,'Données projet'!$A$35:$I$55,2,0)</f>
        <v>#N/A</v>
      </c>
      <c r="L90" s="151" t="str">
        <f>VLOOKUP(A90,'Données projet'!$A$35:$I$55,9,0)</f>
        <v>#N/A</v>
      </c>
      <c r="M90" s="150">
        <f t="array" ref="M90">INDEX(L:L,MIN(IF(ISNUMBER(L90:L286),ROW(L90:L286),"")))</f>
        <v>6.4</v>
      </c>
      <c r="N90" s="150">
        <f>IF('Données projet'!$A$36&gt;35,N89+M90-V89,IF(A90&lt;'Données projet'!$A$36,$K$205^A90,IF(A90='Données projet'!$A$36,'Données projet'!$B$36,N89+M90-V89)))</f>
        <v>310.8</v>
      </c>
      <c r="O90" s="150">
        <f>N90*VLOOKUP('Données projet'!$B$9,'Paramètres'!$A$1:$I$88,3,0)*VLOOKUP('Données projet'!$B$9,'Paramètres'!$A$1:$I$88,5,0)</f>
        <v>281.21184</v>
      </c>
      <c r="P90" s="150">
        <f t="shared" si="34"/>
        <v>67.2230411</v>
      </c>
      <c r="Q90" s="161">
        <f t="shared" si="2"/>
        <v>606.8574179</v>
      </c>
      <c r="R90" s="153">
        <f t="shared" si="3"/>
        <v>900.1907513</v>
      </c>
      <c r="S90" s="153">
        <f>AVERAGE(OFFSET($R$3,0,0,'Données projet'!$E$9+1,1))-AVERAGE(OFFSET($H$3,0,0,'Données projet'!$E$9+1,1))</f>
        <v>439.1985427</v>
      </c>
      <c r="T90" s="153">
        <f t="shared" si="35"/>
        <v>278.2174123</v>
      </c>
      <c r="U90" s="154">
        <f>IF(ISNA(VLOOKUP(A90,'Données projet'!$A$35:$I$55,3,0)),0,VLOOKUP(A90,'Données projet'!$A$35:$I$55,3,0))</f>
        <v>0</v>
      </c>
      <c r="V90" s="154">
        <f>IF(ISNA(VLOOKUP(A90,'Données projet'!$A$35:$I$55,4,0)),0,VLOOKUP(A90,'Données projet'!$A$35:$I$55,4,0))</f>
        <v>0</v>
      </c>
      <c r="W90" s="155">
        <f>IF(ISNA(VLOOKUP(A90,'Données projet'!$A$35:$I$55,5,0)),0%,VLOOKUP(A90,'Données projet'!$A$35:$I$55,5,0)*VLOOKUP('Données projet'!$B$9,'Paramètres'!$A$1:$I$88,7,0))</f>
        <v>0</v>
      </c>
      <c r="X90" s="155">
        <f>IF(ISNA(VLOOKUP(A90,'Données projet'!$A$35:$I$55,6,0)),0%,VLOOKUP(A90,'Données projet'!$A$35:$I$55,6,0)*VLOOKUP('Données projet'!$B$9,'Paramètres'!$A$1:$I$88,7,0))</f>
        <v>0</v>
      </c>
      <c r="Y90" s="155">
        <f>IF(ISNA(VLOOKUP(A90,'Données projet'!$A$35:$I$55,7,0)),0%,VLOOKUP(A90,'Données projet'!$A$35:$I$55,7,0))</f>
        <v>0</v>
      </c>
      <c r="Z90" s="162">
        <f>EXP(-LN(2)/35)*Z89+(1-EXP(-LN(2)/35))/(LN(2)/35)*V90*W90*VLOOKUP('Données projet'!$B$9,'Paramètres'!$A$1:$I$88,3,0)*0.475*44/12</f>
        <v>0</v>
      </c>
      <c r="AA90" s="162">
        <f>EXP(-LN(2)/25)*AA89+(1-EXP(-LN(2)/25))/(LN(2)/25)*Calculateur!V90*Calculateur!X90*VLOOKUP('Données projet'!$B$9,'Paramètres'!$A$1:$I$88,3,0)*0.475*44/12</f>
        <v>0.9239828042</v>
      </c>
      <c r="AB90" s="162">
        <f>EXP(-LN(2)/2)*AB89+(1-EXP(-LN(2)/2))/(LN(2)/2)*V90*Y90*VLOOKUP('Données projet'!$B$9,'Paramètres'!$A$1:$I$88,3,0)*0.475*44/12</f>
        <v>0</v>
      </c>
      <c r="AC90" s="163">
        <f t="shared" si="4"/>
        <v>0.9239828042</v>
      </c>
      <c r="AD90" s="150">
        <f>('Scénario référence'!$F$8+'Scénario référence'!$F$9+'Scénario référence'!$B$17+'Scénario référence'!$B$9+'Scénario référence'!$B$10)*70+IF((45+25*(1-EXP(-0.0175*A90)))&lt;70,'Scénario référence'!$B$16*(45+25*(1-EXP(-0.0175*A90))),70*'Scénario référence'!$B$16)+IF((32+38*(1-EXP(-0.0175*A90)))&lt;70,'Scénario référence'!$B$18*(32+38*(1-EXP(-0.0175*A90))),70*'Scénario référence'!$B$18)</f>
        <v>70</v>
      </c>
      <c r="AE90" s="150">
        <f>IF(A90&gt;30,10,('Scénario référence'!$B$16+'Scénario référence'!$B$17+'Scénario référence'!$B$18+'Scénario référence'!$B$9+'Scénario référence'!$B$10)*A90*10/30+('Scénario référence'!$F$8+'Scénario référence'!$F$9)*10)</f>
        <v>10</v>
      </c>
      <c r="AF90" s="151" t="str">
        <f>VLOOKUP(A90,'Données projet'!$A$61:$I$81,2,0)</f>
        <v>#N/A</v>
      </c>
      <c r="AG90" s="151" t="str">
        <f>VLOOKUP(A90,'Données projet'!$A$61:$I$81,9,0)</f>
        <v>#N/A</v>
      </c>
      <c r="AH90" s="151" t="str">
        <f t="array" ref="AH90">INDEX(AG:AG,MIN(IF(ISNUMBER(AG90:AG286),ROW(AG90:AG286),"")))</f>
        <v/>
      </c>
      <c r="AI90" s="150">
        <f>IF('Données projet'!$A$62&gt;35,AI89+AH90-AQ89,IF(A90&lt;'Données projet'!$A$62,$AF$205^A90,IF(A90='Données projet'!$A$62,'Données projet'!$B$62,AI89+AH90-AQ89)))</f>
        <v>369</v>
      </c>
      <c r="AJ90" s="150">
        <f>AI90*VLOOKUP('Données projet'!$B$10,'Paramètres'!$A$1:$I$88,3,0)*VLOOKUP('Données projet'!$B$10,'Paramètres'!$A$1:$I$88,5,0)</f>
        <v>293.5764</v>
      </c>
      <c r="AK90" s="150">
        <f t="shared" si="36"/>
        <v>69.82813851</v>
      </c>
      <c r="AL90" s="161">
        <f t="shared" si="5"/>
        <v>632.9295712</v>
      </c>
      <c r="AM90" s="153">
        <f t="shared" si="6"/>
        <v>926.2629046</v>
      </c>
      <c r="AN90" s="153">
        <f>AVERAGE(OFFSET($AM$3,0,0,'Données projet'!$E$10+1,1))-AVERAGE(OFFSET($H$3,0,0,'Données projet'!$E$10+1,1))</f>
        <v>405.6113614</v>
      </c>
      <c r="AO90" s="153">
        <f t="shared" si="37"/>
        <v>393.0787141</v>
      </c>
      <c r="AP90" s="154">
        <f>IF(ISNA(VLOOKUP(A90,'Données projet'!$A$61:$I$81,3,0)),0,VLOOKUP(A90,'Données projet'!$A$61:$I$81,3,0))</f>
        <v>0</v>
      </c>
      <c r="AQ90" s="154">
        <f>IF(ISNA(VLOOKUP(A90,'Données projet'!$A$61:$I$81,4,0)),0,VLOOKUP(A90,'Données projet'!$A$61:$I$81,4,0))</f>
        <v>0</v>
      </c>
      <c r="AR90" s="155">
        <f>IF(ISNA(VLOOKUP(A90,'Données projet'!$A$61:$I$81,5,0)),0%,VLOOKUP(A90,'Données projet'!$A$61:$I$81,5,0)*VLOOKUP('Données projet'!$B$10,'Paramètres'!$A$1:$I$88,7,0))</f>
        <v>0</v>
      </c>
      <c r="AS90" s="155">
        <f>IF(ISNA(VLOOKUP(A90,'Données projet'!$A$61:$I$81,6,0)),0%,VLOOKUP(A90,'Données projet'!$A$61:$I$81,6,0)*VLOOKUP('Données projet'!$B$10,'Paramètres'!$A$1:$I$88,7,0))</f>
        <v>0</v>
      </c>
      <c r="AT90" s="155">
        <f>IF(ISNA(VLOOKUP(A90,'Données projet'!$A$61:$I$81,7,0)),0%,VLOOKUP(A90,'Données projet'!$A$61:$I$81,7,0))</f>
        <v>0</v>
      </c>
      <c r="AU90" s="162">
        <f>EXP(-LN(2)/35)*AU89+(1-EXP(-LN(2)/35))/(LN(2)/35)*AQ90*AR90*VLOOKUP('Données projet'!$B$10,'Paramètres'!$A$1:$I$88,3,0)*0.475*44/12</f>
        <v>0</v>
      </c>
      <c r="AV90" s="162">
        <f>EXP(-LN(2)/25)*AV89+(1-EXP(-LN(2)/25))/(LN(2)/25)*Calculateur!AQ90*Calculateur!AS90*VLOOKUP('Données projet'!$B$10,'Paramètres'!$A$1:$I$88,3,0)*0.475*44/12</f>
        <v>3.755301002</v>
      </c>
      <c r="AW90" s="162">
        <f>EXP(-LN(2)/2)*AW89+(1-EXP(-LN(2)/2))/(LN(2)/2)*AQ90*AT90*VLOOKUP('Données projet'!$B$10,'Paramètres'!$A$1:$I$88,3,0)*0.475*44/12</f>
        <v>0.000000001527065153</v>
      </c>
      <c r="AX90" s="162">
        <f t="shared" si="7"/>
        <v>3.755301004</v>
      </c>
      <c r="AY90" s="157">
        <f>('Scénario référence'!$F$8+'Scénario référence'!$F$9+'Scénario référence'!$B$17+'Scénario référence'!$B$9+'Scénario référence'!$B$10)*70+IF((45+25*(1-EXP(-0.0175*A90)))&lt;70,'Scénario référence'!$B$16*(45+25*(1-EXP(-0.0175*A90))),70*'Scénario référence'!$B$16)+IF((32+38*(1-EXP(-0.0175*A90)))&lt;70,'Scénario référence'!$B$18*(32+38*(1-EXP(-0.0175*A90))),70*'Scénario référence'!$B$18)</f>
        <v>70</v>
      </c>
      <c r="AZ90" s="151">
        <f>IF(A90&gt;30,10,('Scénario référence'!$B$16+'Scénario référence'!$B$17+'Scénario référence'!$B$18+'Scénario référence'!$B$9+'Scénario référence'!$B$10)*A90*10/30+('Scénario référence'!$F$8+'Scénario référence'!$F$9)*10)</f>
        <v>10</v>
      </c>
      <c r="BA90" s="151" t="str">
        <f>VLOOKUP(A90,'Données projet'!$A$87:$I$107,2,0)</f>
        <v>#N/A</v>
      </c>
      <c r="BB90" s="151" t="str">
        <f>VLOOKUP(A90,'Données projet'!$A$87:$I$107,9,0)</f>
        <v>#N/A</v>
      </c>
      <c r="BC90" s="151" t="str">
        <f t="array" ref="BC90">INDEX(BB:BB,MIN(IF(ISNUMBER(BB90:BB286),ROW(BB90:BB286),"")))</f>
        <v/>
      </c>
      <c r="BD90" s="150">
        <f>IF('Données projet'!$A$88&gt;35,BD89+BC90-BL89,IF(A90&lt;'Données projet'!$A$88,$BA$205^A90,IF(A90='Données projet'!$A$88,'Données projet'!$B$88,BD89+BC90-BL89)))</f>
        <v>0</v>
      </c>
      <c r="BE90" s="150">
        <f>BD90*VLOOKUP('Données projet'!$B$11,'Paramètres'!$A$1:$I$88,3,0)*VLOOKUP('Données projet'!$B$11,'Paramètres'!$A$1:$I$88,5,0)</f>
        <v>0</v>
      </c>
      <c r="BF90" s="150" t="str">
        <f t="shared" si="38"/>
        <v>#NUM!</v>
      </c>
      <c r="BG90" s="161" t="str">
        <f t="shared" si="8"/>
        <v>#NUM!</v>
      </c>
      <c r="BH90" s="153" t="str">
        <f t="shared" si="9"/>
        <v>#NUM!</v>
      </c>
      <c r="BI90" s="153">
        <f>AVERAGE(OFFSET($BH$3,0,0,'Données projet'!$E$11+1,1))-AVERAGE(OFFSET($H$3,0,0,'Données projet'!$E$11+1,1))</f>
        <v>0</v>
      </c>
      <c r="BJ90" s="153">
        <f t="shared" si="39"/>
        <v>0</v>
      </c>
      <c r="BK90" s="154">
        <f>IF(ISNA(VLOOKUP(A90,'Données projet'!$A$87:$I$107,3,0)),0,VLOOKUP(A90,'Données projet'!$A$87:$I$107,3,0))</f>
        <v>0</v>
      </c>
      <c r="BL90" s="154">
        <f>IF(ISNA(VLOOKUP(A90,'Données projet'!$A$87:$I$107,4,0)),0,VLOOKUP(A90,'Données projet'!$A$87:$I$107,4,0))</f>
        <v>0</v>
      </c>
      <c r="BM90" s="155">
        <f>IF(ISNA(VLOOKUP(A90,'Données projet'!$A$87:$I$107,5,0)),0%,VLOOKUP(A90,'Données projet'!$A$87:$I$107,5,0)*VLOOKUP('Données projet'!$B$11,'Paramètres'!$A$1:$I$88,7,0))</f>
        <v>0</v>
      </c>
      <c r="BN90" s="155">
        <f>IF(ISNA(VLOOKUP(A90,'Données projet'!$A$87:$I$107,6,0)),0%,VLOOKUP(A90,'Données projet'!$A$87:$I$107,6,0)*VLOOKUP('Données projet'!$B$11,'Paramètres'!$A$1:$I$88,7,0))</f>
        <v>0</v>
      </c>
      <c r="BO90" s="155">
        <f>IF(ISNA(VLOOKUP(A90,'Données projet'!$A$87:$I$107,7,0)),0%,VLOOKUP(A90,'Données projet'!$A$87:$I$107,7,0))</f>
        <v>0</v>
      </c>
      <c r="BP90" s="162">
        <f>EXP(-LN(2)/35)*BP89+(1-EXP(-LN(2)/35))/(LN(2)/35)*BL90*BM90*VLOOKUP('Données projet'!$B$11,'Paramètres'!$A$1:$I$88,3,0)*0.475*44/12</f>
        <v>0</v>
      </c>
      <c r="BQ90" s="162">
        <f>EXP(-LN(2)/25)*BQ89+(1-EXP(-LN(2)/25))/(LN(2)/25)*Calculateur!BL90*Calculateur!BN90*VLOOKUP('Données projet'!$B$11,'Paramètres'!$A$1:$I$88,3,0)*0.475*44/12</f>
        <v>0</v>
      </c>
      <c r="BR90" s="162">
        <f>EXP(-LN(2)/2)*BR89+(1-EXP(-LN(2)/2))/(LN(2)/2)*BL90*BO90*VLOOKUP('Données projet'!$B$11,'Paramètres'!$A$1:$I$88,3,0)*0.475*44/12</f>
        <v>0</v>
      </c>
      <c r="BS90" s="163">
        <f t="shared" si="10"/>
        <v>0</v>
      </c>
      <c r="BT90" s="159">
        <f>('Scénario référence'!$F$8+'Scénario référence'!$F$9+'Scénario référence'!$B$17+'Scénario référence'!$B$9+'Scénario référence'!$B$10)*70+IF((45+25*(1-EXP(-0.0175*A90)))&lt;70,'Scénario référence'!$B$16*(45+25*(1-EXP(-0.0175*A90))),70*'Scénario référence'!$B$16)+IF((32+38*(1-EXP(-0.0175*A90)))&lt;70,'Scénario référence'!$B$18*(32+38*(1-EXP(-0.0175*A90))),70*'Scénario référence'!$B$18)</f>
        <v>70</v>
      </c>
      <c r="BU90" s="151">
        <f>IF(A90&gt;30,10,('Scénario référence'!$B$16+'Scénario référence'!$B$17+'Scénario référence'!$B$18+'Scénario référence'!$B$9+'Scénario référence'!$B$10)*A90*10/30+('Scénario référence'!$F$8+'Scénario référence'!$F$9)*10)</f>
        <v>10</v>
      </c>
      <c r="BV90" s="151" t="str">
        <f>VLOOKUP(A90,'Données projet'!$A$113:$I$133,2,0)</f>
        <v>#N/A</v>
      </c>
      <c r="BW90" s="151" t="str">
        <f>VLOOKUP(A90,'Données projet'!$A$113:$I$133,9,0)</f>
        <v>#N/A</v>
      </c>
      <c r="BX90" s="150" t="str">
        <f t="array" ref="BX90">INDEX(BW:BW,MIN(IF(ISNUMBER(BW90:BW286),ROW(BW90:BW286),"")))</f>
        <v/>
      </c>
      <c r="BY90" s="150">
        <f>IF('Données projet'!$A$114&gt;35,BY89+BX90-CG89,IF(A90&lt;'Données projet'!$A$114,$BV$205^A90,IF(A90='Données projet'!$A$114,'Données projet'!$B$114,BY89+BX90-CG89)))</f>
        <v>0</v>
      </c>
      <c r="BZ90" s="150" t="str">
        <f>BY90*VLOOKUP('Données projet'!$B$12,'Paramètres'!$A$1:$I$88,3,0)*VLOOKUP('Données projet'!$B$12,'Paramètres'!$A$1:$I$88,5,0)</f>
        <v>#N/A</v>
      </c>
      <c r="CA90" s="150" t="str">
        <f t="shared" si="40"/>
        <v>#N/A</v>
      </c>
      <c r="CB90" s="161" t="str">
        <f t="shared" si="11"/>
        <v>#N/A</v>
      </c>
      <c r="CC90" s="153" t="str">
        <f t="shared" si="12"/>
        <v>#N/A</v>
      </c>
      <c r="CD90" s="153" t="str">
        <f>AVERAGE(OFFSET($CC$3,0,0,'Données projet'!$E$12+1,1))-AVERAGE(OFFSET($H$3,0,0,'Données projet'!$E$12+1,1))</f>
        <v>#N/A</v>
      </c>
      <c r="CE90" s="153" t="str">
        <f t="shared" si="41"/>
        <v>#N/A</v>
      </c>
      <c r="CF90" s="154">
        <f>IF(ISNA(VLOOKUP(A90,'Données projet'!$A$113:$I$133,3,0)),0,VLOOKUP(A90,'Données projet'!$A$113:$I$133,3,0))</f>
        <v>0</v>
      </c>
      <c r="CG90" s="154">
        <f>IF(ISNA(VLOOKUP(A90,'Données projet'!$A$113:$I$133,4,0)),0,VLOOKUP(A90,'Données projet'!$A$113:$I$133,4,0))</f>
        <v>0</v>
      </c>
      <c r="CH90" s="155">
        <f>IF(ISNA(VLOOKUP(A90,'Données projet'!$A$113:$I$133,5,0)),0%,VLOOKUP(A90,'Données projet'!$A$113:$I$133,5,0)*VLOOKUP('Données projet'!$B$12,'Paramètres'!$A$1:$I$88,7,0))</f>
        <v>0</v>
      </c>
      <c r="CI90" s="155">
        <f>IF(ISNA(VLOOKUP(A90,'Données projet'!$A$113:$I$133,6,0)),0%,VLOOKUP(A90,'Données projet'!$A$113:$I$133,6,0)*VLOOKUP('Données projet'!$B$12,'Paramètres'!$A$1:$I$88,7,0))</f>
        <v>0</v>
      </c>
      <c r="CJ90" s="155">
        <f>IF(ISNA(VLOOKUP(A90,'Données projet'!$A$113:$I$133,7,0)),0%,VLOOKUP(A90,'Données projet'!$A$113:$I$133,7,0))</f>
        <v>0</v>
      </c>
      <c r="CK90" s="162" t="str">
        <f>EXP(-LN(2)/35)*CK89+(1-EXP(-LN(2)/35))/(LN(2)/35)*CG90*CH90*VLOOKUP('Données projet'!$B$12,'Paramètres'!$A$1:$I$88,3,0)*0.475*44/12</f>
        <v>#N/A</v>
      </c>
      <c r="CL90" s="162" t="str">
        <f>EXP(-LN(2)/25)*CL89+(1-EXP(-LN(2)/25))/(LN(2)/25)*Calculateur!CG90*Calculateur!CI90*VLOOKUP('Données projet'!$B$12,'Paramètres'!$A$1:$I$88,3,0)*0.475*44/12</f>
        <v>#N/A</v>
      </c>
      <c r="CM90" s="162" t="str">
        <f>EXP(-LN(2)/2)*CM89+(1-EXP(-LN(2)/2))/(LN(2)/2)*CG90*CJ90*VLOOKUP('Données projet'!$B$12,'Paramètres'!$A$1:$I$88,3,0)*0.475*44/12</f>
        <v>#N/A</v>
      </c>
      <c r="CN90" s="163" t="str">
        <f t="shared" si="13"/>
        <v>#N/A</v>
      </c>
      <c r="CO90" s="159">
        <f>('Scénario référence'!$F$8+'Scénario référence'!$F$9+'Scénario référence'!$B$17+'Scénario référence'!$B$9+'Scénario référence'!$B$10)*70+IF((45+25*(1-EXP(-0.0175*A90)))&lt;70,'Scénario référence'!$B$16*(45+25*(1-EXP(-0.0175*A90))),70*'Scénario référence'!$B$16)+IF((32+38*(1-EXP(-0.0175*A90)))&lt;70,'Scénario référence'!$B$18*(32+38*(1-EXP(-0.0175*A90))),70*'Scénario référence'!$B$18)</f>
        <v>70</v>
      </c>
      <c r="CP90" s="151">
        <f>IF(A90&gt;30,10,('Scénario référence'!$B$16+'Scénario référence'!$B$17+'Scénario référence'!$B$18+'Scénario référence'!$B$9+'Scénario référence'!$B$10)*A90*10/30+('Scénario référence'!$F$8+'Scénario référence'!$F$9)*10)</f>
        <v>10</v>
      </c>
      <c r="CQ90" s="151" t="str">
        <f>VLOOKUP(A90,'Données projet'!$A$139:$I$159,2,0)</f>
        <v>#N/A</v>
      </c>
      <c r="CR90" s="151" t="str">
        <f>VLOOKUP(A90,'Données projet'!$A$139:$I$159,9,0)</f>
        <v>#N/A</v>
      </c>
      <c r="CS90" s="151" t="str">
        <f t="array" ref="CS90">INDEX(CR:CR,MIN(IF(ISNUMBER(CR90:CR286),ROW(CR90:CR286),"")))</f>
        <v/>
      </c>
      <c r="CT90" s="151">
        <f>IF('Données projet'!$A$140&gt;35,CT89+CS90-DB89,IF(A90&lt;'Données projet'!$A$140,$CQ$205^A90,IF(A90='Données projet'!$A$140,'Données projet'!$B$140,CT89+CS90-DB89)))</f>
        <v>0</v>
      </c>
      <c r="CU90" s="158" t="str">
        <f>CT90*VLOOKUP('Données projet'!$B$13,'Paramètres'!$A$1:$I$88,3,0)*VLOOKUP('Données projet'!$B$13,'Paramètres'!$A$1:$I$88,5,0)</f>
        <v>#N/A</v>
      </c>
      <c r="CV90" s="150" t="str">
        <f t="shared" si="42"/>
        <v>#N/A</v>
      </c>
      <c r="CW90" s="161" t="str">
        <f t="shared" si="14"/>
        <v>#N/A</v>
      </c>
      <c r="CX90" s="153" t="str">
        <f t="shared" si="15"/>
        <v>#N/A</v>
      </c>
      <c r="CY90" s="153" t="str">
        <f>AVERAGE(OFFSET($CX$3,0,0,'Données projet'!$E$13+1,1))-AVERAGE(OFFSET($H$3,0,0,'Données projet'!$E$13+1,1))</f>
        <v>#N/A</v>
      </c>
      <c r="CZ90" s="153" t="str">
        <f t="shared" si="43"/>
        <v>#N/A</v>
      </c>
      <c r="DA90" s="154">
        <f>IF(ISNA(VLOOKUP(A90,'Données projet'!$A$139:$I$159,3,0)),0,VLOOKUP(A90,'Données projet'!$A$139:$I$159,3,0))</f>
        <v>0</v>
      </c>
      <c r="DB90" s="154">
        <f>IF(ISNA(VLOOKUP(A90,'Données projet'!$A$139:$I$159,4,0)),0,VLOOKUP(A90,'Données projet'!$A$139:$I$159,4,0))</f>
        <v>0</v>
      </c>
      <c r="DC90" s="155">
        <f>IF(ISNA(VLOOKUP(A90,'Données projet'!$A$139:$I$159,5,0)),0%,VLOOKUP(A90,'Données projet'!$A$139:$I$159,5,0)*VLOOKUP('Données projet'!$B$13,'Paramètres'!$A$1:$I$88,7,0))</f>
        <v>0</v>
      </c>
      <c r="DD90" s="155">
        <f>IF(ISNA(VLOOKUP(A90,'Données projet'!$A$139:$I$159,6,0)),0%,VLOOKUP(A90,'Données projet'!$A$139:$I$159,6,0)*VLOOKUP('Données projet'!$B$13,'Paramètres'!$A$1:$I$88,7,0))</f>
        <v>0</v>
      </c>
      <c r="DE90" s="155">
        <f>IF(ISNA(VLOOKUP(A90,'Données projet'!$A$139:$I$159,7,0)),0%,VLOOKUP(A90,'Données projet'!$A$139:$I$159,7,0))</f>
        <v>0</v>
      </c>
      <c r="DF90" s="162" t="str">
        <f>EXP(-LN(2)/35)*DF89+(1-EXP(-LN(2)/35))/(LN(2)/35)*DB90*DC90*VLOOKUP('Données projet'!$B$13,'Paramètres'!$A$1:$I$88,3,0)*0.475*44/12</f>
        <v>#N/A</v>
      </c>
      <c r="DG90" s="162" t="str">
        <f>EXP(-LN(2)/25)*DG89+(1-EXP(-LN(2)/25))/(LN(2)/25)*Calculateur!DB90*Calculateur!DD90*VLOOKUP('Données projet'!$B$13,'Paramètres'!$A$1:$I$88,3,0)*0.475*44/12</f>
        <v>#N/A</v>
      </c>
      <c r="DH90" s="162" t="str">
        <f>EXP(-LN(2)/2)*DH89+(1-EXP(-LN(2)/2))/(LN(2)/2)*DB90*DE90*VLOOKUP('Données projet'!$B$13,'Paramètres'!$A$1:$I$88,3,0)*0.475*44/12</f>
        <v>#N/A</v>
      </c>
      <c r="DI90" s="163" t="str">
        <f t="shared" si="16"/>
        <v>#N/A</v>
      </c>
      <c r="DJ90" s="159">
        <f>('Scénario référence'!$F$8+'Scénario référence'!$F$9+'Scénario référence'!$B$17+'Scénario référence'!$B$9+'Scénario référence'!$B$10)*70+IF((45+25*(1-EXP(-0.0175*A90)))&lt;70,'Scénario référence'!$B$16*(45+25*(1-EXP(-0.0175*A90))),70*'Scénario référence'!$B$16)+IF((32+38*(1-EXP(-0.0175*A90)))&lt;70,'Scénario référence'!$B$18*(32+38*(1-EXP(-0.0175*A90))),70*'Scénario référence'!$B$18)</f>
        <v>70</v>
      </c>
      <c r="DK90" s="151">
        <f>IF(A90&gt;30,10,('Scénario référence'!$B$16+'Scénario référence'!$B$17+'Scénario référence'!$B$18+'Scénario référence'!$B$9+'Scénario référence'!$B$10)*A90*10/30+('Scénario référence'!$F$8+'Scénario référence'!$F$9)*10)</f>
        <v>10</v>
      </c>
      <c r="DL90" s="151" t="str">
        <f>VLOOKUP(A90,'Données projet'!$A$165:$I$185,2,0)</f>
        <v>#N/A</v>
      </c>
      <c r="DM90" s="151" t="str">
        <f>VLOOKUP(A90,'Données projet'!$A$165:$I$185,9,0)</f>
        <v>#N/A</v>
      </c>
      <c r="DN90" s="151" t="str">
        <f t="array" ref="DN90">INDEX(DM:DM,MIN(IF(ISNUMBER(DM90:DM286),ROW(DM90:DM286),"")))</f>
        <v/>
      </c>
      <c r="DO90" s="151">
        <f>IF('Données projet'!$A$166&gt;35,DO89+DN90-DW89,IF(A90&lt;'Données projet'!$A$166,$DL$205^A90,IF(A90='Données projet'!$A$166,'Données projet'!$B$166,DO89+DN90-DW89)))</f>
        <v>0</v>
      </c>
      <c r="DP90" s="158" t="str">
        <f>DO90*VLOOKUP('Données projet'!$B$14,'Paramètres'!$A$1:$I$88,3,0)*VLOOKUP('Données projet'!$B$14,'Paramètres'!$A$1:$I$88,5,0)</f>
        <v>#N/A</v>
      </c>
      <c r="DQ90" s="150" t="str">
        <f t="shared" si="44"/>
        <v>#N/A</v>
      </c>
      <c r="DR90" s="161" t="str">
        <f t="shared" si="17"/>
        <v>#N/A</v>
      </c>
      <c r="DS90" s="153" t="str">
        <f t="shared" si="18"/>
        <v>#N/A</v>
      </c>
      <c r="DT90" s="153" t="str">
        <f>AVERAGE(OFFSET($DS$3,0,0,'Données projet'!$E$14+1,1))-AVERAGE(OFFSET($H$3,0,0,'Données projet'!$E$14+1,1))</f>
        <v>#N/A</v>
      </c>
      <c r="DU90" s="153" t="str">
        <f t="shared" si="45"/>
        <v>#N/A</v>
      </c>
      <c r="DV90" s="154">
        <f>IF(ISNA(VLOOKUP(A90,'Données projet'!$A$165:$I$185,3,0)),0,VLOOKUP(A90,'Données projet'!$A$165:$I$185,3,0))</f>
        <v>0</v>
      </c>
      <c r="DW90" s="154">
        <f>IF(ISNA(VLOOKUP(A90,'Données projet'!$A$165:$I$185,4,0)),0,VLOOKUP(A90,'Données projet'!$A$165:$I$185,4,0))</f>
        <v>0</v>
      </c>
      <c r="DX90" s="155">
        <f>IF(ISNA(VLOOKUP(A90,'Données projet'!$A$165:$I$185,5,0)),0%,VLOOKUP(A90,'Données projet'!$A$165:$I$185,5,0)*VLOOKUP('Données projet'!$B$14,'Paramètres'!$A$1:$I$88,7,0))</f>
        <v>0</v>
      </c>
      <c r="DY90" s="155">
        <f>IF(ISNA(VLOOKUP(A90,'Données projet'!$A$165:$I$185,6,0)),0%,VLOOKUP(A90,'Données projet'!$A$165:$I$185,6,0)*VLOOKUP('Données projet'!$B$14,'Paramètres'!$A$1:$I$88,7,0))</f>
        <v>0</v>
      </c>
      <c r="DZ90" s="155">
        <f>IF(ISNA(VLOOKUP(A90,'Données projet'!$A$165:$I$185,7,0)),0%,VLOOKUP(A90,'Données projet'!$A$165:$I$185,7,0))</f>
        <v>0</v>
      </c>
      <c r="EA90" s="162" t="str">
        <f>EXP(-LN(2)/35)*EA89+(1-EXP(-LN(2)/35))/(LN(2)/35)*DW90*DX90*VLOOKUP('Données projet'!$B$14,'Paramètres'!$A$1:$I$88,3,0)*0.475*44/12</f>
        <v>#N/A</v>
      </c>
      <c r="EB90" s="162" t="str">
        <f>EXP(-LN(2)/25)*EB89+(1-EXP(-LN(2)/25))/(LN(2)/25)*Calculateur!DW90*Calculateur!DY90*VLOOKUP('Données projet'!$B$14,'Paramètres'!$A$1:$I$88,3,0)*0.475*44/12</f>
        <v>#N/A</v>
      </c>
      <c r="EC90" s="162" t="str">
        <f>EXP(-LN(2)/2)*EC89+(1-EXP(-LN(2)/2))/(LN(2)/2)*DW90*DZ90*VLOOKUP('Données projet'!$B$14,'Paramètres'!$A$1:$I$88,3,0)*0.475*44/12</f>
        <v>#N/A</v>
      </c>
      <c r="ED90" s="163" t="str">
        <f t="shared" si="19"/>
        <v>#N/A</v>
      </c>
      <c r="EE90" s="159">
        <f>('Scénario référence'!$F$8+'Scénario référence'!$F$9+'Scénario référence'!$B$17+'Scénario référence'!$B$9+'Scénario référence'!$B$10)*70+IF((45+25*(1-EXP(-0.0175*A90)))&lt;70,'Scénario référence'!$B$16*(45+25*(1-EXP(-0.0175*A90))),70*'Scénario référence'!$B$16)+IF((32+38*(1-EXP(-0.0175*A90)))&lt;70,'Scénario référence'!$B$18*(32+38*(1-EXP(-0.0175*A90))),70*'Scénario référence'!$B$18)</f>
        <v>70</v>
      </c>
      <c r="EF90" s="151">
        <f>IF(A90&gt;30,10,('Scénario référence'!$B$16+'Scénario référence'!$B$17+'Scénario référence'!$B$18+'Scénario référence'!$B$9+'Scénario référence'!$B$10)*A90*10/30+('Scénario référence'!$F$8+'Scénario référence'!$F$9)*10)</f>
        <v>10</v>
      </c>
      <c r="EG90" s="151" t="str">
        <f>VLOOKUP(A90,'Données projet'!$A$191:$I$211,2,0)</f>
        <v>#N/A</v>
      </c>
      <c r="EH90" s="151" t="str">
        <f>VLOOKUP(A90,'Données projet'!$A$191:$I$211,9,0)</f>
        <v>#N/A</v>
      </c>
      <c r="EI90" s="151" t="str">
        <f t="array" ref="EI90">INDEX(EH:EH,MIN(IF(ISNUMBER(EH90:EH286),ROW(EH90:EH286),"")))</f>
        <v/>
      </c>
      <c r="EJ90" s="151">
        <f>IF('Données projet'!$A$192&gt;35,EJ89+EI90-ER89,IF(A90&lt;'Données projet'!$A$192,$EG$205^A90,IF(A90='Données projet'!$A$192,'Données projet'!$B$192,EJ89+EI90-ER89)))</f>
        <v>0</v>
      </c>
      <c r="EK90" s="158" t="str">
        <f>EJ90*VLOOKUP('Données projet'!$B$15,'Paramètres'!$A$1:$I$88,3,0)*VLOOKUP('Données projet'!$B$15,'Paramètres'!$A$1:$I$88,5,0)</f>
        <v>#N/A</v>
      </c>
      <c r="EL90" s="150" t="str">
        <f t="shared" si="46"/>
        <v>#N/A</v>
      </c>
      <c r="EM90" s="161" t="str">
        <f t="shared" si="20"/>
        <v>#N/A</v>
      </c>
      <c r="EN90" s="153" t="str">
        <f t="shared" si="21"/>
        <v>#N/A</v>
      </c>
      <c r="EO90" s="153" t="str">
        <f>AVERAGE(OFFSET($EN$3,0,0,'Données projet'!$E$15+1,1))-AVERAGE(OFFSET($H$3,0,0,'Données projet'!$E$15+1,1))</f>
        <v>#N/A</v>
      </c>
      <c r="EP90" s="153" t="str">
        <f t="shared" si="47"/>
        <v>#N/A</v>
      </c>
      <c r="EQ90" s="154">
        <f>IF(ISNA(VLOOKUP(A90,'Données projet'!$A$191:$I$211,3,0)),0,VLOOKUP(A90,'Données projet'!$A$191:$I$211,3,0))</f>
        <v>0</v>
      </c>
      <c r="ER90" s="154">
        <f>IF(ISNA(VLOOKUP(A90,'Données projet'!$A$191:$I$211,4,0)),0,VLOOKUP(A90,'Données projet'!$A$191:$I$211,4,0))</f>
        <v>0</v>
      </c>
      <c r="ES90" s="155">
        <f>IF(ISNA(VLOOKUP(A90,'Données projet'!$A$191:$I$211,5,0)),0%,VLOOKUP(A90,'Données projet'!$A$191:$I$211,5,0)*VLOOKUP('Données projet'!$B$15,'Paramètres'!$A$1:$I$88,7,0))</f>
        <v>0</v>
      </c>
      <c r="ET90" s="155">
        <f>IF(ISNA(VLOOKUP(A90,'Données projet'!$A$191:$I$211,6,0)),0%,VLOOKUP(A90,'Données projet'!$A$191:$I$211,6,0)*VLOOKUP('Données projet'!$B$15,'Paramètres'!$A$1:$I$88,7,0))</f>
        <v>0</v>
      </c>
      <c r="EU90" s="155">
        <f>IF(ISNA(VLOOKUP(A90,'Données projet'!$A$191:$I$211,7,0)),0%,VLOOKUP(A90,'Données projet'!$A$191:$I$211,7,0))</f>
        <v>0</v>
      </c>
      <c r="EV90" s="162" t="str">
        <f>EXP(-LN(2)/35)*EV89+(1-EXP(-LN(2)/35))/(LN(2)/35)*ER90*ES90*VLOOKUP('Données projet'!$B$15,'Paramètres'!$A$1:$I$88,3,0)*0.475*44/12</f>
        <v>#N/A</v>
      </c>
      <c r="EW90" s="162" t="str">
        <f>EXP(-LN(2)/25)*EW89+(1-EXP(-LN(2)/25))/(LN(2)/25)*Calculateur!ER90*Calculateur!ET90*VLOOKUP('Données projet'!$B$15,'Paramètres'!$A$1:$I$88,3,0)*0.475*44/12</f>
        <v>#N/A</v>
      </c>
      <c r="EX90" s="162" t="str">
        <f>EXP(-LN(2)/2)*EX89+(1-EXP(-LN(2)/2))/(LN(2)/2)*ER90*EU90*VLOOKUP('Données projet'!$B$15,'Paramètres'!$A$1:$I$88,3,0)*0.475*44/12</f>
        <v>#N/A</v>
      </c>
      <c r="EY90" s="163" t="str">
        <f t="shared" si="22"/>
        <v>#N/A</v>
      </c>
      <c r="EZ90" s="159">
        <f>('Scénario référence'!$F$8+'Scénario référence'!$F$9+'Scénario référence'!$B$17+'Scénario référence'!$B$9+'Scénario référence'!$B$10)*70+IF((45+25*(1-EXP(-0.0175*A90)))&lt;70,'Scénario référence'!$B$16*(45+25*(1-EXP(-0.0175*A90))),70*'Scénario référence'!$B$16)+IF((32+38*(1-EXP(-0.0175*A90)))&lt;70,'Scénario référence'!$B$18*(32+38*(1-EXP(-0.0175*A90))),70*'Scénario référence'!$B$18)</f>
        <v>70</v>
      </c>
      <c r="FA90" s="151">
        <f>IF(A90&gt;30,10,('Scénario référence'!$B$16+'Scénario référence'!$B$17+'Scénario référence'!$B$18+'Scénario référence'!$B$9+'Scénario référence'!$B$10)*A90*10/30+('Scénario référence'!$F$8+'Scénario référence'!$F$9)*10)</f>
        <v>10</v>
      </c>
      <c r="FB90" s="151" t="str">
        <f>VLOOKUP(A90,'Données projet'!$A$217:$I$237,2,0)</f>
        <v>#N/A</v>
      </c>
      <c r="FC90" s="151" t="str">
        <f>VLOOKUP(A90,'Données projet'!$A$217:$I$237,9,0)</f>
        <v>#N/A</v>
      </c>
      <c r="FD90" s="151" t="str">
        <f t="array" ref="FD90">INDEX(FC:FC,MIN(IF(ISNUMBER(FC90:FC286),ROW(FC90:FC286),"")))</f>
        <v/>
      </c>
      <c r="FE90" s="151">
        <f>IF('Données projet'!$A$218&gt;35,FE89+FD90-FM89,IF(A90&lt;'Données projet'!$A$218,$FB$205^A90,IF(A90='Données projet'!$A$218,'Données projet'!$B$218,FE89+FD90-FM89)))</f>
        <v>0</v>
      </c>
      <c r="FF90" s="158" t="str">
        <f>FE90*VLOOKUP('Données projet'!$B$16,'Paramètres'!$A$1:$I$88,3,0)*VLOOKUP('Données projet'!$B$16,'Paramètres'!$A$1:$I$88,5,0)</f>
        <v>#N/A</v>
      </c>
      <c r="FG90" s="150" t="str">
        <f t="shared" si="48"/>
        <v>#N/A</v>
      </c>
      <c r="FH90" s="161" t="str">
        <f t="shared" si="23"/>
        <v>#N/A</v>
      </c>
      <c r="FI90" s="153" t="str">
        <f t="shared" si="24"/>
        <v>#N/A</v>
      </c>
      <c r="FJ90" s="153" t="str">
        <f>AVERAGE(OFFSET($FI$3,0,0,'Données projet'!$E$16+1,1))-AVERAGE(OFFSET($H$3,0,0,'Données projet'!$E$16+1,1))</f>
        <v>#N/A</v>
      </c>
      <c r="FK90" s="153" t="str">
        <f t="shared" si="49"/>
        <v>#N/A</v>
      </c>
      <c r="FL90" s="154">
        <f>IF(ISNA(VLOOKUP(A90,'Données projet'!$A$217:$I$237,3,0)),0,VLOOKUP(A90,'Données projet'!$A$217:$I$237,3,0))</f>
        <v>0</v>
      </c>
      <c r="FM90" s="154">
        <f>IF(ISNA(VLOOKUP(A90,'Données projet'!$A$217:$I$237,4,0)),0,VLOOKUP(A90,'Données projet'!$A$217:$I$237,4,0))</f>
        <v>0</v>
      </c>
      <c r="FN90" s="155">
        <f>IF(ISNA(VLOOKUP(A90,'Données projet'!$A$217:$I$237,5,0)),0%,VLOOKUP(A90,'Données projet'!$A$217:$I$237,5,0)*VLOOKUP('Données projet'!$B$16,'Paramètres'!$A$1:$I$88,7,0))</f>
        <v>0</v>
      </c>
      <c r="FO90" s="155">
        <f>IF(ISNA(VLOOKUP(A90,'Données projet'!$A$217:$I$237,6,0)),0%,VLOOKUP(A90,'Données projet'!$A$217:$I$237,6,0)*VLOOKUP('Données projet'!$B$16,'Paramètres'!$A$1:$I$88,7,0))</f>
        <v>0</v>
      </c>
      <c r="FP90" s="155">
        <f>IF(ISNA(VLOOKUP(A90,'Données projet'!$A$217:$I$237,7,0)),0%,VLOOKUP(A90,'Données projet'!$A$217:$I$237,7,0))</f>
        <v>0</v>
      </c>
      <c r="FQ90" s="162" t="str">
        <f>EXP(-LN(2)/35)*FQ89+(1-EXP(-LN(2)/35))/(LN(2)/35)*FM90*FN90*VLOOKUP('Données projet'!$B$16,'Paramètres'!$A$1:$I$88,3,0)*0.475*44/12</f>
        <v>#N/A</v>
      </c>
      <c r="FR90" s="162" t="str">
        <f>EXP(-LN(2)/25)*FR89+(1-EXP(-LN(2)/25))/(LN(2)/25)*Calculateur!FM90*Calculateur!FO90*VLOOKUP('Données projet'!$B$16,'Paramètres'!$A$1:$I$88,3,0)*0.475*44/12</f>
        <v>#N/A</v>
      </c>
      <c r="FS90" s="162" t="str">
        <f>EXP(-LN(2)/2)*FS89+(1-EXP(-LN(2)/2))/(LN(2)/2)*FM90*FP90*VLOOKUP('Données projet'!$B$16,'Paramètres'!$A$1:$I$88,3,0)*0.475*44/12</f>
        <v>#N/A</v>
      </c>
      <c r="FT90" s="163" t="str">
        <f t="shared" si="25"/>
        <v>#N/A</v>
      </c>
      <c r="FU90" s="159">
        <f>('Scénario référence'!$F$8+'Scénario référence'!$F$9+'Scénario référence'!$B$17+'Scénario référence'!$B$9+'Scénario référence'!$B$10)*70+IF((45+25*(1-EXP(-0.0175*A90)))&lt;70,'Scénario référence'!$B$16*(45+25*(1-EXP(-0.0175*A90))),70*'Scénario référence'!$B$16)+IF((32+38*(1-EXP(-0.0175*A90)))&lt;70,'Scénario référence'!$B$18*(32+38*(1-EXP(-0.0175*A90))),70*'Scénario référence'!$B$18)</f>
        <v>70</v>
      </c>
      <c r="FV90" s="151">
        <f>IF(A90&gt;30,10,('Scénario référence'!$B$16+'Scénario référence'!$B$17+'Scénario référence'!$B$18+'Scénario référence'!$B$9+'Scénario référence'!$B$10)*A90*10/30+('Scénario référence'!$F$8+'Scénario référence'!$F$9)*10)</f>
        <v>10</v>
      </c>
      <c r="FW90" s="151" t="str">
        <f>VLOOKUP(A90,'Données projet'!$A$243:$I$263,2,0)</f>
        <v>#N/A</v>
      </c>
      <c r="FX90" s="151" t="str">
        <f>VLOOKUP(A90,'Données projet'!$A$243:$I$263,9,0)</f>
        <v>#N/A</v>
      </c>
      <c r="FY90" s="151" t="str">
        <f t="array" ref="FY90">INDEX(FX:FX,MIN(IF(ISNUMBER(FX90:FX286),ROW(FX90:FX286),"")))</f>
        <v/>
      </c>
      <c r="FZ90" s="151">
        <f>IF('Données projet'!$A$244&gt;35,FZ89+FY90-GH89,IF(A90&lt;'Données projet'!$A$244,$FW$205^A90,IF(A90='Données projet'!$A$244,'Données projet'!$B$244,FZ89+FY90-GH89)))</f>
        <v>0</v>
      </c>
      <c r="GA90" s="158" t="str">
        <f>FZ90*VLOOKUP('Données projet'!$B$17,'Paramètres'!$A$1:$I$88,3,0)*VLOOKUP('Données projet'!$B$17,'Paramètres'!$A$1:$I$88,5,0)</f>
        <v>#N/A</v>
      </c>
      <c r="GB90" s="150" t="str">
        <f t="shared" si="50"/>
        <v>#N/A</v>
      </c>
      <c r="GC90" s="161" t="str">
        <f t="shared" si="26"/>
        <v>#N/A</v>
      </c>
      <c r="GD90" s="153" t="str">
        <f t="shared" si="27"/>
        <v>#N/A</v>
      </c>
      <c r="GE90" s="153" t="str">
        <f>AVERAGE(OFFSET($GD$3,0,0,'Données projet'!$E$17+1,1))-AVERAGE(OFFSET($H$3,0,0,'Données projet'!$E$17+1,1))</f>
        <v>#N/A</v>
      </c>
      <c r="GF90" s="153" t="str">
        <f t="shared" si="51"/>
        <v>#N/A</v>
      </c>
      <c r="GG90" s="154">
        <f>IF(ISNA(VLOOKUP(A90,'Données projet'!$A$243:$I$263,3,0)),0,VLOOKUP(A90,'Données projet'!$A$243:$I$263,3,0))</f>
        <v>0</v>
      </c>
      <c r="GH90" s="154">
        <f>IF(ISNA(VLOOKUP(A90,'Données projet'!$A$243:$I$263,4,0)),0,VLOOKUP(A90,'Données projet'!$A$243:$I$263,4,0))</f>
        <v>0</v>
      </c>
      <c r="GI90" s="155">
        <f>IF(ISNA(VLOOKUP(A90,'Données projet'!$A$243:$I$263,5,0)),0%,VLOOKUP(A90,'Données projet'!$A$243:$I$263,5,0)*VLOOKUP('Données projet'!$B$17,'Paramètres'!$A$1:$I$88,7,0))</f>
        <v>0</v>
      </c>
      <c r="GJ90" s="155">
        <f>IF(ISNA(VLOOKUP(A90,'Données projet'!$A$243:$I$263,6,0)),0%,VLOOKUP(A90,'Données projet'!$A$243:$I$263,6,0)*VLOOKUP('Données projet'!$B$17,'Paramètres'!$A$1:$I$88,7,0))</f>
        <v>0</v>
      </c>
      <c r="GK90" s="155">
        <f>IF(ISNA(VLOOKUP(A90,'Données projet'!$A$243:$I$263,7,0)),0%,VLOOKUP(A90,'Données projet'!$A$243:$I$263,7,0))</f>
        <v>0</v>
      </c>
      <c r="GL90" s="162" t="str">
        <f>EXP(-LN(2)/35)*GL89+(1-EXP(-LN(2)/35))/(LN(2)/35)*GH90*GI90*VLOOKUP('Données projet'!$B$17,'Paramètres'!$A$1:$I$88,3,0)*0.475*44/12</f>
        <v>#N/A</v>
      </c>
      <c r="GM90" s="162" t="str">
        <f>EXP(-LN(2)/25)*GM89+(1-EXP(-LN(2)/25))/(LN(2)/25)*Calculateur!GH90*Calculateur!GJ90*VLOOKUP('Données projet'!$B$17,'Paramètres'!$A$1:$I$88,3,0)*0.475*44/12</f>
        <v>#N/A</v>
      </c>
      <c r="GN90" s="162" t="str">
        <f>EXP(-LN(2)/2)*GN89+(1-EXP(-LN(2)/2))/(LN(2)/2)*GH90*GK90*VLOOKUP('Données projet'!$B$17,'Paramètres'!$A$1:$I$88,3,0)*0.475*44/12</f>
        <v>#N/A</v>
      </c>
      <c r="GO90" s="162" t="str">
        <f t="shared" si="28"/>
        <v>#N/A</v>
      </c>
      <c r="GP90" s="159">
        <f>('Scénario référence'!$F$8+'Scénario référence'!$F$9+'Scénario référence'!$B$17+'Scénario référence'!$B$9+'Scénario référence'!$B$10)*70+IF((45+25*(1-EXP(-0.0175*A90)))&lt;70,'Scénario référence'!$B$16*(45+25*(1-EXP(-0.0175*A90))),70*'Scénario référence'!$B$16)+IF((32+38*(1-EXP(-0.0175*A90)))&lt;70,'Scénario référence'!$B$18*(32+38*(1-EXP(-0.0175*A90))),70*'Scénario référence'!$B$18)</f>
        <v>70</v>
      </c>
      <c r="GQ90" s="151">
        <f>IF(A90&gt;30,10,('Scénario référence'!$B$16+'Scénario référence'!$B$17+'Scénario référence'!$B$18+'Scénario référence'!$B$9+'Scénario référence'!$B$10)*A90*10/30+('Scénario référence'!$F$8+'Scénario référence'!$F$9)*10)</f>
        <v>10</v>
      </c>
      <c r="GR90" s="151" t="str">
        <f>VLOOKUP(A90,'Données projet'!$A$269:$I$289,2,0)</f>
        <v>#N/A</v>
      </c>
      <c r="GS90" s="151" t="str">
        <f>VLOOKUP(A90,'Données projet'!$A$269:$I$289,9,0)</f>
        <v>#N/A</v>
      </c>
      <c r="GT90" s="151" t="str">
        <f t="array" ref="GT90">INDEX(GS:GS,MIN(IF(ISNUMBER(GS90:GS286),ROW(GS90:GS286),"")))</f>
        <v/>
      </c>
      <c r="GU90" s="151">
        <f>IF('Données projet'!$A$270&gt;35,GU89+GT90-HC89,IF(A90&lt;'Données projet'!$A$270,$GR$205^A90,IF(A90='Données projet'!$A$270,'Données projet'!$B$270,GU89+GT90-HC89)))</f>
        <v>0</v>
      </c>
      <c r="GV90" s="158" t="str">
        <f>GU90*VLOOKUP('Données projet'!$B$18,'Paramètres'!$A$1:$I$88,3,0)*VLOOKUP('Données projet'!$B$18,'Paramètres'!$A$1:$I$88,5,0)</f>
        <v>#N/A</v>
      </c>
      <c r="GW90" s="150" t="str">
        <f t="shared" si="52"/>
        <v>#N/A</v>
      </c>
      <c r="GX90" s="161" t="str">
        <f t="shared" si="29"/>
        <v>#N/A</v>
      </c>
      <c r="GY90" s="153" t="str">
        <f t="shared" si="30"/>
        <v>#N/A</v>
      </c>
      <c r="GZ90" s="153" t="str">
        <f>AVERAGE(OFFSET($GY$3,0,0,'Données projet'!$E$18+1,1))-AVERAGE(OFFSET($H$3,0,0,'Données projet'!$E$18+1,1))</f>
        <v>#N/A</v>
      </c>
      <c r="HA90" s="153" t="str">
        <f t="shared" si="53"/>
        <v>#N/A</v>
      </c>
      <c r="HB90" s="154">
        <f>IF(ISNA(VLOOKUP(A90,'Données projet'!$A$269:$I$289,3,0)),0,VLOOKUP(A90,'Données projet'!$A$269:$I$289,3,0))</f>
        <v>0</v>
      </c>
      <c r="HC90" s="154">
        <f>IF(ISNA(VLOOKUP(A90,'Données projet'!$A$269:$I$289,4,0)),0,VLOOKUP(A90,'Données projet'!$A$269:$I$289,4,0))</f>
        <v>0</v>
      </c>
      <c r="HD90" s="155">
        <f>IF(ISNA(VLOOKUP(A90,'Données projet'!$A$269:$I$289,5,0)),0%,VLOOKUP(A90,'Données projet'!$A$269:$I$289,5,0)*VLOOKUP('Données projet'!$B$18,'Paramètres'!$A$1:$I$88,7,0))</f>
        <v>0</v>
      </c>
      <c r="HE90" s="155">
        <f>IF(ISNA(VLOOKUP(A90,'Données projet'!$A$269:$I$289,6,0)),0%,VLOOKUP(A90,'Données projet'!$A$269:$I$289,6,0)*VLOOKUP('Données projet'!$B$18,'Paramètres'!$A$1:$I$88,7,0))</f>
        <v>0</v>
      </c>
      <c r="HF90" s="155">
        <f>IF(ISNA(VLOOKUP(A90,'Données projet'!$A$269:$I$289,7,0)),0%,VLOOKUP(A90,'Données projet'!$A$269:$I$289,7,0))</f>
        <v>0</v>
      </c>
      <c r="HG90" s="162" t="str">
        <f>EXP(-LN(2)/35)*HG89+(1-EXP(-LN(2)/35))/(LN(2)/35)*HC90*HD90*VLOOKUP('Données projet'!$B$18,'Paramètres'!$A$1:$I$88,3,0)*0.475*44/12</f>
        <v>#N/A</v>
      </c>
      <c r="HH90" s="162" t="str">
        <f>EXP(-LN(2)/25)*HH89+(1-EXP(-LN(2)/25))/(LN(2)/25)*Calculateur!HC90*Calculateur!HE90*VLOOKUP('Données projet'!$B$18,'Paramètres'!$A$1:$I$88,3,0)*0.475*44/12</f>
        <v>#N/A</v>
      </c>
      <c r="HI90" s="162" t="str">
        <f>EXP(-LN(2)/2)*HI89+(1-EXP(-LN(2)/2))/(LN(2)/2)*HC90*HF90*VLOOKUP('Données projet'!$B$18,'Paramètres'!$A$1:$I$88,3,0)*0.475*44/12</f>
        <v>#N/A</v>
      </c>
      <c r="HJ90" s="163" t="str">
        <f t="shared" si="31"/>
        <v>#N/A</v>
      </c>
    </row>
    <row r="91" ht="15.75" customHeight="1">
      <c r="A91" s="145">
        <f t="shared" si="32"/>
        <v>88</v>
      </c>
      <c r="B91" s="146">
        <f>'Scénario référence'!$B$16*5+'Scénario référence'!$B$17*0+'Scénario référence'!$B$18*5</f>
        <v>0</v>
      </c>
      <c r="C91" s="160">
        <f>Calculateur!C90+'Scénario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91" s="147">
        <f t="shared" si="33"/>
        <v>0</v>
      </c>
      <c r="E91" s="147">
        <f>'Scénario référence'!$B$16*45+('Scénario référence'!$B$17+'Scénario référence'!$F$8+'Scénario référence'!$F$9+'Scénario référence'!$B$10+'Scénario référence'!$B$9)*70+'Scénario référence'!$B$18*32</f>
        <v>70</v>
      </c>
      <c r="F91" s="147">
        <f>IF(OR('Scénario référence'!$F$8&gt;0,'Scénario référence'!$F$9&gt;0),('Scénario référence'!$F$8+'Scénario référence'!$F$9)*10,0)</f>
        <v>0</v>
      </c>
      <c r="G91" s="147">
        <f>'Scénario référence'!$B$8*B91*44/12+'Scénario référence'!$B$9*(C91+D91)/0.475*44/12+'Scénario référence'!$B$10*(C91+D91)/0.475*44/12+'Scénario référence'!$F$8*(C91+D91)/0.475*44/12+'Scénario référence'!$F$9*(C91+D91)/0.475*44/12</f>
        <v>0</v>
      </c>
      <c r="H91" s="148">
        <f t="shared" si="1"/>
        <v>256.6666667</v>
      </c>
      <c r="I91" s="149">
        <f>('Scénario référence'!$F$8+'Scénario référence'!$F$9+'Scénario référence'!$B$17+'Scénario référence'!$B$9+'Scénario référence'!$B$10)*70+IF((45+25*(1-EXP(-0.0175*A91)))&lt;70,'Scénario référence'!$B$16*(45+25*(1-EXP(-0.0175*A91))),70*'Scénario référence'!$B$16)+IF((32+38*(1-EXP(-0.0175*A91)))&lt;70,'Scénario référence'!$B$18*(32+38*(1-EXP(-0.0175*A91))),70*'Scénario référence'!$B$18)</f>
        <v>70</v>
      </c>
      <c r="J91" s="150">
        <f>IF(A91&gt;30,10,('Scénario référence'!$B$16+'Scénario référence'!$B$17+'Scénario référence'!$B$18+'Scénario référence'!$B$9+'Scénario référence'!$B$10)*A91*10/30+('Scénario référence'!$F$8+'Scénario référence'!$F$9)*10)</f>
        <v>10</v>
      </c>
      <c r="K91" s="151" t="str">
        <f>VLOOKUP(A91,'Données projet'!$A$35:$I$55,2,0)</f>
        <v>#N/A</v>
      </c>
      <c r="L91" s="151" t="str">
        <f>VLOOKUP(A91,'Données projet'!$A$35:$I$55,9,0)</f>
        <v>#N/A</v>
      </c>
      <c r="M91" s="150">
        <f t="array" ref="M91">INDEX(L:L,MIN(IF(ISNUMBER(L91:L287),ROW(L91:L287),"")))</f>
        <v>6.4</v>
      </c>
      <c r="N91" s="150">
        <f>IF('Données projet'!$A$36&gt;35,N90+M91-V90,IF(A91&lt;'Données projet'!$A$36,$K$205^A91,IF(A91='Données projet'!$A$36,'Données projet'!$B$36,N90+M91-V90)))</f>
        <v>317.2</v>
      </c>
      <c r="O91" s="150">
        <f>N91*VLOOKUP('Données projet'!$B$9,'Paramètres'!$A$1:$I$88,3,0)*VLOOKUP('Données projet'!$B$9,'Paramètres'!$A$1:$I$88,5,0)</f>
        <v>287.00256</v>
      </c>
      <c r="P91" s="150">
        <f t="shared" si="34"/>
        <v>68.44471694</v>
      </c>
      <c r="Q91" s="161">
        <f t="shared" si="2"/>
        <v>619.070674</v>
      </c>
      <c r="R91" s="153">
        <f t="shared" si="3"/>
        <v>912.4040073</v>
      </c>
      <c r="S91" s="153">
        <f>AVERAGE(OFFSET($R$3,0,0,'Données projet'!$E$9+1,1))-AVERAGE(OFFSET($H$3,0,0,'Données projet'!$E$9+1,1))</f>
        <v>439.1985427</v>
      </c>
      <c r="T91" s="153">
        <f t="shared" si="35"/>
        <v>278.2174123</v>
      </c>
      <c r="U91" s="154">
        <f>IF(ISNA(VLOOKUP(A91,'Données projet'!$A$35:$I$55,3,0)),0,VLOOKUP(A91,'Données projet'!$A$35:$I$55,3,0))</f>
        <v>0</v>
      </c>
      <c r="V91" s="154">
        <f>IF(ISNA(VLOOKUP(A91,'Données projet'!$A$35:$I$55,4,0)),0,VLOOKUP(A91,'Données projet'!$A$35:$I$55,4,0))</f>
        <v>0</v>
      </c>
      <c r="W91" s="155">
        <f>IF(ISNA(VLOOKUP(A91,'Données projet'!$A$35:$I$55,5,0)),0%,VLOOKUP(A91,'Données projet'!$A$35:$I$55,5,0)*VLOOKUP('Données projet'!$B$9,'Paramètres'!$A$1:$I$88,7,0))</f>
        <v>0</v>
      </c>
      <c r="X91" s="155">
        <f>IF(ISNA(VLOOKUP(A91,'Données projet'!$A$35:$I$55,6,0)),0%,VLOOKUP(A91,'Données projet'!$A$35:$I$55,6,0)*VLOOKUP('Données projet'!$B$9,'Paramètres'!$A$1:$I$88,7,0))</f>
        <v>0</v>
      </c>
      <c r="Y91" s="155">
        <f>IF(ISNA(VLOOKUP(A91,'Données projet'!$A$35:$I$55,7,0)),0%,VLOOKUP(A91,'Données projet'!$A$35:$I$55,7,0))</f>
        <v>0</v>
      </c>
      <c r="Z91" s="162">
        <f>EXP(-LN(2)/35)*Z90+(1-EXP(-LN(2)/35))/(LN(2)/35)*V91*W91*VLOOKUP('Données projet'!$B$9,'Paramètres'!$A$1:$I$88,3,0)*0.475*44/12</f>
        <v>0</v>
      </c>
      <c r="AA91" s="162">
        <f>EXP(-LN(2)/25)*AA90+(1-EXP(-LN(2)/25))/(LN(2)/25)*Calculateur!V91*Calculateur!X91*VLOOKUP('Données projet'!$B$9,'Paramètres'!$A$1:$I$88,3,0)*0.475*44/12</f>
        <v>0.8987164458</v>
      </c>
      <c r="AB91" s="162">
        <f>EXP(-LN(2)/2)*AB90+(1-EXP(-LN(2)/2))/(LN(2)/2)*V91*Y91*VLOOKUP('Données projet'!$B$9,'Paramètres'!$A$1:$I$88,3,0)*0.475*44/12</f>
        <v>0</v>
      </c>
      <c r="AC91" s="163">
        <f t="shared" si="4"/>
        <v>0.8987164458</v>
      </c>
      <c r="AD91" s="150">
        <f>('Scénario référence'!$F$8+'Scénario référence'!$F$9+'Scénario référence'!$B$17+'Scénario référence'!$B$9+'Scénario référence'!$B$10)*70+IF((45+25*(1-EXP(-0.0175*A91)))&lt;70,'Scénario référence'!$B$16*(45+25*(1-EXP(-0.0175*A91))),70*'Scénario référence'!$B$16)+IF((32+38*(1-EXP(-0.0175*A91)))&lt;70,'Scénario référence'!$B$18*(32+38*(1-EXP(-0.0175*A91))),70*'Scénario référence'!$B$18)</f>
        <v>70</v>
      </c>
      <c r="AE91" s="150">
        <f>IF(A91&gt;30,10,('Scénario référence'!$B$16+'Scénario référence'!$B$17+'Scénario référence'!$B$18+'Scénario référence'!$B$9+'Scénario référence'!$B$10)*A91*10/30+('Scénario référence'!$F$8+'Scénario référence'!$F$9)*10)</f>
        <v>10</v>
      </c>
      <c r="AF91" s="151" t="str">
        <f>VLOOKUP(A91,'Données projet'!$A$61:$I$81,2,0)</f>
        <v>#N/A</v>
      </c>
      <c r="AG91" s="151" t="str">
        <f>VLOOKUP(A91,'Données projet'!$A$61:$I$81,9,0)</f>
        <v>#N/A</v>
      </c>
      <c r="AH91" s="151" t="str">
        <f t="array" ref="AH91">INDEX(AG:AG,MIN(IF(ISNUMBER(AG91:AG287),ROW(AG91:AG287),"")))</f>
        <v/>
      </c>
      <c r="AI91" s="150">
        <f>IF('Données projet'!$A$62&gt;35,AI90+AH91-AQ90,IF(A91&lt;'Données projet'!$A$62,$AF$205^A91,IF(A91='Données projet'!$A$62,'Données projet'!$B$62,AI90+AH91-AQ90)))</f>
        <v>369</v>
      </c>
      <c r="AJ91" s="150">
        <f>AI91*VLOOKUP('Données projet'!$B$10,'Paramètres'!$A$1:$I$88,3,0)*VLOOKUP('Données projet'!$B$10,'Paramètres'!$A$1:$I$88,5,0)</f>
        <v>293.5764</v>
      </c>
      <c r="AK91" s="150">
        <f t="shared" si="36"/>
        <v>69.82813851</v>
      </c>
      <c r="AL91" s="161">
        <f t="shared" si="5"/>
        <v>632.9295712</v>
      </c>
      <c r="AM91" s="153">
        <f t="shared" si="6"/>
        <v>926.2629046</v>
      </c>
      <c r="AN91" s="153">
        <f>AVERAGE(OFFSET($AM$3,0,0,'Données projet'!$E$10+1,1))-AVERAGE(OFFSET($H$3,0,0,'Données projet'!$E$10+1,1))</f>
        <v>405.6113614</v>
      </c>
      <c r="AO91" s="153">
        <f t="shared" si="37"/>
        <v>393.0787141</v>
      </c>
      <c r="AP91" s="154">
        <f>IF(ISNA(VLOOKUP(A91,'Données projet'!$A$61:$I$81,3,0)),0,VLOOKUP(A91,'Données projet'!$A$61:$I$81,3,0))</f>
        <v>0</v>
      </c>
      <c r="AQ91" s="154">
        <f>IF(ISNA(VLOOKUP(A91,'Données projet'!$A$61:$I$81,4,0)),0,VLOOKUP(A91,'Données projet'!$A$61:$I$81,4,0))</f>
        <v>0</v>
      </c>
      <c r="AR91" s="155">
        <f>IF(ISNA(VLOOKUP(A91,'Données projet'!$A$61:$I$81,5,0)),0%,VLOOKUP(A91,'Données projet'!$A$61:$I$81,5,0)*VLOOKUP('Données projet'!$B$10,'Paramètres'!$A$1:$I$88,7,0))</f>
        <v>0</v>
      </c>
      <c r="AS91" s="155">
        <f>IF(ISNA(VLOOKUP(A91,'Données projet'!$A$61:$I$81,6,0)),0%,VLOOKUP(A91,'Données projet'!$A$61:$I$81,6,0)*VLOOKUP('Données projet'!$B$10,'Paramètres'!$A$1:$I$88,7,0))</f>
        <v>0</v>
      </c>
      <c r="AT91" s="155">
        <f>IF(ISNA(VLOOKUP(A91,'Données projet'!$A$61:$I$81,7,0)),0%,VLOOKUP(A91,'Données projet'!$A$61:$I$81,7,0))</f>
        <v>0</v>
      </c>
      <c r="AU91" s="162">
        <f>EXP(-LN(2)/35)*AU90+(1-EXP(-LN(2)/35))/(LN(2)/35)*AQ91*AR91*VLOOKUP('Données projet'!$B$10,'Paramètres'!$A$1:$I$88,3,0)*0.475*44/12</f>
        <v>0</v>
      </c>
      <c r="AV91" s="162">
        <f>EXP(-LN(2)/25)*AV90+(1-EXP(-LN(2)/25))/(LN(2)/25)*Calculateur!AQ91*Calculateur!AS91*VLOOKUP('Données projet'!$B$10,'Paramètres'!$A$1:$I$88,3,0)*0.475*44/12</f>
        <v>3.652612099</v>
      </c>
      <c r="AW91" s="162">
        <f>EXP(-LN(2)/2)*AW90+(1-EXP(-LN(2)/2))/(LN(2)/2)*AQ91*AT91*VLOOKUP('Données projet'!$B$10,'Paramètres'!$A$1:$I$88,3,0)*0.475*44/12</f>
        <v>0.000000001079798125</v>
      </c>
      <c r="AX91" s="162">
        <f t="shared" si="7"/>
        <v>3.6526121</v>
      </c>
      <c r="AY91" s="157">
        <f>('Scénario référence'!$F$8+'Scénario référence'!$F$9+'Scénario référence'!$B$17+'Scénario référence'!$B$9+'Scénario référence'!$B$10)*70+IF((45+25*(1-EXP(-0.0175*A91)))&lt;70,'Scénario référence'!$B$16*(45+25*(1-EXP(-0.0175*A91))),70*'Scénario référence'!$B$16)+IF((32+38*(1-EXP(-0.0175*A91)))&lt;70,'Scénario référence'!$B$18*(32+38*(1-EXP(-0.0175*A91))),70*'Scénario référence'!$B$18)</f>
        <v>70</v>
      </c>
      <c r="AZ91" s="151">
        <f>IF(A91&gt;30,10,('Scénario référence'!$B$16+'Scénario référence'!$B$17+'Scénario référence'!$B$18+'Scénario référence'!$B$9+'Scénario référence'!$B$10)*A91*10/30+('Scénario référence'!$F$8+'Scénario référence'!$F$9)*10)</f>
        <v>10</v>
      </c>
      <c r="BA91" s="151" t="str">
        <f>VLOOKUP(A91,'Données projet'!$A$87:$I$107,2,0)</f>
        <v>#N/A</v>
      </c>
      <c r="BB91" s="151" t="str">
        <f>VLOOKUP(A91,'Données projet'!$A$87:$I$107,9,0)</f>
        <v>#N/A</v>
      </c>
      <c r="BC91" s="151" t="str">
        <f t="array" ref="BC91">INDEX(BB:BB,MIN(IF(ISNUMBER(BB91:BB287),ROW(BB91:BB287),"")))</f>
        <v/>
      </c>
      <c r="BD91" s="150">
        <f>IF('Données projet'!$A$88&gt;35,BD90+BC91-BL90,IF(A91&lt;'Données projet'!$A$88,$BA$205^A91,IF(A91='Données projet'!$A$88,'Données projet'!$B$88,BD90+BC91-BL90)))</f>
        <v>0</v>
      </c>
      <c r="BE91" s="150">
        <f>BD91*VLOOKUP('Données projet'!$B$11,'Paramètres'!$A$1:$I$88,3,0)*VLOOKUP('Données projet'!$B$11,'Paramètres'!$A$1:$I$88,5,0)</f>
        <v>0</v>
      </c>
      <c r="BF91" s="150" t="str">
        <f t="shared" si="38"/>
        <v>#NUM!</v>
      </c>
      <c r="BG91" s="161" t="str">
        <f t="shared" si="8"/>
        <v>#NUM!</v>
      </c>
      <c r="BH91" s="153" t="str">
        <f t="shared" si="9"/>
        <v>#NUM!</v>
      </c>
      <c r="BI91" s="153">
        <f>AVERAGE(OFFSET($BH$3,0,0,'Données projet'!$E$11+1,1))-AVERAGE(OFFSET($H$3,0,0,'Données projet'!$E$11+1,1))</f>
        <v>0</v>
      </c>
      <c r="BJ91" s="153">
        <f t="shared" si="39"/>
        <v>0</v>
      </c>
      <c r="BK91" s="154">
        <f>IF(ISNA(VLOOKUP(A91,'Données projet'!$A$87:$I$107,3,0)),0,VLOOKUP(A91,'Données projet'!$A$87:$I$107,3,0))</f>
        <v>0</v>
      </c>
      <c r="BL91" s="154">
        <f>IF(ISNA(VLOOKUP(A91,'Données projet'!$A$87:$I$107,4,0)),0,VLOOKUP(A91,'Données projet'!$A$87:$I$107,4,0))</f>
        <v>0</v>
      </c>
      <c r="BM91" s="155">
        <f>IF(ISNA(VLOOKUP(A91,'Données projet'!$A$87:$I$107,5,0)),0%,VLOOKUP(A91,'Données projet'!$A$87:$I$107,5,0)*VLOOKUP('Données projet'!$B$11,'Paramètres'!$A$1:$I$88,7,0))</f>
        <v>0</v>
      </c>
      <c r="BN91" s="155">
        <f>IF(ISNA(VLOOKUP(A91,'Données projet'!$A$87:$I$107,6,0)),0%,VLOOKUP(A91,'Données projet'!$A$87:$I$107,6,0)*VLOOKUP('Données projet'!$B$11,'Paramètres'!$A$1:$I$88,7,0))</f>
        <v>0</v>
      </c>
      <c r="BO91" s="155">
        <f>IF(ISNA(VLOOKUP(A91,'Données projet'!$A$87:$I$107,7,0)),0%,VLOOKUP(A91,'Données projet'!$A$87:$I$107,7,0))</f>
        <v>0</v>
      </c>
      <c r="BP91" s="162">
        <f>EXP(-LN(2)/35)*BP90+(1-EXP(-LN(2)/35))/(LN(2)/35)*BL91*BM91*VLOOKUP('Données projet'!$B$11,'Paramètres'!$A$1:$I$88,3,0)*0.475*44/12</f>
        <v>0</v>
      </c>
      <c r="BQ91" s="162">
        <f>EXP(-LN(2)/25)*BQ90+(1-EXP(-LN(2)/25))/(LN(2)/25)*Calculateur!BL91*Calculateur!BN91*VLOOKUP('Données projet'!$B$11,'Paramètres'!$A$1:$I$88,3,0)*0.475*44/12</f>
        <v>0</v>
      </c>
      <c r="BR91" s="162">
        <f>EXP(-LN(2)/2)*BR90+(1-EXP(-LN(2)/2))/(LN(2)/2)*BL91*BO91*VLOOKUP('Données projet'!$B$11,'Paramètres'!$A$1:$I$88,3,0)*0.475*44/12</f>
        <v>0</v>
      </c>
      <c r="BS91" s="163">
        <f t="shared" si="10"/>
        <v>0</v>
      </c>
      <c r="BT91" s="159">
        <f>('Scénario référence'!$F$8+'Scénario référence'!$F$9+'Scénario référence'!$B$17+'Scénario référence'!$B$9+'Scénario référence'!$B$10)*70+IF((45+25*(1-EXP(-0.0175*A91)))&lt;70,'Scénario référence'!$B$16*(45+25*(1-EXP(-0.0175*A91))),70*'Scénario référence'!$B$16)+IF((32+38*(1-EXP(-0.0175*A91)))&lt;70,'Scénario référence'!$B$18*(32+38*(1-EXP(-0.0175*A91))),70*'Scénario référence'!$B$18)</f>
        <v>70</v>
      </c>
      <c r="BU91" s="151">
        <f>IF(A91&gt;30,10,('Scénario référence'!$B$16+'Scénario référence'!$B$17+'Scénario référence'!$B$18+'Scénario référence'!$B$9+'Scénario référence'!$B$10)*A91*10/30+('Scénario référence'!$F$8+'Scénario référence'!$F$9)*10)</f>
        <v>10</v>
      </c>
      <c r="BV91" s="151" t="str">
        <f>VLOOKUP(A91,'Données projet'!$A$113:$I$133,2,0)</f>
        <v>#N/A</v>
      </c>
      <c r="BW91" s="151" t="str">
        <f>VLOOKUP(A91,'Données projet'!$A$113:$I$133,9,0)</f>
        <v>#N/A</v>
      </c>
      <c r="BX91" s="150" t="str">
        <f t="array" ref="BX91">INDEX(BW:BW,MIN(IF(ISNUMBER(BW91:BW287),ROW(BW91:BW287),"")))</f>
        <v/>
      </c>
      <c r="BY91" s="150">
        <f>IF('Données projet'!$A$114&gt;35,BY90+BX91-CG90,IF(A91&lt;'Données projet'!$A$114,$BV$205^A91,IF(A91='Données projet'!$A$114,'Données projet'!$B$114,BY90+BX91-CG90)))</f>
        <v>0</v>
      </c>
      <c r="BZ91" s="150" t="str">
        <f>BY91*VLOOKUP('Données projet'!$B$12,'Paramètres'!$A$1:$I$88,3,0)*VLOOKUP('Données projet'!$B$12,'Paramètres'!$A$1:$I$88,5,0)</f>
        <v>#N/A</v>
      </c>
      <c r="CA91" s="150" t="str">
        <f t="shared" si="40"/>
        <v>#N/A</v>
      </c>
      <c r="CB91" s="161" t="str">
        <f t="shared" si="11"/>
        <v>#N/A</v>
      </c>
      <c r="CC91" s="153" t="str">
        <f t="shared" si="12"/>
        <v>#N/A</v>
      </c>
      <c r="CD91" s="153" t="str">
        <f>AVERAGE(OFFSET($CC$3,0,0,'Données projet'!$E$12+1,1))-AVERAGE(OFFSET($H$3,0,0,'Données projet'!$E$12+1,1))</f>
        <v>#N/A</v>
      </c>
      <c r="CE91" s="153" t="str">
        <f t="shared" si="41"/>
        <v>#N/A</v>
      </c>
      <c r="CF91" s="154">
        <f>IF(ISNA(VLOOKUP(A91,'Données projet'!$A$113:$I$133,3,0)),0,VLOOKUP(A91,'Données projet'!$A$113:$I$133,3,0))</f>
        <v>0</v>
      </c>
      <c r="CG91" s="154">
        <f>IF(ISNA(VLOOKUP(A91,'Données projet'!$A$113:$I$133,4,0)),0,VLOOKUP(A91,'Données projet'!$A$113:$I$133,4,0))</f>
        <v>0</v>
      </c>
      <c r="CH91" s="155">
        <f>IF(ISNA(VLOOKUP(A91,'Données projet'!$A$113:$I$133,5,0)),0%,VLOOKUP(A91,'Données projet'!$A$113:$I$133,5,0)*VLOOKUP('Données projet'!$B$12,'Paramètres'!$A$1:$I$88,7,0))</f>
        <v>0</v>
      </c>
      <c r="CI91" s="155">
        <f>IF(ISNA(VLOOKUP(A91,'Données projet'!$A$113:$I$133,6,0)),0%,VLOOKUP(A91,'Données projet'!$A$113:$I$133,6,0)*VLOOKUP('Données projet'!$B$12,'Paramètres'!$A$1:$I$88,7,0))</f>
        <v>0</v>
      </c>
      <c r="CJ91" s="155">
        <f>IF(ISNA(VLOOKUP(A91,'Données projet'!$A$113:$I$133,7,0)),0%,VLOOKUP(A91,'Données projet'!$A$113:$I$133,7,0))</f>
        <v>0</v>
      </c>
      <c r="CK91" s="162" t="str">
        <f>EXP(-LN(2)/35)*CK90+(1-EXP(-LN(2)/35))/(LN(2)/35)*CG91*CH91*VLOOKUP('Données projet'!$B$12,'Paramètres'!$A$1:$I$88,3,0)*0.475*44/12</f>
        <v>#N/A</v>
      </c>
      <c r="CL91" s="162" t="str">
        <f>EXP(-LN(2)/25)*CL90+(1-EXP(-LN(2)/25))/(LN(2)/25)*Calculateur!CG91*Calculateur!CI91*VLOOKUP('Données projet'!$B$12,'Paramètres'!$A$1:$I$88,3,0)*0.475*44/12</f>
        <v>#N/A</v>
      </c>
      <c r="CM91" s="162" t="str">
        <f>EXP(-LN(2)/2)*CM90+(1-EXP(-LN(2)/2))/(LN(2)/2)*CG91*CJ91*VLOOKUP('Données projet'!$B$12,'Paramètres'!$A$1:$I$88,3,0)*0.475*44/12</f>
        <v>#N/A</v>
      </c>
      <c r="CN91" s="163" t="str">
        <f t="shared" si="13"/>
        <v>#N/A</v>
      </c>
      <c r="CO91" s="159">
        <f>('Scénario référence'!$F$8+'Scénario référence'!$F$9+'Scénario référence'!$B$17+'Scénario référence'!$B$9+'Scénario référence'!$B$10)*70+IF((45+25*(1-EXP(-0.0175*A91)))&lt;70,'Scénario référence'!$B$16*(45+25*(1-EXP(-0.0175*A91))),70*'Scénario référence'!$B$16)+IF((32+38*(1-EXP(-0.0175*A91)))&lt;70,'Scénario référence'!$B$18*(32+38*(1-EXP(-0.0175*A91))),70*'Scénario référence'!$B$18)</f>
        <v>70</v>
      </c>
      <c r="CP91" s="151">
        <f>IF(A91&gt;30,10,('Scénario référence'!$B$16+'Scénario référence'!$B$17+'Scénario référence'!$B$18+'Scénario référence'!$B$9+'Scénario référence'!$B$10)*A91*10/30+('Scénario référence'!$F$8+'Scénario référence'!$F$9)*10)</f>
        <v>10</v>
      </c>
      <c r="CQ91" s="151" t="str">
        <f>VLOOKUP(A91,'Données projet'!$A$139:$I$159,2,0)</f>
        <v>#N/A</v>
      </c>
      <c r="CR91" s="151" t="str">
        <f>VLOOKUP(A91,'Données projet'!$A$139:$I$159,9,0)</f>
        <v>#N/A</v>
      </c>
      <c r="CS91" s="151" t="str">
        <f t="array" ref="CS91">INDEX(CR:CR,MIN(IF(ISNUMBER(CR91:CR287),ROW(CR91:CR287),"")))</f>
        <v/>
      </c>
      <c r="CT91" s="151">
        <f>IF('Données projet'!$A$140&gt;35,CT90+CS91-DB90,IF(A91&lt;'Données projet'!$A$140,$CQ$205^A91,IF(A91='Données projet'!$A$140,'Données projet'!$B$140,CT90+CS91-DB90)))</f>
        <v>0</v>
      </c>
      <c r="CU91" s="158" t="str">
        <f>CT91*VLOOKUP('Données projet'!$B$13,'Paramètres'!$A$1:$I$88,3,0)*VLOOKUP('Données projet'!$B$13,'Paramètres'!$A$1:$I$88,5,0)</f>
        <v>#N/A</v>
      </c>
      <c r="CV91" s="150" t="str">
        <f t="shared" si="42"/>
        <v>#N/A</v>
      </c>
      <c r="CW91" s="161" t="str">
        <f t="shared" si="14"/>
        <v>#N/A</v>
      </c>
      <c r="CX91" s="153" t="str">
        <f t="shared" si="15"/>
        <v>#N/A</v>
      </c>
      <c r="CY91" s="153" t="str">
        <f>AVERAGE(OFFSET($CX$3,0,0,'Données projet'!$E$13+1,1))-AVERAGE(OFFSET($H$3,0,0,'Données projet'!$E$13+1,1))</f>
        <v>#N/A</v>
      </c>
      <c r="CZ91" s="153" t="str">
        <f t="shared" si="43"/>
        <v>#N/A</v>
      </c>
      <c r="DA91" s="154">
        <f>IF(ISNA(VLOOKUP(A91,'Données projet'!$A$139:$I$159,3,0)),0,VLOOKUP(A91,'Données projet'!$A$139:$I$159,3,0))</f>
        <v>0</v>
      </c>
      <c r="DB91" s="154">
        <f>IF(ISNA(VLOOKUP(A91,'Données projet'!$A$139:$I$159,4,0)),0,VLOOKUP(A91,'Données projet'!$A$139:$I$159,4,0))</f>
        <v>0</v>
      </c>
      <c r="DC91" s="155">
        <f>IF(ISNA(VLOOKUP(A91,'Données projet'!$A$139:$I$159,5,0)),0%,VLOOKUP(A91,'Données projet'!$A$139:$I$159,5,0)*VLOOKUP('Données projet'!$B$13,'Paramètres'!$A$1:$I$88,7,0))</f>
        <v>0</v>
      </c>
      <c r="DD91" s="155">
        <f>IF(ISNA(VLOOKUP(A91,'Données projet'!$A$139:$I$159,6,0)),0%,VLOOKUP(A91,'Données projet'!$A$139:$I$159,6,0)*VLOOKUP('Données projet'!$B$13,'Paramètres'!$A$1:$I$88,7,0))</f>
        <v>0</v>
      </c>
      <c r="DE91" s="155">
        <f>IF(ISNA(VLOOKUP(A91,'Données projet'!$A$139:$I$159,7,0)),0%,VLOOKUP(A91,'Données projet'!$A$139:$I$159,7,0))</f>
        <v>0</v>
      </c>
      <c r="DF91" s="162" t="str">
        <f>EXP(-LN(2)/35)*DF90+(1-EXP(-LN(2)/35))/(LN(2)/35)*DB91*DC91*VLOOKUP('Données projet'!$B$13,'Paramètres'!$A$1:$I$88,3,0)*0.475*44/12</f>
        <v>#N/A</v>
      </c>
      <c r="DG91" s="162" t="str">
        <f>EXP(-LN(2)/25)*DG90+(1-EXP(-LN(2)/25))/(LN(2)/25)*Calculateur!DB91*Calculateur!DD91*VLOOKUP('Données projet'!$B$13,'Paramètres'!$A$1:$I$88,3,0)*0.475*44/12</f>
        <v>#N/A</v>
      </c>
      <c r="DH91" s="162" t="str">
        <f>EXP(-LN(2)/2)*DH90+(1-EXP(-LN(2)/2))/(LN(2)/2)*DB91*DE91*VLOOKUP('Données projet'!$B$13,'Paramètres'!$A$1:$I$88,3,0)*0.475*44/12</f>
        <v>#N/A</v>
      </c>
      <c r="DI91" s="163" t="str">
        <f t="shared" si="16"/>
        <v>#N/A</v>
      </c>
      <c r="DJ91" s="159">
        <f>('Scénario référence'!$F$8+'Scénario référence'!$F$9+'Scénario référence'!$B$17+'Scénario référence'!$B$9+'Scénario référence'!$B$10)*70+IF((45+25*(1-EXP(-0.0175*A91)))&lt;70,'Scénario référence'!$B$16*(45+25*(1-EXP(-0.0175*A91))),70*'Scénario référence'!$B$16)+IF((32+38*(1-EXP(-0.0175*A91)))&lt;70,'Scénario référence'!$B$18*(32+38*(1-EXP(-0.0175*A91))),70*'Scénario référence'!$B$18)</f>
        <v>70</v>
      </c>
      <c r="DK91" s="151">
        <f>IF(A91&gt;30,10,('Scénario référence'!$B$16+'Scénario référence'!$B$17+'Scénario référence'!$B$18+'Scénario référence'!$B$9+'Scénario référence'!$B$10)*A91*10/30+('Scénario référence'!$F$8+'Scénario référence'!$F$9)*10)</f>
        <v>10</v>
      </c>
      <c r="DL91" s="151" t="str">
        <f>VLOOKUP(A91,'Données projet'!$A$165:$I$185,2,0)</f>
        <v>#N/A</v>
      </c>
      <c r="DM91" s="151" t="str">
        <f>VLOOKUP(A91,'Données projet'!$A$165:$I$185,9,0)</f>
        <v>#N/A</v>
      </c>
      <c r="DN91" s="151" t="str">
        <f t="array" ref="DN91">INDEX(DM:DM,MIN(IF(ISNUMBER(DM91:DM287),ROW(DM91:DM287),"")))</f>
        <v/>
      </c>
      <c r="DO91" s="151">
        <f>IF('Données projet'!$A$166&gt;35,DO90+DN91-DW90,IF(A91&lt;'Données projet'!$A$166,$DL$205^A91,IF(A91='Données projet'!$A$166,'Données projet'!$B$166,DO90+DN91-DW90)))</f>
        <v>0</v>
      </c>
      <c r="DP91" s="158" t="str">
        <f>DO91*VLOOKUP('Données projet'!$B$14,'Paramètres'!$A$1:$I$88,3,0)*VLOOKUP('Données projet'!$B$14,'Paramètres'!$A$1:$I$88,5,0)</f>
        <v>#N/A</v>
      </c>
      <c r="DQ91" s="150" t="str">
        <f t="shared" si="44"/>
        <v>#N/A</v>
      </c>
      <c r="DR91" s="161" t="str">
        <f t="shared" si="17"/>
        <v>#N/A</v>
      </c>
      <c r="DS91" s="153" t="str">
        <f t="shared" si="18"/>
        <v>#N/A</v>
      </c>
      <c r="DT91" s="153" t="str">
        <f>AVERAGE(OFFSET($DS$3,0,0,'Données projet'!$E$14+1,1))-AVERAGE(OFFSET($H$3,0,0,'Données projet'!$E$14+1,1))</f>
        <v>#N/A</v>
      </c>
      <c r="DU91" s="153" t="str">
        <f t="shared" si="45"/>
        <v>#N/A</v>
      </c>
      <c r="DV91" s="154">
        <f>IF(ISNA(VLOOKUP(A91,'Données projet'!$A$165:$I$185,3,0)),0,VLOOKUP(A91,'Données projet'!$A$165:$I$185,3,0))</f>
        <v>0</v>
      </c>
      <c r="DW91" s="154">
        <f>IF(ISNA(VLOOKUP(A91,'Données projet'!$A$165:$I$185,4,0)),0,VLOOKUP(A91,'Données projet'!$A$165:$I$185,4,0))</f>
        <v>0</v>
      </c>
      <c r="DX91" s="155">
        <f>IF(ISNA(VLOOKUP(A91,'Données projet'!$A$165:$I$185,5,0)),0%,VLOOKUP(A91,'Données projet'!$A$165:$I$185,5,0)*VLOOKUP('Données projet'!$B$14,'Paramètres'!$A$1:$I$88,7,0))</f>
        <v>0</v>
      </c>
      <c r="DY91" s="155">
        <f>IF(ISNA(VLOOKUP(A91,'Données projet'!$A$165:$I$185,6,0)),0%,VLOOKUP(A91,'Données projet'!$A$165:$I$185,6,0)*VLOOKUP('Données projet'!$B$14,'Paramètres'!$A$1:$I$88,7,0))</f>
        <v>0</v>
      </c>
      <c r="DZ91" s="155">
        <f>IF(ISNA(VLOOKUP(A91,'Données projet'!$A$165:$I$185,7,0)),0%,VLOOKUP(A91,'Données projet'!$A$165:$I$185,7,0))</f>
        <v>0</v>
      </c>
      <c r="EA91" s="162" t="str">
        <f>EXP(-LN(2)/35)*EA90+(1-EXP(-LN(2)/35))/(LN(2)/35)*DW91*DX91*VLOOKUP('Données projet'!$B$14,'Paramètres'!$A$1:$I$88,3,0)*0.475*44/12</f>
        <v>#N/A</v>
      </c>
      <c r="EB91" s="162" t="str">
        <f>EXP(-LN(2)/25)*EB90+(1-EXP(-LN(2)/25))/(LN(2)/25)*Calculateur!DW91*Calculateur!DY91*VLOOKUP('Données projet'!$B$14,'Paramètres'!$A$1:$I$88,3,0)*0.475*44/12</f>
        <v>#N/A</v>
      </c>
      <c r="EC91" s="162" t="str">
        <f>EXP(-LN(2)/2)*EC90+(1-EXP(-LN(2)/2))/(LN(2)/2)*DW91*DZ91*VLOOKUP('Données projet'!$B$14,'Paramètres'!$A$1:$I$88,3,0)*0.475*44/12</f>
        <v>#N/A</v>
      </c>
      <c r="ED91" s="163" t="str">
        <f t="shared" si="19"/>
        <v>#N/A</v>
      </c>
      <c r="EE91" s="159">
        <f>('Scénario référence'!$F$8+'Scénario référence'!$F$9+'Scénario référence'!$B$17+'Scénario référence'!$B$9+'Scénario référence'!$B$10)*70+IF((45+25*(1-EXP(-0.0175*A91)))&lt;70,'Scénario référence'!$B$16*(45+25*(1-EXP(-0.0175*A91))),70*'Scénario référence'!$B$16)+IF((32+38*(1-EXP(-0.0175*A91)))&lt;70,'Scénario référence'!$B$18*(32+38*(1-EXP(-0.0175*A91))),70*'Scénario référence'!$B$18)</f>
        <v>70</v>
      </c>
      <c r="EF91" s="151">
        <f>IF(A91&gt;30,10,('Scénario référence'!$B$16+'Scénario référence'!$B$17+'Scénario référence'!$B$18+'Scénario référence'!$B$9+'Scénario référence'!$B$10)*A91*10/30+('Scénario référence'!$F$8+'Scénario référence'!$F$9)*10)</f>
        <v>10</v>
      </c>
      <c r="EG91" s="151" t="str">
        <f>VLOOKUP(A91,'Données projet'!$A$191:$I$211,2,0)</f>
        <v>#N/A</v>
      </c>
      <c r="EH91" s="151" t="str">
        <f>VLOOKUP(A91,'Données projet'!$A$191:$I$211,9,0)</f>
        <v>#N/A</v>
      </c>
      <c r="EI91" s="151" t="str">
        <f t="array" ref="EI91">INDEX(EH:EH,MIN(IF(ISNUMBER(EH91:EH287),ROW(EH91:EH287),"")))</f>
        <v/>
      </c>
      <c r="EJ91" s="151">
        <f>IF('Données projet'!$A$192&gt;35,EJ90+EI91-ER90,IF(A91&lt;'Données projet'!$A$192,$EG$205^A91,IF(A91='Données projet'!$A$192,'Données projet'!$B$192,EJ90+EI91-ER90)))</f>
        <v>0</v>
      </c>
      <c r="EK91" s="158" t="str">
        <f>EJ91*VLOOKUP('Données projet'!$B$15,'Paramètres'!$A$1:$I$88,3,0)*VLOOKUP('Données projet'!$B$15,'Paramètres'!$A$1:$I$88,5,0)</f>
        <v>#N/A</v>
      </c>
      <c r="EL91" s="150" t="str">
        <f t="shared" si="46"/>
        <v>#N/A</v>
      </c>
      <c r="EM91" s="161" t="str">
        <f t="shared" si="20"/>
        <v>#N/A</v>
      </c>
      <c r="EN91" s="153" t="str">
        <f t="shared" si="21"/>
        <v>#N/A</v>
      </c>
      <c r="EO91" s="153" t="str">
        <f>AVERAGE(OFFSET($EN$3,0,0,'Données projet'!$E$15+1,1))-AVERAGE(OFFSET($H$3,0,0,'Données projet'!$E$15+1,1))</f>
        <v>#N/A</v>
      </c>
      <c r="EP91" s="153" t="str">
        <f t="shared" si="47"/>
        <v>#N/A</v>
      </c>
      <c r="EQ91" s="154">
        <f>IF(ISNA(VLOOKUP(A91,'Données projet'!$A$191:$I$211,3,0)),0,VLOOKUP(A91,'Données projet'!$A$191:$I$211,3,0))</f>
        <v>0</v>
      </c>
      <c r="ER91" s="154">
        <f>IF(ISNA(VLOOKUP(A91,'Données projet'!$A$191:$I$211,4,0)),0,VLOOKUP(A91,'Données projet'!$A$191:$I$211,4,0))</f>
        <v>0</v>
      </c>
      <c r="ES91" s="155">
        <f>IF(ISNA(VLOOKUP(A91,'Données projet'!$A$191:$I$211,5,0)),0%,VLOOKUP(A91,'Données projet'!$A$191:$I$211,5,0)*VLOOKUP('Données projet'!$B$15,'Paramètres'!$A$1:$I$88,7,0))</f>
        <v>0</v>
      </c>
      <c r="ET91" s="155">
        <f>IF(ISNA(VLOOKUP(A91,'Données projet'!$A$191:$I$211,6,0)),0%,VLOOKUP(A91,'Données projet'!$A$191:$I$211,6,0)*VLOOKUP('Données projet'!$B$15,'Paramètres'!$A$1:$I$88,7,0))</f>
        <v>0</v>
      </c>
      <c r="EU91" s="155">
        <f>IF(ISNA(VLOOKUP(A91,'Données projet'!$A$191:$I$211,7,0)),0%,VLOOKUP(A91,'Données projet'!$A$191:$I$211,7,0))</f>
        <v>0</v>
      </c>
      <c r="EV91" s="162" t="str">
        <f>EXP(-LN(2)/35)*EV90+(1-EXP(-LN(2)/35))/(LN(2)/35)*ER91*ES91*VLOOKUP('Données projet'!$B$15,'Paramètres'!$A$1:$I$88,3,0)*0.475*44/12</f>
        <v>#N/A</v>
      </c>
      <c r="EW91" s="162" t="str">
        <f>EXP(-LN(2)/25)*EW90+(1-EXP(-LN(2)/25))/(LN(2)/25)*Calculateur!ER91*Calculateur!ET91*VLOOKUP('Données projet'!$B$15,'Paramètres'!$A$1:$I$88,3,0)*0.475*44/12</f>
        <v>#N/A</v>
      </c>
      <c r="EX91" s="162" t="str">
        <f>EXP(-LN(2)/2)*EX90+(1-EXP(-LN(2)/2))/(LN(2)/2)*ER91*EU91*VLOOKUP('Données projet'!$B$15,'Paramètres'!$A$1:$I$88,3,0)*0.475*44/12</f>
        <v>#N/A</v>
      </c>
      <c r="EY91" s="163" t="str">
        <f t="shared" si="22"/>
        <v>#N/A</v>
      </c>
      <c r="EZ91" s="159">
        <f>('Scénario référence'!$F$8+'Scénario référence'!$F$9+'Scénario référence'!$B$17+'Scénario référence'!$B$9+'Scénario référence'!$B$10)*70+IF((45+25*(1-EXP(-0.0175*A91)))&lt;70,'Scénario référence'!$B$16*(45+25*(1-EXP(-0.0175*A91))),70*'Scénario référence'!$B$16)+IF((32+38*(1-EXP(-0.0175*A91)))&lt;70,'Scénario référence'!$B$18*(32+38*(1-EXP(-0.0175*A91))),70*'Scénario référence'!$B$18)</f>
        <v>70</v>
      </c>
      <c r="FA91" s="151">
        <f>IF(A91&gt;30,10,('Scénario référence'!$B$16+'Scénario référence'!$B$17+'Scénario référence'!$B$18+'Scénario référence'!$B$9+'Scénario référence'!$B$10)*A91*10/30+('Scénario référence'!$F$8+'Scénario référence'!$F$9)*10)</f>
        <v>10</v>
      </c>
      <c r="FB91" s="151" t="str">
        <f>VLOOKUP(A91,'Données projet'!$A$217:$I$237,2,0)</f>
        <v>#N/A</v>
      </c>
      <c r="FC91" s="151" t="str">
        <f>VLOOKUP(A91,'Données projet'!$A$217:$I$237,9,0)</f>
        <v>#N/A</v>
      </c>
      <c r="FD91" s="151" t="str">
        <f t="array" ref="FD91">INDEX(FC:FC,MIN(IF(ISNUMBER(FC91:FC287),ROW(FC91:FC287),"")))</f>
        <v/>
      </c>
      <c r="FE91" s="151">
        <f>IF('Données projet'!$A$218&gt;35,FE90+FD91-FM90,IF(A91&lt;'Données projet'!$A$218,$FB$205^A91,IF(A91='Données projet'!$A$218,'Données projet'!$B$218,FE90+FD91-FM90)))</f>
        <v>0</v>
      </c>
      <c r="FF91" s="158" t="str">
        <f>FE91*VLOOKUP('Données projet'!$B$16,'Paramètres'!$A$1:$I$88,3,0)*VLOOKUP('Données projet'!$B$16,'Paramètres'!$A$1:$I$88,5,0)</f>
        <v>#N/A</v>
      </c>
      <c r="FG91" s="150" t="str">
        <f t="shared" si="48"/>
        <v>#N/A</v>
      </c>
      <c r="FH91" s="161" t="str">
        <f t="shared" si="23"/>
        <v>#N/A</v>
      </c>
      <c r="FI91" s="153" t="str">
        <f t="shared" si="24"/>
        <v>#N/A</v>
      </c>
      <c r="FJ91" s="153" t="str">
        <f>AVERAGE(OFFSET($FI$3,0,0,'Données projet'!$E$16+1,1))-AVERAGE(OFFSET($H$3,0,0,'Données projet'!$E$16+1,1))</f>
        <v>#N/A</v>
      </c>
      <c r="FK91" s="153" t="str">
        <f t="shared" si="49"/>
        <v>#N/A</v>
      </c>
      <c r="FL91" s="154">
        <f>IF(ISNA(VLOOKUP(A91,'Données projet'!$A$217:$I$237,3,0)),0,VLOOKUP(A91,'Données projet'!$A$217:$I$237,3,0))</f>
        <v>0</v>
      </c>
      <c r="FM91" s="154">
        <f>IF(ISNA(VLOOKUP(A91,'Données projet'!$A$217:$I$237,4,0)),0,VLOOKUP(A91,'Données projet'!$A$217:$I$237,4,0))</f>
        <v>0</v>
      </c>
      <c r="FN91" s="155">
        <f>IF(ISNA(VLOOKUP(A91,'Données projet'!$A$217:$I$237,5,0)),0%,VLOOKUP(A91,'Données projet'!$A$217:$I$237,5,0)*VLOOKUP('Données projet'!$B$16,'Paramètres'!$A$1:$I$88,7,0))</f>
        <v>0</v>
      </c>
      <c r="FO91" s="155">
        <f>IF(ISNA(VLOOKUP(A91,'Données projet'!$A$217:$I$237,6,0)),0%,VLOOKUP(A91,'Données projet'!$A$217:$I$237,6,0)*VLOOKUP('Données projet'!$B$16,'Paramètres'!$A$1:$I$88,7,0))</f>
        <v>0</v>
      </c>
      <c r="FP91" s="155">
        <f>IF(ISNA(VLOOKUP(A91,'Données projet'!$A$217:$I$237,7,0)),0%,VLOOKUP(A91,'Données projet'!$A$217:$I$237,7,0))</f>
        <v>0</v>
      </c>
      <c r="FQ91" s="162" t="str">
        <f>EXP(-LN(2)/35)*FQ90+(1-EXP(-LN(2)/35))/(LN(2)/35)*FM91*FN91*VLOOKUP('Données projet'!$B$16,'Paramètres'!$A$1:$I$88,3,0)*0.475*44/12</f>
        <v>#N/A</v>
      </c>
      <c r="FR91" s="162" t="str">
        <f>EXP(-LN(2)/25)*FR90+(1-EXP(-LN(2)/25))/(LN(2)/25)*Calculateur!FM91*Calculateur!FO91*VLOOKUP('Données projet'!$B$16,'Paramètres'!$A$1:$I$88,3,0)*0.475*44/12</f>
        <v>#N/A</v>
      </c>
      <c r="FS91" s="162" t="str">
        <f>EXP(-LN(2)/2)*FS90+(1-EXP(-LN(2)/2))/(LN(2)/2)*FM91*FP91*VLOOKUP('Données projet'!$B$16,'Paramètres'!$A$1:$I$88,3,0)*0.475*44/12</f>
        <v>#N/A</v>
      </c>
      <c r="FT91" s="163" t="str">
        <f t="shared" si="25"/>
        <v>#N/A</v>
      </c>
      <c r="FU91" s="159">
        <f>('Scénario référence'!$F$8+'Scénario référence'!$F$9+'Scénario référence'!$B$17+'Scénario référence'!$B$9+'Scénario référence'!$B$10)*70+IF((45+25*(1-EXP(-0.0175*A91)))&lt;70,'Scénario référence'!$B$16*(45+25*(1-EXP(-0.0175*A91))),70*'Scénario référence'!$B$16)+IF((32+38*(1-EXP(-0.0175*A91)))&lt;70,'Scénario référence'!$B$18*(32+38*(1-EXP(-0.0175*A91))),70*'Scénario référence'!$B$18)</f>
        <v>70</v>
      </c>
      <c r="FV91" s="151">
        <f>IF(A91&gt;30,10,('Scénario référence'!$B$16+'Scénario référence'!$B$17+'Scénario référence'!$B$18+'Scénario référence'!$B$9+'Scénario référence'!$B$10)*A91*10/30+('Scénario référence'!$F$8+'Scénario référence'!$F$9)*10)</f>
        <v>10</v>
      </c>
      <c r="FW91" s="151" t="str">
        <f>VLOOKUP(A91,'Données projet'!$A$243:$I$263,2,0)</f>
        <v>#N/A</v>
      </c>
      <c r="FX91" s="151" t="str">
        <f>VLOOKUP(A91,'Données projet'!$A$243:$I$263,9,0)</f>
        <v>#N/A</v>
      </c>
      <c r="FY91" s="151" t="str">
        <f t="array" ref="FY91">INDEX(FX:FX,MIN(IF(ISNUMBER(FX91:FX287),ROW(FX91:FX287),"")))</f>
        <v/>
      </c>
      <c r="FZ91" s="151">
        <f>IF('Données projet'!$A$244&gt;35,FZ90+FY91-GH90,IF(A91&lt;'Données projet'!$A$244,$FW$205^A91,IF(A91='Données projet'!$A$244,'Données projet'!$B$244,FZ90+FY91-GH90)))</f>
        <v>0</v>
      </c>
      <c r="GA91" s="158" t="str">
        <f>FZ91*VLOOKUP('Données projet'!$B$17,'Paramètres'!$A$1:$I$88,3,0)*VLOOKUP('Données projet'!$B$17,'Paramètres'!$A$1:$I$88,5,0)</f>
        <v>#N/A</v>
      </c>
      <c r="GB91" s="150" t="str">
        <f t="shared" si="50"/>
        <v>#N/A</v>
      </c>
      <c r="GC91" s="161" t="str">
        <f t="shared" si="26"/>
        <v>#N/A</v>
      </c>
      <c r="GD91" s="153" t="str">
        <f t="shared" si="27"/>
        <v>#N/A</v>
      </c>
      <c r="GE91" s="153" t="str">
        <f>AVERAGE(OFFSET($GD$3,0,0,'Données projet'!$E$17+1,1))-AVERAGE(OFFSET($H$3,0,0,'Données projet'!$E$17+1,1))</f>
        <v>#N/A</v>
      </c>
      <c r="GF91" s="153" t="str">
        <f t="shared" si="51"/>
        <v>#N/A</v>
      </c>
      <c r="GG91" s="154">
        <f>IF(ISNA(VLOOKUP(A91,'Données projet'!$A$243:$I$263,3,0)),0,VLOOKUP(A91,'Données projet'!$A$243:$I$263,3,0))</f>
        <v>0</v>
      </c>
      <c r="GH91" s="154">
        <f>IF(ISNA(VLOOKUP(A91,'Données projet'!$A$243:$I$263,4,0)),0,VLOOKUP(A91,'Données projet'!$A$243:$I$263,4,0))</f>
        <v>0</v>
      </c>
      <c r="GI91" s="155">
        <f>IF(ISNA(VLOOKUP(A91,'Données projet'!$A$243:$I$263,5,0)),0%,VLOOKUP(A91,'Données projet'!$A$243:$I$263,5,0)*VLOOKUP('Données projet'!$B$17,'Paramètres'!$A$1:$I$88,7,0))</f>
        <v>0</v>
      </c>
      <c r="GJ91" s="155">
        <f>IF(ISNA(VLOOKUP(A91,'Données projet'!$A$243:$I$263,6,0)),0%,VLOOKUP(A91,'Données projet'!$A$243:$I$263,6,0)*VLOOKUP('Données projet'!$B$17,'Paramètres'!$A$1:$I$88,7,0))</f>
        <v>0</v>
      </c>
      <c r="GK91" s="155">
        <f>IF(ISNA(VLOOKUP(A91,'Données projet'!$A$243:$I$263,7,0)),0%,VLOOKUP(A91,'Données projet'!$A$243:$I$263,7,0))</f>
        <v>0</v>
      </c>
      <c r="GL91" s="162" t="str">
        <f>EXP(-LN(2)/35)*GL90+(1-EXP(-LN(2)/35))/(LN(2)/35)*GH91*GI91*VLOOKUP('Données projet'!$B$17,'Paramètres'!$A$1:$I$88,3,0)*0.475*44/12</f>
        <v>#N/A</v>
      </c>
      <c r="GM91" s="162" t="str">
        <f>EXP(-LN(2)/25)*GM90+(1-EXP(-LN(2)/25))/(LN(2)/25)*Calculateur!GH91*Calculateur!GJ91*VLOOKUP('Données projet'!$B$17,'Paramètres'!$A$1:$I$88,3,0)*0.475*44/12</f>
        <v>#N/A</v>
      </c>
      <c r="GN91" s="162" t="str">
        <f>EXP(-LN(2)/2)*GN90+(1-EXP(-LN(2)/2))/(LN(2)/2)*GH91*GK91*VLOOKUP('Données projet'!$B$17,'Paramètres'!$A$1:$I$88,3,0)*0.475*44/12</f>
        <v>#N/A</v>
      </c>
      <c r="GO91" s="162" t="str">
        <f t="shared" si="28"/>
        <v>#N/A</v>
      </c>
      <c r="GP91" s="159">
        <f>('Scénario référence'!$F$8+'Scénario référence'!$F$9+'Scénario référence'!$B$17+'Scénario référence'!$B$9+'Scénario référence'!$B$10)*70+IF((45+25*(1-EXP(-0.0175*A91)))&lt;70,'Scénario référence'!$B$16*(45+25*(1-EXP(-0.0175*A91))),70*'Scénario référence'!$B$16)+IF((32+38*(1-EXP(-0.0175*A91)))&lt;70,'Scénario référence'!$B$18*(32+38*(1-EXP(-0.0175*A91))),70*'Scénario référence'!$B$18)</f>
        <v>70</v>
      </c>
      <c r="GQ91" s="151">
        <f>IF(A91&gt;30,10,('Scénario référence'!$B$16+'Scénario référence'!$B$17+'Scénario référence'!$B$18+'Scénario référence'!$B$9+'Scénario référence'!$B$10)*A91*10/30+('Scénario référence'!$F$8+'Scénario référence'!$F$9)*10)</f>
        <v>10</v>
      </c>
      <c r="GR91" s="151" t="str">
        <f>VLOOKUP(A91,'Données projet'!$A$269:$I$289,2,0)</f>
        <v>#N/A</v>
      </c>
      <c r="GS91" s="151" t="str">
        <f>VLOOKUP(A91,'Données projet'!$A$269:$I$289,9,0)</f>
        <v>#N/A</v>
      </c>
      <c r="GT91" s="151" t="str">
        <f t="array" ref="GT91">INDEX(GS:GS,MIN(IF(ISNUMBER(GS91:GS287),ROW(GS91:GS287),"")))</f>
        <v/>
      </c>
      <c r="GU91" s="151">
        <f>IF('Données projet'!$A$270&gt;35,GU90+GT91-HC90,IF(A91&lt;'Données projet'!$A$270,$GR$205^A91,IF(A91='Données projet'!$A$270,'Données projet'!$B$270,GU90+GT91-HC90)))</f>
        <v>0</v>
      </c>
      <c r="GV91" s="158" t="str">
        <f>GU91*VLOOKUP('Données projet'!$B$18,'Paramètres'!$A$1:$I$88,3,0)*VLOOKUP('Données projet'!$B$18,'Paramètres'!$A$1:$I$88,5,0)</f>
        <v>#N/A</v>
      </c>
      <c r="GW91" s="150" t="str">
        <f t="shared" si="52"/>
        <v>#N/A</v>
      </c>
      <c r="GX91" s="161" t="str">
        <f t="shared" si="29"/>
        <v>#N/A</v>
      </c>
      <c r="GY91" s="153" t="str">
        <f t="shared" si="30"/>
        <v>#N/A</v>
      </c>
      <c r="GZ91" s="153" t="str">
        <f>AVERAGE(OFFSET($GY$3,0,0,'Données projet'!$E$18+1,1))-AVERAGE(OFFSET($H$3,0,0,'Données projet'!$E$18+1,1))</f>
        <v>#N/A</v>
      </c>
      <c r="HA91" s="153" t="str">
        <f t="shared" si="53"/>
        <v>#N/A</v>
      </c>
      <c r="HB91" s="154">
        <f>IF(ISNA(VLOOKUP(A91,'Données projet'!$A$269:$I$289,3,0)),0,VLOOKUP(A91,'Données projet'!$A$269:$I$289,3,0))</f>
        <v>0</v>
      </c>
      <c r="HC91" s="154">
        <f>IF(ISNA(VLOOKUP(A91,'Données projet'!$A$269:$I$289,4,0)),0,VLOOKUP(A91,'Données projet'!$A$269:$I$289,4,0))</f>
        <v>0</v>
      </c>
      <c r="HD91" s="155">
        <f>IF(ISNA(VLOOKUP(A91,'Données projet'!$A$269:$I$289,5,0)),0%,VLOOKUP(A91,'Données projet'!$A$269:$I$289,5,0)*VLOOKUP('Données projet'!$B$18,'Paramètres'!$A$1:$I$88,7,0))</f>
        <v>0</v>
      </c>
      <c r="HE91" s="155">
        <f>IF(ISNA(VLOOKUP(A91,'Données projet'!$A$269:$I$289,6,0)),0%,VLOOKUP(A91,'Données projet'!$A$269:$I$289,6,0)*VLOOKUP('Données projet'!$B$18,'Paramètres'!$A$1:$I$88,7,0))</f>
        <v>0</v>
      </c>
      <c r="HF91" s="155">
        <f>IF(ISNA(VLOOKUP(A91,'Données projet'!$A$269:$I$289,7,0)),0%,VLOOKUP(A91,'Données projet'!$A$269:$I$289,7,0))</f>
        <v>0</v>
      </c>
      <c r="HG91" s="162" t="str">
        <f>EXP(-LN(2)/35)*HG90+(1-EXP(-LN(2)/35))/(LN(2)/35)*HC91*HD91*VLOOKUP('Données projet'!$B$18,'Paramètres'!$A$1:$I$88,3,0)*0.475*44/12</f>
        <v>#N/A</v>
      </c>
      <c r="HH91" s="162" t="str">
        <f>EXP(-LN(2)/25)*HH90+(1-EXP(-LN(2)/25))/(LN(2)/25)*Calculateur!HC91*Calculateur!HE91*VLOOKUP('Données projet'!$B$18,'Paramètres'!$A$1:$I$88,3,0)*0.475*44/12</f>
        <v>#N/A</v>
      </c>
      <c r="HI91" s="162" t="str">
        <f>EXP(-LN(2)/2)*HI90+(1-EXP(-LN(2)/2))/(LN(2)/2)*HC91*HF91*VLOOKUP('Données projet'!$B$18,'Paramètres'!$A$1:$I$88,3,0)*0.475*44/12</f>
        <v>#N/A</v>
      </c>
      <c r="HJ91" s="163" t="str">
        <f t="shared" si="31"/>
        <v>#N/A</v>
      </c>
    </row>
    <row r="92" ht="15.75" customHeight="1">
      <c r="A92" s="145">
        <f t="shared" si="32"/>
        <v>89</v>
      </c>
      <c r="B92" s="146">
        <f>'Scénario référence'!$B$16*5+'Scénario référence'!$B$17*0+'Scénario référence'!$B$18*5</f>
        <v>0</v>
      </c>
      <c r="C92" s="160">
        <f>Calculateur!C91+'Scénario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92" s="147">
        <f t="shared" si="33"/>
        <v>0</v>
      </c>
      <c r="E92" s="147">
        <f>'Scénario référence'!$B$16*45+('Scénario référence'!$B$17+'Scénario référence'!$F$8+'Scénario référence'!$F$9+'Scénario référence'!$B$10+'Scénario référence'!$B$9)*70+'Scénario référence'!$B$18*32</f>
        <v>70</v>
      </c>
      <c r="F92" s="147">
        <f>IF(OR('Scénario référence'!$F$8&gt;0,'Scénario référence'!$F$9&gt;0),('Scénario référence'!$F$8+'Scénario référence'!$F$9)*10,0)</f>
        <v>0</v>
      </c>
      <c r="G92" s="147">
        <f>'Scénario référence'!$B$8*B92*44/12+'Scénario référence'!$B$9*(C92+D92)/0.475*44/12+'Scénario référence'!$B$10*(C92+D92)/0.475*44/12+'Scénario référence'!$F$8*(C92+D92)/0.475*44/12+'Scénario référence'!$F$9*(C92+D92)/0.475*44/12</f>
        <v>0</v>
      </c>
      <c r="H92" s="148">
        <f t="shared" si="1"/>
        <v>256.6666667</v>
      </c>
      <c r="I92" s="149">
        <f>('Scénario référence'!$F$8+'Scénario référence'!$F$9+'Scénario référence'!$B$17+'Scénario référence'!$B$9+'Scénario référence'!$B$10)*70+IF((45+25*(1-EXP(-0.0175*A92)))&lt;70,'Scénario référence'!$B$16*(45+25*(1-EXP(-0.0175*A92))),70*'Scénario référence'!$B$16)+IF((32+38*(1-EXP(-0.0175*A92)))&lt;70,'Scénario référence'!$B$18*(32+38*(1-EXP(-0.0175*A92))),70*'Scénario référence'!$B$18)</f>
        <v>70</v>
      </c>
      <c r="J92" s="150">
        <f>IF(A92&gt;30,10,('Scénario référence'!$B$16+'Scénario référence'!$B$17+'Scénario référence'!$B$18+'Scénario référence'!$B$9+'Scénario référence'!$B$10)*A92*10/30+('Scénario référence'!$F$8+'Scénario référence'!$F$9)*10)</f>
        <v>10</v>
      </c>
      <c r="K92" s="151" t="str">
        <f>VLOOKUP(A92,'Données projet'!$A$35:$I$55,2,0)</f>
        <v>#N/A</v>
      </c>
      <c r="L92" s="151" t="str">
        <f>VLOOKUP(A92,'Données projet'!$A$35:$I$55,9,0)</f>
        <v>#N/A</v>
      </c>
      <c r="M92" s="150">
        <f t="array" ref="M92">INDEX(L:L,MIN(IF(ISNUMBER(L92:L288),ROW(L92:L288),"")))</f>
        <v>6.4</v>
      </c>
      <c r="N92" s="150">
        <f>IF('Données projet'!$A$36&gt;35,N91+M92-V91,IF(A92&lt;'Données projet'!$A$36,$K$205^A92,IF(A92='Données projet'!$A$36,'Données projet'!$B$36,N91+M92-V91)))</f>
        <v>323.6</v>
      </c>
      <c r="O92" s="150">
        <f>N92*VLOOKUP('Données projet'!$B$9,'Paramètres'!$A$1:$I$88,3,0)*VLOOKUP('Données projet'!$B$9,'Paramètres'!$A$1:$I$88,5,0)</f>
        <v>292.79328</v>
      </c>
      <c r="P92" s="150">
        <f t="shared" si="34"/>
        <v>69.66352676</v>
      </c>
      <c r="Q92" s="161">
        <f t="shared" si="2"/>
        <v>631.2789384</v>
      </c>
      <c r="R92" s="153">
        <f t="shared" si="3"/>
        <v>924.6122718</v>
      </c>
      <c r="S92" s="153">
        <f>AVERAGE(OFFSET($R$3,0,0,'Données projet'!$E$9+1,1))-AVERAGE(OFFSET($H$3,0,0,'Données projet'!$E$9+1,1))</f>
        <v>439.1985427</v>
      </c>
      <c r="T92" s="153">
        <f t="shared" si="35"/>
        <v>278.2174123</v>
      </c>
      <c r="U92" s="154">
        <f>IF(ISNA(VLOOKUP(A92,'Données projet'!$A$35:$I$55,3,0)),0,VLOOKUP(A92,'Données projet'!$A$35:$I$55,3,0))</f>
        <v>0</v>
      </c>
      <c r="V92" s="154">
        <f>IF(ISNA(VLOOKUP(A92,'Données projet'!$A$35:$I$55,4,0)),0,VLOOKUP(A92,'Données projet'!$A$35:$I$55,4,0))</f>
        <v>0</v>
      </c>
      <c r="W92" s="155">
        <f>IF(ISNA(VLOOKUP(A92,'Données projet'!$A$35:$I$55,5,0)),0%,VLOOKUP(A92,'Données projet'!$A$35:$I$55,5,0)*VLOOKUP('Données projet'!$B$9,'Paramètres'!$A$1:$I$88,7,0))</f>
        <v>0</v>
      </c>
      <c r="X92" s="155">
        <f>IF(ISNA(VLOOKUP(A92,'Données projet'!$A$35:$I$55,6,0)),0%,VLOOKUP(A92,'Données projet'!$A$35:$I$55,6,0)*VLOOKUP('Données projet'!$B$9,'Paramètres'!$A$1:$I$88,7,0))</f>
        <v>0</v>
      </c>
      <c r="Y92" s="155">
        <f>IF(ISNA(VLOOKUP(A92,'Données projet'!$A$35:$I$55,7,0)),0%,VLOOKUP(A92,'Données projet'!$A$35:$I$55,7,0))</f>
        <v>0</v>
      </c>
      <c r="Z92" s="162">
        <f>EXP(-LN(2)/35)*Z91+(1-EXP(-LN(2)/35))/(LN(2)/35)*V92*W92*VLOOKUP('Données projet'!$B$9,'Paramètres'!$A$1:$I$88,3,0)*0.475*44/12</f>
        <v>0</v>
      </c>
      <c r="AA92" s="162">
        <f>EXP(-LN(2)/25)*AA91+(1-EXP(-LN(2)/25))/(LN(2)/25)*Calculateur!V92*Calculateur!X92*VLOOKUP('Données projet'!$B$9,'Paramètres'!$A$1:$I$88,3,0)*0.475*44/12</f>
        <v>0.8741409973</v>
      </c>
      <c r="AB92" s="162">
        <f>EXP(-LN(2)/2)*AB91+(1-EXP(-LN(2)/2))/(LN(2)/2)*V92*Y92*VLOOKUP('Données projet'!$B$9,'Paramètres'!$A$1:$I$88,3,0)*0.475*44/12</f>
        <v>0</v>
      </c>
      <c r="AC92" s="163">
        <f t="shared" si="4"/>
        <v>0.8741409973</v>
      </c>
      <c r="AD92" s="150">
        <f>('Scénario référence'!$F$8+'Scénario référence'!$F$9+'Scénario référence'!$B$17+'Scénario référence'!$B$9+'Scénario référence'!$B$10)*70+IF((45+25*(1-EXP(-0.0175*A92)))&lt;70,'Scénario référence'!$B$16*(45+25*(1-EXP(-0.0175*A92))),70*'Scénario référence'!$B$16)+IF((32+38*(1-EXP(-0.0175*A92)))&lt;70,'Scénario référence'!$B$18*(32+38*(1-EXP(-0.0175*A92))),70*'Scénario référence'!$B$18)</f>
        <v>70</v>
      </c>
      <c r="AE92" s="150">
        <f>IF(A92&gt;30,10,('Scénario référence'!$B$16+'Scénario référence'!$B$17+'Scénario référence'!$B$18+'Scénario référence'!$B$9+'Scénario référence'!$B$10)*A92*10/30+('Scénario référence'!$F$8+'Scénario référence'!$F$9)*10)</f>
        <v>10</v>
      </c>
      <c r="AF92" s="151" t="str">
        <f>VLOOKUP(A92,'Données projet'!$A$61:$I$81,2,0)</f>
        <v>#N/A</v>
      </c>
      <c r="AG92" s="151" t="str">
        <f>VLOOKUP(A92,'Données projet'!$A$61:$I$81,9,0)</f>
        <v>#N/A</v>
      </c>
      <c r="AH92" s="151" t="str">
        <f t="array" ref="AH92">INDEX(AG:AG,MIN(IF(ISNUMBER(AG92:AG288),ROW(AG92:AG288),"")))</f>
        <v/>
      </c>
      <c r="AI92" s="150">
        <f>IF('Données projet'!$A$62&gt;35,AI91+AH92-AQ91,IF(A92&lt;'Données projet'!$A$62,$AF$205^A92,IF(A92='Données projet'!$A$62,'Données projet'!$B$62,AI91+AH92-AQ91)))</f>
        <v>369</v>
      </c>
      <c r="AJ92" s="150">
        <f>AI92*VLOOKUP('Données projet'!$B$10,'Paramètres'!$A$1:$I$88,3,0)*VLOOKUP('Données projet'!$B$10,'Paramètres'!$A$1:$I$88,5,0)</f>
        <v>293.5764</v>
      </c>
      <c r="AK92" s="150">
        <f t="shared" si="36"/>
        <v>69.82813851</v>
      </c>
      <c r="AL92" s="161">
        <f t="shared" si="5"/>
        <v>632.9295712</v>
      </c>
      <c r="AM92" s="153">
        <f t="shared" si="6"/>
        <v>926.2629046</v>
      </c>
      <c r="AN92" s="153">
        <f>AVERAGE(OFFSET($AM$3,0,0,'Données projet'!$E$10+1,1))-AVERAGE(OFFSET($H$3,0,0,'Données projet'!$E$10+1,1))</f>
        <v>405.6113614</v>
      </c>
      <c r="AO92" s="153">
        <f t="shared" si="37"/>
        <v>393.0787141</v>
      </c>
      <c r="AP92" s="154">
        <f>IF(ISNA(VLOOKUP(A92,'Données projet'!$A$61:$I$81,3,0)),0,VLOOKUP(A92,'Données projet'!$A$61:$I$81,3,0))</f>
        <v>0</v>
      </c>
      <c r="AQ92" s="154">
        <f>IF(ISNA(VLOOKUP(A92,'Données projet'!$A$61:$I$81,4,0)),0,VLOOKUP(A92,'Données projet'!$A$61:$I$81,4,0))</f>
        <v>0</v>
      </c>
      <c r="AR92" s="155">
        <f>IF(ISNA(VLOOKUP(A92,'Données projet'!$A$61:$I$81,5,0)),0%,VLOOKUP(A92,'Données projet'!$A$61:$I$81,5,0)*VLOOKUP('Données projet'!$B$10,'Paramètres'!$A$1:$I$88,7,0))</f>
        <v>0</v>
      </c>
      <c r="AS92" s="155">
        <f>IF(ISNA(VLOOKUP(A92,'Données projet'!$A$61:$I$81,6,0)),0%,VLOOKUP(A92,'Données projet'!$A$61:$I$81,6,0)*VLOOKUP('Données projet'!$B$10,'Paramètres'!$A$1:$I$88,7,0))</f>
        <v>0</v>
      </c>
      <c r="AT92" s="155">
        <f>IF(ISNA(VLOOKUP(A92,'Données projet'!$A$61:$I$81,7,0)),0%,VLOOKUP(A92,'Données projet'!$A$61:$I$81,7,0))</f>
        <v>0</v>
      </c>
      <c r="AU92" s="162">
        <f>EXP(-LN(2)/35)*AU91+(1-EXP(-LN(2)/35))/(LN(2)/35)*AQ92*AR92*VLOOKUP('Données projet'!$B$10,'Paramètres'!$A$1:$I$88,3,0)*0.475*44/12</f>
        <v>0</v>
      </c>
      <c r="AV92" s="162">
        <f>EXP(-LN(2)/25)*AV91+(1-EXP(-LN(2)/25))/(LN(2)/25)*Calculateur!AQ92*Calculateur!AS92*VLOOKUP('Données projet'!$B$10,'Paramètres'!$A$1:$I$88,3,0)*0.475*44/12</f>
        <v>3.552731229</v>
      </c>
      <c r="AW92" s="162">
        <f>EXP(-LN(2)/2)*AW91+(1-EXP(-LN(2)/2))/(LN(2)/2)*AQ92*AT92*VLOOKUP('Données projet'!$B$10,'Paramètres'!$A$1:$I$88,3,0)*0.475*44/12</f>
        <v>0.0000000007635325763</v>
      </c>
      <c r="AX92" s="162">
        <f t="shared" si="7"/>
        <v>3.552731229</v>
      </c>
      <c r="AY92" s="157">
        <f>('Scénario référence'!$F$8+'Scénario référence'!$F$9+'Scénario référence'!$B$17+'Scénario référence'!$B$9+'Scénario référence'!$B$10)*70+IF((45+25*(1-EXP(-0.0175*A92)))&lt;70,'Scénario référence'!$B$16*(45+25*(1-EXP(-0.0175*A92))),70*'Scénario référence'!$B$16)+IF((32+38*(1-EXP(-0.0175*A92)))&lt;70,'Scénario référence'!$B$18*(32+38*(1-EXP(-0.0175*A92))),70*'Scénario référence'!$B$18)</f>
        <v>70</v>
      </c>
      <c r="AZ92" s="151">
        <f>IF(A92&gt;30,10,('Scénario référence'!$B$16+'Scénario référence'!$B$17+'Scénario référence'!$B$18+'Scénario référence'!$B$9+'Scénario référence'!$B$10)*A92*10/30+('Scénario référence'!$F$8+'Scénario référence'!$F$9)*10)</f>
        <v>10</v>
      </c>
      <c r="BA92" s="151" t="str">
        <f>VLOOKUP(A92,'Données projet'!$A$87:$I$107,2,0)</f>
        <v>#N/A</v>
      </c>
      <c r="BB92" s="151" t="str">
        <f>VLOOKUP(A92,'Données projet'!$A$87:$I$107,9,0)</f>
        <v>#N/A</v>
      </c>
      <c r="BC92" s="151" t="str">
        <f t="array" ref="BC92">INDEX(BB:BB,MIN(IF(ISNUMBER(BB92:BB288),ROW(BB92:BB288),"")))</f>
        <v/>
      </c>
      <c r="BD92" s="150">
        <f>IF('Données projet'!$A$88&gt;35,BD91+BC92-BL91,IF(A92&lt;'Données projet'!$A$88,$BA$205^A92,IF(A92='Données projet'!$A$88,'Données projet'!$B$88,BD91+BC92-BL91)))</f>
        <v>0</v>
      </c>
      <c r="BE92" s="150">
        <f>BD92*VLOOKUP('Données projet'!$B$11,'Paramètres'!$A$1:$I$88,3,0)*VLOOKUP('Données projet'!$B$11,'Paramètres'!$A$1:$I$88,5,0)</f>
        <v>0</v>
      </c>
      <c r="BF92" s="150" t="str">
        <f t="shared" si="38"/>
        <v>#NUM!</v>
      </c>
      <c r="BG92" s="161" t="str">
        <f t="shared" si="8"/>
        <v>#NUM!</v>
      </c>
      <c r="BH92" s="153" t="str">
        <f t="shared" si="9"/>
        <v>#NUM!</v>
      </c>
      <c r="BI92" s="153">
        <f>AVERAGE(OFFSET($BH$3,0,0,'Données projet'!$E$11+1,1))-AVERAGE(OFFSET($H$3,0,0,'Données projet'!$E$11+1,1))</f>
        <v>0</v>
      </c>
      <c r="BJ92" s="153">
        <f t="shared" si="39"/>
        <v>0</v>
      </c>
      <c r="BK92" s="154">
        <f>IF(ISNA(VLOOKUP(A92,'Données projet'!$A$87:$I$107,3,0)),0,VLOOKUP(A92,'Données projet'!$A$87:$I$107,3,0))</f>
        <v>0</v>
      </c>
      <c r="BL92" s="154">
        <f>IF(ISNA(VLOOKUP(A92,'Données projet'!$A$87:$I$107,4,0)),0,VLOOKUP(A92,'Données projet'!$A$87:$I$107,4,0))</f>
        <v>0</v>
      </c>
      <c r="BM92" s="155">
        <f>IF(ISNA(VLOOKUP(A92,'Données projet'!$A$87:$I$107,5,0)),0%,VLOOKUP(A92,'Données projet'!$A$87:$I$107,5,0)*VLOOKUP('Données projet'!$B$11,'Paramètres'!$A$1:$I$88,7,0))</f>
        <v>0</v>
      </c>
      <c r="BN92" s="155">
        <f>IF(ISNA(VLOOKUP(A92,'Données projet'!$A$87:$I$107,6,0)),0%,VLOOKUP(A92,'Données projet'!$A$87:$I$107,6,0)*VLOOKUP('Données projet'!$B$11,'Paramètres'!$A$1:$I$88,7,0))</f>
        <v>0</v>
      </c>
      <c r="BO92" s="155">
        <f>IF(ISNA(VLOOKUP(A92,'Données projet'!$A$87:$I$107,7,0)),0%,VLOOKUP(A92,'Données projet'!$A$87:$I$107,7,0))</f>
        <v>0</v>
      </c>
      <c r="BP92" s="162">
        <f>EXP(-LN(2)/35)*BP91+(1-EXP(-LN(2)/35))/(LN(2)/35)*BL92*BM92*VLOOKUP('Données projet'!$B$11,'Paramètres'!$A$1:$I$88,3,0)*0.475*44/12</f>
        <v>0</v>
      </c>
      <c r="BQ92" s="162">
        <f>EXP(-LN(2)/25)*BQ91+(1-EXP(-LN(2)/25))/(LN(2)/25)*Calculateur!BL92*Calculateur!BN92*VLOOKUP('Données projet'!$B$11,'Paramètres'!$A$1:$I$88,3,0)*0.475*44/12</f>
        <v>0</v>
      </c>
      <c r="BR92" s="162">
        <f>EXP(-LN(2)/2)*BR91+(1-EXP(-LN(2)/2))/(LN(2)/2)*BL92*BO92*VLOOKUP('Données projet'!$B$11,'Paramètres'!$A$1:$I$88,3,0)*0.475*44/12</f>
        <v>0</v>
      </c>
      <c r="BS92" s="163">
        <f t="shared" si="10"/>
        <v>0</v>
      </c>
      <c r="BT92" s="159">
        <f>('Scénario référence'!$F$8+'Scénario référence'!$F$9+'Scénario référence'!$B$17+'Scénario référence'!$B$9+'Scénario référence'!$B$10)*70+IF((45+25*(1-EXP(-0.0175*A92)))&lt;70,'Scénario référence'!$B$16*(45+25*(1-EXP(-0.0175*A92))),70*'Scénario référence'!$B$16)+IF((32+38*(1-EXP(-0.0175*A92)))&lt;70,'Scénario référence'!$B$18*(32+38*(1-EXP(-0.0175*A92))),70*'Scénario référence'!$B$18)</f>
        <v>70</v>
      </c>
      <c r="BU92" s="151">
        <f>IF(A92&gt;30,10,('Scénario référence'!$B$16+'Scénario référence'!$B$17+'Scénario référence'!$B$18+'Scénario référence'!$B$9+'Scénario référence'!$B$10)*A92*10/30+('Scénario référence'!$F$8+'Scénario référence'!$F$9)*10)</f>
        <v>10</v>
      </c>
      <c r="BV92" s="151" t="str">
        <f>VLOOKUP(A92,'Données projet'!$A$113:$I$133,2,0)</f>
        <v>#N/A</v>
      </c>
      <c r="BW92" s="151" t="str">
        <f>VLOOKUP(A92,'Données projet'!$A$113:$I$133,9,0)</f>
        <v>#N/A</v>
      </c>
      <c r="BX92" s="150" t="str">
        <f t="array" ref="BX92">INDEX(BW:BW,MIN(IF(ISNUMBER(BW92:BW288),ROW(BW92:BW288),"")))</f>
        <v/>
      </c>
      <c r="BY92" s="150">
        <f>IF('Données projet'!$A$114&gt;35,BY91+BX92-CG91,IF(A92&lt;'Données projet'!$A$114,$BV$205^A92,IF(A92='Données projet'!$A$114,'Données projet'!$B$114,BY91+BX92-CG91)))</f>
        <v>0</v>
      </c>
      <c r="BZ92" s="150" t="str">
        <f>BY92*VLOOKUP('Données projet'!$B$12,'Paramètres'!$A$1:$I$88,3,0)*VLOOKUP('Données projet'!$B$12,'Paramètres'!$A$1:$I$88,5,0)</f>
        <v>#N/A</v>
      </c>
      <c r="CA92" s="150" t="str">
        <f t="shared" si="40"/>
        <v>#N/A</v>
      </c>
      <c r="CB92" s="161" t="str">
        <f t="shared" si="11"/>
        <v>#N/A</v>
      </c>
      <c r="CC92" s="153" t="str">
        <f t="shared" si="12"/>
        <v>#N/A</v>
      </c>
      <c r="CD92" s="153" t="str">
        <f>AVERAGE(OFFSET($CC$3,0,0,'Données projet'!$E$12+1,1))-AVERAGE(OFFSET($H$3,0,0,'Données projet'!$E$12+1,1))</f>
        <v>#N/A</v>
      </c>
      <c r="CE92" s="153" t="str">
        <f t="shared" si="41"/>
        <v>#N/A</v>
      </c>
      <c r="CF92" s="154">
        <f>IF(ISNA(VLOOKUP(A92,'Données projet'!$A$113:$I$133,3,0)),0,VLOOKUP(A92,'Données projet'!$A$113:$I$133,3,0))</f>
        <v>0</v>
      </c>
      <c r="CG92" s="154">
        <f>IF(ISNA(VLOOKUP(A92,'Données projet'!$A$113:$I$133,4,0)),0,VLOOKUP(A92,'Données projet'!$A$113:$I$133,4,0))</f>
        <v>0</v>
      </c>
      <c r="CH92" s="155">
        <f>IF(ISNA(VLOOKUP(A92,'Données projet'!$A$113:$I$133,5,0)),0%,VLOOKUP(A92,'Données projet'!$A$113:$I$133,5,0)*VLOOKUP('Données projet'!$B$12,'Paramètres'!$A$1:$I$88,7,0))</f>
        <v>0</v>
      </c>
      <c r="CI92" s="155">
        <f>IF(ISNA(VLOOKUP(A92,'Données projet'!$A$113:$I$133,6,0)),0%,VLOOKUP(A92,'Données projet'!$A$113:$I$133,6,0)*VLOOKUP('Données projet'!$B$12,'Paramètres'!$A$1:$I$88,7,0))</f>
        <v>0</v>
      </c>
      <c r="CJ92" s="155">
        <f>IF(ISNA(VLOOKUP(A92,'Données projet'!$A$113:$I$133,7,0)),0%,VLOOKUP(A92,'Données projet'!$A$113:$I$133,7,0))</f>
        <v>0</v>
      </c>
      <c r="CK92" s="162" t="str">
        <f>EXP(-LN(2)/35)*CK91+(1-EXP(-LN(2)/35))/(LN(2)/35)*CG92*CH92*VLOOKUP('Données projet'!$B$12,'Paramètres'!$A$1:$I$88,3,0)*0.475*44/12</f>
        <v>#N/A</v>
      </c>
      <c r="CL92" s="162" t="str">
        <f>EXP(-LN(2)/25)*CL91+(1-EXP(-LN(2)/25))/(LN(2)/25)*Calculateur!CG92*Calculateur!CI92*VLOOKUP('Données projet'!$B$12,'Paramètres'!$A$1:$I$88,3,0)*0.475*44/12</f>
        <v>#N/A</v>
      </c>
      <c r="CM92" s="162" t="str">
        <f>EXP(-LN(2)/2)*CM91+(1-EXP(-LN(2)/2))/(LN(2)/2)*CG92*CJ92*VLOOKUP('Données projet'!$B$12,'Paramètres'!$A$1:$I$88,3,0)*0.475*44/12</f>
        <v>#N/A</v>
      </c>
      <c r="CN92" s="163" t="str">
        <f t="shared" si="13"/>
        <v>#N/A</v>
      </c>
      <c r="CO92" s="159">
        <f>('Scénario référence'!$F$8+'Scénario référence'!$F$9+'Scénario référence'!$B$17+'Scénario référence'!$B$9+'Scénario référence'!$B$10)*70+IF((45+25*(1-EXP(-0.0175*A92)))&lt;70,'Scénario référence'!$B$16*(45+25*(1-EXP(-0.0175*A92))),70*'Scénario référence'!$B$16)+IF((32+38*(1-EXP(-0.0175*A92)))&lt;70,'Scénario référence'!$B$18*(32+38*(1-EXP(-0.0175*A92))),70*'Scénario référence'!$B$18)</f>
        <v>70</v>
      </c>
      <c r="CP92" s="151">
        <f>IF(A92&gt;30,10,('Scénario référence'!$B$16+'Scénario référence'!$B$17+'Scénario référence'!$B$18+'Scénario référence'!$B$9+'Scénario référence'!$B$10)*A92*10/30+('Scénario référence'!$F$8+'Scénario référence'!$F$9)*10)</f>
        <v>10</v>
      </c>
      <c r="CQ92" s="151" t="str">
        <f>VLOOKUP(A92,'Données projet'!$A$139:$I$159,2,0)</f>
        <v>#N/A</v>
      </c>
      <c r="CR92" s="151" t="str">
        <f>VLOOKUP(A92,'Données projet'!$A$139:$I$159,9,0)</f>
        <v>#N/A</v>
      </c>
      <c r="CS92" s="151" t="str">
        <f t="array" ref="CS92">INDEX(CR:CR,MIN(IF(ISNUMBER(CR92:CR288),ROW(CR92:CR288),"")))</f>
        <v/>
      </c>
      <c r="CT92" s="151">
        <f>IF('Données projet'!$A$140&gt;35,CT91+CS92-DB91,IF(A92&lt;'Données projet'!$A$140,$CQ$205^A92,IF(A92='Données projet'!$A$140,'Données projet'!$B$140,CT91+CS92-DB91)))</f>
        <v>0</v>
      </c>
      <c r="CU92" s="158" t="str">
        <f>CT92*VLOOKUP('Données projet'!$B$13,'Paramètres'!$A$1:$I$88,3,0)*VLOOKUP('Données projet'!$B$13,'Paramètres'!$A$1:$I$88,5,0)</f>
        <v>#N/A</v>
      </c>
      <c r="CV92" s="150" t="str">
        <f t="shared" si="42"/>
        <v>#N/A</v>
      </c>
      <c r="CW92" s="161" t="str">
        <f t="shared" si="14"/>
        <v>#N/A</v>
      </c>
      <c r="CX92" s="153" t="str">
        <f t="shared" si="15"/>
        <v>#N/A</v>
      </c>
      <c r="CY92" s="153" t="str">
        <f>AVERAGE(OFFSET($CX$3,0,0,'Données projet'!$E$13+1,1))-AVERAGE(OFFSET($H$3,0,0,'Données projet'!$E$13+1,1))</f>
        <v>#N/A</v>
      </c>
      <c r="CZ92" s="153" t="str">
        <f t="shared" si="43"/>
        <v>#N/A</v>
      </c>
      <c r="DA92" s="154">
        <f>IF(ISNA(VLOOKUP(A92,'Données projet'!$A$139:$I$159,3,0)),0,VLOOKUP(A92,'Données projet'!$A$139:$I$159,3,0))</f>
        <v>0</v>
      </c>
      <c r="DB92" s="154">
        <f>IF(ISNA(VLOOKUP(A92,'Données projet'!$A$139:$I$159,4,0)),0,VLOOKUP(A92,'Données projet'!$A$139:$I$159,4,0))</f>
        <v>0</v>
      </c>
      <c r="DC92" s="155">
        <f>IF(ISNA(VLOOKUP(A92,'Données projet'!$A$139:$I$159,5,0)),0%,VLOOKUP(A92,'Données projet'!$A$139:$I$159,5,0)*VLOOKUP('Données projet'!$B$13,'Paramètres'!$A$1:$I$88,7,0))</f>
        <v>0</v>
      </c>
      <c r="DD92" s="155">
        <f>IF(ISNA(VLOOKUP(A92,'Données projet'!$A$139:$I$159,6,0)),0%,VLOOKUP(A92,'Données projet'!$A$139:$I$159,6,0)*VLOOKUP('Données projet'!$B$13,'Paramètres'!$A$1:$I$88,7,0))</f>
        <v>0</v>
      </c>
      <c r="DE92" s="155">
        <f>IF(ISNA(VLOOKUP(A92,'Données projet'!$A$139:$I$159,7,0)),0%,VLOOKUP(A92,'Données projet'!$A$139:$I$159,7,0))</f>
        <v>0</v>
      </c>
      <c r="DF92" s="162" t="str">
        <f>EXP(-LN(2)/35)*DF91+(1-EXP(-LN(2)/35))/(LN(2)/35)*DB92*DC92*VLOOKUP('Données projet'!$B$13,'Paramètres'!$A$1:$I$88,3,0)*0.475*44/12</f>
        <v>#N/A</v>
      </c>
      <c r="DG92" s="162" t="str">
        <f>EXP(-LN(2)/25)*DG91+(1-EXP(-LN(2)/25))/(LN(2)/25)*Calculateur!DB92*Calculateur!DD92*VLOOKUP('Données projet'!$B$13,'Paramètres'!$A$1:$I$88,3,0)*0.475*44/12</f>
        <v>#N/A</v>
      </c>
      <c r="DH92" s="162" t="str">
        <f>EXP(-LN(2)/2)*DH91+(1-EXP(-LN(2)/2))/(LN(2)/2)*DB92*DE92*VLOOKUP('Données projet'!$B$13,'Paramètres'!$A$1:$I$88,3,0)*0.475*44/12</f>
        <v>#N/A</v>
      </c>
      <c r="DI92" s="163" t="str">
        <f t="shared" si="16"/>
        <v>#N/A</v>
      </c>
      <c r="DJ92" s="159">
        <f>('Scénario référence'!$F$8+'Scénario référence'!$F$9+'Scénario référence'!$B$17+'Scénario référence'!$B$9+'Scénario référence'!$B$10)*70+IF((45+25*(1-EXP(-0.0175*A92)))&lt;70,'Scénario référence'!$B$16*(45+25*(1-EXP(-0.0175*A92))),70*'Scénario référence'!$B$16)+IF((32+38*(1-EXP(-0.0175*A92)))&lt;70,'Scénario référence'!$B$18*(32+38*(1-EXP(-0.0175*A92))),70*'Scénario référence'!$B$18)</f>
        <v>70</v>
      </c>
      <c r="DK92" s="151">
        <f>IF(A92&gt;30,10,('Scénario référence'!$B$16+'Scénario référence'!$B$17+'Scénario référence'!$B$18+'Scénario référence'!$B$9+'Scénario référence'!$B$10)*A92*10/30+('Scénario référence'!$F$8+'Scénario référence'!$F$9)*10)</f>
        <v>10</v>
      </c>
      <c r="DL92" s="151" t="str">
        <f>VLOOKUP(A92,'Données projet'!$A$165:$I$185,2,0)</f>
        <v>#N/A</v>
      </c>
      <c r="DM92" s="151" t="str">
        <f>VLOOKUP(A92,'Données projet'!$A$165:$I$185,9,0)</f>
        <v>#N/A</v>
      </c>
      <c r="DN92" s="151" t="str">
        <f t="array" ref="DN92">INDEX(DM:DM,MIN(IF(ISNUMBER(DM92:DM288),ROW(DM92:DM288),"")))</f>
        <v/>
      </c>
      <c r="DO92" s="151">
        <f>IF('Données projet'!$A$166&gt;35,DO91+DN92-DW91,IF(A92&lt;'Données projet'!$A$166,$DL$205^A92,IF(A92='Données projet'!$A$166,'Données projet'!$B$166,DO91+DN92-DW91)))</f>
        <v>0</v>
      </c>
      <c r="DP92" s="158" t="str">
        <f>DO92*VLOOKUP('Données projet'!$B$14,'Paramètres'!$A$1:$I$88,3,0)*VLOOKUP('Données projet'!$B$14,'Paramètres'!$A$1:$I$88,5,0)</f>
        <v>#N/A</v>
      </c>
      <c r="DQ92" s="150" t="str">
        <f t="shared" si="44"/>
        <v>#N/A</v>
      </c>
      <c r="DR92" s="161" t="str">
        <f t="shared" si="17"/>
        <v>#N/A</v>
      </c>
      <c r="DS92" s="153" t="str">
        <f t="shared" si="18"/>
        <v>#N/A</v>
      </c>
      <c r="DT92" s="153" t="str">
        <f>AVERAGE(OFFSET($DS$3,0,0,'Données projet'!$E$14+1,1))-AVERAGE(OFFSET($H$3,0,0,'Données projet'!$E$14+1,1))</f>
        <v>#N/A</v>
      </c>
      <c r="DU92" s="153" t="str">
        <f t="shared" si="45"/>
        <v>#N/A</v>
      </c>
      <c r="DV92" s="154">
        <f>IF(ISNA(VLOOKUP(A92,'Données projet'!$A$165:$I$185,3,0)),0,VLOOKUP(A92,'Données projet'!$A$165:$I$185,3,0))</f>
        <v>0</v>
      </c>
      <c r="DW92" s="154">
        <f>IF(ISNA(VLOOKUP(A92,'Données projet'!$A$165:$I$185,4,0)),0,VLOOKUP(A92,'Données projet'!$A$165:$I$185,4,0))</f>
        <v>0</v>
      </c>
      <c r="DX92" s="155">
        <f>IF(ISNA(VLOOKUP(A92,'Données projet'!$A$165:$I$185,5,0)),0%,VLOOKUP(A92,'Données projet'!$A$165:$I$185,5,0)*VLOOKUP('Données projet'!$B$14,'Paramètres'!$A$1:$I$88,7,0))</f>
        <v>0</v>
      </c>
      <c r="DY92" s="155">
        <f>IF(ISNA(VLOOKUP(A92,'Données projet'!$A$165:$I$185,6,0)),0%,VLOOKUP(A92,'Données projet'!$A$165:$I$185,6,0)*VLOOKUP('Données projet'!$B$14,'Paramètres'!$A$1:$I$88,7,0))</f>
        <v>0</v>
      </c>
      <c r="DZ92" s="155">
        <f>IF(ISNA(VLOOKUP(A92,'Données projet'!$A$165:$I$185,7,0)),0%,VLOOKUP(A92,'Données projet'!$A$165:$I$185,7,0))</f>
        <v>0</v>
      </c>
      <c r="EA92" s="162" t="str">
        <f>EXP(-LN(2)/35)*EA91+(1-EXP(-LN(2)/35))/(LN(2)/35)*DW92*DX92*VLOOKUP('Données projet'!$B$14,'Paramètres'!$A$1:$I$88,3,0)*0.475*44/12</f>
        <v>#N/A</v>
      </c>
      <c r="EB92" s="162" t="str">
        <f>EXP(-LN(2)/25)*EB91+(1-EXP(-LN(2)/25))/(LN(2)/25)*Calculateur!DW92*Calculateur!DY92*VLOOKUP('Données projet'!$B$14,'Paramètres'!$A$1:$I$88,3,0)*0.475*44/12</f>
        <v>#N/A</v>
      </c>
      <c r="EC92" s="162" t="str">
        <f>EXP(-LN(2)/2)*EC91+(1-EXP(-LN(2)/2))/(LN(2)/2)*DW92*DZ92*VLOOKUP('Données projet'!$B$14,'Paramètres'!$A$1:$I$88,3,0)*0.475*44/12</f>
        <v>#N/A</v>
      </c>
      <c r="ED92" s="163" t="str">
        <f t="shared" si="19"/>
        <v>#N/A</v>
      </c>
      <c r="EE92" s="159">
        <f>('Scénario référence'!$F$8+'Scénario référence'!$F$9+'Scénario référence'!$B$17+'Scénario référence'!$B$9+'Scénario référence'!$B$10)*70+IF((45+25*(1-EXP(-0.0175*A92)))&lt;70,'Scénario référence'!$B$16*(45+25*(1-EXP(-0.0175*A92))),70*'Scénario référence'!$B$16)+IF((32+38*(1-EXP(-0.0175*A92)))&lt;70,'Scénario référence'!$B$18*(32+38*(1-EXP(-0.0175*A92))),70*'Scénario référence'!$B$18)</f>
        <v>70</v>
      </c>
      <c r="EF92" s="151">
        <f>IF(A92&gt;30,10,('Scénario référence'!$B$16+'Scénario référence'!$B$17+'Scénario référence'!$B$18+'Scénario référence'!$B$9+'Scénario référence'!$B$10)*A92*10/30+('Scénario référence'!$F$8+'Scénario référence'!$F$9)*10)</f>
        <v>10</v>
      </c>
      <c r="EG92" s="151" t="str">
        <f>VLOOKUP(A92,'Données projet'!$A$191:$I$211,2,0)</f>
        <v>#N/A</v>
      </c>
      <c r="EH92" s="151" t="str">
        <f>VLOOKUP(A92,'Données projet'!$A$191:$I$211,9,0)</f>
        <v>#N/A</v>
      </c>
      <c r="EI92" s="151" t="str">
        <f t="array" ref="EI92">INDEX(EH:EH,MIN(IF(ISNUMBER(EH92:EH288),ROW(EH92:EH288),"")))</f>
        <v/>
      </c>
      <c r="EJ92" s="151">
        <f>IF('Données projet'!$A$192&gt;35,EJ91+EI92-ER91,IF(A92&lt;'Données projet'!$A$192,$EG$205^A92,IF(A92='Données projet'!$A$192,'Données projet'!$B$192,EJ91+EI92-ER91)))</f>
        <v>0</v>
      </c>
      <c r="EK92" s="158" t="str">
        <f>EJ92*VLOOKUP('Données projet'!$B$15,'Paramètres'!$A$1:$I$88,3,0)*VLOOKUP('Données projet'!$B$15,'Paramètres'!$A$1:$I$88,5,0)</f>
        <v>#N/A</v>
      </c>
      <c r="EL92" s="150" t="str">
        <f t="shared" si="46"/>
        <v>#N/A</v>
      </c>
      <c r="EM92" s="161" t="str">
        <f t="shared" si="20"/>
        <v>#N/A</v>
      </c>
      <c r="EN92" s="153" t="str">
        <f t="shared" si="21"/>
        <v>#N/A</v>
      </c>
      <c r="EO92" s="153" t="str">
        <f>AVERAGE(OFFSET($EN$3,0,0,'Données projet'!$E$15+1,1))-AVERAGE(OFFSET($H$3,0,0,'Données projet'!$E$15+1,1))</f>
        <v>#N/A</v>
      </c>
      <c r="EP92" s="153" t="str">
        <f t="shared" si="47"/>
        <v>#N/A</v>
      </c>
      <c r="EQ92" s="154">
        <f>IF(ISNA(VLOOKUP(A92,'Données projet'!$A$191:$I$211,3,0)),0,VLOOKUP(A92,'Données projet'!$A$191:$I$211,3,0))</f>
        <v>0</v>
      </c>
      <c r="ER92" s="154">
        <f>IF(ISNA(VLOOKUP(A92,'Données projet'!$A$191:$I$211,4,0)),0,VLOOKUP(A92,'Données projet'!$A$191:$I$211,4,0))</f>
        <v>0</v>
      </c>
      <c r="ES92" s="155">
        <f>IF(ISNA(VLOOKUP(A92,'Données projet'!$A$191:$I$211,5,0)),0%,VLOOKUP(A92,'Données projet'!$A$191:$I$211,5,0)*VLOOKUP('Données projet'!$B$15,'Paramètres'!$A$1:$I$88,7,0))</f>
        <v>0</v>
      </c>
      <c r="ET92" s="155">
        <f>IF(ISNA(VLOOKUP(A92,'Données projet'!$A$191:$I$211,6,0)),0%,VLOOKUP(A92,'Données projet'!$A$191:$I$211,6,0)*VLOOKUP('Données projet'!$B$15,'Paramètres'!$A$1:$I$88,7,0))</f>
        <v>0</v>
      </c>
      <c r="EU92" s="155">
        <f>IF(ISNA(VLOOKUP(A92,'Données projet'!$A$191:$I$211,7,0)),0%,VLOOKUP(A92,'Données projet'!$A$191:$I$211,7,0))</f>
        <v>0</v>
      </c>
      <c r="EV92" s="162" t="str">
        <f>EXP(-LN(2)/35)*EV91+(1-EXP(-LN(2)/35))/(LN(2)/35)*ER92*ES92*VLOOKUP('Données projet'!$B$15,'Paramètres'!$A$1:$I$88,3,0)*0.475*44/12</f>
        <v>#N/A</v>
      </c>
      <c r="EW92" s="162" t="str">
        <f>EXP(-LN(2)/25)*EW91+(1-EXP(-LN(2)/25))/(LN(2)/25)*Calculateur!ER92*Calculateur!ET92*VLOOKUP('Données projet'!$B$15,'Paramètres'!$A$1:$I$88,3,0)*0.475*44/12</f>
        <v>#N/A</v>
      </c>
      <c r="EX92" s="162" t="str">
        <f>EXP(-LN(2)/2)*EX91+(1-EXP(-LN(2)/2))/(LN(2)/2)*ER92*EU92*VLOOKUP('Données projet'!$B$15,'Paramètres'!$A$1:$I$88,3,0)*0.475*44/12</f>
        <v>#N/A</v>
      </c>
      <c r="EY92" s="163" t="str">
        <f t="shared" si="22"/>
        <v>#N/A</v>
      </c>
      <c r="EZ92" s="159">
        <f>('Scénario référence'!$F$8+'Scénario référence'!$F$9+'Scénario référence'!$B$17+'Scénario référence'!$B$9+'Scénario référence'!$B$10)*70+IF((45+25*(1-EXP(-0.0175*A92)))&lt;70,'Scénario référence'!$B$16*(45+25*(1-EXP(-0.0175*A92))),70*'Scénario référence'!$B$16)+IF((32+38*(1-EXP(-0.0175*A92)))&lt;70,'Scénario référence'!$B$18*(32+38*(1-EXP(-0.0175*A92))),70*'Scénario référence'!$B$18)</f>
        <v>70</v>
      </c>
      <c r="FA92" s="151">
        <f>IF(A92&gt;30,10,('Scénario référence'!$B$16+'Scénario référence'!$B$17+'Scénario référence'!$B$18+'Scénario référence'!$B$9+'Scénario référence'!$B$10)*A92*10/30+('Scénario référence'!$F$8+'Scénario référence'!$F$9)*10)</f>
        <v>10</v>
      </c>
      <c r="FB92" s="151" t="str">
        <f>VLOOKUP(A92,'Données projet'!$A$217:$I$237,2,0)</f>
        <v>#N/A</v>
      </c>
      <c r="FC92" s="151" t="str">
        <f>VLOOKUP(A92,'Données projet'!$A$217:$I$237,9,0)</f>
        <v>#N/A</v>
      </c>
      <c r="FD92" s="151" t="str">
        <f t="array" ref="FD92">INDEX(FC:FC,MIN(IF(ISNUMBER(FC92:FC288),ROW(FC92:FC288),"")))</f>
        <v/>
      </c>
      <c r="FE92" s="151">
        <f>IF('Données projet'!$A$218&gt;35,FE91+FD92-FM91,IF(A92&lt;'Données projet'!$A$218,$FB$205^A92,IF(A92='Données projet'!$A$218,'Données projet'!$B$218,FE91+FD92-FM91)))</f>
        <v>0</v>
      </c>
      <c r="FF92" s="158" t="str">
        <f>FE92*VLOOKUP('Données projet'!$B$16,'Paramètres'!$A$1:$I$88,3,0)*VLOOKUP('Données projet'!$B$16,'Paramètres'!$A$1:$I$88,5,0)</f>
        <v>#N/A</v>
      </c>
      <c r="FG92" s="150" t="str">
        <f t="shared" si="48"/>
        <v>#N/A</v>
      </c>
      <c r="FH92" s="161" t="str">
        <f t="shared" si="23"/>
        <v>#N/A</v>
      </c>
      <c r="FI92" s="153" t="str">
        <f t="shared" si="24"/>
        <v>#N/A</v>
      </c>
      <c r="FJ92" s="153" t="str">
        <f>AVERAGE(OFFSET($FI$3,0,0,'Données projet'!$E$16+1,1))-AVERAGE(OFFSET($H$3,0,0,'Données projet'!$E$16+1,1))</f>
        <v>#N/A</v>
      </c>
      <c r="FK92" s="153" t="str">
        <f t="shared" si="49"/>
        <v>#N/A</v>
      </c>
      <c r="FL92" s="154">
        <f>IF(ISNA(VLOOKUP(A92,'Données projet'!$A$217:$I$237,3,0)),0,VLOOKUP(A92,'Données projet'!$A$217:$I$237,3,0))</f>
        <v>0</v>
      </c>
      <c r="FM92" s="154">
        <f>IF(ISNA(VLOOKUP(A92,'Données projet'!$A$217:$I$237,4,0)),0,VLOOKUP(A92,'Données projet'!$A$217:$I$237,4,0))</f>
        <v>0</v>
      </c>
      <c r="FN92" s="155">
        <f>IF(ISNA(VLOOKUP(A92,'Données projet'!$A$217:$I$237,5,0)),0%,VLOOKUP(A92,'Données projet'!$A$217:$I$237,5,0)*VLOOKUP('Données projet'!$B$16,'Paramètres'!$A$1:$I$88,7,0))</f>
        <v>0</v>
      </c>
      <c r="FO92" s="155">
        <f>IF(ISNA(VLOOKUP(A92,'Données projet'!$A$217:$I$237,6,0)),0%,VLOOKUP(A92,'Données projet'!$A$217:$I$237,6,0)*VLOOKUP('Données projet'!$B$16,'Paramètres'!$A$1:$I$88,7,0))</f>
        <v>0</v>
      </c>
      <c r="FP92" s="155">
        <f>IF(ISNA(VLOOKUP(A92,'Données projet'!$A$217:$I$237,7,0)),0%,VLOOKUP(A92,'Données projet'!$A$217:$I$237,7,0))</f>
        <v>0</v>
      </c>
      <c r="FQ92" s="162" t="str">
        <f>EXP(-LN(2)/35)*FQ91+(1-EXP(-LN(2)/35))/(LN(2)/35)*FM92*FN92*VLOOKUP('Données projet'!$B$16,'Paramètres'!$A$1:$I$88,3,0)*0.475*44/12</f>
        <v>#N/A</v>
      </c>
      <c r="FR92" s="162" t="str">
        <f>EXP(-LN(2)/25)*FR91+(1-EXP(-LN(2)/25))/(LN(2)/25)*Calculateur!FM92*Calculateur!FO92*VLOOKUP('Données projet'!$B$16,'Paramètres'!$A$1:$I$88,3,0)*0.475*44/12</f>
        <v>#N/A</v>
      </c>
      <c r="FS92" s="162" t="str">
        <f>EXP(-LN(2)/2)*FS91+(1-EXP(-LN(2)/2))/(LN(2)/2)*FM92*FP92*VLOOKUP('Données projet'!$B$16,'Paramètres'!$A$1:$I$88,3,0)*0.475*44/12</f>
        <v>#N/A</v>
      </c>
      <c r="FT92" s="163" t="str">
        <f t="shared" si="25"/>
        <v>#N/A</v>
      </c>
      <c r="FU92" s="159">
        <f>('Scénario référence'!$F$8+'Scénario référence'!$F$9+'Scénario référence'!$B$17+'Scénario référence'!$B$9+'Scénario référence'!$B$10)*70+IF((45+25*(1-EXP(-0.0175*A92)))&lt;70,'Scénario référence'!$B$16*(45+25*(1-EXP(-0.0175*A92))),70*'Scénario référence'!$B$16)+IF((32+38*(1-EXP(-0.0175*A92)))&lt;70,'Scénario référence'!$B$18*(32+38*(1-EXP(-0.0175*A92))),70*'Scénario référence'!$B$18)</f>
        <v>70</v>
      </c>
      <c r="FV92" s="151">
        <f>IF(A92&gt;30,10,('Scénario référence'!$B$16+'Scénario référence'!$B$17+'Scénario référence'!$B$18+'Scénario référence'!$B$9+'Scénario référence'!$B$10)*A92*10/30+('Scénario référence'!$F$8+'Scénario référence'!$F$9)*10)</f>
        <v>10</v>
      </c>
      <c r="FW92" s="151" t="str">
        <f>VLOOKUP(A92,'Données projet'!$A$243:$I$263,2,0)</f>
        <v>#N/A</v>
      </c>
      <c r="FX92" s="151" t="str">
        <f>VLOOKUP(A92,'Données projet'!$A$243:$I$263,9,0)</f>
        <v>#N/A</v>
      </c>
      <c r="FY92" s="151" t="str">
        <f t="array" ref="FY92">INDEX(FX:FX,MIN(IF(ISNUMBER(FX92:FX288),ROW(FX92:FX288),"")))</f>
        <v/>
      </c>
      <c r="FZ92" s="151">
        <f>IF('Données projet'!$A$244&gt;35,FZ91+FY92-GH91,IF(A92&lt;'Données projet'!$A$244,$FW$205^A92,IF(A92='Données projet'!$A$244,'Données projet'!$B$244,FZ91+FY92-GH91)))</f>
        <v>0</v>
      </c>
      <c r="GA92" s="158" t="str">
        <f>FZ92*VLOOKUP('Données projet'!$B$17,'Paramètres'!$A$1:$I$88,3,0)*VLOOKUP('Données projet'!$B$17,'Paramètres'!$A$1:$I$88,5,0)</f>
        <v>#N/A</v>
      </c>
      <c r="GB92" s="150" t="str">
        <f t="shared" si="50"/>
        <v>#N/A</v>
      </c>
      <c r="GC92" s="161" t="str">
        <f t="shared" si="26"/>
        <v>#N/A</v>
      </c>
      <c r="GD92" s="153" t="str">
        <f t="shared" si="27"/>
        <v>#N/A</v>
      </c>
      <c r="GE92" s="153" t="str">
        <f>AVERAGE(OFFSET($GD$3,0,0,'Données projet'!$E$17+1,1))-AVERAGE(OFFSET($H$3,0,0,'Données projet'!$E$17+1,1))</f>
        <v>#N/A</v>
      </c>
      <c r="GF92" s="153" t="str">
        <f t="shared" si="51"/>
        <v>#N/A</v>
      </c>
      <c r="GG92" s="154">
        <f>IF(ISNA(VLOOKUP(A92,'Données projet'!$A$243:$I$263,3,0)),0,VLOOKUP(A92,'Données projet'!$A$243:$I$263,3,0))</f>
        <v>0</v>
      </c>
      <c r="GH92" s="154">
        <f>IF(ISNA(VLOOKUP(A92,'Données projet'!$A$243:$I$263,4,0)),0,VLOOKUP(A92,'Données projet'!$A$243:$I$263,4,0))</f>
        <v>0</v>
      </c>
      <c r="GI92" s="155">
        <f>IF(ISNA(VLOOKUP(A92,'Données projet'!$A$243:$I$263,5,0)),0%,VLOOKUP(A92,'Données projet'!$A$243:$I$263,5,0)*VLOOKUP('Données projet'!$B$17,'Paramètres'!$A$1:$I$88,7,0))</f>
        <v>0</v>
      </c>
      <c r="GJ92" s="155">
        <f>IF(ISNA(VLOOKUP(A92,'Données projet'!$A$243:$I$263,6,0)),0%,VLOOKUP(A92,'Données projet'!$A$243:$I$263,6,0)*VLOOKUP('Données projet'!$B$17,'Paramètres'!$A$1:$I$88,7,0))</f>
        <v>0</v>
      </c>
      <c r="GK92" s="155">
        <f>IF(ISNA(VLOOKUP(A92,'Données projet'!$A$243:$I$263,7,0)),0%,VLOOKUP(A92,'Données projet'!$A$243:$I$263,7,0))</f>
        <v>0</v>
      </c>
      <c r="GL92" s="162" t="str">
        <f>EXP(-LN(2)/35)*GL91+(1-EXP(-LN(2)/35))/(LN(2)/35)*GH92*GI92*VLOOKUP('Données projet'!$B$17,'Paramètres'!$A$1:$I$88,3,0)*0.475*44/12</f>
        <v>#N/A</v>
      </c>
      <c r="GM92" s="162" t="str">
        <f>EXP(-LN(2)/25)*GM91+(1-EXP(-LN(2)/25))/(LN(2)/25)*Calculateur!GH92*Calculateur!GJ92*VLOOKUP('Données projet'!$B$17,'Paramètres'!$A$1:$I$88,3,0)*0.475*44/12</f>
        <v>#N/A</v>
      </c>
      <c r="GN92" s="162" t="str">
        <f>EXP(-LN(2)/2)*GN91+(1-EXP(-LN(2)/2))/(LN(2)/2)*GH92*GK92*VLOOKUP('Données projet'!$B$17,'Paramètres'!$A$1:$I$88,3,0)*0.475*44/12</f>
        <v>#N/A</v>
      </c>
      <c r="GO92" s="162" t="str">
        <f t="shared" si="28"/>
        <v>#N/A</v>
      </c>
      <c r="GP92" s="159">
        <f>('Scénario référence'!$F$8+'Scénario référence'!$F$9+'Scénario référence'!$B$17+'Scénario référence'!$B$9+'Scénario référence'!$B$10)*70+IF((45+25*(1-EXP(-0.0175*A92)))&lt;70,'Scénario référence'!$B$16*(45+25*(1-EXP(-0.0175*A92))),70*'Scénario référence'!$B$16)+IF((32+38*(1-EXP(-0.0175*A92)))&lt;70,'Scénario référence'!$B$18*(32+38*(1-EXP(-0.0175*A92))),70*'Scénario référence'!$B$18)</f>
        <v>70</v>
      </c>
      <c r="GQ92" s="151">
        <f>IF(A92&gt;30,10,('Scénario référence'!$B$16+'Scénario référence'!$B$17+'Scénario référence'!$B$18+'Scénario référence'!$B$9+'Scénario référence'!$B$10)*A92*10/30+('Scénario référence'!$F$8+'Scénario référence'!$F$9)*10)</f>
        <v>10</v>
      </c>
      <c r="GR92" s="151" t="str">
        <f>VLOOKUP(A92,'Données projet'!$A$269:$I$289,2,0)</f>
        <v>#N/A</v>
      </c>
      <c r="GS92" s="151" t="str">
        <f>VLOOKUP(A92,'Données projet'!$A$269:$I$289,9,0)</f>
        <v>#N/A</v>
      </c>
      <c r="GT92" s="151" t="str">
        <f t="array" ref="GT92">INDEX(GS:GS,MIN(IF(ISNUMBER(GS92:GS288),ROW(GS92:GS288),"")))</f>
        <v/>
      </c>
      <c r="GU92" s="151">
        <f>IF('Données projet'!$A$270&gt;35,GU91+GT92-HC91,IF(A92&lt;'Données projet'!$A$270,$GR$205^A92,IF(A92='Données projet'!$A$270,'Données projet'!$B$270,GU91+GT92-HC91)))</f>
        <v>0</v>
      </c>
      <c r="GV92" s="158" t="str">
        <f>GU92*VLOOKUP('Données projet'!$B$18,'Paramètres'!$A$1:$I$88,3,0)*VLOOKUP('Données projet'!$B$18,'Paramètres'!$A$1:$I$88,5,0)</f>
        <v>#N/A</v>
      </c>
      <c r="GW92" s="150" t="str">
        <f t="shared" si="52"/>
        <v>#N/A</v>
      </c>
      <c r="GX92" s="161" t="str">
        <f t="shared" si="29"/>
        <v>#N/A</v>
      </c>
      <c r="GY92" s="153" t="str">
        <f t="shared" si="30"/>
        <v>#N/A</v>
      </c>
      <c r="GZ92" s="153" t="str">
        <f>AVERAGE(OFFSET($GY$3,0,0,'Données projet'!$E$18+1,1))-AVERAGE(OFFSET($H$3,0,0,'Données projet'!$E$18+1,1))</f>
        <v>#N/A</v>
      </c>
      <c r="HA92" s="153" t="str">
        <f t="shared" si="53"/>
        <v>#N/A</v>
      </c>
      <c r="HB92" s="154">
        <f>IF(ISNA(VLOOKUP(A92,'Données projet'!$A$269:$I$289,3,0)),0,VLOOKUP(A92,'Données projet'!$A$269:$I$289,3,0))</f>
        <v>0</v>
      </c>
      <c r="HC92" s="154">
        <f>IF(ISNA(VLOOKUP(A92,'Données projet'!$A$269:$I$289,4,0)),0,VLOOKUP(A92,'Données projet'!$A$269:$I$289,4,0))</f>
        <v>0</v>
      </c>
      <c r="HD92" s="155">
        <f>IF(ISNA(VLOOKUP(A92,'Données projet'!$A$269:$I$289,5,0)),0%,VLOOKUP(A92,'Données projet'!$A$269:$I$289,5,0)*VLOOKUP('Données projet'!$B$18,'Paramètres'!$A$1:$I$88,7,0))</f>
        <v>0</v>
      </c>
      <c r="HE92" s="155">
        <f>IF(ISNA(VLOOKUP(A92,'Données projet'!$A$269:$I$289,6,0)),0%,VLOOKUP(A92,'Données projet'!$A$269:$I$289,6,0)*VLOOKUP('Données projet'!$B$18,'Paramètres'!$A$1:$I$88,7,0))</f>
        <v>0</v>
      </c>
      <c r="HF92" s="155">
        <f>IF(ISNA(VLOOKUP(A92,'Données projet'!$A$269:$I$289,7,0)),0%,VLOOKUP(A92,'Données projet'!$A$269:$I$289,7,0))</f>
        <v>0</v>
      </c>
      <c r="HG92" s="162" t="str">
        <f>EXP(-LN(2)/35)*HG91+(1-EXP(-LN(2)/35))/(LN(2)/35)*HC92*HD92*VLOOKUP('Données projet'!$B$18,'Paramètres'!$A$1:$I$88,3,0)*0.475*44/12</f>
        <v>#N/A</v>
      </c>
      <c r="HH92" s="162" t="str">
        <f>EXP(-LN(2)/25)*HH91+(1-EXP(-LN(2)/25))/(LN(2)/25)*Calculateur!HC92*Calculateur!HE92*VLOOKUP('Données projet'!$B$18,'Paramètres'!$A$1:$I$88,3,0)*0.475*44/12</f>
        <v>#N/A</v>
      </c>
      <c r="HI92" s="162" t="str">
        <f>EXP(-LN(2)/2)*HI91+(1-EXP(-LN(2)/2))/(LN(2)/2)*HC92*HF92*VLOOKUP('Données projet'!$B$18,'Paramètres'!$A$1:$I$88,3,0)*0.475*44/12</f>
        <v>#N/A</v>
      </c>
      <c r="HJ92" s="163" t="str">
        <f t="shared" si="31"/>
        <v>#N/A</v>
      </c>
    </row>
    <row r="93" ht="15.75" customHeight="1">
      <c r="A93" s="145">
        <f t="shared" si="32"/>
        <v>90</v>
      </c>
      <c r="B93" s="146">
        <f>'Scénario référence'!$B$16*5+'Scénario référence'!$B$17*0+'Scénario référence'!$B$18*5</f>
        <v>0</v>
      </c>
      <c r="C93" s="160">
        <f>Calculateur!C92+'Scénario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93" s="147">
        <f t="shared" si="33"/>
        <v>0</v>
      </c>
      <c r="E93" s="147">
        <f>'Scénario référence'!$B$16*45+('Scénario référence'!$B$17+'Scénario référence'!$F$8+'Scénario référence'!$F$9+'Scénario référence'!$B$10+'Scénario référence'!$B$9)*70+'Scénario référence'!$B$18*32</f>
        <v>70</v>
      </c>
      <c r="F93" s="147">
        <f>IF(OR('Scénario référence'!$F$8&gt;0,'Scénario référence'!$F$9&gt;0),('Scénario référence'!$F$8+'Scénario référence'!$F$9)*10,0)</f>
        <v>0</v>
      </c>
      <c r="G93" s="147">
        <f>'Scénario référence'!$B$8*B93*44/12+'Scénario référence'!$B$9*(C93+D93)/0.475*44/12+'Scénario référence'!$B$10*(C93+D93)/0.475*44/12+'Scénario référence'!$F$8*(C93+D93)/0.475*44/12+'Scénario référence'!$F$9*(C93+D93)/0.475*44/12</f>
        <v>0</v>
      </c>
      <c r="H93" s="148">
        <f t="shared" si="1"/>
        <v>256.6666667</v>
      </c>
      <c r="I93" s="149">
        <f>('Scénario référence'!$F$8+'Scénario référence'!$F$9+'Scénario référence'!$B$17+'Scénario référence'!$B$9+'Scénario référence'!$B$10)*70+IF((45+25*(1-EXP(-0.0175*A93)))&lt;70,'Scénario référence'!$B$16*(45+25*(1-EXP(-0.0175*A93))),70*'Scénario référence'!$B$16)+IF((32+38*(1-EXP(-0.0175*A93)))&lt;70,'Scénario référence'!$B$18*(32+38*(1-EXP(-0.0175*A93))),70*'Scénario référence'!$B$18)</f>
        <v>70</v>
      </c>
      <c r="J93" s="150">
        <f>IF(A93&gt;30,10,('Scénario référence'!$B$16+'Scénario référence'!$B$17+'Scénario référence'!$B$18+'Scénario référence'!$B$9+'Scénario référence'!$B$10)*A93*10/30+('Scénario référence'!$F$8+'Scénario référence'!$F$9)*10)</f>
        <v>10</v>
      </c>
      <c r="K93" s="165">
        <f>VLOOKUP(A93,'Données projet'!$A$35:$I$55,2,0)</f>
        <v>330</v>
      </c>
      <c r="L93" s="151">
        <f>VLOOKUP(A93,'Données projet'!$A$35:$I$55,9,0)</f>
        <v>6.4</v>
      </c>
      <c r="M93" s="150">
        <f t="array" ref="M93">INDEX(L:L,MIN(IF(ISNUMBER(L93:L289),ROW(L93:L289),"")))</f>
        <v>6.4</v>
      </c>
      <c r="N93" s="150">
        <f>IF('Données projet'!$A$36&gt;35,N92+M93-V92,IF(A93&lt;'Données projet'!$A$36,$K$205^A93,IF(A93='Données projet'!$A$36,'Données projet'!$B$36,N92+M93-V92)))</f>
        <v>330</v>
      </c>
      <c r="O93" s="150">
        <f>N93*VLOOKUP('Données projet'!$B$9,'Paramètres'!$A$1:$I$88,3,0)*VLOOKUP('Données projet'!$B$9,'Paramètres'!$A$1:$I$88,5,0)</f>
        <v>298.584</v>
      </c>
      <c r="P93" s="150">
        <f t="shared" si="34"/>
        <v>70.8795338</v>
      </c>
      <c r="Q93" s="161">
        <f t="shared" si="2"/>
        <v>643.4823214</v>
      </c>
      <c r="R93" s="153">
        <f t="shared" si="3"/>
        <v>936.8156547</v>
      </c>
      <c r="S93" s="153">
        <f>AVERAGE(OFFSET($R$3,0,0,'Données projet'!$E$9+1,1))-AVERAGE(OFFSET($H$3,0,0,'Données projet'!$E$9+1,1))</f>
        <v>439.1985427</v>
      </c>
      <c r="T93" s="153">
        <f t="shared" si="35"/>
        <v>278.2174123</v>
      </c>
      <c r="U93" s="154">
        <f>IF(ISNA(VLOOKUP(A93,'Données projet'!$A$35:$I$55,3,0)),0,VLOOKUP(A93,'Données projet'!$A$35:$I$55,3,0))</f>
        <v>15</v>
      </c>
      <c r="V93" s="164">
        <f>IF(ISNA(VLOOKUP(A93,'Données projet'!$A$35:$I$55,4,0)),0,VLOOKUP(A93,'Données projet'!$A$35:$I$55,4,0))</f>
        <v>28</v>
      </c>
      <c r="W93" s="155">
        <f>IF(ISNA(VLOOKUP(A93,'Données projet'!$A$35:$I$55,5,0)),0%,VLOOKUP(A93,'Données projet'!$A$35:$I$55,5,0)*VLOOKUP('Données projet'!$B$9,'Paramètres'!$A$1:$I$88,7,0))</f>
        <v>0</v>
      </c>
      <c r="X93" s="155">
        <f>IF(ISNA(VLOOKUP(A93,'Données projet'!$A$35:$I$55,6,0)),0%,VLOOKUP(A93,'Données projet'!$A$35:$I$55,6,0)*VLOOKUP('Données projet'!$B$9,'Paramètres'!$A$1:$I$88,7,0))</f>
        <v>0</v>
      </c>
      <c r="Y93" s="155" t="str">
        <f>IF(ISNA(VLOOKUP(A93,'Données projet'!$A$35:$I$55,7,0)),0%,VLOOKUP(A93,'Données projet'!$A$35:$I$55,7,0))</f>
        <v/>
      </c>
      <c r="Z93" s="162">
        <f>EXP(-LN(2)/35)*Z92+(1-EXP(-LN(2)/35))/(LN(2)/35)*V93*W93*VLOOKUP('Données projet'!$B$9,'Paramètres'!$A$1:$I$88,3,0)*0.475*44/12</f>
        <v>0</v>
      </c>
      <c r="AA93" s="162">
        <f>EXP(-LN(2)/25)*AA92+(1-EXP(-LN(2)/25))/(LN(2)/25)*Calculateur!V93*Calculateur!X93*VLOOKUP('Données projet'!$B$9,'Paramètres'!$A$1:$I$88,3,0)*0.475*44/12</f>
        <v>0.8502375658</v>
      </c>
      <c r="AB93" s="162">
        <f>EXP(-LN(2)/2)*AB92+(1-EXP(-LN(2)/2))/(LN(2)/2)*V93*Y93*VLOOKUP('Données projet'!$B$9,'Paramètres'!$A$1:$I$88,3,0)*0.475*44/12</f>
        <v>0</v>
      </c>
      <c r="AC93" s="163">
        <f t="shared" si="4"/>
        <v>0.8502375658</v>
      </c>
      <c r="AD93" s="150">
        <f>('Scénario référence'!$F$8+'Scénario référence'!$F$9+'Scénario référence'!$B$17+'Scénario référence'!$B$9+'Scénario référence'!$B$10)*70+IF((45+25*(1-EXP(-0.0175*A93)))&lt;70,'Scénario référence'!$B$16*(45+25*(1-EXP(-0.0175*A93))),70*'Scénario référence'!$B$16)+IF((32+38*(1-EXP(-0.0175*A93)))&lt;70,'Scénario référence'!$B$18*(32+38*(1-EXP(-0.0175*A93))),70*'Scénario référence'!$B$18)</f>
        <v>70</v>
      </c>
      <c r="AE93" s="150">
        <f>IF(A93&gt;30,10,('Scénario référence'!$B$16+'Scénario référence'!$B$17+'Scénario référence'!$B$18+'Scénario référence'!$B$9+'Scénario référence'!$B$10)*A93*10/30+('Scénario référence'!$F$8+'Scénario référence'!$F$9)*10)</f>
        <v>10</v>
      </c>
      <c r="AF93" s="151" t="str">
        <f>VLOOKUP(A93,'Données projet'!$A$61:$I$81,2,0)</f>
        <v>#N/A</v>
      </c>
      <c r="AG93" s="151" t="str">
        <f>VLOOKUP(A93,'Données projet'!$A$61:$I$81,9,0)</f>
        <v>#N/A</v>
      </c>
      <c r="AH93" s="151" t="str">
        <f t="array" ref="AH93">INDEX(AG:AG,MIN(IF(ISNUMBER(AG93:AG289),ROW(AG93:AG289),"")))</f>
        <v/>
      </c>
      <c r="AI93" s="150">
        <f>IF('Données projet'!$A$62&gt;35,AI92+AH93-AQ92,IF(A93&lt;'Données projet'!$A$62,$AF$205^A93,IF(A93='Données projet'!$A$62,'Données projet'!$B$62,AI92+AH93-AQ92)))</f>
        <v>369</v>
      </c>
      <c r="AJ93" s="150">
        <f>AI93*VLOOKUP('Données projet'!$B$10,'Paramètres'!$A$1:$I$88,3,0)*VLOOKUP('Données projet'!$B$10,'Paramètres'!$A$1:$I$88,5,0)</f>
        <v>293.5764</v>
      </c>
      <c r="AK93" s="150">
        <f t="shared" si="36"/>
        <v>69.82813851</v>
      </c>
      <c r="AL93" s="161">
        <f t="shared" si="5"/>
        <v>632.9295712</v>
      </c>
      <c r="AM93" s="153">
        <f t="shared" si="6"/>
        <v>926.2629046</v>
      </c>
      <c r="AN93" s="153">
        <f>AVERAGE(OFFSET($AM$3,0,0,'Données projet'!$E$10+1,1))-AVERAGE(OFFSET($H$3,0,0,'Données projet'!$E$10+1,1))</f>
        <v>405.6113614</v>
      </c>
      <c r="AO93" s="153">
        <f t="shared" si="37"/>
        <v>393.0787141</v>
      </c>
      <c r="AP93" s="154">
        <f>IF(ISNA(VLOOKUP(A93,'Données projet'!$A$61:$I$81,3,0)),0,VLOOKUP(A93,'Données projet'!$A$61:$I$81,3,0))</f>
        <v>0</v>
      </c>
      <c r="AQ93" s="154">
        <f>IF(ISNA(VLOOKUP(A93,'Données projet'!$A$61:$I$81,4,0)),0,VLOOKUP(A93,'Données projet'!$A$61:$I$81,4,0))</f>
        <v>0</v>
      </c>
      <c r="AR93" s="155">
        <f>IF(ISNA(VLOOKUP(A93,'Données projet'!$A$61:$I$81,5,0)),0%,VLOOKUP(A93,'Données projet'!$A$61:$I$81,5,0)*VLOOKUP('Données projet'!$B$10,'Paramètres'!$A$1:$I$88,7,0))</f>
        <v>0</v>
      </c>
      <c r="AS93" s="155">
        <f>IF(ISNA(VLOOKUP(A93,'Données projet'!$A$61:$I$81,6,0)),0%,VLOOKUP(A93,'Données projet'!$A$61:$I$81,6,0)*VLOOKUP('Données projet'!$B$10,'Paramètres'!$A$1:$I$88,7,0))</f>
        <v>0</v>
      </c>
      <c r="AT93" s="155">
        <f>IF(ISNA(VLOOKUP(A93,'Données projet'!$A$61:$I$81,7,0)),0%,VLOOKUP(A93,'Données projet'!$A$61:$I$81,7,0))</f>
        <v>0</v>
      </c>
      <c r="AU93" s="162">
        <f>EXP(-LN(2)/35)*AU92+(1-EXP(-LN(2)/35))/(LN(2)/35)*AQ93*AR93*VLOOKUP('Données projet'!$B$10,'Paramètres'!$A$1:$I$88,3,0)*0.475*44/12</f>
        <v>0</v>
      </c>
      <c r="AV93" s="162">
        <f>EXP(-LN(2)/25)*AV92+(1-EXP(-LN(2)/25))/(LN(2)/25)*Calculateur!AQ93*Calculateur!AS93*VLOOKUP('Données projet'!$B$10,'Paramètres'!$A$1:$I$88,3,0)*0.475*44/12</f>
        <v>3.455581606</v>
      </c>
      <c r="AW93" s="162">
        <f>EXP(-LN(2)/2)*AW92+(1-EXP(-LN(2)/2))/(LN(2)/2)*AQ93*AT93*VLOOKUP('Données projet'!$B$10,'Paramètres'!$A$1:$I$88,3,0)*0.475*44/12</f>
        <v>0.0000000005398990623</v>
      </c>
      <c r="AX93" s="162">
        <f t="shared" si="7"/>
        <v>3.455581607</v>
      </c>
      <c r="AY93" s="157">
        <f>('Scénario référence'!$F$8+'Scénario référence'!$F$9+'Scénario référence'!$B$17+'Scénario référence'!$B$9+'Scénario référence'!$B$10)*70+IF((45+25*(1-EXP(-0.0175*A93)))&lt;70,'Scénario référence'!$B$16*(45+25*(1-EXP(-0.0175*A93))),70*'Scénario référence'!$B$16)+IF((32+38*(1-EXP(-0.0175*A93)))&lt;70,'Scénario référence'!$B$18*(32+38*(1-EXP(-0.0175*A93))),70*'Scénario référence'!$B$18)</f>
        <v>70</v>
      </c>
      <c r="AZ93" s="151">
        <f>IF(A93&gt;30,10,('Scénario référence'!$B$16+'Scénario référence'!$B$17+'Scénario référence'!$B$18+'Scénario référence'!$B$9+'Scénario référence'!$B$10)*A93*10/30+('Scénario référence'!$F$8+'Scénario référence'!$F$9)*10)</f>
        <v>10</v>
      </c>
      <c r="BA93" s="151" t="str">
        <f>VLOOKUP(A93,'Données projet'!$A$87:$I$107,2,0)</f>
        <v>#N/A</v>
      </c>
      <c r="BB93" s="151" t="str">
        <f>VLOOKUP(A93,'Données projet'!$A$87:$I$107,9,0)</f>
        <v>#N/A</v>
      </c>
      <c r="BC93" s="151" t="str">
        <f t="array" ref="BC93">INDEX(BB:BB,MIN(IF(ISNUMBER(BB93:BB289),ROW(BB93:BB289),"")))</f>
        <v/>
      </c>
      <c r="BD93" s="150">
        <f>IF('Données projet'!$A$88&gt;35,BD92+BC93-BL92,IF(A93&lt;'Données projet'!$A$88,$BA$205^A93,IF(A93='Données projet'!$A$88,'Données projet'!$B$88,BD92+BC93-BL92)))</f>
        <v>0</v>
      </c>
      <c r="BE93" s="150">
        <f>BD93*VLOOKUP('Données projet'!$B$11,'Paramètres'!$A$1:$I$88,3,0)*VLOOKUP('Données projet'!$B$11,'Paramètres'!$A$1:$I$88,5,0)</f>
        <v>0</v>
      </c>
      <c r="BF93" s="150" t="str">
        <f t="shared" si="38"/>
        <v>#NUM!</v>
      </c>
      <c r="BG93" s="161" t="str">
        <f t="shared" si="8"/>
        <v>#NUM!</v>
      </c>
      <c r="BH93" s="153" t="str">
        <f t="shared" si="9"/>
        <v>#NUM!</v>
      </c>
      <c r="BI93" s="153">
        <f>AVERAGE(OFFSET($BH$3,0,0,'Données projet'!$E$11+1,1))-AVERAGE(OFFSET($H$3,0,0,'Données projet'!$E$11+1,1))</f>
        <v>0</v>
      </c>
      <c r="BJ93" s="153">
        <f t="shared" si="39"/>
        <v>0</v>
      </c>
      <c r="BK93" s="154">
        <f>IF(ISNA(VLOOKUP(A93,'Données projet'!$A$87:$I$107,3,0)),0,VLOOKUP(A93,'Données projet'!$A$87:$I$107,3,0))</f>
        <v>0</v>
      </c>
      <c r="BL93" s="154">
        <f>IF(ISNA(VLOOKUP(A93,'Données projet'!$A$87:$I$107,4,0)),0,VLOOKUP(A93,'Données projet'!$A$87:$I$107,4,0))</f>
        <v>0</v>
      </c>
      <c r="BM93" s="155">
        <f>IF(ISNA(VLOOKUP(A93,'Données projet'!$A$87:$I$107,5,0)),0%,VLOOKUP(A93,'Données projet'!$A$87:$I$107,5,0)*VLOOKUP('Données projet'!$B$11,'Paramètres'!$A$1:$I$88,7,0))</f>
        <v>0</v>
      </c>
      <c r="BN93" s="155">
        <f>IF(ISNA(VLOOKUP(A93,'Données projet'!$A$87:$I$107,6,0)),0%,VLOOKUP(A93,'Données projet'!$A$87:$I$107,6,0)*VLOOKUP('Données projet'!$B$11,'Paramètres'!$A$1:$I$88,7,0))</f>
        <v>0</v>
      </c>
      <c r="BO93" s="155">
        <f>IF(ISNA(VLOOKUP(A93,'Données projet'!$A$87:$I$107,7,0)),0%,VLOOKUP(A93,'Données projet'!$A$87:$I$107,7,0))</f>
        <v>0</v>
      </c>
      <c r="BP93" s="162">
        <f>EXP(-LN(2)/35)*BP92+(1-EXP(-LN(2)/35))/(LN(2)/35)*BL93*BM93*VLOOKUP('Données projet'!$B$11,'Paramètres'!$A$1:$I$88,3,0)*0.475*44/12</f>
        <v>0</v>
      </c>
      <c r="BQ93" s="162">
        <f>EXP(-LN(2)/25)*BQ92+(1-EXP(-LN(2)/25))/(LN(2)/25)*Calculateur!BL93*Calculateur!BN93*VLOOKUP('Données projet'!$B$11,'Paramètres'!$A$1:$I$88,3,0)*0.475*44/12</f>
        <v>0</v>
      </c>
      <c r="BR93" s="162">
        <f>EXP(-LN(2)/2)*BR92+(1-EXP(-LN(2)/2))/(LN(2)/2)*BL93*BO93*VLOOKUP('Données projet'!$B$11,'Paramètres'!$A$1:$I$88,3,0)*0.475*44/12</f>
        <v>0</v>
      </c>
      <c r="BS93" s="163">
        <f t="shared" si="10"/>
        <v>0</v>
      </c>
      <c r="BT93" s="159">
        <f>('Scénario référence'!$F$8+'Scénario référence'!$F$9+'Scénario référence'!$B$17+'Scénario référence'!$B$9+'Scénario référence'!$B$10)*70+IF((45+25*(1-EXP(-0.0175*A93)))&lt;70,'Scénario référence'!$B$16*(45+25*(1-EXP(-0.0175*A93))),70*'Scénario référence'!$B$16)+IF((32+38*(1-EXP(-0.0175*A93)))&lt;70,'Scénario référence'!$B$18*(32+38*(1-EXP(-0.0175*A93))),70*'Scénario référence'!$B$18)</f>
        <v>70</v>
      </c>
      <c r="BU93" s="151">
        <f>IF(A93&gt;30,10,('Scénario référence'!$B$16+'Scénario référence'!$B$17+'Scénario référence'!$B$18+'Scénario référence'!$B$9+'Scénario référence'!$B$10)*A93*10/30+('Scénario référence'!$F$8+'Scénario référence'!$F$9)*10)</f>
        <v>10</v>
      </c>
      <c r="BV93" s="151" t="str">
        <f>VLOOKUP(A93,'Données projet'!$A$113:$I$133,2,0)</f>
        <v>#N/A</v>
      </c>
      <c r="BW93" s="151" t="str">
        <f>VLOOKUP(A93,'Données projet'!$A$113:$I$133,9,0)</f>
        <v>#N/A</v>
      </c>
      <c r="BX93" s="150" t="str">
        <f t="array" ref="BX93">INDEX(BW:BW,MIN(IF(ISNUMBER(BW93:BW289),ROW(BW93:BW289),"")))</f>
        <v/>
      </c>
      <c r="BY93" s="150">
        <f>IF('Données projet'!$A$114&gt;35,BY92+BX93-CG92,IF(A93&lt;'Données projet'!$A$114,$BV$205^A93,IF(A93='Données projet'!$A$114,'Données projet'!$B$114,BY92+BX93-CG92)))</f>
        <v>0</v>
      </c>
      <c r="BZ93" s="150" t="str">
        <f>BY93*VLOOKUP('Données projet'!$B$12,'Paramètres'!$A$1:$I$88,3,0)*VLOOKUP('Données projet'!$B$12,'Paramètres'!$A$1:$I$88,5,0)</f>
        <v>#N/A</v>
      </c>
      <c r="CA93" s="150" t="str">
        <f t="shared" si="40"/>
        <v>#N/A</v>
      </c>
      <c r="CB93" s="161" t="str">
        <f t="shared" si="11"/>
        <v>#N/A</v>
      </c>
      <c r="CC93" s="153" t="str">
        <f t="shared" si="12"/>
        <v>#N/A</v>
      </c>
      <c r="CD93" s="153" t="str">
        <f>AVERAGE(OFFSET($CC$3,0,0,'Données projet'!$E$12+1,1))-AVERAGE(OFFSET($H$3,0,0,'Données projet'!$E$12+1,1))</f>
        <v>#N/A</v>
      </c>
      <c r="CE93" s="153" t="str">
        <f t="shared" si="41"/>
        <v>#N/A</v>
      </c>
      <c r="CF93" s="154">
        <f>IF(ISNA(VLOOKUP(A93,'Données projet'!$A$113:$I$133,3,0)),0,VLOOKUP(A93,'Données projet'!$A$113:$I$133,3,0))</f>
        <v>0</v>
      </c>
      <c r="CG93" s="154">
        <f>IF(ISNA(VLOOKUP(A93,'Données projet'!$A$113:$I$133,4,0)),0,VLOOKUP(A93,'Données projet'!$A$113:$I$133,4,0))</f>
        <v>0</v>
      </c>
      <c r="CH93" s="155">
        <f>IF(ISNA(VLOOKUP(A93,'Données projet'!$A$113:$I$133,5,0)),0%,VLOOKUP(A93,'Données projet'!$A$113:$I$133,5,0)*VLOOKUP('Données projet'!$B$12,'Paramètres'!$A$1:$I$88,7,0))</f>
        <v>0</v>
      </c>
      <c r="CI93" s="155">
        <f>IF(ISNA(VLOOKUP(A93,'Données projet'!$A$113:$I$133,6,0)),0%,VLOOKUP(A93,'Données projet'!$A$113:$I$133,6,0)*VLOOKUP('Données projet'!$B$12,'Paramètres'!$A$1:$I$88,7,0))</f>
        <v>0</v>
      </c>
      <c r="CJ93" s="155">
        <f>IF(ISNA(VLOOKUP(A93,'Données projet'!$A$113:$I$133,7,0)),0%,VLOOKUP(A93,'Données projet'!$A$113:$I$133,7,0))</f>
        <v>0</v>
      </c>
      <c r="CK93" s="162" t="str">
        <f>EXP(-LN(2)/35)*CK92+(1-EXP(-LN(2)/35))/(LN(2)/35)*CG93*CH93*VLOOKUP('Données projet'!$B$12,'Paramètres'!$A$1:$I$88,3,0)*0.475*44/12</f>
        <v>#N/A</v>
      </c>
      <c r="CL93" s="162" t="str">
        <f>EXP(-LN(2)/25)*CL92+(1-EXP(-LN(2)/25))/(LN(2)/25)*Calculateur!CG93*Calculateur!CI93*VLOOKUP('Données projet'!$B$12,'Paramètres'!$A$1:$I$88,3,0)*0.475*44/12</f>
        <v>#N/A</v>
      </c>
      <c r="CM93" s="162" t="str">
        <f>EXP(-LN(2)/2)*CM92+(1-EXP(-LN(2)/2))/(LN(2)/2)*CG93*CJ93*VLOOKUP('Données projet'!$B$12,'Paramètres'!$A$1:$I$88,3,0)*0.475*44/12</f>
        <v>#N/A</v>
      </c>
      <c r="CN93" s="163" t="str">
        <f t="shared" si="13"/>
        <v>#N/A</v>
      </c>
      <c r="CO93" s="159">
        <f>('Scénario référence'!$F$8+'Scénario référence'!$F$9+'Scénario référence'!$B$17+'Scénario référence'!$B$9+'Scénario référence'!$B$10)*70+IF((45+25*(1-EXP(-0.0175*A93)))&lt;70,'Scénario référence'!$B$16*(45+25*(1-EXP(-0.0175*A93))),70*'Scénario référence'!$B$16)+IF((32+38*(1-EXP(-0.0175*A93)))&lt;70,'Scénario référence'!$B$18*(32+38*(1-EXP(-0.0175*A93))),70*'Scénario référence'!$B$18)</f>
        <v>70</v>
      </c>
      <c r="CP93" s="151">
        <f>IF(A93&gt;30,10,('Scénario référence'!$B$16+'Scénario référence'!$B$17+'Scénario référence'!$B$18+'Scénario référence'!$B$9+'Scénario référence'!$B$10)*A93*10/30+('Scénario référence'!$F$8+'Scénario référence'!$F$9)*10)</f>
        <v>10</v>
      </c>
      <c r="CQ93" s="151" t="str">
        <f>VLOOKUP(A93,'Données projet'!$A$139:$I$159,2,0)</f>
        <v>#N/A</v>
      </c>
      <c r="CR93" s="151" t="str">
        <f>VLOOKUP(A93,'Données projet'!$A$139:$I$159,9,0)</f>
        <v>#N/A</v>
      </c>
      <c r="CS93" s="151" t="str">
        <f t="array" ref="CS93">INDEX(CR:CR,MIN(IF(ISNUMBER(CR93:CR289),ROW(CR93:CR289),"")))</f>
        <v/>
      </c>
      <c r="CT93" s="151">
        <f>IF('Données projet'!$A$140&gt;35,CT92+CS93-DB92,IF(A93&lt;'Données projet'!$A$140,$CQ$205^A93,IF(A93='Données projet'!$A$140,'Données projet'!$B$140,CT92+CS93-DB92)))</f>
        <v>0</v>
      </c>
      <c r="CU93" s="158" t="str">
        <f>CT93*VLOOKUP('Données projet'!$B$13,'Paramètres'!$A$1:$I$88,3,0)*VLOOKUP('Données projet'!$B$13,'Paramètres'!$A$1:$I$88,5,0)</f>
        <v>#N/A</v>
      </c>
      <c r="CV93" s="150" t="str">
        <f t="shared" si="42"/>
        <v>#N/A</v>
      </c>
      <c r="CW93" s="161" t="str">
        <f t="shared" si="14"/>
        <v>#N/A</v>
      </c>
      <c r="CX93" s="153" t="str">
        <f t="shared" si="15"/>
        <v>#N/A</v>
      </c>
      <c r="CY93" s="153" t="str">
        <f>AVERAGE(OFFSET($CX$3,0,0,'Données projet'!$E$13+1,1))-AVERAGE(OFFSET($H$3,0,0,'Données projet'!$E$13+1,1))</f>
        <v>#N/A</v>
      </c>
      <c r="CZ93" s="153" t="str">
        <f t="shared" si="43"/>
        <v>#N/A</v>
      </c>
      <c r="DA93" s="154">
        <f>IF(ISNA(VLOOKUP(A93,'Données projet'!$A$139:$I$159,3,0)),0,VLOOKUP(A93,'Données projet'!$A$139:$I$159,3,0))</f>
        <v>0</v>
      </c>
      <c r="DB93" s="154">
        <f>IF(ISNA(VLOOKUP(A93,'Données projet'!$A$139:$I$159,4,0)),0,VLOOKUP(A93,'Données projet'!$A$139:$I$159,4,0))</f>
        <v>0</v>
      </c>
      <c r="DC93" s="155">
        <f>IF(ISNA(VLOOKUP(A93,'Données projet'!$A$139:$I$159,5,0)),0%,VLOOKUP(A93,'Données projet'!$A$139:$I$159,5,0)*VLOOKUP('Données projet'!$B$13,'Paramètres'!$A$1:$I$88,7,0))</f>
        <v>0</v>
      </c>
      <c r="DD93" s="155">
        <f>IF(ISNA(VLOOKUP(A93,'Données projet'!$A$139:$I$159,6,0)),0%,VLOOKUP(A93,'Données projet'!$A$139:$I$159,6,0)*VLOOKUP('Données projet'!$B$13,'Paramètres'!$A$1:$I$88,7,0))</f>
        <v>0</v>
      </c>
      <c r="DE93" s="155">
        <f>IF(ISNA(VLOOKUP(A93,'Données projet'!$A$139:$I$159,7,0)),0%,VLOOKUP(A93,'Données projet'!$A$139:$I$159,7,0))</f>
        <v>0</v>
      </c>
      <c r="DF93" s="162" t="str">
        <f>EXP(-LN(2)/35)*DF92+(1-EXP(-LN(2)/35))/(LN(2)/35)*DB93*DC93*VLOOKUP('Données projet'!$B$13,'Paramètres'!$A$1:$I$88,3,0)*0.475*44/12</f>
        <v>#N/A</v>
      </c>
      <c r="DG93" s="162" t="str">
        <f>EXP(-LN(2)/25)*DG92+(1-EXP(-LN(2)/25))/(LN(2)/25)*Calculateur!DB93*Calculateur!DD93*VLOOKUP('Données projet'!$B$13,'Paramètres'!$A$1:$I$88,3,0)*0.475*44/12</f>
        <v>#N/A</v>
      </c>
      <c r="DH93" s="162" t="str">
        <f>EXP(-LN(2)/2)*DH92+(1-EXP(-LN(2)/2))/(LN(2)/2)*DB93*DE93*VLOOKUP('Données projet'!$B$13,'Paramètres'!$A$1:$I$88,3,0)*0.475*44/12</f>
        <v>#N/A</v>
      </c>
      <c r="DI93" s="163" t="str">
        <f t="shared" si="16"/>
        <v>#N/A</v>
      </c>
      <c r="DJ93" s="159">
        <f>('Scénario référence'!$F$8+'Scénario référence'!$F$9+'Scénario référence'!$B$17+'Scénario référence'!$B$9+'Scénario référence'!$B$10)*70+IF((45+25*(1-EXP(-0.0175*A93)))&lt;70,'Scénario référence'!$B$16*(45+25*(1-EXP(-0.0175*A93))),70*'Scénario référence'!$B$16)+IF((32+38*(1-EXP(-0.0175*A93)))&lt;70,'Scénario référence'!$B$18*(32+38*(1-EXP(-0.0175*A93))),70*'Scénario référence'!$B$18)</f>
        <v>70</v>
      </c>
      <c r="DK93" s="151">
        <f>IF(A93&gt;30,10,('Scénario référence'!$B$16+'Scénario référence'!$B$17+'Scénario référence'!$B$18+'Scénario référence'!$B$9+'Scénario référence'!$B$10)*A93*10/30+('Scénario référence'!$F$8+'Scénario référence'!$F$9)*10)</f>
        <v>10</v>
      </c>
      <c r="DL93" s="151" t="str">
        <f>VLOOKUP(A93,'Données projet'!$A$165:$I$185,2,0)</f>
        <v>#N/A</v>
      </c>
      <c r="DM93" s="151" t="str">
        <f>VLOOKUP(A93,'Données projet'!$A$165:$I$185,9,0)</f>
        <v>#N/A</v>
      </c>
      <c r="DN93" s="151" t="str">
        <f t="array" ref="DN93">INDEX(DM:DM,MIN(IF(ISNUMBER(DM93:DM289),ROW(DM93:DM289),"")))</f>
        <v/>
      </c>
      <c r="DO93" s="151">
        <f>IF('Données projet'!$A$166&gt;35,DO92+DN93-DW92,IF(A93&lt;'Données projet'!$A$166,$DL$205^A93,IF(A93='Données projet'!$A$166,'Données projet'!$B$166,DO92+DN93-DW92)))</f>
        <v>0</v>
      </c>
      <c r="DP93" s="158" t="str">
        <f>DO93*VLOOKUP('Données projet'!$B$14,'Paramètres'!$A$1:$I$88,3,0)*VLOOKUP('Données projet'!$B$14,'Paramètres'!$A$1:$I$88,5,0)</f>
        <v>#N/A</v>
      </c>
      <c r="DQ93" s="150" t="str">
        <f t="shared" si="44"/>
        <v>#N/A</v>
      </c>
      <c r="DR93" s="161" t="str">
        <f t="shared" si="17"/>
        <v>#N/A</v>
      </c>
      <c r="DS93" s="153" t="str">
        <f t="shared" si="18"/>
        <v>#N/A</v>
      </c>
      <c r="DT93" s="153" t="str">
        <f>AVERAGE(OFFSET($DS$3,0,0,'Données projet'!$E$14+1,1))-AVERAGE(OFFSET($H$3,0,0,'Données projet'!$E$14+1,1))</f>
        <v>#N/A</v>
      </c>
      <c r="DU93" s="153" t="str">
        <f t="shared" si="45"/>
        <v>#N/A</v>
      </c>
      <c r="DV93" s="154">
        <f>IF(ISNA(VLOOKUP(A93,'Données projet'!$A$165:$I$185,3,0)),0,VLOOKUP(A93,'Données projet'!$A$165:$I$185,3,0))</f>
        <v>0</v>
      </c>
      <c r="DW93" s="154">
        <f>IF(ISNA(VLOOKUP(A93,'Données projet'!$A$165:$I$185,4,0)),0,VLOOKUP(A93,'Données projet'!$A$165:$I$185,4,0))</f>
        <v>0</v>
      </c>
      <c r="DX93" s="155">
        <f>IF(ISNA(VLOOKUP(A93,'Données projet'!$A$165:$I$185,5,0)),0%,VLOOKUP(A93,'Données projet'!$A$165:$I$185,5,0)*VLOOKUP('Données projet'!$B$14,'Paramètres'!$A$1:$I$88,7,0))</f>
        <v>0</v>
      </c>
      <c r="DY93" s="155">
        <f>IF(ISNA(VLOOKUP(A93,'Données projet'!$A$165:$I$185,6,0)),0%,VLOOKUP(A93,'Données projet'!$A$165:$I$185,6,0)*VLOOKUP('Données projet'!$B$14,'Paramètres'!$A$1:$I$88,7,0))</f>
        <v>0</v>
      </c>
      <c r="DZ93" s="155">
        <f>IF(ISNA(VLOOKUP(A93,'Données projet'!$A$165:$I$185,7,0)),0%,VLOOKUP(A93,'Données projet'!$A$165:$I$185,7,0))</f>
        <v>0</v>
      </c>
      <c r="EA93" s="162" t="str">
        <f>EXP(-LN(2)/35)*EA92+(1-EXP(-LN(2)/35))/(LN(2)/35)*DW93*DX93*VLOOKUP('Données projet'!$B$14,'Paramètres'!$A$1:$I$88,3,0)*0.475*44/12</f>
        <v>#N/A</v>
      </c>
      <c r="EB93" s="162" t="str">
        <f>EXP(-LN(2)/25)*EB92+(1-EXP(-LN(2)/25))/(LN(2)/25)*Calculateur!DW93*Calculateur!DY93*VLOOKUP('Données projet'!$B$14,'Paramètres'!$A$1:$I$88,3,0)*0.475*44/12</f>
        <v>#N/A</v>
      </c>
      <c r="EC93" s="162" t="str">
        <f>EXP(-LN(2)/2)*EC92+(1-EXP(-LN(2)/2))/(LN(2)/2)*DW93*DZ93*VLOOKUP('Données projet'!$B$14,'Paramètres'!$A$1:$I$88,3,0)*0.475*44/12</f>
        <v>#N/A</v>
      </c>
      <c r="ED93" s="163" t="str">
        <f t="shared" si="19"/>
        <v>#N/A</v>
      </c>
      <c r="EE93" s="159">
        <f>('Scénario référence'!$F$8+'Scénario référence'!$F$9+'Scénario référence'!$B$17+'Scénario référence'!$B$9+'Scénario référence'!$B$10)*70+IF((45+25*(1-EXP(-0.0175*A93)))&lt;70,'Scénario référence'!$B$16*(45+25*(1-EXP(-0.0175*A93))),70*'Scénario référence'!$B$16)+IF((32+38*(1-EXP(-0.0175*A93)))&lt;70,'Scénario référence'!$B$18*(32+38*(1-EXP(-0.0175*A93))),70*'Scénario référence'!$B$18)</f>
        <v>70</v>
      </c>
      <c r="EF93" s="151">
        <f>IF(A93&gt;30,10,('Scénario référence'!$B$16+'Scénario référence'!$B$17+'Scénario référence'!$B$18+'Scénario référence'!$B$9+'Scénario référence'!$B$10)*A93*10/30+('Scénario référence'!$F$8+'Scénario référence'!$F$9)*10)</f>
        <v>10</v>
      </c>
      <c r="EG93" s="151" t="str">
        <f>VLOOKUP(A93,'Données projet'!$A$191:$I$211,2,0)</f>
        <v>#N/A</v>
      </c>
      <c r="EH93" s="151" t="str">
        <f>VLOOKUP(A93,'Données projet'!$A$191:$I$211,9,0)</f>
        <v>#N/A</v>
      </c>
      <c r="EI93" s="151" t="str">
        <f t="array" ref="EI93">INDEX(EH:EH,MIN(IF(ISNUMBER(EH93:EH289),ROW(EH93:EH289),"")))</f>
        <v/>
      </c>
      <c r="EJ93" s="151">
        <f>IF('Données projet'!$A$192&gt;35,EJ92+EI93-ER92,IF(A93&lt;'Données projet'!$A$192,$EG$205^A93,IF(A93='Données projet'!$A$192,'Données projet'!$B$192,EJ92+EI93-ER92)))</f>
        <v>0</v>
      </c>
      <c r="EK93" s="158" t="str">
        <f>EJ93*VLOOKUP('Données projet'!$B$15,'Paramètres'!$A$1:$I$88,3,0)*VLOOKUP('Données projet'!$B$15,'Paramètres'!$A$1:$I$88,5,0)</f>
        <v>#N/A</v>
      </c>
      <c r="EL93" s="150" t="str">
        <f t="shared" si="46"/>
        <v>#N/A</v>
      </c>
      <c r="EM93" s="161" t="str">
        <f t="shared" si="20"/>
        <v>#N/A</v>
      </c>
      <c r="EN93" s="153" t="str">
        <f t="shared" si="21"/>
        <v>#N/A</v>
      </c>
      <c r="EO93" s="153" t="str">
        <f>AVERAGE(OFFSET($EN$3,0,0,'Données projet'!$E$15+1,1))-AVERAGE(OFFSET($H$3,0,0,'Données projet'!$E$15+1,1))</f>
        <v>#N/A</v>
      </c>
      <c r="EP93" s="153" t="str">
        <f t="shared" si="47"/>
        <v>#N/A</v>
      </c>
      <c r="EQ93" s="154">
        <f>IF(ISNA(VLOOKUP(A93,'Données projet'!$A$191:$I$211,3,0)),0,VLOOKUP(A93,'Données projet'!$A$191:$I$211,3,0))</f>
        <v>0</v>
      </c>
      <c r="ER93" s="154">
        <f>IF(ISNA(VLOOKUP(A93,'Données projet'!$A$191:$I$211,4,0)),0,VLOOKUP(A93,'Données projet'!$A$191:$I$211,4,0))</f>
        <v>0</v>
      </c>
      <c r="ES93" s="155">
        <f>IF(ISNA(VLOOKUP(A93,'Données projet'!$A$191:$I$211,5,0)),0%,VLOOKUP(A93,'Données projet'!$A$191:$I$211,5,0)*VLOOKUP('Données projet'!$B$15,'Paramètres'!$A$1:$I$88,7,0))</f>
        <v>0</v>
      </c>
      <c r="ET93" s="155">
        <f>IF(ISNA(VLOOKUP(A93,'Données projet'!$A$191:$I$211,6,0)),0%,VLOOKUP(A93,'Données projet'!$A$191:$I$211,6,0)*VLOOKUP('Données projet'!$B$15,'Paramètres'!$A$1:$I$88,7,0))</f>
        <v>0</v>
      </c>
      <c r="EU93" s="155">
        <f>IF(ISNA(VLOOKUP(A93,'Données projet'!$A$191:$I$211,7,0)),0%,VLOOKUP(A93,'Données projet'!$A$191:$I$211,7,0))</f>
        <v>0</v>
      </c>
      <c r="EV93" s="162" t="str">
        <f>EXP(-LN(2)/35)*EV92+(1-EXP(-LN(2)/35))/(LN(2)/35)*ER93*ES93*VLOOKUP('Données projet'!$B$15,'Paramètres'!$A$1:$I$88,3,0)*0.475*44/12</f>
        <v>#N/A</v>
      </c>
      <c r="EW93" s="162" t="str">
        <f>EXP(-LN(2)/25)*EW92+(1-EXP(-LN(2)/25))/(LN(2)/25)*Calculateur!ER93*Calculateur!ET93*VLOOKUP('Données projet'!$B$15,'Paramètres'!$A$1:$I$88,3,0)*0.475*44/12</f>
        <v>#N/A</v>
      </c>
      <c r="EX93" s="162" t="str">
        <f>EXP(-LN(2)/2)*EX92+(1-EXP(-LN(2)/2))/(LN(2)/2)*ER93*EU93*VLOOKUP('Données projet'!$B$15,'Paramètres'!$A$1:$I$88,3,0)*0.475*44/12</f>
        <v>#N/A</v>
      </c>
      <c r="EY93" s="163" t="str">
        <f t="shared" si="22"/>
        <v>#N/A</v>
      </c>
      <c r="EZ93" s="159">
        <f>('Scénario référence'!$F$8+'Scénario référence'!$F$9+'Scénario référence'!$B$17+'Scénario référence'!$B$9+'Scénario référence'!$B$10)*70+IF((45+25*(1-EXP(-0.0175*A93)))&lt;70,'Scénario référence'!$B$16*(45+25*(1-EXP(-0.0175*A93))),70*'Scénario référence'!$B$16)+IF((32+38*(1-EXP(-0.0175*A93)))&lt;70,'Scénario référence'!$B$18*(32+38*(1-EXP(-0.0175*A93))),70*'Scénario référence'!$B$18)</f>
        <v>70</v>
      </c>
      <c r="FA93" s="151">
        <f>IF(A93&gt;30,10,('Scénario référence'!$B$16+'Scénario référence'!$B$17+'Scénario référence'!$B$18+'Scénario référence'!$B$9+'Scénario référence'!$B$10)*A93*10/30+('Scénario référence'!$F$8+'Scénario référence'!$F$9)*10)</f>
        <v>10</v>
      </c>
      <c r="FB93" s="151" t="str">
        <f>VLOOKUP(A93,'Données projet'!$A$217:$I$237,2,0)</f>
        <v>#N/A</v>
      </c>
      <c r="FC93" s="151" t="str">
        <f>VLOOKUP(A93,'Données projet'!$A$217:$I$237,9,0)</f>
        <v>#N/A</v>
      </c>
      <c r="FD93" s="151" t="str">
        <f t="array" ref="FD93">INDEX(FC:FC,MIN(IF(ISNUMBER(FC93:FC289),ROW(FC93:FC289),"")))</f>
        <v/>
      </c>
      <c r="FE93" s="151">
        <f>IF('Données projet'!$A$218&gt;35,FE92+FD93-FM92,IF(A93&lt;'Données projet'!$A$218,$FB$205^A93,IF(A93='Données projet'!$A$218,'Données projet'!$B$218,FE92+FD93-FM92)))</f>
        <v>0</v>
      </c>
      <c r="FF93" s="158" t="str">
        <f>FE93*VLOOKUP('Données projet'!$B$16,'Paramètres'!$A$1:$I$88,3,0)*VLOOKUP('Données projet'!$B$16,'Paramètres'!$A$1:$I$88,5,0)</f>
        <v>#N/A</v>
      </c>
      <c r="FG93" s="150" t="str">
        <f t="shared" si="48"/>
        <v>#N/A</v>
      </c>
      <c r="FH93" s="161" t="str">
        <f t="shared" si="23"/>
        <v>#N/A</v>
      </c>
      <c r="FI93" s="153" t="str">
        <f t="shared" si="24"/>
        <v>#N/A</v>
      </c>
      <c r="FJ93" s="153" t="str">
        <f>AVERAGE(OFFSET($FI$3,0,0,'Données projet'!$E$16+1,1))-AVERAGE(OFFSET($H$3,0,0,'Données projet'!$E$16+1,1))</f>
        <v>#N/A</v>
      </c>
      <c r="FK93" s="153" t="str">
        <f t="shared" si="49"/>
        <v>#N/A</v>
      </c>
      <c r="FL93" s="154">
        <f>IF(ISNA(VLOOKUP(A93,'Données projet'!$A$217:$I$237,3,0)),0,VLOOKUP(A93,'Données projet'!$A$217:$I$237,3,0))</f>
        <v>0</v>
      </c>
      <c r="FM93" s="154">
        <f>IF(ISNA(VLOOKUP(A93,'Données projet'!$A$217:$I$237,4,0)),0,VLOOKUP(A93,'Données projet'!$A$217:$I$237,4,0))</f>
        <v>0</v>
      </c>
      <c r="FN93" s="155">
        <f>IF(ISNA(VLOOKUP(A93,'Données projet'!$A$217:$I$237,5,0)),0%,VLOOKUP(A93,'Données projet'!$A$217:$I$237,5,0)*VLOOKUP('Données projet'!$B$16,'Paramètres'!$A$1:$I$88,7,0))</f>
        <v>0</v>
      </c>
      <c r="FO93" s="155">
        <f>IF(ISNA(VLOOKUP(A93,'Données projet'!$A$217:$I$237,6,0)),0%,VLOOKUP(A93,'Données projet'!$A$217:$I$237,6,0)*VLOOKUP('Données projet'!$B$16,'Paramètres'!$A$1:$I$88,7,0))</f>
        <v>0</v>
      </c>
      <c r="FP93" s="155">
        <f>IF(ISNA(VLOOKUP(A93,'Données projet'!$A$217:$I$237,7,0)),0%,VLOOKUP(A93,'Données projet'!$A$217:$I$237,7,0))</f>
        <v>0</v>
      </c>
      <c r="FQ93" s="162" t="str">
        <f>EXP(-LN(2)/35)*FQ92+(1-EXP(-LN(2)/35))/(LN(2)/35)*FM93*FN93*VLOOKUP('Données projet'!$B$16,'Paramètres'!$A$1:$I$88,3,0)*0.475*44/12</f>
        <v>#N/A</v>
      </c>
      <c r="FR93" s="162" t="str">
        <f>EXP(-LN(2)/25)*FR92+(1-EXP(-LN(2)/25))/(LN(2)/25)*Calculateur!FM93*Calculateur!FO93*VLOOKUP('Données projet'!$B$16,'Paramètres'!$A$1:$I$88,3,0)*0.475*44/12</f>
        <v>#N/A</v>
      </c>
      <c r="FS93" s="162" t="str">
        <f>EXP(-LN(2)/2)*FS92+(1-EXP(-LN(2)/2))/(LN(2)/2)*FM93*FP93*VLOOKUP('Données projet'!$B$16,'Paramètres'!$A$1:$I$88,3,0)*0.475*44/12</f>
        <v>#N/A</v>
      </c>
      <c r="FT93" s="163" t="str">
        <f t="shared" si="25"/>
        <v>#N/A</v>
      </c>
      <c r="FU93" s="159">
        <f>('Scénario référence'!$F$8+'Scénario référence'!$F$9+'Scénario référence'!$B$17+'Scénario référence'!$B$9+'Scénario référence'!$B$10)*70+IF((45+25*(1-EXP(-0.0175*A93)))&lt;70,'Scénario référence'!$B$16*(45+25*(1-EXP(-0.0175*A93))),70*'Scénario référence'!$B$16)+IF((32+38*(1-EXP(-0.0175*A93)))&lt;70,'Scénario référence'!$B$18*(32+38*(1-EXP(-0.0175*A93))),70*'Scénario référence'!$B$18)</f>
        <v>70</v>
      </c>
      <c r="FV93" s="151">
        <f>IF(A93&gt;30,10,('Scénario référence'!$B$16+'Scénario référence'!$B$17+'Scénario référence'!$B$18+'Scénario référence'!$B$9+'Scénario référence'!$B$10)*A93*10/30+('Scénario référence'!$F$8+'Scénario référence'!$F$9)*10)</f>
        <v>10</v>
      </c>
      <c r="FW93" s="151" t="str">
        <f>VLOOKUP(A93,'Données projet'!$A$243:$I$263,2,0)</f>
        <v>#N/A</v>
      </c>
      <c r="FX93" s="151" t="str">
        <f>VLOOKUP(A93,'Données projet'!$A$243:$I$263,9,0)</f>
        <v>#N/A</v>
      </c>
      <c r="FY93" s="151" t="str">
        <f t="array" ref="FY93">INDEX(FX:FX,MIN(IF(ISNUMBER(FX93:FX289),ROW(FX93:FX289),"")))</f>
        <v/>
      </c>
      <c r="FZ93" s="151">
        <f>IF('Données projet'!$A$244&gt;35,FZ92+FY93-GH92,IF(A93&lt;'Données projet'!$A$244,$FW$205^A93,IF(A93='Données projet'!$A$244,'Données projet'!$B$244,FZ92+FY93-GH92)))</f>
        <v>0</v>
      </c>
      <c r="GA93" s="158" t="str">
        <f>FZ93*VLOOKUP('Données projet'!$B$17,'Paramètres'!$A$1:$I$88,3,0)*VLOOKUP('Données projet'!$B$17,'Paramètres'!$A$1:$I$88,5,0)</f>
        <v>#N/A</v>
      </c>
      <c r="GB93" s="150" t="str">
        <f t="shared" si="50"/>
        <v>#N/A</v>
      </c>
      <c r="GC93" s="161" t="str">
        <f t="shared" si="26"/>
        <v>#N/A</v>
      </c>
      <c r="GD93" s="153" t="str">
        <f t="shared" si="27"/>
        <v>#N/A</v>
      </c>
      <c r="GE93" s="153" t="str">
        <f>AVERAGE(OFFSET($GD$3,0,0,'Données projet'!$E$17+1,1))-AVERAGE(OFFSET($H$3,0,0,'Données projet'!$E$17+1,1))</f>
        <v>#N/A</v>
      </c>
      <c r="GF93" s="153" t="str">
        <f t="shared" si="51"/>
        <v>#N/A</v>
      </c>
      <c r="GG93" s="154">
        <f>IF(ISNA(VLOOKUP(A93,'Données projet'!$A$243:$I$263,3,0)),0,VLOOKUP(A93,'Données projet'!$A$243:$I$263,3,0))</f>
        <v>0</v>
      </c>
      <c r="GH93" s="154">
        <f>IF(ISNA(VLOOKUP(A93,'Données projet'!$A$243:$I$263,4,0)),0,VLOOKUP(A93,'Données projet'!$A$243:$I$263,4,0))</f>
        <v>0</v>
      </c>
      <c r="GI93" s="155">
        <f>IF(ISNA(VLOOKUP(A93,'Données projet'!$A$243:$I$263,5,0)),0%,VLOOKUP(A93,'Données projet'!$A$243:$I$263,5,0)*VLOOKUP('Données projet'!$B$17,'Paramètres'!$A$1:$I$88,7,0))</f>
        <v>0</v>
      </c>
      <c r="GJ93" s="155">
        <f>IF(ISNA(VLOOKUP(A93,'Données projet'!$A$243:$I$263,6,0)),0%,VLOOKUP(A93,'Données projet'!$A$243:$I$263,6,0)*VLOOKUP('Données projet'!$B$17,'Paramètres'!$A$1:$I$88,7,0))</f>
        <v>0</v>
      </c>
      <c r="GK93" s="155">
        <f>IF(ISNA(VLOOKUP(A93,'Données projet'!$A$243:$I$263,7,0)),0%,VLOOKUP(A93,'Données projet'!$A$243:$I$263,7,0))</f>
        <v>0</v>
      </c>
      <c r="GL93" s="162" t="str">
        <f>EXP(-LN(2)/35)*GL92+(1-EXP(-LN(2)/35))/(LN(2)/35)*GH93*GI93*VLOOKUP('Données projet'!$B$17,'Paramètres'!$A$1:$I$88,3,0)*0.475*44/12</f>
        <v>#N/A</v>
      </c>
      <c r="GM93" s="162" t="str">
        <f>EXP(-LN(2)/25)*GM92+(1-EXP(-LN(2)/25))/(LN(2)/25)*Calculateur!GH93*Calculateur!GJ93*VLOOKUP('Données projet'!$B$17,'Paramètres'!$A$1:$I$88,3,0)*0.475*44/12</f>
        <v>#N/A</v>
      </c>
      <c r="GN93" s="162" t="str">
        <f>EXP(-LN(2)/2)*GN92+(1-EXP(-LN(2)/2))/(LN(2)/2)*GH93*GK93*VLOOKUP('Données projet'!$B$17,'Paramètres'!$A$1:$I$88,3,0)*0.475*44/12</f>
        <v>#N/A</v>
      </c>
      <c r="GO93" s="162" t="str">
        <f t="shared" si="28"/>
        <v>#N/A</v>
      </c>
      <c r="GP93" s="159">
        <f>('Scénario référence'!$F$8+'Scénario référence'!$F$9+'Scénario référence'!$B$17+'Scénario référence'!$B$9+'Scénario référence'!$B$10)*70+IF((45+25*(1-EXP(-0.0175*A93)))&lt;70,'Scénario référence'!$B$16*(45+25*(1-EXP(-0.0175*A93))),70*'Scénario référence'!$B$16)+IF((32+38*(1-EXP(-0.0175*A93)))&lt;70,'Scénario référence'!$B$18*(32+38*(1-EXP(-0.0175*A93))),70*'Scénario référence'!$B$18)</f>
        <v>70</v>
      </c>
      <c r="GQ93" s="151">
        <f>IF(A93&gt;30,10,('Scénario référence'!$B$16+'Scénario référence'!$B$17+'Scénario référence'!$B$18+'Scénario référence'!$B$9+'Scénario référence'!$B$10)*A93*10/30+('Scénario référence'!$F$8+'Scénario référence'!$F$9)*10)</f>
        <v>10</v>
      </c>
      <c r="GR93" s="151" t="str">
        <f>VLOOKUP(A93,'Données projet'!$A$269:$I$289,2,0)</f>
        <v>#N/A</v>
      </c>
      <c r="GS93" s="151" t="str">
        <f>VLOOKUP(A93,'Données projet'!$A$269:$I$289,9,0)</f>
        <v>#N/A</v>
      </c>
      <c r="GT93" s="151" t="str">
        <f t="array" ref="GT93">INDEX(GS:GS,MIN(IF(ISNUMBER(GS93:GS289),ROW(GS93:GS289),"")))</f>
        <v/>
      </c>
      <c r="GU93" s="151">
        <f>IF('Données projet'!$A$270&gt;35,GU92+GT93-HC92,IF(A93&lt;'Données projet'!$A$270,$GR$205^A93,IF(A93='Données projet'!$A$270,'Données projet'!$B$270,GU92+GT93-HC92)))</f>
        <v>0</v>
      </c>
      <c r="GV93" s="158" t="str">
        <f>GU93*VLOOKUP('Données projet'!$B$18,'Paramètres'!$A$1:$I$88,3,0)*VLOOKUP('Données projet'!$B$18,'Paramètres'!$A$1:$I$88,5,0)</f>
        <v>#N/A</v>
      </c>
      <c r="GW93" s="150" t="str">
        <f t="shared" si="52"/>
        <v>#N/A</v>
      </c>
      <c r="GX93" s="161" t="str">
        <f t="shared" si="29"/>
        <v>#N/A</v>
      </c>
      <c r="GY93" s="153" t="str">
        <f t="shared" si="30"/>
        <v>#N/A</v>
      </c>
      <c r="GZ93" s="153" t="str">
        <f>AVERAGE(OFFSET($GY$3,0,0,'Données projet'!$E$18+1,1))-AVERAGE(OFFSET($H$3,0,0,'Données projet'!$E$18+1,1))</f>
        <v>#N/A</v>
      </c>
      <c r="HA93" s="153" t="str">
        <f t="shared" si="53"/>
        <v>#N/A</v>
      </c>
      <c r="HB93" s="154">
        <f>IF(ISNA(VLOOKUP(A93,'Données projet'!$A$269:$I$289,3,0)),0,VLOOKUP(A93,'Données projet'!$A$269:$I$289,3,0))</f>
        <v>0</v>
      </c>
      <c r="HC93" s="154">
        <f>IF(ISNA(VLOOKUP(A93,'Données projet'!$A$269:$I$289,4,0)),0,VLOOKUP(A93,'Données projet'!$A$269:$I$289,4,0))</f>
        <v>0</v>
      </c>
      <c r="HD93" s="155">
        <f>IF(ISNA(VLOOKUP(A93,'Données projet'!$A$269:$I$289,5,0)),0%,VLOOKUP(A93,'Données projet'!$A$269:$I$289,5,0)*VLOOKUP('Données projet'!$B$18,'Paramètres'!$A$1:$I$88,7,0))</f>
        <v>0</v>
      </c>
      <c r="HE93" s="155">
        <f>IF(ISNA(VLOOKUP(A93,'Données projet'!$A$269:$I$289,6,0)),0%,VLOOKUP(A93,'Données projet'!$A$269:$I$289,6,0)*VLOOKUP('Données projet'!$B$18,'Paramètres'!$A$1:$I$88,7,0))</f>
        <v>0</v>
      </c>
      <c r="HF93" s="155">
        <f>IF(ISNA(VLOOKUP(A93,'Données projet'!$A$269:$I$289,7,0)),0%,VLOOKUP(A93,'Données projet'!$A$269:$I$289,7,0))</f>
        <v>0</v>
      </c>
      <c r="HG93" s="162" t="str">
        <f>EXP(-LN(2)/35)*HG92+(1-EXP(-LN(2)/35))/(LN(2)/35)*HC93*HD93*VLOOKUP('Données projet'!$B$18,'Paramètres'!$A$1:$I$88,3,0)*0.475*44/12</f>
        <v>#N/A</v>
      </c>
      <c r="HH93" s="162" t="str">
        <f>EXP(-LN(2)/25)*HH92+(1-EXP(-LN(2)/25))/(LN(2)/25)*Calculateur!HC93*Calculateur!HE93*VLOOKUP('Données projet'!$B$18,'Paramètres'!$A$1:$I$88,3,0)*0.475*44/12</f>
        <v>#N/A</v>
      </c>
      <c r="HI93" s="162" t="str">
        <f>EXP(-LN(2)/2)*HI92+(1-EXP(-LN(2)/2))/(LN(2)/2)*HC93*HF93*VLOOKUP('Données projet'!$B$18,'Paramètres'!$A$1:$I$88,3,0)*0.475*44/12</f>
        <v>#N/A</v>
      </c>
      <c r="HJ93" s="163" t="str">
        <f t="shared" si="31"/>
        <v>#N/A</v>
      </c>
    </row>
    <row r="94" ht="15.75" customHeight="1">
      <c r="A94" s="145">
        <f t="shared" si="32"/>
        <v>91</v>
      </c>
      <c r="B94" s="146">
        <f>'Scénario référence'!$B$16*5+'Scénario référence'!$B$17*0+'Scénario référence'!$B$18*5</f>
        <v>0</v>
      </c>
      <c r="C94" s="160">
        <f>Calculateur!C93+'Scénario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94" s="147">
        <f t="shared" si="33"/>
        <v>0</v>
      </c>
      <c r="E94" s="147">
        <f>'Scénario référence'!$B$16*45+('Scénario référence'!$B$17+'Scénario référence'!$F$8+'Scénario référence'!$F$9+'Scénario référence'!$B$10+'Scénario référence'!$B$9)*70+'Scénario référence'!$B$18*32</f>
        <v>70</v>
      </c>
      <c r="F94" s="147">
        <f>IF(OR('Scénario référence'!$F$8&gt;0,'Scénario référence'!$F$9&gt;0),('Scénario référence'!$F$8+'Scénario référence'!$F$9)*10,0)</f>
        <v>0</v>
      </c>
      <c r="G94" s="147">
        <f>'Scénario référence'!$B$8*B94*44/12+'Scénario référence'!$B$9*(C94+D94)/0.475*44/12+'Scénario référence'!$B$10*(C94+D94)/0.475*44/12+'Scénario référence'!$F$8*(C94+D94)/0.475*44/12+'Scénario référence'!$F$9*(C94+D94)/0.475*44/12</f>
        <v>0</v>
      </c>
      <c r="H94" s="148">
        <f t="shared" si="1"/>
        <v>256.6666667</v>
      </c>
      <c r="I94" s="149">
        <f>('Scénario référence'!$F$8+'Scénario référence'!$F$9+'Scénario référence'!$B$17+'Scénario référence'!$B$9+'Scénario référence'!$B$10)*70+IF((45+25*(1-EXP(-0.0175*A94)))&lt;70,'Scénario référence'!$B$16*(45+25*(1-EXP(-0.0175*A94))),70*'Scénario référence'!$B$16)+IF((32+38*(1-EXP(-0.0175*A94)))&lt;70,'Scénario référence'!$B$18*(32+38*(1-EXP(-0.0175*A94))),70*'Scénario référence'!$B$18)</f>
        <v>70</v>
      </c>
      <c r="J94" s="150">
        <f>IF(A94&gt;30,10,('Scénario référence'!$B$16+'Scénario référence'!$B$17+'Scénario référence'!$B$18+'Scénario référence'!$B$9+'Scénario référence'!$B$10)*A94*10/30+('Scénario référence'!$F$8+'Scénario référence'!$F$9)*10)</f>
        <v>10</v>
      </c>
      <c r="K94" s="151" t="str">
        <f>VLOOKUP(A94,'Données projet'!$A$35:$I$55,2,0)</f>
        <v>#N/A</v>
      </c>
      <c r="L94" s="151" t="str">
        <f>VLOOKUP(A94,'Données projet'!$A$35:$I$55,9,0)</f>
        <v>#N/A</v>
      </c>
      <c r="M94" s="150">
        <f t="array" ref="M94">INDEX(L:L,MIN(IF(ISNUMBER(L94:L290),ROW(L94:L290),"")))</f>
        <v>6.2</v>
      </c>
      <c r="N94" s="150">
        <f>IF('Données projet'!$A$36&gt;35,N93+M94-V93,IF(A94&lt;'Données projet'!$A$36,$K$205^A94,IF(A94='Données projet'!$A$36,'Données projet'!$B$36,N93+M94-V93)))</f>
        <v>308.2</v>
      </c>
      <c r="O94" s="150">
        <f>N94*VLOOKUP('Données projet'!$B$9,'Paramètres'!$A$1:$I$88,3,0)*VLOOKUP('Données projet'!$B$9,'Paramètres'!$A$1:$I$88,5,0)</f>
        <v>278.85936</v>
      </c>
      <c r="P94" s="150">
        <f t="shared" si="34"/>
        <v>66.72590162</v>
      </c>
      <c r="Q94" s="161">
        <f t="shared" si="2"/>
        <v>601.8943307</v>
      </c>
      <c r="R94" s="153">
        <f t="shared" si="3"/>
        <v>895.227664</v>
      </c>
      <c r="S94" s="153">
        <f>AVERAGE(OFFSET($R$3,0,0,'Données projet'!$E$9+1,1))-AVERAGE(OFFSET($H$3,0,0,'Données projet'!$E$9+1,1))</f>
        <v>439.1985427</v>
      </c>
      <c r="T94" s="153">
        <f t="shared" si="35"/>
        <v>278.2174123</v>
      </c>
      <c r="U94" s="154">
        <f>IF(ISNA(VLOOKUP(A94,'Données projet'!$A$35:$I$55,3,0)),0,VLOOKUP(A94,'Données projet'!$A$35:$I$55,3,0))</f>
        <v>0</v>
      </c>
      <c r="V94" s="154">
        <f>IF(ISNA(VLOOKUP(A94,'Données projet'!$A$35:$I$55,4,0)),0,VLOOKUP(A94,'Données projet'!$A$35:$I$55,4,0))</f>
        <v>0</v>
      </c>
      <c r="W94" s="155">
        <f>IF(ISNA(VLOOKUP(A94,'Données projet'!$A$35:$I$55,5,0)),0%,VLOOKUP(A94,'Données projet'!$A$35:$I$55,5,0)*VLOOKUP('Données projet'!$B$9,'Paramètres'!$A$1:$I$88,7,0))</f>
        <v>0</v>
      </c>
      <c r="X94" s="155">
        <f>IF(ISNA(VLOOKUP(A94,'Données projet'!$A$35:$I$55,6,0)),0%,VLOOKUP(A94,'Données projet'!$A$35:$I$55,6,0)*VLOOKUP('Données projet'!$B$9,'Paramètres'!$A$1:$I$88,7,0))</f>
        <v>0</v>
      </c>
      <c r="Y94" s="155">
        <f>IF(ISNA(VLOOKUP(A94,'Données projet'!$A$35:$I$55,7,0)),0%,VLOOKUP(A94,'Données projet'!$A$35:$I$55,7,0))</f>
        <v>0</v>
      </c>
      <c r="Z94" s="162">
        <f>EXP(-LN(2)/35)*Z93+(1-EXP(-LN(2)/35))/(LN(2)/35)*V94*W94*VLOOKUP('Données projet'!$B$9,'Paramètres'!$A$1:$I$88,3,0)*0.475*44/12</f>
        <v>0</v>
      </c>
      <c r="AA94" s="162">
        <f>EXP(-LN(2)/25)*AA93+(1-EXP(-LN(2)/25))/(LN(2)/25)*Calculateur!V94*Calculateur!X94*VLOOKUP('Données projet'!$B$9,'Paramètres'!$A$1:$I$88,3,0)*0.475*44/12</f>
        <v>0.8269877749</v>
      </c>
      <c r="AB94" s="162">
        <f>EXP(-LN(2)/2)*AB93+(1-EXP(-LN(2)/2))/(LN(2)/2)*V94*Y94*VLOOKUP('Données projet'!$B$9,'Paramètres'!$A$1:$I$88,3,0)*0.475*44/12</f>
        <v>0</v>
      </c>
      <c r="AC94" s="163">
        <f t="shared" si="4"/>
        <v>0.8269877749</v>
      </c>
      <c r="AD94" s="150">
        <f>('Scénario référence'!$F$8+'Scénario référence'!$F$9+'Scénario référence'!$B$17+'Scénario référence'!$B$9+'Scénario référence'!$B$10)*70+IF((45+25*(1-EXP(-0.0175*A94)))&lt;70,'Scénario référence'!$B$16*(45+25*(1-EXP(-0.0175*A94))),70*'Scénario référence'!$B$16)+IF((32+38*(1-EXP(-0.0175*A94)))&lt;70,'Scénario référence'!$B$18*(32+38*(1-EXP(-0.0175*A94))),70*'Scénario référence'!$B$18)</f>
        <v>70</v>
      </c>
      <c r="AE94" s="150">
        <f>IF(A94&gt;30,10,('Scénario référence'!$B$16+'Scénario référence'!$B$17+'Scénario référence'!$B$18+'Scénario référence'!$B$9+'Scénario référence'!$B$10)*A94*10/30+('Scénario référence'!$F$8+'Scénario référence'!$F$9)*10)</f>
        <v>10</v>
      </c>
      <c r="AF94" s="151" t="str">
        <f>VLOOKUP(A94,'Données projet'!$A$61:$I$81,2,0)</f>
        <v>#N/A</v>
      </c>
      <c r="AG94" s="151" t="str">
        <f>VLOOKUP(A94,'Données projet'!$A$61:$I$81,9,0)</f>
        <v>#N/A</v>
      </c>
      <c r="AH94" s="151" t="str">
        <f t="array" ref="AH94">INDEX(AG:AG,MIN(IF(ISNUMBER(AG94:AG290),ROW(AG94:AG290),"")))</f>
        <v/>
      </c>
      <c r="AI94" s="150">
        <f>IF('Données projet'!$A$62&gt;35,AI93+AH94-AQ93,IF(A94&lt;'Données projet'!$A$62,$AF$205^A94,IF(A94='Données projet'!$A$62,'Données projet'!$B$62,AI93+AH94-AQ93)))</f>
        <v>369</v>
      </c>
      <c r="AJ94" s="150">
        <f>AI94*VLOOKUP('Données projet'!$B$10,'Paramètres'!$A$1:$I$88,3,0)*VLOOKUP('Données projet'!$B$10,'Paramètres'!$A$1:$I$88,5,0)</f>
        <v>293.5764</v>
      </c>
      <c r="AK94" s="150">
        <f t="shared" si="36"/>
        <v>69.82813851</v>
      </c>
      <c r="AL94" s="161">
        <f t="shared" si="5"/>
        <v>632.9295712</v>
      </c>
      <c r="AM94" s="153">
        <f t="shared" si="6"/>
        <v>926.2629046</v>
      </c>
      <c r="AN94" s="153">
        <f>AVERAGE(OFFSET($AM$3,0,0,'Données projet'!$E$10+1,1))-AVERAGE(OFFSET($H$3,0,0,'Données projet'!$E$10+1,1))</f>
        <v>405.6113614</v>
      </c>
      <c r="AO94" s="153">
        <f t="shared" si="37"/>
        <v>393.0787141</v>
      </c>
      <c r="AP94" s="154">
        <f>IF(ISNA(VLOOKUP(A94,'Données projet'!$A$61:$I$81,3,0)),0,VLOOKUP(A94,'Données projet'!$A$61:$I$81,3,0))</f>
        <v>0</v>
      </c>
      <c r="AQ94" s="154">
        <f>IF(ISNA(VLOOKUP(A94,'Données projet'!$A$61:$I$81,4,0)),0,VLOOKUP(A94,'Données projet'!$A$61:$I$81,4,0))</f>
        <v>0</v>
      </c>
      <c r="AR94" s="155">
        <f>IF(ISNA(VLOOKUP(A94,'Données projet'!$A$61:$I$81,5,0)),0%,VLOOKUP(A94,'Données projet'!$A$61:$I$81,5,0)*VLOOKUP('Données projet'!$B$10,'Paramètres'!$A$1:$I$88,7,0))</f>
        <v>0</v>
      </c>
      <c r="AS94" s="155">
        <f>IF(ISNA(VLOOKUP(A94,'Données projet'!$A$61:$I$81,6,0)),0%,VLOOKUP(A94,'Données projet'!$A$61:$I$81,6,0)*VLOOKUP('Données projet'!$B$10,'Paramètres'!$A$1:$I$88,7,0))</f>
        <v>0</v>
      </c>
      <c r="AT94" s="155">
        <f>IF(ISNA(VLOOKUP(A94,'Données projet'!$A$61:$I$81,7,0)),0%,VLOOKUP(A94,'Données projet'!$A$61:$I$81,7,0))</f>
        <v>0</v>
      </c>
      <c r="AU94" s="162">
        <f>EXP(-LN(2)/35)*AU93+(1-EXP(-LN(2)/35))/(LN(2)/35)*AQ94*AR94*VLOOKUP('Données projet'!$B$10,'Paramètres'!$A$1:$I$88,3,0)*0.475*44/12</f>
        <v>0</v>
      </c>
      <c r="AV94" s="162">
        <f>EXP(-LN(2)/25)*AV93+(1-EXP(-LN(2)/25))/(LN(2)/25)*Calculateur!AQ94*Calculateur!AS94*VLOOKUP('Données projet'!$B$10,'Paramètres'!$A$1:$I$88,3,0)*0.475*44/12</f>
        <v>3.361088546</v>
      </c>
      <c r="AW94" s="162">
        <f>EXP(-LN(2)/2)*AW93+(1-EXP(-LN(2)/2))/(LN(2)/2)*AQ94*AT94*VLOOKUP('Données projet'!$B$10,'Paramètres'!$A$1:$I$88,3,0)*0.475*44/12</f>
        <v>0.0000000003817662881</v>
      </c>
      <c r="AX94" s="162">
        <f t="shared" si="7"/>
        <v>3.361088546</v>
      </c>
      <c r="AY94" s="157">
        <f>('Scénario référence'!$F$8+'Scénario référence'!$F$9+'Scénario référence'!$B$17+'Scénario référence'!$B$9+'Scénario référence'!$B$10)*70+IF((45+25*(1-EXP(-0.0175*A94)))&lt;70,'Scénario référence'!$B$16*(45+25*(1-EXP(-0.0175*A94))),70*'Scénario référence'!$B$16)+IF((32+38*(1-EXP(-0.0175*A94)))&lt;70,'Scénario référence'!$B$18*(32+38*(1-EXP(-0.0175*A94))),70*'Scénario référence'!$B$18)</f>
        <v>70</v>
      </c>
      <c r="AZ94" s="151">
        <f>IF(A94&gt;30,10,('Scénario référence'!$B$16+'Scénario référence'!$B$17+'Scénario référence'!$B$18+'Scénario référence'!$B$9+'Scénario référence'!$B$10)*A94*10/30+('Scénario référence'!$F$8+'Scénario référence'!$F$9)*10)</f>
        <v>10</v>
      </c>
      <c r="BA94" s="151" t="str">
        <f>VLOOKUP(A94,'Données projet'!$A$87:$I$107,2,0)</f>
        <v>#N/A</v>
      </c>
      <c r="BB94" s="151" t="str">
        <f>VLOOKUP(A94,'Données projet'!$A$87:$I$107,9,0)</f>
        <v>#N/A</v>
      </c>
      <c r="BC94" s="151" t="str">
        <f t="array" ref="BC94">INDEX(BB:BB,MIN(IF(ISNUMBER(BB94:BB290),ROW(BB94:BB290),"")))</f>
        <v/>
      </c>
      <c r="BD94" s="150">
        <f>IF('Données projet'!$A$88&gt;35,BD93+BC94-BL93,IF(A94&lt;'Données projet'!$A$88,$BA$205^A94,IF(A94='Données projet'!$A$88,'Données projet'!$B$88,BD93+BC94-BL93)))</f>
        <v>0</v>
      </c>
      <c r="BE94" s="150">
        <f>BD94*VLOOKUP('Données projet'!$B$11,'Paramètres'!$A$1:$I$88,3,0)*VLOOKUP('Données projet'!$B$11,'Paramètres'!$A$1:$I$88,5,0)</f>
        <v>0</v>
      </c>
      <c r="BF94" s="150" t="str">
        <f t="shared" si="38"/>
        <v>#NUM!</v>
      </c>
      <c r="BG94" s="161" t="str">
        <f t="shared" si="8"/>
        <v>#NUM!</v>
      </c>
      <c r="BH94" s="153" t="str">
        <f t="shared" si="9"/>
        <v>#NUM!</v>
      </c>
      <c r="BI94" s="153">
        <f>AVERAGE(OFFSET($BH$3,0,0,'Données projet'!$E$11+1,1))-AVERAGE(OFFSET($H$3,0,0,'Données projet'!$E$11+1,1))</f>
        <v>0</v>
      </c>
      <c r="BJ94" s="153">
        <f t="shared" si="39"/>
        <v>0</v>
      </c>
      <c r="BK94" s="154">
        <f>IF(ISNA(VLOOKUP(A94,'Données projet'!$A$87:$I$107,3,0)),0,VLOOKUP(A94,'Données projet'!$A$87:$I$107,3,0))</f>
        <v>0</v>
      </c>
      <c r="BL94" s="154">
        <f>IF(ISNA(VLOOKUP(A94,'Données projet'!$A$87:$I$107,4,0)),0,VLOOKUP(A94,'Données projet'!$A$87:$I$107,4,0))</f>
        <v>0</v>
      </c>
      <c r="BM94" s="155">
        <f>IF(ISNA(VLOOKUP(A94,'Données projet'!$A$87:$I$107,5,0)),0%,VLOOKUP(A94,'Données projet'!$A$87:$I$107,5,0)*VLOOKUP('Données projet'!$B$11,'Paramètres'!$A$1:$I$88,7,0))</f>
        <v>0</v>
      </c>
      <c r="BN94" s="155">
        <f>IF(ISNA(VLOOKUP(A94,'Données projet'!$A$87:$I$107,6,0)),0%,VLOOKUP(A94,'Données projet'!$A$87:$I$107,6,0)*VLOOKUP('Données projet'!$B$11,'Paramètres'!$A$1:$I$88,7,0))</f>
        <v>0</v>
      </c>
      <c r="BO94" s="155">
        <f>IF(ISNA(VLOOKUP(A94,'Données projet'!$A$87:$I$107,7,0)),0%,VLOOKUP(A94,'Données projet'!$A$87:$I$107,7,0))</f>
        <v>0</v>
      </c>
      <c r="BP94" s="162">
        <f>EXP(-LN(2)/35)*BP93+(1-EXP(-LN(2)/35))/(LN(2)/35)*BL94*BM94*VLOOKUP('Données projet'!$B$11,'Paramètres'!$A$1:$I$88,3,0)*0.475*44/12</f>
        <v>0</v>
      </c>
      <c r="BQ94" s="162">
        <f>EXP(-LN(2)/25)*BQ93+(1-EXP(-LN(2)/25))/(LN(2)/25)*Calculateur!BL94*Calculateur!BN94*VLOOKUP('Données projet'!$B$11,'Paramètres'!$A$1:$I$88,3,0)*0.475*44/12</f>
        <v>0</v>
      </c>
      <c r="BR94" s="162">
        <f>EXP(-LN(2)/2)*BR93+(1-EXP(-LN(2)/2))/(LN(2)/2)*BL94*BO94*VLOOKUP('Données projet'!$B$11,'Paramètres'!$A$1:$I$88,3,0)*0.475*44/12</f>
        <v>0</v>
      </c>
      <c r="BS94" s="163">
        <f t="shared" si="10"/>
        <v>0</v>
      </c>
      <c r="BT94" s="159">
        <f>('Scénario référence'!$F$8+'Scénario référence'!$F$9+'Scénario référence'!$B$17+'Scénario référence'!$B$9+'Scénario référence'!$B$10)*70+IF((45+25*(1-EXP(-0.0175*A94)))&lt;70,'Scénario référence'!$B$16*(45+25*(1-EXP(-0.0175*A94))),70*'Scénario référence'!$B$16)+IF((32+38*(1-EXP(-0.0175*A94)))&lt;70,'Scénario référence'!$B$18*(32+38*(1-EXP(-0.0175*A94))),70*'Scénario référence'!$B$18)</f>
        <v>70</v>
      </c>
      <c r="BU94" s="151">
        <f>IF(A94&gt;30,10,('Scénario référence'!$B$16+'Scénario référence'!$B$17+'Scénario référence'!$B$18+'Scénario référence'!$B$9+'Scénario référence'!$B$10)*A94*10/30+('Scénario référence'!$F$8+'Scénario référence'!$F$9)*10)</f>
        <v>10</v>
      </c>
      <c r="BV94" s="151" t="str">
        <f>VLOOKUP(A94,'Données projet'!$A$113:$I$133,2,0)</f>
        <v>#N/A</v>
      </c>
      <c r="BW94" s="151" t="str">
        <f>VLOOKUP(A94,'Données projet'!$A$113:$I$133,9,0)</f>
        <v>#N/A</v>
      </c>
      <c r="BX94" s="150" t="str">
        <f t="array" ref="BX94">INDEX(BW:BW,MIN(IF(ISNUMBER(BW94:BW290),ROW(BW94:BW290),"")))</f>
        <v/>
      </c>
      <c r="BY94" s="150">
        <f>IF('Données projet'!$A$114&gt;35,BY93+BX94-CG93,IF(A94&lt;'Données projet'!$A$114,$BV$205^A94,IF(A94='Données projet'!$A$114,'Données projet'!$B$114,BY93+BX94-CG93)))</f>
        <v>0</v>
      </c>
      <c r="BZ94" s="150" t="str">
        <f>BY94*VLOOKUP('Données projet'!$B$12,'Paramètres'!$A$1:$I$88,3,0)*VLOOKUP('Données projet'!$B$12,'Paramètres'!$A$1:$I$88,5,0)</f>
        <v>#N/A</v>
      </c>
      <c r="CA94" s="150" t="str">
        <f t="shared" si="40"/>
        <v>#N/A</v>
      </c>
      <c r="CB94" s="161" t="str">
        <f t="shared" si="11"/>
        <v>#N/A</v>
      </c>
      <c r="CC94" s="153" t="str">
        <f t="shared" si="12"/>
        <v>#N/A</v>
      </c>
      <c r="CD94" s="153" t="str">
        <f>AVERAGE(OFFSET($CC$3,0,0,'Données projet'!$E$12+1,1))-AVERAGE(OFFSET($H$3,0,0,'Données projet'!$E$12+1,1))</f>
        <v>#N/A</v>
      </c>
      <c r="CE94" s="153" t="str">
        <f t="shared" si="41"/>
        <v>#N/A</v>
      </c>
      <c r="CF94" s="154">
        <f>IF(ISNA(VLOOKUP(A94,'Données projet'!$A$113:$I$133,3,0)),0,VLOOKUP(A94,'Données projet'!$A$113:$I$133,3,0))</f>
        <v>0</v>
      </c>
      <c r="CG94" s="154">
        <f>IF(ISNA(VLOOKUP(A94,'Données projet'!$A$113:$I$133,4,0)),0,VLOOKUP(A94,'Données projet'!$A$113:$I$133,4,0))</f>
        <v>0</v>
      </c>
      <c r="CH94" s="155">
        <f>IF(ISNA(VLOOKUP(A94,'Données projet'!$A$113:$I$133,5,0)),0%,VLOOKUP(A94,'Données projet'!$A$113:$I$133,5,0)*VLOOKUP('Données projet'!$B$12,'Paramètres'!$A$1:$I$88,7,0))</f>
        <v>0</v>
      </c>
      <c r="CI94" s="155">
        <f>IF(ISNA(VLOOKUP(A94,'Données projet'!$A$113:$I$133,6,0)),0%,VLOOKUP(A94,'Données projet'!$A$113:$I$133,6,0)*VLOOKUP('Données projet'!$B$12,'Paramètres'!$A$1:$I$88,7,0))</f>
        <v>0</v>
      </c>
      <c r="CJ94" s="155">
        <f>IF(ISNA(VLOOKUP(A94,'Données projet'!$A$113:$I$133,7,0)),0%,VLOOKUP(A94,'Données projet'!$A$113:$I$133,7,0))</f>
        <v>0</v>
      </c>
      <c r="CK94" s="162" t="str">
        <f>EXP(-LN(2)/35)*CK93+(1-EXP(-LN(2)/35))/(LN(2)/35)*CG94*CH94*VLOOKUP('Données projet'!$B$12,'Paramètres'!$A$1:$I$88,3,0)*0.475*44/12</f>
        <v>#N/A</v>
      </c>
      <c r="CL94" s="162" t="str">
        <f>EXP(-LN(2)/25)*CL93+(1-EXP(-LN(2)/25))/(LN(2)/25)*Calculateur!CG94*Calculateur!CI94*VLOOKUP('Données projet'!$B$12,'Paramètres'!$A$1:$I$88,3,0)*0.475*44/12</f>
        <v>#N/A</v>
      </c>
      <c r="CM94" s="162" t="str">
        <f>EXP(-LN(2)/2)*CM93+(1-EXP(-LN(2)/2))/(LN(2)/2)*CG94*CJ94*VLOOKUP('Données projet'!$B$12,'Paramètres'!$A$1:$I$88,3,0)*0.475*44/12</f>
        <v>#N/A</v>
      </c>
      <c r="CN94" s="163" t="str">
        <f t="shared" si="13"/>
        <v>#N/A</v>
      </c>
      <c r="CO94" s="159">
        <f>('Scénario référence'!$F$8+'Scénario référence'!$F$9+'Scénario référence'!$B$17+'Scénario référence'!$B$9+'Scénario référence'!$B$10)*70+IF((45+25*(1-EXP(-0.0175*A94)))&lt;70,'Scénario référence'!$B$16*(45+25*(1-EXP(-0.0175*A94))),70*'Scénario référence'!$B$16)+IF((32+38*(1-EXP(-0.0175*A94)))&lt;70,'Scénario référence'!$B$18*(32+38*(1-EXP(-0.0175*A94))),70*'Scénario référence'!$B$18)</f>
        <v>70</v>
      </c>
      <c r="CP94" s="151">
        <f>IF(A94&gt;30,10,('Scénario référence'!$B$16+'Scénario référence'!$B$17+'Scénario référence'!$B$18+'Scénario référence'!$B$9+'Scénario référence'!$B$10)*A94*10/30+('Scénario référence'!$F$8+'Scénario référence'!$F$9)*10)</f>
        <v>10</v>
      </c>
      <c r="CQ94" s="151" t="str">
        <f>VLOOKUP(A94,'Données projet'!$A$139:$I$159,2,0)</f>
        <v>#N/A</v>
      </c>
      <c r="CR94" s="151" t="str">
        <f>VLOOKUP(A94,'Données projet'!$A$139:$I$159,9,0)</f>
        <v>#N/A</v>
      </c>
      <c r="CS94" s="151" t="str">
        <f t="array" ref="CS94">INDEX(CR:CR,MIN(IF(ISNUMBER(CR94:CR290),ROW(CR94:CR290),"")))</f>
        <v/>
      </c>
      <c r="CT94" s="151">
        <f>IF('Données projet'!$A$140&gt;35,CT93+CS94-DB93,IF(A94&lt;'Données projet'!$A$140,$CQ$205^A94,IF(A94='Données projet'!$A$140,'Données projet'!$B$140,CT93+CS94-DB93)))</f>
        <v>0</v>
      </c>
      <c r="CU94" s="158" t="str">
        <f>CT94*VLOOKUP('Données projet'!$B$13,'Paramètres'!$A$1:$I$88,3,0)*VLOOKUP('Données projet'!$B$13,'Paramètres'!$A$1:$I$88,5,0)</f>
        <v>#N/A</v>
      </c>
      <c r="CV94" s="150" t="str">
        <f t="shared" si="42"/>
        <v>#N/A</v>
      </c>
      <c r="CW94" s="161" t="str">
        <f t="shared" si="14"/>
        <v>#N/A</v>
      </c>
      <c r="CX94" s="153" t="str">
        <f t="shared" si="15"/>
        <v>#N/A</v>
      </c>
      <c r="CY94" s="153" t="str">
        <f>AVERAGE(OFFSET($CX$3,0,0,'Données projet'!$E$13+1,1))-AVERAGE(OFFSET($H$3,0,0,'Données projet'!$E$13+1,1))</f>
        <v>#N/A</v>
      </c>
      <c r="CZ94" s="153" t="str">
        <f t="shared" si="43"/>
        <v>#N/A</v>
      </c>
      <c r="DA94" s="154">
        <f>IF(ISNA(VLOOKUP(A94,'Données projet'!$A$139:$I$159,3,0)),0,VLOOKUP(A94,'Données projet'!$A$139:$I$159,3,0))</f>
        <v>0</v>
      </c>
      <c r="DB94" s="154">
        <f>IF(ISNA(VLOOKUP(A94,'Données projet'!$A$139:$I$159,4,0)),0,VLOOKUP(A94,'Données projet'!$A$139:$I$159,4,0))</f>
        <v>0</v>
      </c>
      <c r="DC94" s="155">
        <f>IF(ISNA(VLOOKUP(A94,'Données projet'!$A$139:$I$159,5,0)),0%,VLOOKUP(A94,'Données projet'!$A$139:$I$159,5,0)*VLOOKUP('Données projet'!$B$13,'Paramètres'!$A$1:$I$88,7,0))</f>
        <v>0</v>
      </c>
      <c r="DD94" s="155">
        <f>IF(ISNA(VLOOKUP(A94,'Données projet'!$A$139:$I$159,6,0)),0%,VLOOKUP(A94,'Données projet'!$A$139:$I$159,6,0)*VLOOKUP('Données projet'!$B$13,'Paramètres'!$A$1:$I$88,7,0))</f>
        <v>0</v>
      </c>
      <c r="DE94" s="155">
        <f>IF(ISNA(VLOOKUP(A94,'Données projet'!$A$139:$I$159,7,0)),0%,VLOOKUP(A94,'Données projet'!$A$139:$I$159,7,0))</f>
        <v>0</v>
      </c>
      <c r="DF94" s="162" t="str">
        <f>EXP(-LN(2)/35)*DF93+(1-EXP(-LN(2)/35))/(LN(2)/35)*DB94*DC94*VLOOKUP('Données projet'!$B$13,'Paramètres'!$A$1:$I$88,3,0)*0.475*44/12</f>
        <v>#N/A</v>
      </c>
      <c r="DG94" s="162" t="str">
        <f>EXP(-LN(2)/25)*DG93+(1-EXP(-LN(2)/25))/(LN(2)/25)*Calculateur!DB94*Calculateur!DD94*VLOOKUP('Données projet'!$B$13,'Paramètres'!$A$1:$I$88,3,0)*0.475*44/12</f>
        <v>#N/A</v>
      </c>
      <c r="DH94" s="162" t="str">
        <f>EXP(-LN(2)/2)*DH93+(1-EXP(-LN(2)/2))/(LN(2)/2)*DB94*DE94*VLOOKUP('Données projet'!$B$13,'Paramètres'!$A$1:$I$88,3,0)*0.475*44/12</f>
        <v>#N/A</v>
      </c>
      <c r="DI94" s="163" t="str">
        <f t="shared" si="16"/>
        <v>#N/A</v>
      </c>
      <c r="DJ94" s="159">
        <f>('Scénario référence'!$F$8+'Scénario référence'!$F$9+'Scénario référence'!$B$17+'Scénario référence'!$B$9+'Scénario référence'!$B$10)*70+IF((45+25*(1-EXP(-0.0175*A94)))&lt;70,'Scénario référence'!$B$16*(45+25*(1-EXP(-0.0175*A94))),70*'Scénario référence'!$B$16)+IF((32+38*(1-EXP(-0.0175*A94)))&lt;70,'Scénario référence'!$B$18*(32+38*(1-EXP(-0.0175*A94))),70*'Scénario référence'!$B$18)</f>
        <v>70</v>
      </c>
      <c r="DK94" s="151">
        <f>IF(A94&gt;30,10,('Scénario référence'!$B$16+'Scénario référence'!$B$17+'Scénario référence'!$B$18+'Scénario référence'!$B$9+'Scénario référence'!$B$10)*A94*10/30+('Scénario référence'!$F$8+'Scénario référence'!$F$9)*10)</f>
        <v>10</v>
      </c>
      <c r="DL94" s="151" t="str">
        <f>VLOOKUP(A94,'Données projet'!$A$165:$I$185,2,0)</f>
        <v>#N/A</v>
      </c>
      <c r="DM94" s="151" t="str">
        <f>VLOOKUP(A94,'Données projet'!$A$165:$I$185,9,0)</f>
        <v>#N/A</v>
      </c>
      <c r="DN94" s="151" t="str">
        <f t="array" ref="DN94">INDEX(DM:DM,MIN(IF(ISNUMBER(DM94:DM290),ROW(DM94:DM290),"")))</f>
        <v/>
      </c>
      <c r="DO94" s="151">
        <f>IF('Données projet'!$A$166&gt;35,DO93+DN94-DW93,IF(A94&lt;'Données projet'!$A$166,$DL$205^A94,IF(A94='Données projet'!$A$166,'Données projet'!$B$166,DO93+DN94-DW93)))</f>
        <v>0</v>
      </c>
      <c r="DP94" s="158" t="str">
        <f>DO94*VLOOKUP('Données projet'!$B$14,'Paramètres'!$A$1:$I$88,3,0)*VLOOKUP('Données projet'!$B$14,'Paramètres'!$A$1:$I$88,5,0)</f>
        <v>#N/A</v>
      </c>
      <c r="DQ94" s="150" t="str">
        <f t="shared" si="44"/>
        <v>#N/A</v>
      </c>
      <c r="DR94" s="161" t="str">
        <f t="shared" si="17"/>
        <v>#N/A</v>
      </c>
      <c r="DS94" s="153" t="str">
        <f t="shared" si="18"/>
        <v>#N/A</v>
      </c>
      <c r="DT94" s="153" t="str">
        <f>AVERAGE(OFFSET($DS$3,0,0,'Données projet'!$E$14+1,1))-AVERAGE(OFFSET($H$3,0,0,'Données projet'!$E$14+1,1))</f>
        <v>#N/A</v>
      </c>
      <c r="DU94" s="153" t="str">
        <f t="shared" si="45"/>
        <v>#N/A</v>
      </c>
      <c r="DV94" s="154">
        <f>IF(ISNA(VLOOKUP(A94,'Données projet'!$A$165:$I$185,3,0)),0,VLOOKUP(A94,'Données projet'!$A$165:$I$185,3,0))</f>
        <v>0</v>
      </c>
      <c r="DW94" s="154">
        <f>IF(ISNA(VLOOKUP(A94,'Données projet'!$A$165:$I$185,4,0)),0,VLOOKUP(A94,'Données projet'!$A$165:$I$185,4,0))</f>
        <v>0</v>
      </c>
      <c r="DX94" s="155">
        <f>IF(ISNA(VLOOKUP(A94,'Données projet'!$A$165:$I$185,5,0)),0%,VLOOKUP(A94,'Données projet'!$A$165:$I$185,5,0)*VLOOKUP('Données projet'!$B$14,'Paramètres'!$A$1:$I$88,7,0))</f>
        <v>0</v>
      </c>
      <c r="DY94" s="155">
        <f>IF(ISNA(VLOOKUP(A94,'Données projet'!$A$165:$I$185,6,0)),0%,VLOOKUP(A94,'Données projet'!$A$165:$I$185,6,0)*VLOOKUP('Données projet'!$B$14,'Paramètres'!$A$1:$I$88,7,0))</f>
        <v>0</v>
      </c>
      <c r="DZ94" s="155">
        <f>IF(ISNA(VLOOKUP(A94,'Données projet'!$A$165:$I$185,7,0)),0%,VLOOKUP(A94,'Données projet'!$A$165:$I$185,7,0))</f>
        <v>0</v>
      </c>
      <c r="EA94" s="162" t="str">
        <f>EXP(-LN(2)/35)*EA93+(1-EXP(-LN(2)/35))/(LN(2)/35)*DW94*DX94*VLOOKUP('Données projet'!$B$14,'Paramètres'!$A$1:$I$88,3,0)*0.475*44/12</f>
        <v>#N/A</v>
      </c>
      <c r="EB94" s="162" t="str">
        <f>EXP(-LN(2)/25)*EB93+(1-EXP(-LN(2)/25))/(LN(2)/25)*Calculateur!DW94*Calculateur!DY94*VLOOKUP('Données projet'!$B$14,'Paramètres'!$A$1:$I$88,3,0)*0.475*44/12</f>
        <v>#N/A</v>
      </c>
      <c r="EC94" s="162" t="str">
        <f>EXP(-LN(2)/2)*EC93+(1-EXP(-LN(2)/2))/(LN(2)/2)*DW94*DZ94*VLOOKUP('Données projet'!$B$14,'Paramètres'!$A$1:$I$88,3,0)*0.475*44/12</f>
        <v>#N/A</v>
      </c>
      <c r="ED94" s="163" t="str">
        <f t="shared" si="19"/>
        <v>#N/A</v>
      </c>
      <c r="EE94" s="159">
        <f>('Scénario référence'!$F$8+'Scénario référence'!$F$9+'Scénario référence'!$B$17+'Scénario référence'!$B$9+'Scénario référence'!$B$10)*70+IF((45+25*(1-EXP(-0.0175*A94)))&lt;70,'Scénario référence'!$B$16*(45+25*(1-EXP(-0.0175*A94))),70*'Scénario référence'!$B$16)+IF((32+38*(1-EXP(-0.0175*A94)))&lt;70,'Scénario référence'!$B$18*(32+38*(1-EXP(-0.0175*A94))),70*'Scénario référence'!$B$18)</f>
        <v>70</v>
      </c>
      <c r="EF94" s="151">
        <f>IF(A94&gt;30,10,('Scénario référence'!$B$16+'Scénario référence'!$B$17+'Scénario référence'!$B$18+'Scénario référence'!$B$9+'Scénario référence'!$B$10)*A94*10/30+('Scénario référence'!$F$8+'Scénario référence'!$F$9)*10)</f>
        <v>10</v>
      </c>
      <c r="EG94" s="151" t="str">
        <f>VLOOKUP(A94,'Données projet'!$A$191:$I$211,2,0)</f>
        <v>#N/A</v>
      </c>
      <c r="EH94" s="151" t="str">
        <f>VLOOKUP(A94,'Données projet'!$A$191:$I$211,9,0)</f>
        <v>#N/A</v>
      </c>
      <c r="EI94" s="151" t="str">
        <f t="array" ref="EI94">INDEX(EH:EH,MIN(IF(ISNUMBER(EH94:EH290),ROW(EH94:EH290),"")))</f>
        <v/>
      </c>
      <c r="EJ94" s="151">
        <f>IF('Données projet'!$A$192&gt;35,EJ93+EI94-ER93,IF(A94&lt;'Données projet'!$A$192,$EG$205^A94,IF(A94='Données projet'!$A$192,'Données projet'!$B$192,EJ93+EI94-ER93)))</f>
        <v>0</v>
      </c>
      <c r="EK94" s="158" t="str">
        <f>EJ94*VLOOKUP('Données projet'!$B$15,'Paramètres'!$A$1:$I$88,3,0)*VLOOKUP('Données projet'!$B$15,'Paramètres'!$A$1:$I$88,5,0)</f>
        <v>#N/A</v>
      </c>
      <c r="EL94" s="150" t="str">
        <f t="shared" si="46"/>
        <v>#N/A</v>
      </c>
      <c r="EM94" s="161" t="str">
        <f t="shared" si="20"/>
        <v>#N/A</v>
      </c>
      <c r="EN94" s="153" t="str">
        <f t="shared" si="21"/>
        <v>#N/A</v>
      </c>
      <c r="EO94" s="153" t="str">
        <f>AVERAGE(OFFSET($EN$3,0,0,'Données projet'!$E$15+1,1))-AVERAGE(OFFSET($H$3,0,0,'Données projet'!$E$15+1,1))</f>
        <v>#N/A</v>
      </c>
      <c r="EP94" s="153" t="str">
        <f t="shared" si="47"/>
        <v>#N/A</v>
      </c>
      <c r="EQ94" s="154">
        <f>IF(ISNA(VLOOKUP(A94,'Données projet'!$A$191:$I$211,3,0)),0,VLOOKUP(A94,'Données projet'!$A$191:$I$211,3,0))</f>
        <v>0</v>
      </c>
      <c r="ER94" s="154">
        <f>IF(ISNA(VLOOKUP(A94,'Données projet'!$A$191:$I$211,4,0)),0,VLOOKUP(A94,'Données projet'!$A$191:$I$211,4,0))</f>
        <v>0</v>
      </c>
      <c r="ES94" s="155">
        <f>IF(ISNA(VLOOKUP(A94,'Données projet'!$A$191:$I$211,5,0)),0%,VLOOKUP(A94,'Données projet'!$A$191:$I$211,5,0)*VLOOKUP('Données projet'!$B$15,'Paramètres'!$A$1:$I$88,7,0))</f>
        <v>0</v>
      </c>
      <c r="ET94" s="155">
        <f>IF(ISNA(VLOOKUP(A94,'Données projet'!$A$191:$I$211,6,0)),0%,VLOOKUP(A94,'Données projet'!$A$191:$I$211,6,0)*VLOOKUP('Données projet'!$B$15,'Paramètres'!$A$1:$I$88,7,0))</f>
        <v>0</v>
      </c>
      <c r="EU94" s="155">
        <f>IF(ISNA(VLOOKUP(A94,'Données projet'!$A$191:$I$211,7,0)),0%,VLOOKUP(A94,'Données projet'!$A$191:$I$211,7,0))</f>
        <v>0</v>
      </c>
      <c r="EV94" s="162" t="str">
        <f>EXP(-LN(2)/35)*EV93+(1-EXP(-LN(2)/35))/(LN(2)/35)*ER94*ES94*VLOOKUP('Données projet'!$B$15,'Paramètres'!$A$1:$I$88,3,0)*0.475*44/12</f>
        <v>#N/A</v>
      </c>
      <c r="EW94" s="162" t="str">
        <f>EXP(-LN(2)/25)*EW93+(1-EXP(-LN(2)/25))/(LN(2)/25)*Calculateur!ER94*Calculateur!ET94*VLOOKUP('Données projet'!$B$15,'Paramètres'!$A$1:$I$88,3,0)*0.475*44/12</f>
        <v>#N/A</v>
      </c>
      <c r="EX94" s="162" t="str">
        <f>EXP(-LN(2)/2)*EX93+(1-EXP(-LN(2)/2))/(LN(2)/2)*ER94*EU94*VLOOKUP('Données projet'!$B$15,'Paramètres'!$A$1:$I$88,3,0)*0.475*44/12</f>
        <v>#N/A</v>
      </c>
      <c r="EY94" s="163" t="str">
        <f t="shared" si="22"/>
        <v>#N/A</v>
      </c>
      <c r="EZ94" s="159">
        <f>('Scénario référence'!$F$8+'Scénario référence'!$F$9+'Scénario référence'!$B$17+'Scénario référence'!$B$9+'Scénario référence'!$B$10)*70+IF((45+25*(1-EXP(-0.0175*A94)))&lt;70,'Scénario référence'!$B$16*(45+25*(1-EXP(-0.0175*A94))),70*'Scénario référence'!$B$16)+IF((32+38*(1-EXP(-0.0175*A94)))&lt;70,'Scénario référence'!$B$18*(32+38*(1-EXP(-0.0175*A94))),70*'Scénario référence'!$B$18)</f>
        <v>70</v>
      </c>
      <c r="FA94" s="151">
        <f>IF(A94&gt;30,10,('Scénario référence'!$B$16+'Scénario référence'!$B$17+'Scénario référence'!$B$18+'Scénario référence'!$B$9+'Scénario référence'!$B$10)*A94*10/30+('Scénario référence'!$F$8+'Scénario référence'!$F$9)*10)</f>
        <v>10</v>
      </c>
      <c r="FB94" s="151" t="str">
        <f>VLOOKUP(A94,'Données projet'!$A$217:$I$237,2,0)</f>
        <v>#N/A</v>
      </c>
      <c r="FC94" s="151" t="str">
        <f>VLOOKUP(A94,'Données projet'!$A$217:$I$237,9,0)</f>
        <v>#N/A</v>
      </c>
      <c r="FD94" s="151" t="str">
        <f t="array" ref="FD94">INDEX(FC:FC,MIN(IF(ISNUMBER(FC94:FC290),ROW(FC94:FC290),"")))</f>
        <v/>
      </c>
      <c r="FE94" s="151">
        <f>IF('Données projet'!$A$218&gt;35,FE93+FD94-FM93,IF(A94&lt;'Données projet'!$A$218,$FB$205^A94,IF(A94='Données projet'!$A$218,'Données projet'!$B$218,FE93+FD94-FM93)))</f>
        <v>0</v>
      </c>
      <c r="FF94" s="158" t="str">
        <f>FE94*VLOOKUP('Données projet'!$B$16,'Paramètres'!$A$1:$I$88,3,0)*VLOOKUP('Données projet'!$B$16,'Paramètres'!$A$1:$I$88,5,0)</f>
        <v>#N/A</v>
      </c>
      <c r="FG94" s="150" t="str">
        <f t="shared" si="48"/>
        <v>#N/A</v>
      </c>
      <c r="FH94" s="161" t="str">
        <f t="shared" si="23"/>
        <v>#N/A</v>
      </c>
      <c r="FI94" s="153" t="str">
        <f t="shared" si="24"/>
        <v>#N/A</v>
      </c>
      <c r="FJ94" s="153" t="str">
        <f>AVERAGE(OFFSET($FI$3,0,0,'Données projet'!$E$16+1,1))-AVERAGE(OFFSET($H$3,0,0,'Données projet'!$E$16+1,1))</f>
        <v>#N/A</v>
      </c>
      <c r="FK94" s="153" t="str">
        <f t="shared" si="49"/>
        <v>#N/A</v>
      </c>
      <c r="FL94" s="154">
        <f>IF(ISNA(VLOOKUP(A94,'Données projet'!$A$217:$I$237,3,0)),0,VLOOKUP(A94,'Données projet'!$A$217:$I$237,3,0))</f>
        <v>0</v>
      </c>
      <c r="FM94" s="154">
        <f>IF(ISNA(VLOOKUP(A94,'Données projet'!$A$217:$I$237,4,0)),0,VLOOKUP(A94,'Données projet'!$A$217:$I$237,4,0))</f>
        <v>0</v>
      </c>
      <c r="FN94" s="155">
        <f>IF(ISNA(VLOOKUP(A94,'Données projet'!$A$217:$I$237,5,0)),0%,VLOOKUP(A94,'Données projet'!$A$217:$I$237,5,0)*VLOOKUP('Données projet'!$B$16,'Paramètres'!$A$1:$I$88,7,0))</f>
        <v>0</v>
      </c>
      <c r="FO94" s="155">
        <f>IF(ISNA(VLOOKUP(A94,'Données projet'!$A$217:$I$237,6,0)),0%,VLOOKUP(A94,'Données projet'!$A$217:$I$237,6,0)*VLOOKUP('Données projet'!$B$16,'Paramètres'!$A$1:$I$88,7,0))</f>
        <v>0</v>
      </c>
      <c r="FP94" s="155">
        <f>IF(ISNA(VLOOKUP(A94,'Données projet'!$A$217:$I$237,7,0)),0%,VLOOKUP(A94,'Données projet'!$A$217:$I$237,7,0))</f>
        <v>0</v>
      </c>
      <c r="FQ94" s="162" t="str">
        <f>EXP(-LN(2)/35)*FQ93+(1-EXP(-LN(2)/35))/(LN(2)/35)*FM94*FN94*VLOOKUP('Données projet'!$B$16,'Paramètres'!$A$1:$I$88,3,0)*0.475*44/12</f>
        <v>#N/A</v>
      </c>
      <c r="FR94" s="162" t="str">
        <f>EXP(-LN(2)/25)*FR93+(1-EXP(-LN(2)/25))/(LN(2)/25)*Calculateur!FM94*Calculateur!FO94*VLOOKUP('Données projet'!$B$16,'Paramètres'!$A$1:$I$88,3,0)*0.475*44/12</f>
        <v>#N/A</v>
      </c>
      <c r="FS94" s="162" t="str">
        <f>EXP(-LN(2)/2)*FS93+(1-EXP(-LN(2)/2))/(LN(2)/2)*FM94*FP94*VLOOKUP('Données projet'!$B$16,'Paramètres'!$A$1:$I$88,3,0)*0.475*44/12</f>
        <v>#N/A</v>
      </c>
      <c r="FT94" s="163" t="str">
        <f t="shared" si="25"/>
        <v>#N/A</v>
      </c>
      <c r="FU94" s="159">
        <f>('Scénario référence'!$F$8+'Scénario référence'!$F$9+'Scénario référence'!$B$17+'Scénario référence'!$B$9+'Scénario référence'!$B$10)*70+IF((45+25*(1-EXP(-0.0175*A94)))&lt;70,'Scénario référence'!$B$16*(45+25*(1-EXP(-0.0175*A94))),70*'Scénario référence'!$B$16)+IF((32+38*(1-EXP(-0.0175*A94)))&lt;70,'Scénario référence'!$B$18*(32+38*(1-EXP(-0.0175*A94))),70*'Scénario référence'!$B$18)</f>
        <v>70</v>
      </c>
      <c r="FV94" s="151">
        <f>IF(A94&gt;30,10,('Scénario référence'!$B$16+'Scénario référence'!$B$17+'Scénario référence'!$B$18+'Scénario référence'!$B$9+'Scénario référence'!$B$10)*A94*10/30+('Scénario référence'!$F$8+'Scénario référence'!$F$9)*10)</f>
        <v>10</v>
      </c>
      <c r="FW94" s="151" t="str">
        <f>VLOOKUP(A94,'Données projet'!$A$243:$I$263,2,0)</f>
        <v>#N/A</v>
      </c>
      <c r="FX94" s="151" t="str">
        <f>VLOOKUP(A94,'Données projet'!$A$243:$I$263,9,0)</f>
        <v>#N/A</v>
      </c>
      <c r="FY94" s="151" t="str">
        <f t="array" ref="FY94">INDEX(FX:FX,MIN(IF(ISNUMBER(FX94:FX290),ROW(FX94:FX290),"")))</f>
        <v/>
      </c>
      <c r="FZ94" s="151">
        <f>IF('Données projet'!$A$244&gt;35,FZ93+FY94-GH93,IF(A94&lt;'Données projet'!$A$244,$FW$205^A94,IF(A94='Données projet'!$A$244,'Données projet'!$B$244,FZ93+FY94-GH93)))</f>
        <v>0</v>
      </c>
      <c r="GA94" s="158" t="str">
        <f>FZ94*VLOOKUP('Données projet'!$B$17,'Paramètres'!$A$1:$I$88,3,0)*VLOOKUP('Données projet'!$B$17,'Paramètres'!$A$1:$I$88,5,0)</f>
        <v>#N/A</v>
      </c>
      <c r="GB94" s="150" t="str">
        <f t="shared" si="50"/>
        <v>#N/A</v>
      </c>
      <c r="GC94" s="161" t="str">
        <f t="shared" si="26"/>
        <v>#N/A</v>
      </c>
      <c r="GD94" s="153" t="str">
        <f t="shared" si="27"/>
        <v>#N/A</v>
      </c>
      <c r="GE94" s="153" t="str">
        <f>AVERAGE(OFFSET($GD$3,0,0,'Données projet'!$E$17+1,1))-AVERAGE(OFFSET($H$3,0,0,'Données projet'!$E$17+1,1))</f>
        <v>#N/A</v>
      </c>
      <c r="GF94" s="153" t="str">
        <f t="shared" si="51"/>
        <v>#N/A</v>
      </c>
      <c r="GG94" s="154">
        <f>IF(ISNA(VLOOKUP(A94,'Données projet'!$A$243:$I$263,3,0)),0,VLOOKUP(A94,'Données projet'!$A$243:$I$263,3,0))</f>
        <v>0</v>
      </c>
      <c r="GH94" s="154">
        <f>IF(ISNA(VLOOKUP(A94,'Données projet'!$A$243:$I$263,4,0)),0,VLOOKUP(A94,'Données projet'!$A$243:$I$263,4,0))</f>
        <v>0</v>
      </c>
      <c r="GI94" s="155">
        <f>IF(ISNA(VLOOKUP(A94,'Données projet'!$A$243:$I$263,5,0)),0%,VLOOKUP(A94,'Données projet'!$A$243:$I$263,5,0)*VLOOKUP('Données projet'!$B$17,'Paramètres'!$A$1:$I$88,7,0))</f>
        <v>0</v>
      </c>
      <c r="GJ94" s="155">
        <f>IF(ISNA(VLOOKUP(A94,'Données projet'!$A$243:$I$263,6,0)),0%,VLOOKUP(A94,'Données projet'!$A$243:$I$263,6,0)*VLOOKUP('Données projet'!$B$17,'Paramètres'!$A$1:$I$88,7,0))</f>
        <v>0</v>
      </c>
      <c r="GK94" s="155">
        <f>IF(ISNA(VLOOKUP(A94,'Données projet'!$A$243:$I$263,7,0)),0%,VLOOKUP(A94,'Données projet'!$A$243:$I$263,7,0))</f>
        <v>0</v>
      </c>
      <c r="GL94" s="162" t="str">
        <f>EXP(-LN(2)/35)*GL93+(1-EXP(-LN(2)/35))/(LN(2)/35)*GH94*GI94*VLOOKUP('Données projet'!$B$17,'Paramètres'!$A$1:$I$88,3,0)*0.475*44/12</f>
        <v>#N/A</v>
      </c>
      <c r="GM94" s="162" t="str">
        <f>EXP(-LN(2)/25)*GM93+(1-EXP(-LN(2)/25))/(LN(2)/25)*Calculateur!GH94*Calculateur!GJ94*VLOOKUP('Données projet'!$B$17,'Paramètres'!$A$1:$I$88,3,0)*0.475*44/12</f>
        <v>#N/A</v>
      </c>
      <c r="GN94" s="162" t="str">
        <f>EXP(-LN(2)/2)*GN93+(1-EXP(-LN(2)/2))/(LN(2)/2)*GH94*GK94*VLOOKUP('Données projet'!$B$17,'Paramètres'!$A$1:$I$88,3,0)*0.475*44/12</f>
        <v>#N/A</v>
      </c>
      <c r="GO94" s="162" t="str">
        <f t="shared" si="28"/>
        <v>#N/A</v>
      </c>
      <c r="GP94" s="159">
        <f>('Scénario référence'!$F$8+'Scénario référence'!$F$9+'Scénario référence'!$B$17+'Scénario référence'!$B$9+'Scénario référence'!$B$10)*70+IF((45+25*(1-EXP(-0.0175*A94)))&lt;70,'Scénario référence'!$B$16*(45+25*(1-EXP(-0.0175*A94))),70*'Scénario référence'!$B$16)+IF((32+38*(1-EXP(-0.0175*A94)))&lt;70,'Scénario référence'!$B$18*(32+38*(1-EXP(-0.0175*A94))),70*'Scénario référence'!$B$18)</f>
        <v>70</v>
      </c>
      <c r="GQ94" s="151">
        <f>IF(A94&gt;30,10,('Scénario référence'!$B$16+'Scénario référence'!$B$17+'Scénario référence'!$B$18+'Scénario référence'!$B$9+'Scénario référence'!$B$10)*A94*10/30+('Scénario référence'!$F$8+'Scénario référence'!$F$9)*10)</f>
        <v>10</v>
      </c>
      <c r="GR94" s="151" t="str">
        <f>VLOOKUP(A94,'Données projet'!$A$269:$I$289,2,0)</f>
        <v>#N/A</v>
      </c>
      <c r="GS94" s="151" t="str">
        <f>VLOOKUP(A94,'Données projet'!$A$269:$I$289,9,0)</f>
        <v>#N/A</v>
      </c>
      <c r="GT94" s="151" t="str">
        <f t="array" ref="GT94">INDEX(GS:GS,MIN(IF(ISNUMBER(GS94:GS290),ROW(GS94:GS290),"")))</f>
        <v/>
      </c>
      <c r="GU94" s="151">
        <f>IF('Données projet'!$A$270&gt;35,GU93+GT94-HC93,IF(A94&lt;'Données projet'!$A$270,$GR$205^A94,IF(A94='Données projet'!$A$270,'Données projet'!$B$270,GU93+GT94-HC93)))</f>
        <v>0</v>
      </c>
      <c r="GV94" s="158" t="str">
        <f>GU94*VLOOKUP('Données projet'!$B$18,'Paramètres'!$A$1:$I$88,3,0)*VLOOKUP('Données projet'!$B$18,'Paramètres'!$A$1:$I$88,5,0)</f>
        <v>#N/A</v>
      </c>
      <c r="GW94" s="150" t="str">
        <f t="shared" si="52"/>
        <v>#N/A</v>
      </c>
      <c r="GX94" s="161" t="str">
        <f t="shared" si="29"/>
        <v>#N/A</v>
      </c>
      <c r="GY94" s="153" t="str">
        <f t="shared" si="30"/>
        <v>#N/A</v>
      </c>
      <c r="GZ94" s="153" t="str">
        <f>AVERAGE(OFFSET($GY$3,0,0,'Données projet'!$E$18+1,1))-AVERAGE(OFFSET($H$3,0,0,'Données projet'!$E$18+1,1))</f>
        <v>#N/A</v>
      </c>
      <c r="HA94" s="153" t="str">
        <f t="shared" si="53"/>
        <v>#N/A</v>
      </c>
      <c r="HB94" s="154">
        <f>IF(ISNA(VLOOKUP(A94,'Données projet'!$A$269:$I$289,3,0)),0,VLOOKUP(A94,'Données projet'!$A$269:$I$289,3,0))</f>
        <v>0</v>
      </c>
      <c r="HC94" s="154">
        <f>IF(ISNA(VLOOKUP(A94,'Données projet'!$A$269:$I$289,4,0)),0,VLOOKUP(A94,'Données projet'!$A$269:$I$289,4,0))</f>
        <v>0</v>
      </c>
      <c r="HD94" s="155">
        <f>IF(ISNA(VLOOKUP(A94,'Données projet'!$A$269:$I$289,5,0)),0%,VLOOKUP(A94,'Données projet'!$A$269:$I$289,5,0)*VLOOKUP('Données projet'!$B$18,'Paramètres'!$A$1:$I$88,7,0))</f>
        <v>0</v>
      </c>
      <c r="HE94" s="155">
        <f>IF(ISNA(VLOOKUP(A94,'Données projet'!$A$269:$I$289,6,0)),0%,VLOOKUP(A94,'Données projet'!$A$269:$I$289,6,0)*VLOOKUP('Données projet'!$B$18,'Paramètres'!$A$1:$I$88,7,0))</f>
        <v>0</v>
      </c>
      <c r="HF94" s="155">
        <f>IF(ISNA(VLOOKUP(A94,'Données projet'!$A$269:$I$289,7,0)),0%,VLOOKUP(A94,'Données projet'!$A$269:$I$289,7,0))</f>
        <v>0</v>
      </c>
      <c r="HG94" s="162" t="str">
        <f>EXP(-LN(2)/35)*HG93+(1-EXP(-LN(2)/35))/(LN(2)/35)*HC94*HD94*VLOOKUP('Données projet'!$B$18,'Paramètres'!$A$1:$I$88,3,0)*0.475*44/12</f>
        <v>#N/A</v>
      </c>
      <c r="HH94" s="162" t="str">
        <f>EXP(-LN(2)/25)*HH93+(1-EXP(-LN(2)/25))/(LN(2)/25)*Calculateur!HC94*Calculateur!HE94*VLOOKUP('Données projet'!$B$18,'Paramètres'!$A$1:$I$88,3,0)*0.475*44/12</f>
        <v>#N/A</v>
      </c>
      <c r="HI94" s="162" t="str">
        <f>EXP(-LN(2)/2)*HI93+(1-EXP(-LN(2)/2))/(LN(2)/2)*HC94*HF94*VLOOKUP('Données projet'!$B$18,'Paramètres'!$A$1:$I$88,3,0)*0.475*44/12</f>
        <v>#N/A</v>
      </c>
      <c r="HJ94" s="163" t="str">
        <f t="shared" si="31"/>
        <v>#N/A</v>
      </c>
    </row>
    <row r="95" ht="15.75" customHeight="1">
      <c r="A95" s="145">
        <f t="shared" si="32"/>
        <v>92</v>
      </c>
      <c r="B95" s="146">
        <f>'Scénario référence'!$B$16*5+'Scénario référence'!$B$17*0+'Scénario référence'!$B$18*5</f>
        <v>0</v>
      </c>
      <c r="C95" s="160">
        <f>Calculateur!C94+'Scénario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95" s="147">
        <f t="shared" si="33"/>
        <v>0</v>
      </c>
      <c r="E95" s="147">
        <f>'Scénario référence'!$B$16*45+('Scénario référence'!$B$17+'Scénario référence'!$F$8+'Scénario référence'!$F$9+'Scénario référence'!$B$10+'Scénario référence'!$B$9)*70+'Scénario référence'!$B$18*32</f>
        <v>70</v>
      </c>
      <c r="F95" s="147">
        <f>IF(OR('Scénario référence'!$F$8&gt;0,'Scénario référence'!$F$9&gt;0),('Scénario référence'!$F$8+'Scénario référence'!$F$9)*10,0)</f>
        <v>0</v>
      </c>
      <c r="G95" s="147">
        <f>'Scénario référence'!$B$8*B95*44/12+'Scénario référence'!$B$9*(C95+D95)/0.475*44/12+'Scénario référence'!$B$10*(C95+D95)/0.475*44/12+'Scénario référence'!$F$8*(C95+D95)/0.475*44/12+'Scénario référence'!$F$9*(C95+D95)/0.475*44/12</f>
        <v>0</v>
      </c>
      <c r="H95" s="148">
        <f t="shared" si="1"/>
        <v>256.6666667</v>
      </c>
      <c r="I95" s="149">
        <f>('Scénario référence'!$F$8+'Scénario référence'!$F$9+'Scénario référence'!$B$17+'Scénario référence'!$B$9+'Scénario référence'!$B$10)*70+IF((45+25*(1-EXP(-0.0175*A95)))&lt;70,'Scénario référence'!$B$16*(45+25*(1-EXP(-0.0175*A95))),70*'Scénario référence'!$B$16)+IF((32+38*(1-EXP(-0.0175*A95)))&lt;70,'Scénario référence'!$B$18*(32+38*(1-EXP(-0.0175*A95))),70*'Scénario référence'!$B$18)</f>
        <v>70</v>
      </c>
      <c r="J95" s="150">
        <f>IF(A95&gt;30,10,('Scénario référence'!$B$16+'Scénario référence'!$B$17+'Scénario référence'!$B$18+'Scénario référence'!$B$9+'Scénario référence'!$B$10)*A95*10/30+('Scénario référence'!$F$8+'Scénario référence'!$F$9)*10)</f>
        <v>10</v>
      </c>
      <c r="K95" s="151" t="str">
        <f>VLOOKUP(A95,'Données projet'!$A$35:$I$55,2,0)</f>
        <v>#N/A</v>
      </c>
      <c r="L95" s="151" t="str">
        <f>VLOOKUP(A95,'Données projet'!$A$35:$I$55,9,0)</f>
        <v>#N/A</v>
      </c>
      <c r="M95" s="150">
        <f t="array" ref="M95">INDEX(L:L,MIN(IF(ISNUMBER(L95:L291),ROW(L95:L291),"")))</f>
        <v>6.2</v>
      </c>
      <c r="N95" s="150">
        <f>IF('Données projet'!$A$36&gt;35,N94+M95-V94,IF(A95&lt;'Données projet'!$A$36,$K$205^A95,IF(A95='Données projet'!$A$36,'Données projet'!$B$36,N94+M95-V94)))</f>
        <v>314.4</v>
      </c>
      <c r="O95" s="150">
        <f>N95*VLOOKUP('Données projet'!$B$9,'Paramètres'!$A$1:$I$88,3,0)*VLOOKUP('Données projet'!$B$9,'Paramètres'!$A$1:$I$88,5,0)</f>
        <v>284.46912</v>
      </c>
      <c r="P95" s="150">
        <f t="shared" si="34"/>
        <v>67.91059024</v>
      </c>
      <c r="Q95" s="161">
        <f t="shared" si="2"/>
        <v>613.7279953</v>
      </c>
      <c r="R95" s="153">
        <f t="shared" si="3"/>
        <v>907.0613287</v>
      </c>
      <c r="S95" s="153">
        <f>AVERAGE(OFFSET($R$3,0,0,'Données projet'!$E$9+1,1))-AVERAGE(OFFSET($H$3,0,0,'Données projet'!$E$9+1,1))</f>
        <v>439.1985427</v>
      </c>
      <c r="T95" s="153">
        <f t="shared" si="35"/>
        <v>278.2174123</v>
      </c>
      <c r="U95" s="154">
        <f>IF(ISNA(VLOOKUP(A95,'Données projet'!$A$35:$I$55,3,0)),0,VLOOKUP(A95,'Données projet'!$A$35:$I$55,3,0))</f>
        <v>0</v>
      </c>
      <c r="V95" s="154">
        <f>IF(ISNA(VLOOKUP(A95,'Données projet'!$A$35:$I$55,4,0)),0,VLOOKUP(A95,'Données projet'!$A$35:$I$55,4,0))</f>
        <v>0</v>
      </c>
      <c r="W95" s="155">
        <f>IF(ISNA(VLOOKUP(A95,'Données projet'!$A$35:$I$55,5,0)),0%,VLOOKUP(A95,'Données projet'!$A$35:$I$55,5,0)*VLOOKUP('Données projet'!$B$9,'Paramètres'!$A$1:$I$88,7,0))</f>
        <v>0</v>
      </c>
      <c r="X95" s="155">
        <f>IF(ISNA(VLOOKUP(A95,'Données projet'!$A$35:$I$55,6,0)),0%,VLOOKUP(A95,'Données projet'!$A$35:$I$55,6,0)*VLOOKUP('Données projet'!$B$9,'Paramètres'!$A$1:$I$88,7,0))</f>
        <v>0</v>
      </c>
      <c r="Y95" s="155">
        <f>IF(ISNA(VLOOKUP(A95,'Données projet'!$A$35:$I$55,7,0)),0%,VLOOKUP(A95,'Données projet'!$A$35:$I$55,7,0))</f>
        <v>0</v>
      </c>
      <c r="Z95" s="162">
        <f>EXP(-LN(2)/35)*Z94+(1-EXP(-LN(2)/35))/(LN(2)/35)*V95*W95*VLOOKUP('Données projet'!$B$9,'Paramètres'!$A$1:$I$88,3,0)*0.475*44/12</f>
        <v>0</v>
      </c>
      <c r="AA95" s="162">
        <f>EXP(-LN(2)/25)*AA94+(1-EXP(-LN(2)/25))/(LN(2)/25)*Calculateur!V95*Calculateur!X95*VLOOKUP('Données projet'!$B$9,'Paramètres'!$A$1:$I$88,3,0)*0.475*44/12</f>
        <v>0.8043737507</v>
      </c>
      <c r="AB95" s="162">
        <f>EXP(-LN(2)/2)*AB94+(1-EXP(-LN(2)/2))/(LN(2)/2)*V95*Y95*VLOOKUP('Données projet'!$B$9,'Paramètres'!$A$1:$I$88,3,0)*0.475*44/12</f>
        <v>0</v>
      </c>
      <c r="AC95" s="163">
        <f t="shared" si="4"/>
        <v>0.8043737507</v>
      </c>
      <c r="AD95" s="150">
        <f>('Scénario référence'!$F$8+'Scénario référence'!$F$9+'Scénario référence'!$B$17+'Scénario référence'!$B$9+'Scénario référence'!$B$10)*70+IF((45+25*(1-EXP(-0.0175*A95)))&lt;70,'Scénario référence'!$B$16*(45+25*(1-EXP(-0.0175*A95))),70*'Scénario référence'!$B$16)+IF((32+38*(1-EXP(-0.0175*A95)))&lt;70,'Scénario référence'!$B$18*(32+38*(1-EXP(-0.0175*A95))),70*'Scénario référence'!$B$18)</f>
        <v>70</v>
      </c>
      <c r="AE95" s="150">
        <f>IF(A95&gt;30,10,('Scénario référence'!$B$16+'Scénario référence'!$B$17+'Scénario référence'!$B$18+'Scénario référence'!$B$9+'Scénario référence'!$B$10)*A95*10/30+('Scénario référence'!$F$8+'Scénario référence'!$F$9)*10)</f>
        <v>10</v>
      </c>
      <c r="AF95" s="151" t="str">
        <f>VLOOKUP(A95,'Données projet'!$A$61:$I$81,2,0)</f>
        <v>#N/A</v>
      </c>
      <c r="AG95" s="151" t="str">
        <f>VLOOKUP(A95,'Données projet'!$A$61:$I$81,9,0)</f>
        <v>#N/A</v>
      </c>
      <c r="AH95" s="151" t="str">
        <f t="array" ref="AH95">INDEX(AG:AG,MIN(IF(ISNUMBER(AG95:AG291),ROW(AG95:AG291),"")))</f>
        <v/>
      </c>
      <c r="AI95" s="150">
        <f>IF('Données projet'!$A$62&gt;35,AI94+AH95-AQ94,IF(A95&lt;'Données projet'!$A$62,$AF$205^A95,IF(A95='Données projet'!$A$62,'Données projet'!$B$62,AI94+AH95-AQ94)))</f>
        <v>369</v>
      </c>
      <c r="AJ95" s="150">
        <f>AI95*VLOOKUP('Données projet'!$B$10,'Paramètres'!$A$1:$I$88,3,0)*VLOOKUP('Données projet'!$B$10,'Paramètres'!$A$1:$I$88,5,0)</f>
        <v>293.5764</v>
      </c>
      <c r="AK95" s="150">
        <f t="shared" si="36"/>
        <v>69.82813851</v>
      </c>
      <c r="AL95" s="161">
        <f t="shared" si="5"/>
        <v>632.9295712</v>
      </c>
      <c r="AM95" s="153">
        <f t="shared" si="6"/>
        <v>926.2629046</v>
      </c>
      <c r="AN95" s="153">
        <f>AVERAGE(OFFSET($AM$3,0,0,'Données projet'!$E$10+1,1))-AVERAGE(OFFSET($H$3,0,0,'Données projet'!$E$10+1,1))</f>
        <v>405.6113614</v>
      </c>
      <c r="AO95" s="153">
        <f t="shared" si="37"/>
        <v>393.0787141</v>
      </c>
      <c r="AP95" s="154">
        <f>IF(ISNA(VLOOKUP(A95,'Données projet'!$A$61:$I$81,3,0)),0,VLOOKUP(A95,'Données projet'!$A$61:$I$81,3,0))</f>
        <v>0</v>
      </c>
      <c r="AQ95" s="154">
        <f>IF(ISNA(VLOOKUP(A95,'Données projet'!$A$61:$I$81,4,0)),0,VLOOKUP(A95,'Données projet'!$A$61:$I$81,4,0))</f>
        <v>0</v>
      </c>
      <c r="AR95" s="155">
        <f>IF(ISNA(VLOOKUP(A95,'Données projet'!$A$61:$I$81,5,0)),0%,VLOOKUP(A95,'Données projet'!$A$61:$I$81,5,0)*VLOOKUP('Données projet'!$B$10,'Paramètres'!$A$1:$I$88,7,0))</f>
        <v>0</v>
      </c>
      <c r="AS95" s="155">
        <f>IF(ISNA(VLOOKUP(A95,'Données projet'!$A$61:$I$81,6,0)),0%,VLOOKUP(A95,'Données projet'!$A$61:$I$81,6,0)*VLOOKUP('Données projet'!$B$10,'Paramètres'!$A$1:$I$88,7,0))</f>
        <v>0</v>
      </c>
      <c r="AT95" s="155">
        <f>IF(ISNA(VLOOKUP(A95,'Données projet'!$A$61:$I$81,7,0)),0%,VLOOKUP(A95,'Données projet'!$A$61:$I$81,7,0))</f>
        <v>0</v>
      </c>
      <c r="AU95" s="162">
        <f>EXP(-LN(2)/35)*AU94+(1-EXP(-LN(2)/35))/(LN(2)/35)*AQ95*AR95*VLOOKUP('Données projet'!$B$10,'Paramètres'!$A$1:$I$88,3,0)*0.475*44/12</f>
        <v>0</v>
      </c>
      <c r="AV95" s="162">
        <f>EXP(-LN(2)/25)*AV94+(1-EXP(-LN(2)/25))/(LN(2)/25)*Calculateur!AQ95*Calculateur!AS95*VLOOKUP('Données projet'!$B$10,'Paramètres'!$A$1:$I$88,3,0)*0.475*44/12</f>
        <v>3.269179403</v>
      </c>
      <c r="AW95" s="162">
        <f>EXP(-LN(2)/2)*AW94+(1-EXP(-LN(2)/2))/(LN(2)/2)*AQ95*AT95*VLOOKUP('Données projet'!$B$10,'Paramètres'!$A$1:$I$88,3,0)*0.475*44/12</f>
        <v>0.0000000002699495312</v>
      </c>
      <c r="AX95" s="162">
        <f t="shared" si="7"/>
        <v>3.269179403</v>
      </c>
      <c r="AY95" s="157">
        <f>('Scénario référence'!$F$8+'Scénario référence'!$F$9+'Scénario référence'!$B$17+'Scénario référence'!$B$9+'Scénario référence'!$B$10)*70+IF((45+25*(1-EXP(-0.0175*A95)))&lt;70,'Scénario référence'!$B$16*(45+25*(1-EXP(-0.0175*A95))),70*'Scénario référence'!$B$16)+IF((32+38*(1-EXP(-0.0175*A95)))&lt;70,'Scénario référence'!$B$18*(32+38*(1-EXP(-0.0175*A95))),70*'Scénario référence'!$B$18)</f>
        <v>70</v>
      </c>
      <c r="AZ95" s="151">
        <f>IF(A95&gt;30,10,('Scénario référence'!$B$16+'Scénario référence'!$B$17+'Scénario référence'!$B$18+'Scénario référence'!$B$9+'Scénario référence'!$B$10)*A95*10/30+('Scénario référence'!$F$8+'Scénario référence'!$F$9)*10)</f>
        <v>10</v>
      </c>
      <c r="BA95" s="151" t="str">
        <f>VLOOKUP(A95,'Données projet'!$A$87:$I$107,2,0)</f>
        <v>#N/A</v>
      </c>
      <c r="BB95" s="151" t="str">
        <f>VLOOKUP(A95,'Données projet'!$A$87:$I$107,9,0)</f>
        <v>#N/A</v>
      </c>
      <c r="BC95" s="151" t="str">
        <f t="array" ref="BC95">INDEX(BB:BB,MIN(IF(ISNUMBER(BB95:BB291),ROW(BB95:BB291),"")))</f>
        <v/>
      </c>
      <c r="BD95" s="150">
        <f>IF('Données projet'!$A$88&gt;35,BD94+BC95-BL94,IF(A95&lt;'Données projet'!$A$88,$BA$205^A95,IF(A95='Données projet'!$A$88,'Données projet'!$B$88,BD94+BC95-BL94)))</f>
        <v>0</v>
      </c>
      <c r="BE95" s="150">
        <f>BD95*VLOOKUP('Données projet'!$B$11,'Paramètres'!$A$1:$I$88,3,0)*VLOOKUP('Données projet'!$B$11,'Paramètres'!$A$1:$I$88,5,0)</f>
        <v>0</v>
      </c>
      <c r="BF95" s="150" t="str">
        <f t="shared" si="38"/>
        <v>#NUM!</v>
      </c>
      <c r="BG95" s="161" t="str">
        <f t="shared" si="8"/>
        <v>#NUM!</v>
      </c>
      <c r="BH95" s="153" t="str">
        <f t="shared" si="9"/>
        <v>#NUM!</v>
      </c>
      <c r="BI95" s="153">
        <f>AVERAGE(OFFSET($BH$3,0,0,'Données projet'!$E$11+1,1))-AVERAGE(OFFSET($H$3,0,0,'Données projet'!$E$11+1,1))</f>
        <v>0</v>
      </c>
      <c r="BJ95" s="153">
        <f t="shared" si="39"/>
        <v>0</v>
      </c>
      <c r="BK95" s="154">
        <f>IF(ISNA(VLOOKUP(A95,'Données projet'!$A$87:$I$107,3,0)),0,VLOOKUP(A95,'Données projet'!$A$87:$I$107,3,0))</f>
        <v>0</v>
      </c>
      <c r="BL95" s="154">
        <f>IF(ISNA(VLOOKUP(A95,'Données projet'!$A$87:$I$107,4,0)),0,VLOOKUP(A95,'Données projet'!$A$87:$I$107,4,0))</f>
        <v>0</v>
      </c>
      <c r="BM95" s="155">
        <f>IF(ISNA(VLOOKUP(A95,'Données projet'!$A$87:$I$107,5,0)),0%,VLOOKUP(A95,'Données projet'!$A$87:$I$107,5,0)*VLOOKUP('Données projet'!$B$11,'Paramètres'!$A$1:$I$88,7,0))</f>
        <v>0</v>
      </c>
      <c r="BN95" s="155">
        <f>IF(ISNA(VLOOKUP(A95,'Données projet'!$A$87:$I$107,6,0)),0%,VLOOKUP(A95,'Données projet'!$A$87:$I$107,6,0)*VLOOKUP('Données projet'!$B$11,'Paramètres'!$A$1:$I$88,7,0))</f>
        <v>0</v>
      </c>
      <c r="BO95" s="155">
        <f>IF(ISNA(VLOOKUP(A95,'Données projet'!$A$87:$I$107,7,0)),0%,VLOOKUP(A95,'Données projet'!$A$87:$I$107,7,0))</f>
        <v>0</v>
      </c>
      <c r="BP95" s="162">
        <f>EXP(-LN(2)/35)*BP94+(1-EXP(-LN(2)/35))/(LN(2)/35)*BL95*BM95*VLOOKUP('Données projet'!$B$11,'Paramètres'!$A$1:$I$88,3,0)*0.475*44/12</f>
        <v>0</v>
      </c>
      <c r="BQ95" s="162">
        <f>EXP(-LN(2)/25)*BQ94+(1-EXP(-LN(2)/25))/(LN(2)/25)*Calculateur!BL95*Calculateur!BN95*VLOOKUP('Données projet'!$B$11,'Paramètres'!$A$1:$I$88,3,0)*0.475*44/12</f>
        <v>0</v>
      </c>
      <c r="BR95" s="162">
        <f>EXP(-LN(2)/2)*BR94+(1-EXP(-LN(2)/2))/(LN(2)/2)*BL95*BO95*VLOOKUP('Données projet'!$B$11,'Paramètres'!$A$1:$I$88,3,0)*0.475*44/12</f>
        <v>0</v>
      </c>
      <c r="BS95" s="163">
        <f t="shared" si="10"/>
        <v>0</v>
      </c>
      <c r="BT95" s="159">
        <f>('Scénario référence'!$F$8+'Scénario référence'!$F$9+'Scénario référence'!$B$17+'Scénario référence'!$B$9+'Scénario référence'!$B$10)*70+IF((45+25*(1-EXP(-0.0175*A95)))&lt;70,'Scénario référence'!$B$16*(45+25*(1-EXP(-0.0175*A95))),70*'Scénario référence'!$B$16)+IF((32+38*(1-EXP(-0.0175*A95)))&lt;70,'Scénario référence'!$B$18*(32+38*(1-EXP(-0.0175*A95))),70*'Scénario référence'!$B$18)</f>
        <v>70</v>
      </c>
      <c r="BU95" s="151">
        <f>IF(A95&gt;30,10,('Scénario référence'!$B$16+'Scénario référence'!$B$17+'Scénario référence'!$B$18+'Scénario référence'!$B$9+'Scénario référence'!$B$10)*A95*10/30+('Scénario référence'!$F$8+'Scénario référence'!$F$9)*10)</f>
        <v>10</v>
      </c>
      <c r="BV95" s="151" t="str">
        <f>VLOOKUP(A95,'Données projet'!$A$113:$I$133,2,0)</f>
        <v>#N/A</v>
      </c>
      <c r="BW95" s="151" t="str">
        <f>VLOOKUP(A95,'Données projet'!$A$113:$I$133,9,0)</f>
        <v>#N/A</v>
      </c>
      <c r="BX95" s="150" t="str">
        <f t="array" ref="BX95">INDEX(BW:BW,MIN(IF(ISNUMBER(BW95:BW291),ROW(BW95:BW291),"")))</f>
        <v/>
      </c>
      <c r="BY95" s="150">
        <f>IF('Données projet'!$A$114&gt;35,BY94+BX95-CG94,IF(A95&lt;'Données projet'!$A$114,$BV$205^A95,IF(A95='Données projet'!$A$114,'Données projet'!$B$114,BY94+BX95-CG94)))</f>
        <v>0</v>
      </c>
      <c r="BZ95" s="150" t="str">
        <f>BY95*VLOOKUP('Données projet'!$B$12,'Paramètres'!$A$1:$I$88,3,0)*VLOOKUP('Données projet'!$B$12,'Paramètres'!$A$1:$I$88,5,0)</f>
        <v>#N/A</v>
      </c>
      <c r="CA95" s="150" t="str">
        <f t="shared" si="40"/>
        <v>#N/A</v>
      </c>
      <c r="CB95" s="161" t="str">
        <f t="shared" si="11"/>
        <v>#N/A</v>
      </c>
      <c r="CC95" s="153" t="str">
        <f t="shared" si="12"/>
        <v>#N/A</v>
      </c>
      <c r="CD95" s="153" t="str">
        <f>AVERAGE(OFFSET($CC$3,0,0,'Données projet'!$E$12+1,1))-AVERAGE(OFFSET($H$3,0,0,'Données projet'!$E$12+1,1))</f>
        <v>#N/A</v>
      </c>
      <c r="CE95" s="153" t="str">
        <f t="shared" si="41"/>
        <v>#N/A</v>
      </c>
      <c r="CF95" s="154">
        <f>IF(ISNA(VLOOKUP(A95,'Données projet'!$A$113:$I$133,3,0)),0,VLOOKUP(A95,'Données projet'!$A$113:$I$133,3,0))</f>
        <v>0</v>
      </c>
      <c r="CG95" s="154">
        <f>IF(ISNA(VLOOKUP(A95,'Données projet'!$A$113:$I$133,4,0)),0,VLOOKUP(A95,'Données projet'!$A$113:$I$133,4,0))</f>
        <v>0</v>
      </c>
      <c r="CH95" s="155">
        <f>IF(ISNA(VLOOKUP(A95,'Données projet'!$A$113:$I$133,5,0)),0%,VLOOKUP(A95,'Données projet'!$A$113:$I$133,5,0)*VLOOKUP('Données projet'!$B$12,'Paramètres'!$A$1:$I$88,7,0))</f>
        <v>0</v>
      </c>
      <c r="CI95" s="155">
        <f>IF(ISNA(VLOOKUP(A95,'Données projet'!$A$113:$I$133,6,0)),0%,VLOOKUP(A95,'Données projet'!$A$113:$I$133,6,0)*VLOOKUP('Données projet'!$B$12,'Paramètres'!$A$1:$I$88,7,0))</f>
        <v>0</v>
      </c>
      <c r="CJ95" s="155">
        <f>IF(ISNA(VLOOKUP(A95,'Données projet'!$A$113:$I$133,7,0)),0%,VLOOKUP(A95,'Données projet'!$A$113:$I$133,7,0))</f>
        <v>0</v>
      </c>
      <c r="CK95" s="162" t="str">
        <f>EXP(-LN(2)/35)*CK94+(1-EXP(-LN(2)/35))/(LN(2)/35)*CG95*CH95*VLOOKUP('Données projet'!$B$12,'Paramètres'!$A$1:$I$88,3,0)*0.475*44/12</f>
        <v>#N/A</v>
      </c>
      <c r="CL95" s="162" t="str">
        <f>EXP(-LN(2)/25)*CL94+(1-EXP(-LN(2)/25))/(LN(2)/25)*Calculateur!CG95*Calculateur!CI95*VLOOKUP('Données projet'!$B$12,'Paramètres'!$A$1:$I$88,3,0)*0.475*44/12</f>
        <v>#N/A</v>
      </c>
      <c r="CM95" s="162" t="str">
        <f>EXP(-LN(2)/2)*CM94+(1-EXP(-LN(2)/2))/(LN(2)/2)*CG95*CJ95*VLOOKUP('Données projet'!$B$12,'Paramètres'!$A$1:$I$88,3,0)*0.475*44/12</f>
        <v>#N/A</v>
      </c>
      <c r="CN95" s="163" t="str">
        <f t="shared" si="13"/>
        <v>#N/A</v>
      </c>
      <c r="CO95" s="159">
        <f>('Scénario référence'!$F$8+'Scénario référence'!$F$9+'Scénario référence'!$B$17+'Scénario référence'!$B$9+'Scénario référence'!$B$10)*70+IF((45+25*(1-EXP(-0.0175*A95)))&lt;70,'Scénario référence'!$B$16*(45+25*(1-EXP(-0.0175*A95))),70*'Scénario référence'!$B$16)+IF((32+38*(1-EXP(-0.0175*A95)))&lt;70,'Scénario référence'!$B$18*(32+38*(1-EXP(-0.0175*A95))),70*'Scénario référence'!$B$18)</f>
        <v>70</v>
      </c>
      <c r="CP95" s="151">
        <f>IF(A95&gt;30,10,('Scénario référence'!$B$16+'Scénario référence'!$B$17+'Scénario référence'!$B$18+'Scénario référence'!$B$9+'Scénario référence'!$B$10)*A95*10/30+('Scénario référence'!$F$8+'Scénario référence'!$F$9)*10)</f>
        <v>10</v>
      </c>
      <c r="CQ95" s="151" t="str">
        <f>VLOOKUP(A95,'Données projet'!$A$139:$I$159,2,0)</f>
        <v>#N/A</v>
      </c>
      <c r="CR95" s="151" t="str">
        <f>VLOOKUP(A95,'Données projet'!$A$139:$I$159,9,0)</f>
        <v>#N/A</v>
      </c>
      <c r="CS95" s="151" t="str">
        <f t="array" ref="CS95">INDEX(CR:CR,MIN(IF(ISNUMBER(CR95:CR291),ROW(CR95:CR291),"")))</f>
        <v/>
      </c>
      <c r="CT95" s="151">
        <f>IF('Données projet'!$A$140&gt;35,CT94+CS95-DB94,IF(A95&lt;'Données projet'!$A$140,$CQ$205^A95,IF(A95='Données projet'!$A$140,'Données projet'!$B$140,CT94+CS95-DB94)))</f>
        <v>0</v>
      </c>
      <c r="CU95" s="158" t="str">
        <f>CT95*VLOOKUP('Données projet'!$B$13,'Paramètres'!$A$1:$I$88,3,0)*VLOOKUP('Données projet'!$B$13,'Paramètres'!$A$1:$I$88,5,0)</f>
        <v>#N/A</v>
      </c>
      <c r="CV95" s="150" t="str">
        <f t="shared" si="42"/>
        <v>#N/A</v>
      </c>
      <c r="CW95" s="161" t="str">
        <f t="shared" si="14"/>
        <v>#N/A</v>
      </c>
      <c r="CX95" s="153" t="str">
        <f t="shared" si="15"/>
        <v>#N/A</v>
      </c>
      <c r="CY95" s="153" t="str">
        <f>AVERAGE(OFFSET($CX$3,0,0,'Données projet'!$E$13+1,1))-AVERAGE(OFFSET($H$3,0,0,'Données projet'!$E$13+1,1))</f>
        <v>#N/A</v>
      </c>
      <c r="CZ95" s="153" t="str">
        <f t="shared" si="43"/>
        <v>#N/A</v>
      </c>
      <c r="DA95" s="154">
        <f>IF(ISNA(VLOOKUP(A95,'Données projet'!$A$139:$I$159,3,0)),0,VLOOKUP(A95,'Données projet'!$A$139:$I$159,3,0))</f>
        <v>0</v>
      </c>
      <c r="DB95" s="154">
        <f>IF(ISNA(VLOOKUP(A95,'Données projet'!$A$139:$I$159,4,0)),0,VLOOKUP(A95,'Données projet'!$A$139:$I$159,4,0))</f>
        <v>0</v>
      </c>
      <c r="DC95" s="155">
        <f>IF(ISNA(VLOOKUP(A95,'Données projet'!$A$139:$I$159,5,0)),0%,VLOOKUP(A95,'Données projet'!$A$139:$I$159,5,0)*VLOOKUP('Données projet'!$B$13,'Paramètres'!$A$1:$I$88,7,0))</f>
        <v>0</v>
      </c>
      <c r="DD95" s="155">
        <f>IF(ISNA(VLOOKUP(A95,'Données projet'!$A$139:$I$159,6,0)),0%,VLOOKUP(A95,'Données projet'!$A$139:$I$159,6,0)*VLOOKUP('Données projet'!$B$13,'Paramètres'!$A$1:$I$88,7,0))</f>
        <v>0</v>
      </c>
      <c r="DE95" s="155">
        <f>IF(ISNA(VLOOKUP(A95,'Données projet'!$A$139:$I$159,7,0)),0%,VLOOKUP(A95,'Données projet'!$A$139:$I$159,7,0))</f>
        <v>0</v>
      </c>
      <c r="DF95" s="162" t="str">
        <f>EXP(-LN(2)/35)*DF94+(1-EXP(-LN(2)/35))/(LN(2)/35)*DB95*DC95*VLOOKUP('Données projet'!$B$13,'Paramètres'!$A$1:$I$88,3,0)*0.475*44/12</f>
        <v>#N/A</v>
      </c>
      <c r="DG95" s="162" t="str">
        <f>EXP(-LN(2)/25)*DG94+(1-EXP(-LN(2)/25))/(LN(2)/25)*Calculateur!DB95*Calculateur!DD95*VLOOKUP('Données projet'!$B$13,'Paramètres'!$A$1:$I$88,3,0)*0.475*44/12</f>
        <v>#N/A</v>
      </c>
      <c r="DH95" s="162" t="str">
        <f>EXP(-LN(2)/2)*DH94+(1-EXP(-LN(2)/2))/(LN(2)/2)*DB95*DE95*VLOOKUP('Données projet'!$B$13,'Paramètres'!$A$1:$I$88,3,0)*0.475*44/12</f>
        <v>#N/A</v>
      </c>
      <c r="DI95" s="163" t="str">
        <f t="shared" si="16"/>
        <v>#N/A</v>
      </c>
      <c r="DJ95" s="159">
        <f>('Scénario référence'!$F$8+'Scénario référence'!$F$9+'Scénario référence'!$B$17+'Scénario référence'!$B$9+'Scénario référence'!$B$10)*70+IF((45+25*(1-EXP(-0.0175*A95)))&lt;70,'Scénario référence'!$B$16*(45+25*(1-EXP(-0.0175*A95))),70*'Scénario référence'!$B$16)+IF((32+38*(1-EXP(-0.0175*A95)))&lt;70,'Scénario référence'!$B$18*(32+38*(1-EXP(-0.0175*A95))),70*'Scénario référence'!$B$18)</f>
        <v>70</v>
      </c>
      <c r="DK95" s="151">
        <f>IF(A95&gt;30,10,('Scénario référence'!$B$16+'Scénario référence'!$B$17+'Scénario référence'!$B$18+'Scénario référence'!$B$9+'Scénario référence'!$B$10)*A95*10/30+('Scénario référence'!$F$8+'Scénario référence'!$F$9)*10)</f>
        <v>10</v>
      </c>
      <c r="DL95" s="151" t="str">
        <f>VLOOKUP(A95,'Données projet'!$A$165:$I$185,2,0)</f>
        <v>#N/A</v>
      </c>
      <c r="DM95" s="151" t="str">
        <f>VLOOKUP(A95,'Données projet'!$A$165:$I$185,9,0)</f>
        <v>#N/A</v>
      </c>
      <c r="DN95" s="151" t="str">
        <f t="array" ref="DN95">INDEX(DM:DM,MIN(IF(ISNUMBER(DM95:DM291),ROW(DM95:DM291),"")))</f>
        <v/>
      </c>
      <c r="DO95" s="151">
        <f>IF('Données projet'!$A$166&gt;35,DO94+DN95-DW94,IF(A95&lt;'Données projet'!$A$166,$DL$205^A95,IF(A95='Données projet'!$A$166,'Données projet'!$B$166,DO94+DN95-DW94)))</f>
        <v>0</v>
      </c>
      <c r="DP95" s="158" t="str">
        <f>DO95*VLOOKUP('Données projet'!$B$14,'Paramètres'!$A$1:$I$88,3,0)*VLOOKUP('Données projet'!$B$14,'Paramètres'!$A$1:$I$88,5,0)</f>
        <v>#N/A</v>
      </c>
      <c r="DQ95" s="150" t="str">
        <f t="shared" si="44"/>
        <v>#N/A</v>
      </c>
      <c r="DR95" s="161" t="str">
        <f t="shared" si="17"/>
        <v>#N/A</v>
      </c>
      <c r="DS95" s="153" t="str">
        <f t="shared" si="18"/>
        <v>#N/A</v>
      </c>
      <c r="DT95" s="153" t="str">
        <f>AVERAGE(OFFSET($DS$3,0,0,'Données projet'!$E$14+1,1))-AVERAGE(OFFSET($H$3,0,0,'Données projet'!$E$14+1,1))</f>
        <v>#N/A</v>
      </c>
      <c r="DU95" s="153" t="str">
        <f t="shared" si="45"/>
        <v>#N/A</v>
      </c>
      <c r="DV95" s="154">
        <f>IF(ISNA(VLOOKUP(A95,'Données projet'!$A$165:$I$185,3,0)),0,VLOOKUP(A95,'Données projet'!$A$165:$I$185,3,0))</f>
        <v>0</v>
      </c>
      <c r="DW95" s="154">
        <f>IF(ISNA(VLOOKUP(A95,'Données projet'!$A$165:$I$185,4,0)),0,VLOOKUP(A95,'Données projet'!$A$165:$I$185,4,0))</f>
        <v>0</v>
      </c>
      <c r="DX95" s="155">
        <f>IF(ISNA(VLOOKUP(A95,'Données projet'!$A$165:$I$185,5,0)),0%,VLOOKUP(A95,'Données projet'!$A$165:$I$185,5,0)*VLOOKUP('Données projet'!$B$14,'Paramètres'!$A$1:$I$88,7,0))</f>
        <v>0</v>
      </c>
      <c r="DY95" s="155">
        <f>IF(ISNA(VLOOKUP(A95,'Données projet'!$A$165:$I$185,6,0)),0%,VLOOKUP(A95,'Données projet'!$A$165:$I$185,6,0)*VLOOKUP('Données projet'!$B$14,'Paramètres'!$A$1:$I$88,7,0))</f>
        <v>0</v>
      </c>
      <c r="DZ95" s="155">
        <f>IF(ISNA(VLOOKUP(A95,'Données projet'!$A$165:$I$185,7,0)),0%,VLOOKUP(A95,'Données projet'!$A$165:$I$185,7,0))</f>
        <v>0</v>
      </c>
      <c r="EA95" s="162" t="str">
        <f>EXP(-LN(2)/35)*EA94+(1-EXP(-LN(2)/35))/(LN(2)/35)*DW95*DX95*VLOOKUP('Données projet'!$B$14,'Paramètres'!$A$1:$I$88,3,0)*0.475*44/12</f>
        <v>#N/A</v>
      </c>
      <c r="EB95" s="162" t="str">
        <f>EXP(-LN(2)/25)*EB94+(1-EXP(-LN(2)/25))/(LN(2)/25)*Calculateur!DW95*Calculateur!DY95*VLOOKUP('Données projet'!$B$14,'Paramètres'!$A$1:$I$88,3,0)*0.475*44/12</f>
        <v>#N/A</v>
      </c>
      <c r="EC95" s="162" t="str">
        <f>EXP(-LN(2)/2)*EC94+(1-EXP(-LN(2)/2))/(LN(2)/2)*DW95*DZ95*VLOOKUP('Données projet'!$B$14,'Paramètres'!$A$1:$I$88,3,0)*0.475*44/12</f>
        <v>#N/A</v>
      </c>
      <c r="ED95" s="163" t="str">
        <f t="shared" si="19"/>
        <v>#N/A</v>
      </c>
      <c r="EE95" s="159">
        <f>('Scénario référence'!$F$8+'Scénario référence'!$F$9+'Scénario référence'!$B$17+'Scénario référence'!$B$9+'Scénario référence'!$B$10)*70+IF((45+25*(1-EXP(-0.0175*A95)))&lt;70,'Scénario référence'!$B$16*(45+25*(1-EXP(-0.0175*A95))),70*'Scénario référence'!$B$16)+IF((32+38*(1-EXP(-0.0175*A95)))&lt;70,'Scénario référence'!$B$18*(32+38*(1-EXP(-0.0175*A95))),70*'Scénario référence'!$B$18)</f>
        <v>70</v>
      </c>
      <c r="EF95" s="151">
        <f>IF(A95&gt;30,10,('Scénario référence'!$B$16+'Scénario référence'!$B$17+'Scénario référence'!$B$18+'Scénario référence'!$B$9+'Scénario référence'!$B$10)*A95*10/30+('Scénario référence'!$F$8+'Scénario référence'!$F$9)*10)</f>
        <v>10</v>
      </c>
      <c r="EG95" s="151" t="str">
        <f>VLOOKUP(A95,'Données projet'!$A$191:$I$211,2,0)</f>
        <v>#N/A</v>
      </c>
      <c r="EH95" s="151" t="str">
        <f>VLOOKUP(A95,'Données projet'!$A$191:$I$211,9,0)</f>
        <v>#N/A</v>
      </c>
      <c r="EI95" s="151" t="str">
        <f t="array" ref="EI95">INDEX(EH:EH,MIN(IF(ISNUMBER(EH95:EH291),ROW(EH95:EH291),"")))</f>
        <v/>
      </c>
      <c r="EJ95" s="151">
        <f>IF('Données projet'!$A$192&gt;35,EJ94+EI95-ER94,IF(A95&lt;'Données projet'!$A$192,$EG$205^A95,IF(A95='Données projet'!$A$192,'Données projet'!$B$192,EJ94+EI95-ER94)))</f>
        <v>0</v>
      </c>
      <c r="EK95" s="158" t="str">
        <f>EJ95*VLOOKUP('Données projet'!$B$15,'Paramètres'!$A$1:$I$88,3,0)*VLOOKUP('Données projet'!$B$15,'Paramètres'!$A$1:$I$88,5,0)</f>
        <v>#N/A</v>
      </c>
      <c r="EL95" s="150" t="str">
        <f t="shared" si="46"/>
        <v>#N/A</v>
      </c>
      <c r="EM95" s="161" t="str">
        <f t="shared" si="20"/>
        <v>#N/A</v>
      </c>
      <c r="EN95" s="153" t="str">
        <f t="shared" si="21"/>
        <v>#N/A</v>
      </c>
      <c r="EO95" s="153" t="str">
        <f>AVERAGE(OFFSET($EN$3,0,0,'Données projet'!$E$15+1,1))-AVERAGE(OFFSET($H$3,0,0,'Données projet'!$E$15+1,1))</f>
        <v>#N/A</v>
      </c>
      <c r="EP95" s="153" t="str">
        <f t="shared" si="47"/>
        <v>#N/A</v>
      </c>
      <c r="EQ95" s="154">
        <f>IF(ISNA(VLOOKUP(A95,'Données projet'!$A$191:$I$211,3,0)),0,VLOOKUP(A95,'Données projet'!$A$191:$I$211,3,0))</f>
        <v>0</v>
      </c>
      <c r="ER95" s="154">
        <f>IF(ISNA(VLOOKUP(A95,'Données projet'!$A$191:$I$211,4,0)),0,VLOOKUP(A95,'Données projet'!$A$191:$I$211,4,0))</f>
        <v>0</v>
      </c>
      <c r="ES95" s="155">
        <f>IF(ISNA(VLOOKUP(A95,'Données projet'!$A$191:$I$211,5,0)),0%,VLOOKUP(A95,'Données projet'!$A$191:$I$211,5,0)*VLOOKUP('Données projet'!$B$15,'Paramètres'!$A$1:$I$88,7,0))</f>
        <v>0</v>
      </c>
      <c r="ET95" s="155">
        <f>IF(ISNA(VLOOKUP(A95,'Données projet'!$A$191:$I$211,6,0)),0%,VLOOKUP(A95,'Données projet'!$A$191:$I$211,6,0)*VLOOKUP('Données projet'!$B$15,'Paramètres'!$A$1:$I$88,7,0))</f>
        <v>0</v>
      </c>
      <c r="EU95" s="155">
        <f>IF(ISNA(VLOOKUP(A95,'Données projet'!$A$191:$I$211,7,0)),0%,VLOOKUP(A95,'Données projet'!$A$191:$I$211,7,0))</f>
        <v>0</v>
      </c>
      <c r="EV95" s="162" t="str">
        <f>EXP(-LN(2)/35)*EV94+(1-EXP(-LN(2)/35))/(LN(2)/35)*ER95*ES95*VLOOKUP('Données projet'!$B$15,'Paramètres'!$A$1:$I$88,3,0)*0.475*44/12</f>
        <v>#N/A</v>
      </c>
      <c r="EW95" s="162" t="str">
        <f>EXP(-LN(2)/25)*EW94+(1-EXP(-LN(2)/25))/(LN(2)/25)*Calculateur!ER95*Calculateur!ET95*VLOOKUP('Données projet'!$B$15,'Paramètres'!$A$1:$I$88,3,0)*0.475*44/12</f>
        <v>#N/A</v>
      </c>
      <c r="EX95" s="162" t="str">
        <f>EXP(-LN(2)/2)*EX94+(1-EXP(-LN(2)/2))/(LN(2)/2)*ER95*EU95*VLOOKUP('Données projet'!$B$15,'Paramètres'!$A$1:$I$88,3,0)*0.475*44/12</f>
        <v>#N/A</v>
      </c>
      <c r="EY95" s="163" t="str">
        <f t="shared" si="22"/>
        <v>#N/A</v>
      </c>
      <c r="EZ95" s="159">
        <f>('Scénario référence'!$F$8+'Scénario référence'!$F$9+'Scénario référence'!$B$17+'Scénario référence'!$B$9+'Scénario référence'!$B$10)*70+IF((45+25*(1-EXP(-0.0175*A95)))&lt;70,'Scénario référence'!$B$16*(45+25*(1-EXP(-0.0175*A95))),70*'Scénario référence'!$B$16)+IF((32+38*(1-EXP(-0.0175*A95)))&lt;70,'Scénario référence'!$B$18*(32+38*(1-EXP(-0.0175*A95))),70*'Scénario référence'!$B$18)</f>
        <v>70</v>
      </c>
      <c r="FA95" s="151">
        <f>IF(A95&gt;30,10,('Scénario référence'!$B$16+'Scénario référence'!$B$17+'Scénario référence'!$B$18+'Scénario référence'!$B$9+'Scénario référence'!$B$10)*A95*10/30+('Scénario référence'!$F$8+'Scénario référence'!$F$9)*10)</f>
        <v>10</v>
      </c>
      <c r="FB95" s="151" t="str">
        <f>VLOOKUP(A95,'Données projet'!$A$217:$I$237,2,0)</f>
        <v>#N/A</v>
      </c>
      <c r="FC95" s="151" t="str">
        <f>VLOOKUP(A95,'Données projet'!$A$217:$I$237,9,0)</f>
        <v>#N/A</v>
      </c>
      <c r="FD95" s="151" t="str">
        <f t="array" ref="FD95">INDEX(FC:FC,MIN(IF(ISNUMBER(FC95:FC291),ROW(FC95:FC291),"")))</f>
        <v/>
      </c>
      <c r="FE95" s="151">
        <f>IF('Données projet'!$A$218&gt;35,FE94+FD95-FM94,IF(A95&lt;'Données projet'!$A$218,$FB$205^A95,IF(A95='Données projet'!$A$218,'Données projet'!$B$218,FE94+FD95-FM94)))</f>
        <v>0</v>
      </c>
      <c r="FF95" s="158" t="str">
        <f>FE95*VLOOKUP('Données projet'!$B$16,'Paramètres'!$A$1:$I$88,3,0)*VLOOKUP('Données projet'!$B$16,'Paramètres'!$A$1:$I$88,5,0)</f>
        <v>#N/A</v>
      </c>
      <c r="FG95" s="150" t="str">
        <f t="shared" si="48"/>
        <v>#N/A</v>
      </c>
      <c r="FH95" s="161" t="str">
        <f t="shared" si="23"/>
        <v>#N/A</v>
      </c>
      <c r="FI95" s="153" t="str">
        <f t="shared" si="24"/>
        <v>#N/A</v>
      </c>
      <c r="FJ95" s="153" t="str">
        <f>AVERAGE(OFFSET($FI$3,0,0,'Données projet'!$E$16+1,1))-AVERAGE(OFFSET($H$3,0,0,'Données projet'!$E$16+1,1))</f>
        <v>#N/A</v>
      </c>
      <c r="FK95" s="153" t="str">
        <f t="shared" si="49"/>
        <v>#N/A</v>
      </c>
      <c r="FL95" s="154">
        <f>IF(ISNA(VLOOKUP(A95,'Données projet'!$A$217:$I$237,3,0)),0,VLOOKUP(A95,'Données projet'!$A$217:$I$237,3,0))</f>
        <v>0</v>
      </c>
      <c r="FM95" s="154">
        <f>IF(ISNA(VLOOKUP(A95,'Données projet'!$A$217:$I$237,4,0)),0,VLOOKUP(A95,'Données projet'!$A$217:$I$237,4,0))</f>
        <v>0</v>
      </c>
      <c r="FN95" s="155">
        <f>IF(ISNA(VLOOKUP(A95,'Données projet'!$A$217:$I$237,5,0)),0%,VLOOKUP(A95,'Données projet'!$A$217:$I$237,5,0)*VLOOKUP('Données projet'!$B$16,'Paramètres'!$A$1:$I$88,7,0))</f>
        <v>0</v>
      </c>
      <c r="FO95" s="155">
        <f>IF(ISNA(VLOOKUP(A95,'Données projet'!$A$217:$I$237,6,0)),0%,VLOOKUP(A95,'Données projet'!$A$217:$I$237,6,0)*VLOOKUP('Données projet'!$B$16,'Paramètres'!$A$1:$I$88,7,0))</f>
        <v>0</v>
      </c>
      <c r="FP95" s="155">
        <f>IF(ISNA(VLOOKUP(A95,'Données projet'!$A$217:$I$237,7,0)),0%,VLOOKUP(A95,'Données projet'!$A$217:$I$237,7,0))</f>
        <v>0</v>
      </c>
      <c r="FQ95" s="162" t="str">
        <f>EXP(-LN(2)/35)*FQ94+(1-EXP(-LN(2)/35))/(LN(2)/35)*FM95*FN95*VLOOKUP('Données projet'!$B$16,'Paramètres'!$A$1:$I$88,3,0)*0.475*44/12</f>
        <v>#N/A</v>
      </c>
      <c r="FR95" s="162" t="str">
        <f>EXP(-LN(2)/25)*FR94+(1-EXP(-LN(2)/25))/(LN(2)/25)*Calculateur!FM95*Calculateur!FO95*VLOOKUP('Données projet'!$B$16,'Paramètres'!$A$1:$I$88,3,0)*0.475*44/12</f>
        <v>#N/A</v>
      </c>
      <c r="FS95" s="162" t="str">
        <f>EXP(-LN(2)/2)*FS94+(1-EXP(-LN(2)/2))/(LN(2)/2)*FM95*FP95*VLOOKUP('Données projet'!$B$16,'Paramètres'!$A$1:$I$88,3,0)*0.475*44/12</f>
        <v>#N/A</v>
      </c>
      <c r="FT95" s="163" t="str">
        <f t="shared" si="25"/>
        <v>#N/A</v>
      </c>
      <c r="FU95" s="159">
        <f>('Scénario référence'!$F$8+'Scénario référence'!$F$9+'Scénario référence'!$B$17+'Scénario référence'!$B$9+'Scénario référence'!$B$10)*70+IF((45+25*(1-EXP(-0.0175*A95)))&lt;70,'Scénario référence'!$B$16*(45+25*(1-EXP(-0.0175*A95))),70*'Scénario référence'!$B$16)+IF((32+38*(1-EXP(-0.0175*A95)))&lt;70,'Scénario référence'!$B$18*(32+38*(1-EXP(-0.0175*A95))),70*'Scénario référence'!$B$18)</f>
        <v>70</v>
      </c>
      <c r="FV95" s="151">
        <f>IF(A95&gt;30,10,('Scénario référence'!$B$16+'Scénario référence'!$B$17+'Scénario référence'!$B$18+'Scénario référence'!$B$9+'Scénario référence'!$B$10)*A95*10/30+('Scénario référence'!$F$8+'Scénario référence'!$F$9)*10)</f>
        <v>10</v>
      </c>
      <c r="FW95" s="151" t="str">
        <f>VLOOKUP(A95,'Données projet'!$A$243:$I$263,2,0)</f>
        <v>#N/A</v>
      </c>
      <c r="FX95" s="151" t="str">
        <f>VLOOKUP(A95,'Données projet'!$A$243:$I$263,9,0)</f>
        <v>#N/A</v>
      </c>
      <c r="FY95" s="151" t="str">
        <f t="array" ref="FY95">INDEX(FX:FX,MIN(IF(ISNUMBER(FX95:FX291),ROW(FX95:FX291),"")))</f>
        <v/>
      </c>
      <c r="FZ95" s="151">
        <f>IF('Données projet'!$A$244&gt;35,FZ94+FY95-GH94,IF(A95&lt;'Données projet'!$A$244,$FW$205^A95,IF(A95='Données projet'!$A$244,'Données projet'!$B$244,FZ94+FY95-GH94)))</f>
        <v>0</v>
      </c>
      <c r="GA95" s="158" t="str">
        <f>FZ95*VLOOKUP('Données projet'!$B$17,'Paramètres'!$A$1:$I$88,3,0)*VLOOKUP('Données projet'!$B$17,'Paramètres'!$A$1:$I$88,5,0)</f>
        <v>#N/A</v>
      </c>
      <c r="GB95" s="150" t="str">
        <f t="shared" si="50"/>
        <v>#N/A</v>
      </c>
      <c r="GC95" s="161" t="str">
        <f t="shared" si="26"/>
        <v>#N/A</v>
      </c>
      <c r="GD95" s="153" t="str">
        <f t="shared" si="27"/>
        <v>#N/A</v>
      </c>
      <c r="GE95" s="153" t="str">
        <f>AVERAGE(OFFSET($GD$3,0,0,'Données projet'!$E$17+1,1))-AVERAGE(OFFSET($H$3,0,0,'Données projet'!$E$17+1,1))</f>
        <v>#N/A</v>
      </c>
      <c r="GF95" s="153" t="str">
        <f t="shared" si="51"/>
        <v>#N/A</v>
      </c>
      <c r="GG95" s="154">
        <f>IF(ISNA(VLOOKUP(A95,'Données projet'!$A$243:$I$263,3,0)),0,VLOOKUP(A95,'Données projet'!$A$243:$I$263,3,0))</f>
        <v>0</v>
      </c>
      <c r="GH95" s="154">
        <f>IF(ISNA(VLOOKUP(A95,'Données projet'!$A$243:$I$263,4,0)),0,VLOOKUP(A95,'Données projet'!$A$243:$I$263,4,0))</f>
        <v>0</v>
      </c>
      <c r="GI95" s="155">
        <f>IF(ISNA(VLOOKUP(A95,'Données projet'!$A$243:$I$263,5,0)),0%,VLOOKUP(A95,'Données projet'!$A$243:$I$263,5,0)*VLOOKUP('Données projet'!$B$17,'Paramètres'!$A$1:$I$88,7,0))</f>
        <v>0</v>
      </c>
      <c r="GJ95" s="155">
        <f>IF(ISNA(VLOOKUP(A95,'Données projet'!$A$243:$I$263,6,0)),0%,VLOOKUP(A95,'Données projet'!$A$243:$I$263,6,0)*VLOOKUP('Données projet'!$B$17,'Paramètres'!$A$1:$I$88,7,0))</f>
        <v>0</v>
      </c>
      <c r="GK95" s="155">
        <f>IF(ISNA(VLOOKUP(A95,'Données projet'!$A$243:$I$263,7,0)),0%,VLOOKUP(A95,'Données projet'!$A$243:$I$263,7,0))</f>
        <v>0</v>
      </c>
      <c r="GL95" s="162" t="str">
        <f>EXP(-LN(2)/35)*GL94+(1-EXP(-LN(2)/35))/(LN(2)/35)*GH95*GI95*VLOOKUP('Données projet'!$B$17,'Paramètres'!$A$1:$I$88,3,0)*0.475*44/12</f>
        <v>#N/A</v>
      </c>
      <c r="GM95" s="162" t="str">
        <f>EXP(-LN(2)/25)*GM94+(1-EXP(-LN(2)/25))/(LN(2)/25)*Calculateur!GH95*Calculateur!GJ95*VLOOKUP('Données projet'!$B$17,'Paramètres'!$A$1:$I$88,3,0)*0.475*44/12</f>
        <v>#N/A</v>
      </c>
      <c r="GN95" s="162" t="str">
        <f>EXP(-LN(2)/2)*GN94+(1-EXP(-LN(2)/2))/(LN(2)/2)*GH95*GK95*VLOOKUP('Données projet'!$B$17,'Paramètres'!$A$1:$I$88,3,0)*0.475*44/12</f>
        <v>#N/A</v>
      </c>
      <c r="GO95" s="162" t="str">
        <f t="shared" si="28"/>
        <v>#N/A</v>
      </c>
      <c r="GP95" s="159">
        <f>('Scénario référence'!$F$8+'Scénario référence'!$F$9+'Scénario référence'!$B$17+'Scénario référence'!$B$9+'Scénario référence'!$B$10)*70+IF((45+25*(1-EXP(-0.0175*A95)))&lt;70,'Scénario référence'!$B$16*(45+25*(1-EXP(-0.0175*A95))),70*'Scénario référence'!$B$16)+IF((32+38*(1-EXP(-0.0175*A95)))&lt;70,'Scénario référence'!$B$18*(32+38*(1-EXP(-0.0175*A95))),70*'Scénario référence'!$B$18)</f>
        <v>70</v>
      </c>
      <c r="GQ95" s="151">
        <f>IF(A95&gt;30,10,('Scénario référence'!$B$16+'Scénario référence'!$B$17+'Scénario référence'!$B$18+'Scénario référence'!$B$9+'Scénario référence'!$B$10)*A95*10/30+('Scénario référence'!$F$8+'Scénario référence'!$F$9)*10)</f>
        <v>10</v>
      </c>
      <c r="GR95" s="151" t="str">
        <f>VLOOKUP(A95,'Données projet'!$A$269:$I$289,2,0)</f>
        <v>#N/A</v>
      </c>
      <c r="GS95" s="151" t="str">
        <f>VLOOKUP(A95,'Données projet'!$A$269:$I$289,9,0)</f>
        <v>#N/A</v>
      </c>
      <c r="GT95" s="151" t="str">
        <f t="array" ref="GT95">INDEX(GS:GS,MIN(IF(ISNUMBER(GS95:GS291),ROW(GS95:GS291),"")))</f>
        <v/>
      </c>
      <c r="GU95" s="151">
        <f>IF('Données projet'!$A$270&gt;35,GU94+GT95-HC94,IF(A95&lt;'Données projet'!$A$270,$GR$205^A95,IF(A95='Données projet'!$A$270,'Données projet'!$B$270,GU94+GT95-HC94)))</f>
        <v>0</v>
      </c>
      <c r="GV95" s="158" t="str">
        <f>GU95*VLOOKUP('Données projet'!$B$18,'Paramètres'!$A$1:$I$88,3,0)*VLOOKUP('Données projet'!$B$18,'Paramètres'!$A$1:$I$88,5,0)</f>
        <v>#N/A</v>
      </c>
      <c r="GW95" s="150" t="str">
        <f t="shared" si="52"/>
        <v>#N/A</v>
      </c>
      <c r="GX95" s="161" t="str">
        <f t="shared" si="29"/>
        <v>#N/A</v>
      </c>
      <c r="GY95" s="153" t="str">
        <f t="shared" si="30"/>
        <v>#N/A</v>
      </c>
      <c r="GZ95" s="153" t="str">
        <f>AVERAGE(OFFSET($GY$3,0,0,'Données projet'!$E$18+1,1))-AVERAGE(OFFSET($H$3,0,0,'Données projet'!$E$18+1,1))</f>
        <v>#N/A</v>
      </c>
      <c r="HA95" s="153" t="str">
        <f t="shared" si="53"/>
        <v>#N/A</v>
      </c>
      <c r="HB95" s="154">
        <f>IF(ISNA(VLOOKUP(A95,'Données projet'!$A$269:$I$289,3,0)),0,VLOOKUP(A95,'Données projet'!$A$269:$I$289,3,0))</f>
        <v>0</v>
      </c>
      <c r="HC95" s="154">
        <f>IF(ISNA(VLOOKUP(A95,'Données projet'!$A$269:$I$289,4,0)),0,VLOOKUP(A95,'Données projet'!$A$269:$I$289,4,0))</f>
        <v>0</v>
      </c>
      <c r="HD95" s="155">
        <f>IF(ISNA(VLOOKUP(A95,'Données projet'!$A$269:$I$289,5,0)),0%,VLOOKUP(A95,'Données projet'!$A$269:$I$289,5,0)*VLOOKUP('Données projet'!$B$18,'Paramètres'!$A$1:$I$88,7,0))</f>
        <v>0</v>
      </c>
      <c r="HE95" s="155">
        <f>IF(ISNA(VLOOKUP(A95,'Données projet'!$A$269:$I$289,6,0)),0%,VLOOKUP(A95,'Données projet'!$A$269:$I$289,6,0)*VLOOKUP('Données projet'!$B$18,'Paramètres'!$A$1:$I$88,7,0))</f>
        <v>0</v>
      </c>
      <c r="HF95" s="155">
        <f>IF(ISNA(VLOOKUP(A95,'Données projet'!$A$269:$I$289,7,0)),0%,VLOOKUP(A95,'Données projet'!$A$269:$I$289,7,0))</f>
        <v>0</v>
      </c>
      <c r="HG95" s="162" t="str">
        <f>EXP(-LN(2)/35)*HG94+(1-EXP(-LN(2)/35))/(LN(2)/35)*HC95*HD95*VLOOKUP('Données projet'!$B$18,'Paramètres'!$A$1:$I$88,3,0)*0.475*44/12</f>
        <v>#N/A</v>
      </c>
      <c r="HH95" s="162" t="str">
        <f>EXP(-LN(2)/25)*HH94+(1-EXP(-LN(2)/25))/(LN(2)/25)*Calculateur!HC95*Calculateur!HE95*VLOOKUP('Données projet'!$B$18,'Paramètres'!$A$1:$I$88,3,0)*0.475*44/12</f>
        <v>#N/A</v>
      </c>
      <c r="HI95" s="162" t="str">
        <f>EXP(-LN(2)/2)*HI94+(1-EXP(-LN(2)/2))/(LN(2)/2)*HC95*HF95*VLOOKUP('Données projet'!$B$18,'Paramètres'!$A$1:$I$88,3,0)*0.475*44/12</f>
        <v>#N/A</v>
      </c>
      <c r="HJ95" s="163" t="str">
        <f t="shared" si="31"/>
        <v>#N/A</v>
      </c>
    </row>
    <row r="96" ht="15.75" customHeight="1">
      <c r="A96" s="145">
        <f t="shared" si="32"/>
        <v>93</v>
      </c>
      <c r="B96" s="146">
        <f>'Scénario référence'!$B$16*5+'Scénario référence'!$B$17*0+'Scénario référence'!$B$18*5</f>
        <v>0</v>
      </c>
      <c r="C96" s="160">
        <f>Calculateur!C95+'Scénario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96" s="147">
        <f t="shared" si="33"/>
        <v>0</v>
      </c>
      <c r="E96" s="147">
        <f>'Scénario référence'!$B$16*45+('Scénario référence'!$B$17+'Scénario référence'!$F$8+'Scénario référence'!$F$9+'Scénario référence'!$B$10+'Scénario référence'!$B$9)*70+'Scénario référence'!$B$18*32</f>
        <v>70</v>
      </c>
      <c r="F96" s="147">
        <f>IF(OR('Scénario référence'!$F$8&gt;0,'Scénario référence'!$F$9&gt;0),('Scénario référence'!$F$8+'Scénario référence'!$F$9)*10,0)</f>
        <v>0</v>
      </c>
      <c r="G96" s="147">
        <f>'Scénario référence'!$B$8*B96*44/12+'Scénario référence'!$B$9*(C96+D96)/0.475*44/12+'Scénario référence'!$B$10*(C96+D96)/0.475*44/12+'Scénario référence'!$F$8*(C96+D96)/0.475*44/12+'Scénario référence'!$F$9*(C96+D96)/0.475*44/12</f>
        <v>0</v>
      </c>
      <c r="H96" s="148">
        <f t="shared" si="1"/>
        <v>256.6666667</v>
      </c>
      <c r="I96" s="149">
        <f>('Scénario référence'!$F$8+'Scénario référence'!$F$9+'Scénario référence'!$B$17+'Scénario référence'!$B$9+'Scénario référence'!$B$10)*70+IF((45+25*(1-EXP(-0.0175*A96)))&lt;70,'Scénario référence'!$B$16*(45+25*(1-EXP(-0.0175*A96))),70*'Scénario référence'!$B$16)+IF((32+38*(1-EXP(-0.0175*A96)))&lt;70,'Scénario référence'!$B$18*(32+38*(1-EXP(-0.0175*A96))),70*'Scénario référence'!$B$18)</f>
        <v>70</v>
      </c>
      <c r="J96" s="150">
        <f>IF(A96&gt;30,10,('Scénario référence'!$B$16+'Scénario référence'!$B$17+'Scénario référence'!$B$18+'Scénario référence'!$B$9+'Scénario référence'!$B$10)*A96*10/30+('Scénario référence'!$F$8+'Scénario référence'!$F$9)*10)</f>
        <v>10</v>
      </c>
      <c r="K96" s="151" t="str">
        <f>VLOOKUP(A96,'Données projet'!$A$35:$I$55,2,0)</f>
        <v>#N/A</v>
      </c>
      <c r="L96" s="151" t="str">
        <f>VLOOKUP(A96,'Données projet'!$A$35:$I$55,9,0)</f>
        <v>#N/A</v>
      </c>
      <c r="M96" s="150">
        <f t="array" ref="M96">INDEX(L:L,MIN(IF(ISNUMBER(L96:L292),ROW(L96:L292),"")))</f>
        <v>6.2</v>
      </c>
      <c r="N96" s="150">
        <f>IF('Données projet'!$A$36&gt;35,N95+M96-V95,IF(A96&lt;'Données projet'!$A$36,$K$205^A96,IF(A96='Données projet'!$A$36,'Données projet'!$B$36,N95+M96-V95)))</f>
        <v>320.6</v>
      </c>
      <c r="O96" s="150">
        <f>N96*VLOOKUP('Données projet'!$B$9,'Paramètres'!$A$1:$I$88,3,0)*VLOOKUP('Données projet'!$B$9,'Paramètres'!$A$1:$I$88,5,0)</f>
        <v>290.07888</v>
      </c>
      <c r="P96" s="150">
        <f t="shared" si="34"/>
        <v>69.09256243</v>
      </c>
      <c r="Q96" s="161">
        <f t="shared" si="2"/>
        <v>625.5569289</v>
      </c>
      <c r="R96" s="153">
        <f t="shared" si="3"/>
        <v>918.8902622</v>
      </c>
      <c r="S96" s="153">
        <f>AVERAGE(OFFSET($R$3,0,0,'Données projet'!$E$9+1,1))-AVERAGE(OFFSET($H$3,0,0,'Données projet'!$E$9+1,1))</f>
        <v>439.1985427</v>
      </c>
      <c r="T96" s="153">
        <f t="shared" si="35"/>
        <v>278.2174123</v>
      </c>
      <c r="U96" s="154">
        <f>IF(ISNA(VLOOKUP(A96,'Données projet'!$A$35:$I$55,3,0)),0,VLOOKUP(A96,'Données projet'!$A$35:$I$55,3,0))</f>
        <v>0</v>
      </c>
      <c r="V96" s="154">
        <f>IF(ISNA(VLOOKUP(A96,'Données projet'!$A$35:$I$55,4,0)),0,VLOOKUP(A96,'Données projet'!$A$35:$I$55,4,0))</f>
        <v>0</v>
      </c>
      <c r="W96" s="155">
        <f>IF(ISNA(VLOOKUP(A96,'Données projet'!$A$35:$I$55,5,0)),0%,VLOOKUP(A96,'Données projet'!$A$35:$I$55,5,0)*VLOOKUP('Données projet'!$B$9,'Paramètres'!$A$1:$I$88,7,0))</f>
        <v>0</v>
      </c>
      <c r="X96" s="155">
        <f>IF(ISNA(VLOOKUP(A96,'Données projet'!$A$35:$I$55,6,0)),0%,VLOOKUP(A96,'Données projet'!$A$35:$I$55,6,0)*VLOOKUP('Données projet'!$B$9,'Paramètres'!$A$1:$I$88,7,0))</f>
        <v>0</v>
      </c>
      <c r="Y96" s="155">
        <f>IF(ISNA(VLOOKUP(A96,'Données projet'!$A$35:$I$55,7,0)),0%,VLOOKUP(A96,'Données projet'!$A$35:$I$55,7,0))</f>
        <v>0</v>
      </c>
      <c r="Z96" s="162">
        <f>EXP(-LN(2)/35)*Z95+(1-EXP(-LN(2)/35))/(LN(2)/35)*V96*W96*VLOOKUP('Données projet'!$B$9,'Paramètres'!$A$1:$I$88,3,0)*0.475*44/12</f>
        <v>0</v>
      </c>
      <c r="AA96" s="162">
        <f>EXP(-LN(2)/25)*AA95+(1-EXP(-LN(2)/25))/(LN(2)/25)*Calculateur!V96*Calculateur!X96*VLOOKUP('Données projet'!$B$9,'Paramètres'!$A$1:$I$88,3,0)*0.475*44/12</f>
        <v>0.7823781082</v>
      </c>
      <c r="AB96" s="162">
        <f>EXP(-LN(2)/2)*AB95+(1-EXP(-LN(2)/2))/(LN(2)/2)*V96*Y96*VLOOKUP('Données projet'!$B$9,'Paramètres'!$A$1:$I$88,3,0)*0.475*44/12</f>
        <v>0</v>
      </c>
      <c r="AC96" s="163">
        <f t="shared" si="4"/>
        <v>0.7823781082</v>
      </c>
      <c r="AD96" s="150">
        <f>('Scénario référence'!$F$8+'Scénario référence'!$F$9+'Scénario référence'!$B$17+'Scénario référence'!$B$9+'Scénario référence'!$B$10)*70+IF((45+25*(1-EXP(-0.0175*A96)))&lt;70,'Scénario référence'!$B$16*(45+25*(1-EXP(-0.0175*A96))),70*'Scénario référence'!$B$16)+IF((32+38*(1-EXP(-0.0175*A96)))&lt;70,'Scénario référence'!$B$18*(32+38*(1-EXP(-0.0175*A96))),70*'Scénario référence'!$B$18)</f>
        <v>70</v>
      </c>
      <c r="AE96" s="150">
        <f>IF(A96&gt;30,10,('Scénario référence'!$B$16+'Scénario référence'!$B$17+'Scénario référence'!$B$18+'Scénario référence'!$B$9+'Scénario référence'!$B$10)*A96*10/30+('Scénario référence'!$F$8+'Scénario référence'!$F$9)*10)</f>
        <v>10</v>
      </c>
      <c r="AF96" s="151" t="str">
        <f>VLOOKUP(A96,'Données projet'!$A$61:$I$81,2,0)</f>
        <v>#N/A</v>
      </c>
      <c r="AG96" s="151" t="str">
        <f>VLOOKUP(A96,'Données projet'!$A$61:$I$81,9,0)</f>
        <v>#N/A</v>
      </c>
      <c r="AH96" s="151" t="str">
        <f t="array" ref="AH96">INDEX(AG:AG,MIN(IF(ISNUMBER(AG96:AG292),ROW(AG96:AG292),"")))</f>
        <v/>
      </c>
      <c r="AI96" s="150">
        <f>IF('Données projet'!$A$62&gt;35,AI95+AH96-AQ95,IF(A96&lt;'Données projet'!$A$62,$AF$205^A96,IF(A96='Données projet'!$A$62,'Données projet'!$B$62,AI95+AH96-AQ95)))</f>
        <v>369</v>
      </c>
      <c r="AJ96" s="150">
        <f>AI96*VLOOKUP('Données projet'!$B$10,'Paramètres'!$A$1:$I$88,3,0)*VLOOKUP('Données projet'!$B$10,'Paramètres'!$A$1:$I$88,5,0)</f>
        <v>293.5764</v>
      </c>
      <c r="AK96" s="150">
        <f t="shared" si="36"/>
        <v>69.82813851</v>
      </c>
      <c r="AL96" s="161">
        <f t="shared" si="5"/>
        <v>632.9295712</v>
      </c>
      <c r="AM96" s="153">
        <f t="shared" si="6"/>
        <v>926.2629046</v>
      </c>
      <c r="AN96" s="153">
        <f>AVERAGE(OFFSET($AM$3,0,0,'Données projet'!$E$10+1,1))-AVERAGE(OFFSET($H$3,0,0,'Données projet'!$E$10+1,1))</f>
        <v>405.6113614</v>
      </c>
      <c r="AO96" s="153">
        <f t="shared" si="37"/>
        <v>393.0787141</v>
      </c>
      <c r="AP96" s="154">
        <f>IF(ISNA(VLOOKUP(A96,'Données projet'!$A$61:$I$81,3,0)),0,VLOOKUP(A96,'Données projet'!$A$61:$I$81,3,0))</f>
        <v>0</v>
      </c>
      <c r="AQ96" s="154">
        <f>IF(ISNA(VLOOKUP(A96,'Données projet'!$A$61:$I$81,4,0)),0,VLOOKUP(A96,'Données projet'!$A$61:$I$81,4,0))</f>
        <v>0</v>
      </c>
      <c r="AR96" s="155">
        <f>IF(ISNA(VLOOKUP(A96,'Données projet'!$A$61:$I$81,5,0)),0%,VLOOKUP(A96,'Données projet'!$A$61:$I$81,5,0)*VLOOKUP('Données projet'!$B$10,'Paramètres'!$A$1:$I$88,7,0))</f>
        <v>0</v>
      </c>
      <c r="AS96" s="155">
        <f>IF(ISNA(VLOOKUP(A96,'Données projet'!$A$61:$I$81,6,0)),0%,VLOOKUP(A96,'Données projet'!$A$61:$I$81,6,0)*VLOOKUP('Données projet'!$B$10,'Paramètres'!$A$1:$I$88,7,0))</f>
        <v>0</v>
      </c>
      <c r="AT96" s="155">
        <f>IF(ISNA(VLOOKUP(A96,'Données projet'!$A$61:$I$81,7,0)),0%,VLOOKUP(A96,'Données projet'!$A$61:$I$81,7,0))</f>
        <v>0</v>
      </c>
      <c r="AU96" s="162">
        <f>EXP(-LN(2)/35)*AU95+(1-EXP(-LN(2)/35))/(LN(2)/35)*AQ96*AR96*VLOOKUP('Données projet'!$B$10,'Paramètres'!$A$1:$I$88,3,0)*0.475*44/12</f>
        <v>0</v>
      </c>
      <c r="AV96" s="162">
        <f>EXP(-LN(2)/25)*AV95+(1-EXP(-LN(2)/25))/(LN(2)/25)*Calculateur!AQ96*Calculateur!AS96*VLOOKUP('Données projet'!$B$10,'Paramètres'!$A$1:$I$88,3,0)*0.475*44/12</f>
        <v>3.17978352</v>
      </c>
      <c r="AW96" s="162">
        <f>EXP(-LN(2)/2)*AW95+(1-EXP(-LN(2)/2))/(LN(2)/2)*AQ96*AT96*VLOOKUP('Données projet'!$B$10,'Paramètres'!$A$1:$I$88,3,0)*0.475*44/12</f>
        <v>0.0000000001908831441</v>
      </c>
      <c r="AX96" s="162">
        <f t="shared" si="7"/>
        <v>3.17978352</v>
      </c>
      <c r="AY96" s="157">
        <f>('Scénario référence'!$F$8+'Scénario référence'!$F$9+'Scénario référence'!$B$17+'Scénario référence'!$B$9+'Scénario référence'!$B$10)*70+IF((45+25*(1-EXP(-0.0175*A96)))&lt;70,'Scénario référence'!$B$16*(45+25*(1-EXP(-0.0175*A96))),70*'Scénario référence'!$B$16)+IF((32+38*(1-EXP(-0.0175*A96)))&lt;70,'Scénario référence'!$B$18*(32+38*(1-EXP(-0.0175*A96))),70*'Scénario référence'!$B$18)</f>
        <v>70</v>
      </c>
      <c r="AZ96" s="151">
        <f>IF(A96&gt;30,10,('Scénario référence'!$B$16+'Scénario référence'!$B$17+'Scénario référence'!$B$18+'Scénario référence'!$B$9+'Scénario référence'!$B$10)*A96*10/30+('Scénario référence'!$F$8+'Scénario référence'!$F$9)*10)</f>
        <v>10</v>
      </c>
      <c r="BA96" s="151" t="str">
        <f>VLOOKUP(A96,'Données projet'!$A$87:$I$107,2,0)</f>
        <v>#N/A</v>
      </c>
      <c r="BB96" s="151" t="str">
        <f>VLOOKUP(A96,'Données projet'!$A$87:$I$107,9,0)</f>
        <v>#N/A</v>
      </c>
      <c r="BC96" s="151" t="str">
        <f t="array" ref="BC96">INDEX(BB:BB,MIN(IF(ISNUMBER(BB96:BB292),ROW(BB96:BB292),"")))</f>
        <v/>
      </c>
      <c r="BD96" s="150">
        <f>IF('Données projet'!$A$88&gt;35,BD95+BC96-BL95,IF(A96&lt;'Données projet'!$A$88,$BA$205^A96,IF(A96='Données projet'!$A$88,'Données projet'!$B$88,BD95+BC96-BL95)))</f>
        <v>0</v>
      </c>
      <c r="BE96" s="150">
        <f>BD96*VLOOKUP('Données projet'!$B$11,'Paramètres'!$A$1:$I$88,3,0)*VLOOKUP('Données projet'!$B$11,'Paramètres'!$A$1:$I$88,5,0)</f>
        <v>0</v>
      </c>
      <c r="BF96" s="150" t="str">
        <f t="shared" si="38"/>
        <v>#NUM!</v>
      </c>
      <c r="BG96" s="161" t="str">
        <f t="shared" si="8"/>
        <v>#NUM!</v>
      </c>
      <c r="BH96" s="153" t="str">
        <f t="shared" si="9"/>
        <v>#NUM!</v>
      </c>
      <c r="BI96" s="153">
        <f>AVERAGE(OFFSET($BH$3,0,0,'Données projet'!$E$11+1,1))-AVERAGE(OFFSET($H$3,0,0,'Données projet'!$E$11+1,1))</f>
        <v>0</v>
      </c>
      <c r="BJ96" s="153">
        <f t="shared" si="39"/>
        <v>0</v>
      </c>
      <c r="BK96" s="154">
        <f>IF(ISNA(VLOOKUP(A96,'Données projet'!$A$87:$I$107,3,0)),0,VLOOKUP(A96,'Données projet'!$A$87:$I$107,3,0))</f>
        <v>0</v>
      </c>
      <c r="BL96" s="154">
        <f>IF(ISNA(VLOOKUP(A96,'Données projet'!$A$87:$I$107,4,0)),0,VLOOKUP(A96,'Données projet'!$A$87:$I$107,4,0))</f>
        <v>0</v>
      </c>
      <c r="BM96" s="155">
        <f>IF(ISNA(VLOOKUP(A96,'Données projet'!$A$87:$I$107,5,0)),0%,VLOOKUP(A96,'Données projet'!$A$87:$I$107,5,0)*VLOOKUP('Données projet'!$B$11,'Paramètres'!$A$1:$I$88,7,0))</f>
        <v>0</v>
      </c>
      <c r="BN96" s="155">
        <f>IF(ISNA(VLOOKUP(A96,'Données projet'!$A$87:$I$107,6,0)),0%,VLOOKUP(A96,'Données projet'!$A$87:$I$107,6,0)*VLOOKUP('Données projet'!$B$11,'Paramètres'!$A$1:$I$88,7,0))</f>
        <v>0</v>
      </c>
      <c r="BO96" s="155">
        <f>IF(ISNA(VLOOKUP(A96,'Données projet'!$A$87:$I$107,7,0)),0%,VLOOKUP(A96,'Données projet'!$A$87:$I$107,7,0))</f>
        <v>0</v>
      </c>
      <c r="BP96" s="162">
        <f>EXP(-LN(2)/35)*BP95+(1-EXP(-LN(2)/35))/(LN(2)/35)*BL96*BM96*VLOOKUP('Données projet'!$B$11,'Paramètres'!$A$1:$I$88,3,0)*0.475*44/12</f>
        <v>0</v>
      </c>
      <c r="BQ96" s="162">
        <f>EXP(-LN(2)/25)*BQ95+(1-EXP(-LN(2)/25))/(LN(2)/25)*Calculateur!BL96*Calculateur!BN96*VLOOKUP('Données projet'!$B$11,'Paramètres'!$A$1:$I$88,3,0)*0.475*44/12</f>
        <v>0</v>
      </c>
      <c r="BR96" s="162">
        <f>EXP(-LN(2)/2)*BR95+(1-EXP(-LN(2)/2))/(LN(2)/2)*BL96*BO96*VLOOKUP('Données projet'!$B$11,'Paramètres'!$A$1:$I$88,3,0)*0.475*44/12</f>
        <v>0</v>
      </c>
      <c r="BS96" s="163">
        <f t="shared" si="10"/>
        <v>0</v>
      </c>
      <c r="BT96" s="159">
        <f>('Scénario référence'!$F$8+'Scénario référence'!$F$9+'Scénario référence'!$B$17+'Scénario référence'!$B$9+'Scénario référence'!$B$10)*70+IF((45+25*(1-EXP(-0.0175*A96)))&lt;70,'Scénario référence'!$B$16*(45+25*(1-EXP(-0.0175*A96))),70*'Scénario référence'!$B$16)+IF((32+38*(1-EXP(-0.0175*A96)))&lt;70,'Scénario référence'!$B$18*(32+38*(1-EXP(-0.0175*A96))),70*'Scénario référence'!$B$18)</f>
        <v>70</v>
      </c>
      <c r="BU96" s="151">
        <f>IF(A96&gt;30,10,('Scénario référence'!$B$16+'Scénario référence'!$B$17+'Scénario référence'!$B$18+'Scénario référence'!$B$9+'Scénario référence'!$B$10)*A96*10/30+('Scénario référence'!$F$8+'Scénario référence'!$F$9)*10)</f>
        <v>10</v>
      </c>
      <c r="BV96" s="151" t="str">
        <f>VLOOKUP(A96,'Données projet'!$A$113:$I$133,2,0)</f>
        <v>#N/A</v>
      </c>
      <c r="BW96" s="151" t="str">
        <f>VLOOKUP(A96,'Données projet'!$A$113:$I$133,9,0)</f>
        <v>#N/A</v>
      </c>
      <c r="BX96" s="150" t="str">
        <f t="array" ref="BX96">INDEX(BW:BW,MIN(IF(ISNUMBER(BW96:BW292),ROW(BW96:BW292),"")))</f>
        <v/>
      </c>
      <c r="BY96" s="150">
        <f>IF('Données projet'!$A$114&gt;35,BY95+BX96-CG95,IF(A96&lt;'Données projet'!$A$114,$BV$205^A96,IF(A96='Données projet'!$A$114,'Données projet'!$B$114,BY95+BX96-CG95)))</f>
        <v>0</v>
      </c>
      <c r="BZ96" s="150" t="str">
        <f>BY96*VLOOKUP('Données projet'!$B$12,'Paramètres'!$A$1:$I$88,3,0)*VLOOKUP('Données projet'!$B$12,'Paramètres'!$A$1:$I$88,5,0)</f>
        <v>#N/A</v>
      </c>
      <c r="CA96" s="150" t="str">
        <f t="shared" si="40"/>
        <v>#N/A</v>
      </c>
      <c r="CB96" s="161" t="str">
        <f t="shared" si="11"/>
        <v>#N/A</v>
      </c>
      <c r="CC96" s="153" t="str">
        <f t="shared" si="12"/>
        <v>#N/A</v>
      </c>
      <c r="CD96" s="153" t="str">
        <f>AVERAGE(OFFSET($CC$3,0,0,'Données projet'!$E$12+1,1))-AVERAGE(OFFSET($H$3,0,0,'Données projet'!$E$12+1,1))</f>
        <v>#N/A</v>
      </c>
      <c r="CE96" s="153" t="str">
        <f t="shared" si="41"/>
        <v>#N/A</v>
      </c>
      <c r="CF96" s="154">
        <f>IF(ISNA(VLOOKUP(A96,'Données projet'!$A$113:$I$133,3,0)),0,VLOOKUP(A96,'Données projet'!$A$113:$I$133,3,0))</f>
        <v>0</v>
      </c>
      <c r="CG96" s="154">
        <f>IF(ISNA(VLOOKUP(A96,'Données projet'!$A$113:$I$133,4,0)),0,VLOOKUP(A96,'Données projet'!$A$113:$I$133,4,0))</f>
        <v>0</v>
      </c>
      <c r="CH96" s="155">
        <f>IF(ISNA(VLOOKUP(A96,'Données projet'!$A$113:$I$133,5,0)),0%,VLOOKUP(A96,'Données projet'!$A$113:$I$133,5,0)*VLOOKUP('Données projet'!$B$12,'Paramètres'!$A$1:$I$88,7,0))</f>
        <v>0</v>
      </c>
      <c r="CI96" s="155">
        <f>IF(ISNA(VLOOKUP(A96,'Données projet'!$A$113:$I$133,6,0)),0%,VLOOKUP(A96,'Données projet'!$A$113:$I$133,6,0)*VLOOKUP('Données projet'!$B$12,'Paramètres'!$A$1:$I$88,7,0))</f>
        <v>0</v>
      </c>
      <c r="CJ96" s="155">
        <f>IF(ISNA(VLOOKUP(A96,'Données projet'!$A$113:$I$133,7,0)),0%,VLOOKUP(A96,'Données projet'!$A$113:$I$133,7,0))</f>
        <v>0</v>
      </c>
      <c r="CK96" s="162" t="str">
        <f>EXP(-LN(2)/35)*CK95+(1-EXP(-LN(2)/35))/(LN(2)/35)*CG96*CH96*VLOOKUP('Données projet'!$B$12,'Paramètres'!$A$1:$I$88,3,0)*0.475*44/12</f>
        <v>#N/A</v>
      </c>
      <c r="CL96" s="162" t="str">
        <f>EXP(-LN(2)/25)*CL95+(1-EXP(-LN(2)/25))/(LN(2)/25)*Calculateur!CG96*Calculateur!CI96*VLOOKUP('Données projet'!$B$12,'Paramètres'!$A$1:$I$88,3,0)*0.475*44/12</f>
        <v>#N/A</v>
      </c>
      <c r="CM96" s="162" t="str">
        <f>EXP(-LN(2)/2)*CM95+(1-EXP(-LN(2)/2))/(LN(2)/2)*CG96*CJ96*VLOOKUP('Données projet'!$B$12,'Paramètres'!$A$1:$I$88,3,0)*0.475*44/12</f>
        <v>#N/A</v>
      </c>
      <c r="CN96" s="163" t="str">
        <f t="shared" si="13"/>
        <v>#N/A</v>
      </c>
      <c r="CO96" s="159">
        <f>('Scénario référence'!$F$8+'Scénario référence'!$F$9+'Scénario référence'!$B$17+'Scénario référence'!$B$9+'Scénario référence'!$B$10)*70+IF((45+25*(1-EXP(-0.0175*A96)))&lt;70,'Scénario référence'!$B$16*(45+25*(1-EXP(-0.0175*A96))),70*'Scénario référence'!$B$16)+IF((32+38*(1-EXP(-0.0175*A96)))&lt;70,'Scénario référence'!$B$18*(32+38*(1-EXP(-0.0175*A96))),70*'Scénario référence'!$B$18)</f>
        <v>70</v>
      </c>
      <c r="CP96" s="151">
        <f>IF(A96&gt;30,10,('Scénario référence'!$B$16+'Scénario référence'!$B$17+'Scénario référence'!$B$18+'Scénario référence'!$B$9+'Scénario référence'!$B$10)*A96*10/30+('Scénario référence'!$F$8+'Scénario référence'!$F$9)*10)</f>
        <v>10</v>
      </c>
      <c r="CQ96" s="151" t="str">
        <f>VLOOKUP(A96,'Données projet'!$A$139:$I$159,2,0)</f>
        <v>#N/A</v>
      </c>
      <c r="CR96" s="151" t="str">
        <f>VLOOKUP(A96,'Données projet'!$A$139:$I$159,9,0)</f>
        <v>#N/A</v>
      </c>
      <c r="CS96" s="151" t="str">
        <f t="array" ref="CS96">INDEX(CR:CR,MIN(IF(ISNUMBER(CR96:CR292),ROW(CR96:CR292),"")))</f>
        <v/>
      </c>
      <c r="CT96" s="151">
        <f>IF('Données projet'!$A$140&gt;35,CT95+CS96-DB95,IF(A96&lt;'Données projet'!$A$140,$CQ$205^A96,IF(A96='Données projet'!$A$140,'Données projet'!$B$140,CT95+CS96-DB95)))</f>
        <v>0</v>
      </c>
      <c r="CU96" s="158" t="str">
        <f>CT96*VLOOKUP('Données projet'!$B$13,'Paramètres'!$A$1:$I$88,3,0)*VLOOKUP('Données projet'!$B$13,'Paramètres'!$A$1:$I$88,5,0)</f>
        <v>#N/A</v>
      </c>
      <c r="CV96" s="150" t="str">
        <f t="shared" si="42"/>
        <v>#N/A</v>
      </c>
      <c r="CW96" s="161" t="str">
        <f t="shared" si="14"/>
        <v>#N/A</v>
      </c>
      <c r="CX96" s="153" t="str">
        <f t="shared" si="15"/>
        <v>#N/A</v>
      </c>
      <c r="CY96" s="153" t="str">
        <f>AVERAGE(OFFSET($CX$3,0,0,'Données projet'!$E$13+1,1))-AVERAGE(OFFSET($H$3,0,0,'Données projet'!$E$13+1,1))</f>
        <v>#N/A</v>
      </c>
      <c r="CZ96" s="153" t="str">
        <f t="shared" si="43"/>
        <v>#N/A</v>
      </c>
      <c r="DA96" s="154">
        <f>IF(ISNA(VLOOKUP(A96,'Données projet'!$A$139:$I$159,3,0)),0,VLOOKUP(A96,'Données projet'!$A$139:$I$159,3,0))</f>
        <v>0</v>
      </c>
      <c r="DB96" s="154">
        <f>IF(ISNA(VLOOKUP(A96,'Données projet'!$A$139:$I$159,4,0)),0,VLOOKUP(A96,'Données projet'!$A$139:$I$159,4,0))</f>
        <v>0</v>
      </c>
      <c r="DC96" s="155">
        <f>IF(ISNA(VLOOKUP(A96,'Données projet'!$A$139:$I$159,5,0)),0%,VLOOKUP(A96,'Données projet'!$A$139:$I$159,5,0)*VLOOKUP('Données projet'!$B$13,'Paramètres'!$A$1:$I$88,7,0))</f>
        <v>0</v>
      </c>
      <c r="DD96" s="155">
        <f>IF(ISNA(VLOOKUP(A96,'Données projet'!$A$139:$I$159,6,0)),0%,VLOOKUP(A96,'Données projet'!$A$139:$I$159,6,0)*VLOOKUP('Données projet'!$B$13,'Paramètres'!$A$1:$I$88,7,0))</f>
        <v>0</v>
      </c>
      <c r="DE96" s="155">
        <f>IF(ISNA(VLOOKUP(A96,'Données projet'!$A$139:$I$159,7,0)),0%,VLOOKUP(A96,'Données projet'!$A$139:$I$159,7,0))</f>
        <v>0</v>
      </c>
      <c r="DF96" s="162" t="str">
        <f>EXP(-LN(2)/35)*DF95+(1-EXP(-LN(2)/35))/(LN(2)/35)*DB96*DC96*VLOOKUP('Données projet'!$B$13,'Paramètres'!$A$1:$I$88,3,0)*0.475*44/12</f>
        <v>#N/A</v>
      </c>
      <c r="DG96" s="162" t="str">
        <f>EXP(-LN(2)/25)*DG95+(1-EXP(-LN(2)/25))/(LN(2)/25)*Calculateur!DB96*Calculateur!DD96*VLOOKUP('Données projet'!$B$13,'Paramètres'!$A$1:$I$88,3,0)*0.475*44/12</f>
        <v>#N/A</v>
      </c>
      <c r="DH96" s="162" t="str">
        <f>EXP(-LN(2)/2)*DH95+(1-EXP(-LN(2)/2))/(LN(2)/2)*DB96*DE96*VLOOKUP('Données projet'!$B$13,'Paramètres'!$A$1:$I$88,3,0)*0.475*44/12</f>
        <v>#N/A</v>
      </c>
      <c r="DI96" s="163" t="str">
        <f t="shared" si="16"/>
        <v>#N/A</v>
      </c>
      <c r="DJ96" s="159">
        <f>('Scénario référence'!$F$8+'Scénario référence'!$F$9+'Scénario référence'!$B$17+'Scénario référence'!$B$9+'Scénario référence'!$B$10)*70+IF((45+25*(1-EXP(-0.0175*A96)))&lt;70,'Scénario référence'!$B$16*(45+25*(1-EXP(-0.0175*A96))),70*'Scénario référence'!$B$16)+IF((32+38*(1-EXP(-0.0175*A96)))&lt;70,'Scénario référence'!$B$18*(32+38*(1-EXP(-0.0175*A96))),70*'Scénario référence'!$B$18)</f>
        <v>70</v>
      </c>
      <c r="DK96" s="151">
        <f>IF(A96&gt;30,10,('Scénario référence'!$B$16+'Scénario référence'!$B$17+'Scénario référence'!$B$18+'Scénario référence'!$B$9+'Scénario référence'!$B$10)*A96*10/30+('Scénario référence'!$F$8+'Scénario référence'!$F$9)*10)</f>
        <v>10</v>
      </c>
      <c r="DL96" s="151" t="str">
        <f>VLOOKUP(A96,'Données projet'!$A$165:$I$185,2,0)</f>
        <v>#N/A</v>
      </c>
      <c r="DM96" s="151" t="str">
        <f>VLOOKUP(A96,'Données projet'!$A$165:$I$185,9,0)</f>
        <v>#N/A</v>
      </c>
      <c r="DN96" s="151" t="str">
        <f t="array" ref="DN96">INDEX(DM:DM,MIN(IF(ISNUMBER(DM96:DM292),ROW(DM96:DM292),"")))</f>
        <v/>
      </c>
      <c r="DO96" s="151">
        <f>IF('Données projet'!$A$166&gt;35,DO95+DN96-DW95,IF(A96&lt;'Données projet'!$A$166,$DL$205^A96,IF(A96='Données projet'!$A$166,'Données projet'!$B$166,DO95+DN96-DW95)))</f>
        <v>0</v>
      </c>
      <c r="DP96" s="158" t="str">
        <f>DO96*VLOOKUP('Données projet'!$B$14,'Paramètres'!$A$1:$I$88,3,0)*VLOOKUP('Données projet'!$B$14,'Paramètres'!$A$1:$I$88,5,0)</f>
        <v>#N/A</v>
      </c>
      <c r="DQ96" s="150" t="str">
        <f t="shared" si="44"/>
        <v>#N/A</v>
      </c>
      <c r="DR96" s="161" t="str">
        <f t="shared" si="17"/>
        <v>#N/A</v>
      </c>
      <c r="DS96" s="153" t="str">
        <f t="shared" si="18"/>
        <v>#N/A</v>
      </c>
      <c r="DT96" s="153" t="str">
        <f>AVERAGE(OFFSET($DS$3,0,0,'Données projet'!$E$14+1,1))-AVERAGE(OFFSET($H$3,0,0,'Données projet'!$E$14+1,1))</f>
        <v>#N/A</v>
      </c>
      <c r="DU96" s="153" t="str">
        <f t="shared" si="45"/>
        <v>#N/A</v>
      </c>
      <c r="DV96" s="154">
        <f>IF(ISNA(VLOOKUP(A96,'Données projet'!$A$165:$I$185,3,0)),0,VLOOKUP(A96,'Données projet'!$A$165:$I$185,3,0))</f>
        <v>0</v>
      </c>
      <c r="DW96" s="154">
        <f>IF(ISNA(VLOOKUP(A96,'Données projet'!$A$165:$I$185,4,0)),0,VLOOKUP(A96,'Données projet'!$A$165:$I$185,4,0))</f>
        <v>0</v>
      </c>
      <c r="DX96" s="155">
        <f>IF(ISNA(VLOOKUP(A96,'Données projet'!$A$165:$I$185,5,0)),0%,VLOOKUP(A96,'Données projet'!$A$165:$I$185,5,0)*VLOOKUP('Données projet'!$B$14,'Paramètres'!$A$1:$I$88,7,0))</f>
        <v>0</v>
      </c>
      <c r="DY96" s="155">
        <f>IF(ISNA(VLOOKUP(A96,'Données projet'!$A$165:$I$185,6,0)),0%,VLOOKUP(A96,'Données projet'!$A$165:$I$185,6,0)*VLOOKUP('Données projet'!$B$14,'Paramètres'!$A$1:$I$88,7,0))</f>
        <v>0</v>
      </c>
      <c r="DZ96" s="155">
        <f>IF(ISNA(VLOOKUP(A96,'Données projet'!$A$165:$I$185,7,0)),0%,VLOOKUP(A96,'Données projet'!$A$165:$I$185,7,0))</f>
        <v>0</v>
      </c>
      <c r="EA96" s="162" t="str">
        <f>EXP(-LN(2)/35)*EA95+(1-EXP(-LN(2)/35))/(LN(2)/35)*DW96*DX96*VLOOKUP('Données projet'!$B$14,'Paramètres'!$A$1:$I$88,3,0)*0.475*44/12</f>
        <v>#N/A</v>
      </c>
      <c r="EB96" s="162" t="str">
        <f>EXP(-LN(2)/25)*EB95+(1-EXP(-LN(2)/25))/(LN(2)/25)*Calculateur!DW96*Calculateur!DY96*VLOOKUP('Données projet'!$B$14,'Paramètres'!$A$1:$I$88,3,0)*0.475*44/12</f>
        <v>#N/A</v>
      </c>
      <c r="EC96" s="162" t="str">
        <f>EXP(-LN(2)/2)*EC95+(1-EXP(-LN(2)/2))/(LN(2)/2)*DW96*DZ96*VLOOKUP('Données projet'!$B$14,'Paramètres'!$A$1:$I$88,3,0)*0.475*44/12</f>
        <v>#N/A</v>
      </c>
      <c r="ED96" s="163" t="str">
        <f t="shared" si="19"/>
        <v>#N/A</v>
      </c>
      <c r="EE96" s="159">
        <f>('Scénario référence'!$F$8+'Scénario référence'!$F$9+'Scénario référence'!$B$17+'Scénario référence'!$B$9+'Scénario référence'!$B$10)*70+IF((45+25*(1-EXP(-0.0175*A96)))&lt;70,'Scénario référence'!$B$16*(45+25*(1-EXP(-0.0175*A96))),70*'Scénario référence'!$B$16)+IF((32+38*(1-EXP(-0.0175*A96)))&lt;70,'Scénario référence'!$B$18*(32+38*(1-EXP(-0.0175*A96))),70*'Scénario référence'!$B$18)</f>
        <v>70</v>
      </c>
      <c r="EF96" s="151">
        <f>IF(A96&gt;30,10,('Scénario référence'!$B$16+'Scénario référence'!$B$17+'Scénario référence'!$B$18+'Scénario référence'!$B$9+'Scénario référence'!$B$10)*A96*10/30+('Scénario référence'!$F$8+'Scénario référence'!$F$9)*10)</f>
        <v>10</v>
      </c>
      <c r="EG96" s="151" t="str">
        <f>VLOOKUP(A96,'Données projet'!$A$191:$I$211,2,0)</f>
        <v>#N/A</v>
      </c>
      <c r="EH96" s="151" t="str">
        <f>VLOOKUP(A96,'Données projet'!$A$191:$I$211,9,0)</f>
        <v>#N/A</v>
      </c>
      <c r="EI96" s="151" t="str">
        <f t="array" ref="EI96">INDEX(EH:EH,MIN(IF(ISNUMBER(EH96:EH292),ROW(EH96:EH292),"")))</f>
        <v/>
      </c>
      <c r="EJ96" s="151">
        <f>IF('Données projet'!$A$192&gt;35,EJ95+EI96-ER95,IF(A96&lt;'Données projet'!$A$192,$EG$205^A96,IF(A96='Données projet'!$A$192,'Données projet'!$B$192,EJ95+EI96-ER95)))</f>
        <v>0</v>
      </c>
      <c r="EK96" s="158" t="str">
        <f>EJ96*VLOOKUP('Données projet'!$B$15,'Paramètres'!$A$1:$I$88,3,0)*VLOOKUP('Données projet'!$B$15,'Paramètres'!$A$1:$I$88,5,0)</f>
        <v>#N/A</v>
      </c>
      <c r="EL96" s="150" t="str">
        <f t="shared" si="46"/>
        <v>#N/A</v>
      </c>
      <c r="EM96" s="161" t="str">
        <f t="shared" si="20"/>
        <v>#N/A</v>
      </c>
      <c r="EN96" s="153" t="str">
        <f t="shared" si="21"/>
        <v>#N/A</v>
      </c>
      <c r="EO96" s="153" t="str">
        <f>AVERAGE(OFFSET($EN$3,0,0,'Données projet'!$E$15+1,1))-AVERAGE(OFFSET($H$3,0,0,'Données projet'!$E$15+1,1))</f>
        <v>#N/A</v>
      </c>
      <c r="EP96" s="153" t="str">
        <f t="shared" si="47"/>
        <v>#N/A</v>
      </c>
      <c r="EQ96" s="154">
        <f>IF(ISNA(VLOOKUP(A96,'Données projet'!$A$191:$I$211,3,0)),0,VLOOKUP(A96,'Données projet'!$A$191:$I$211,3,0))</f>
        <v>0</v>
      </c>
      <c r="ER96" s="154">
        <f>IF(ISNA(VLOOKUP(A96,'Données projet'!$A$191:$I$211,4,0)),0,VLOOKUP(A96,'Données projet'!$A$191:$I$211,4,0))</f>
        <v>0</v>
      </c>
      <c r="ES96" s="155">
        <f>IF(ISNA(VLOOKUP(A96,'Données projet'!$A$191:$I$211,5,0)),0%,VLOOKUP(A96,'Données projet'!$A$191:$I$211,5,0)*VLOOKUP('Données projet'!$B$15,'Paramètres'!$A$1:$I$88,7,0))</f>
        <v>0</v>
      </c>
      <c r="ET96" s="155">
        <f>IF(ISNA(VLOOKUP(A96,'Données projet'!$A$191:$I$211,6,0)),0%,VLOOKUP(A96,'Données projet'!$A$191:$I$211,6,0)*VLOOKUP('Données projet'!$B$15,'Paramètres'!$A$1:$I$88,7,0))</f>
        <v>0</v>
      </c>
      <c r="EU96" s="155">
        <f>IF(ISNA(VLOOKUP(A96,'Données projet'!$A$191:$I$211,7,0)),0%,VLOOKUP(A96,'Données projet'!$A$191:$I$211,7,0))</f>
        <v>0</v>
      </c>
      <c r="EV96" s="162" t="str">
        <f>EXP(-LN(2)/35)*EV95+(1-EXP(-LN(2)/35))/(LN(2)/35)*ER96*ES96*VLOOKUP('Données projet'!$B$15,'Paramètres'!$A$1:$I$88,3,0)*0.475*44/12</f>
        <v>#N/A</v>
      </c>
      <c r="EW96" s="162" t="str">
        <f>EXP(-LN(2)/25)*EW95+(1-EXP(-LN(2)/25))/(LN(2)/25)*Calculateur!ER96*Calculateur!ET96*VLOOKUP('Données projet'!$B$15,'Paramètres'!$A$1:$I$88,3,0)*0.475*44/12</f>
        <v>#N/A</v>
      </c>
      <c r="EX96" s="162" t="str">
        <f>EXP(-LN(2)/2)*EX95+(1-EXP(-LN(2)/2))/(LN(2)/2)*ER96*EU96*VLOOKUP('Données projet'!$B$15,'Paramètres'!$A$1:$I$88,3,0)*0.475*44/12</f>
        <v>#N/A</v>
      </c>
      <c r="EY96" s="163" t="str">
        <f t="shared" si="22"/>
        <v>#N/A</v>
      </c>
      <c r="EZ96" s="159">
        <f>('Scénario référence'!$F$8+'Scénario référence'!$F$9+'Scénario référence'!$B$17+'Scénario référence'!$B$9+'Scénario référence'!$B$10)*70+IF((45+25*(1-EXP(-0.0175*A96)))&lt;70,'Scénario référence'!$B$16*(45+25*(1-EXP(-0.0175*A96))),70*'Scénario référence'!$B$16)+IF((32+38*(1-EXP(-0.0175*A96)))&lt;70,'Scénario référence'!$B$18*(32+38*(1-EXP(-0.0175*A96))),70*'Scénario référence'!$B$18)</f>
        <v>70</v>
      </c>
      <c r="FA96" s="151">
        <f>IF(A96&gt;30,10,('Scénario référence'!$B$16+'Scénario référence'!$B$17+'Scénario référence'!$B$18+'Scénario référence'!$B$9+'Scénario référence'!$B$10)*A96*10/30+('Scénario référence'!$F$8+'Scénario référence'!$F$9)*10)</f>
        <v>10</v>
      </c>
      <c r="FB96" s="151" t="str">
        <f>VLOOKUP(A96,'Données projet'!$A$217:$I$237,2,0)</f>
        <v>#N/A</v>
      </c>
      <c r="FC96" s="151" t="str">
        <f>VLOOKUP(A96,'Données projet'!$A$217:$I$237,9,0)</f>
        <v>#N/A</v>
      </c>
      <c r="FD96" s="151" t="str">
        <f t="array" ref="FD96">INDEX(FC:FC,MIN(IF(ISNUMBER(FC96:FC292),ROW(FC96:FC292),"")))</f>
        <v/>
      </c>
      <c r="FE96" s="151">
        <f>IF('Données projet'!$A$218&gt;35,FE95+FD96-FM95,IF(A96&lt;'Données projet'!$A$218,$FB$205^A96,IF(A96='Données projet'!$A$218,'Données projet'!$B$218,FE95+FD96-FM95)))</f>
        <v>0</v>
      </c>
      <c r="FF96" s="158" t="str">
        <f>FE96*VLOOKUP('Données projet'!$B$16,'Paramètres'!$A$1:$I$88,3,0)*VLOOKUP('Données projet'!$B$16,'Paramètres'!$A$1:$I$88,5,0)</f>
        <v>#N/A</v>
      </c>
      <c r="FG96" s="150" t="str">
        <f t="shared" si="48"/>
        <v>#N/A</v>
      </c>
      <c r="FH96" s="161" t="str">
        <f t="shared" si="23"/>
        <v>#N/A</v>
      </c>
      <c r="FI96" s="153" t="str">
        <f t="shared" si="24"/>
        <v>#N/A</v>
      </c>
      <c r="FJ96" s="153" t="str">
        <f>AVERAGE(OFFSET($FI$3,0,0,'Données projet'!$E$16+1,1))-AVERAGE(OFFSET($H$3,0,0,'Données projet'!$E$16+1,1))</f>
        <v>#N/A</v>
      </c>
      <c r="FK96" s="153" t="str">
        <f t="shared" si="49"/>
        <v>#N/A</v>
      </c>
      <c r="FL96" s="154">
        <f>IF(ISNA(VLOOKUP(A96,'Données projet'!$A$217:$I$237,3,0)),0,VLOOKUP(A96,'Données projet'!$A$217:$I$237,3,0))</f>
        <v>0</v>
      </c>
      <c r="FM96" s="154">
        <f>IF(ISNA(VLOOKUP(A96,'Données projet'!$A$217:$I$237,4,0)),0,VLOOKUP(A96,'Données projet'!$A$217:$I$237,4,0))</f>
        <v>0</v>
      </c>
      <c r="FN96" s="155">
        <f>IF(ISNA(VLOOKUP(A96,'Données projet'!$A$217:$I$237,5,0)),0%,VLOOKUP(A96,'Données projet'!$A$217:$I$237,5,0)*VLOOKUP('Données projet'!$B$16,'Paramètres'!$A$1:$I$88,7,0))</f>
        <v>0</v>
      </c>
      <c r="FO96" s="155">
        <f>IF(ISNA(VLOOKUP(A96,'Données projet'!$A$217:$I$237,6,0)),0%,VLOOKUP(A96,'Données projet'!$A$217:$I$237,6,0)*VLOOKUP('Données projet'!$B$16,'Paramètres'!$A$1:$I$88,7,0))</f>
        <v>0</v>
      </c>
      <c r="FP96" s="155">
        <f>IF(ISNA(VLOOKUP(A96,'Données projet'!$A$217:$I$237,7,0)),0%,VLOOKUP(A96,'Données projet'!$A$217:$I$237,7,0))</f>
        <v>0</v>
      </c>
      <c r="FQ96" s="162" t="str">
        <f>EXP(-LN(2)/35)*FQ95+(1-EXP(-LN(2)/35))/(LN(2)/35)*FM96*FN96*VLOOKUP('Données projet'!$B$16,'Paramètres'!$A$1:$I$88,3,0)*0.475*44/12</f>
        <v>#N/A</v>
      </c>
      <c r="FR96" s="162" t="str">
        <f>EXP(-LN(2)/25)*FR95+(1-EXP(-LN(2)/25))/(LN(2)/25)*Calculateur!FM96*Calculateur!FO96*VLOOKUP('Données projet'!$B$16,'Paramètres'!$A$1:$I$88,3,0)*0.475*44/12</f>
        <v>#N/A</v>
      </c>
      <c r="FS96" s="162" t="str">
        <f>EXP(-LN(2)/2)*FS95+(1-EXP(-LN(2)/2))/(LN(2)/2)*FM96*FP96*VLOOKUP('Données projet'!$B$16,'Paramètres'!$A$1:$I$88,3,0)*0.475*44/12</f>
        <v>#N/A</v>
      </c>
      <c r="FT96" s="163" t="str">
        <f t="shared" si="25"/>
        <v>#N/A</v>
      </c>
      <c r="FU96" s="159">
        <f>('Scénario référence'!$F$8+'Scénario référence'!$F$9+'Scénario référence'!$B$17+'Scénario référence'!$B$9+'Scénario référence'!$B$10)*70+IF((45+25*(1-EXP(-0.0175*A96)))&lt;70,'Scénario référence'!$B$16*(45+25*(1-EXP(-0.0175*A96))),70*'Scénario référence'!$B$16)+IF((32+38*(1-EXP(-0.0175*A96)))&lt;70,'Scénario référence'!$B$18*(32+38*(1-EXP(-0.0175*A96))),70*'Scénario référence'!$B$18)</f>
        <v>70</v>
      </c>
      <c r="FV96" s="151">
        <f>IF(A96&gt;30,10,('Scénario référence'!$B$16+'Scénario référence'!$B$17+'Scénario référence'!$B$18+'Scénario référence'!$B$9+'Scénario référence'!$B$10)*A96*10/30+('Scénario référence'!$F$8+'Scénario référence'!$F$9)*10)</f>
        <v>10</v>
      </c>
      <c r="FW96" s="151" t="str">
        <f>VLOOKUP(A96,'Données projet'!$A$243:$I$263,2,0)</f>
        <v>#N/A</v>
      </c>
      <c r="FX96" s="151" t="str">
        <f>VLOOKUP(A96,'Données projet'!$A$243:$I$263,9,0)</f>
        <v>#N/A</v>
      </c>
      <c r="FY96" s="151" t="str">
        <f t="array" ref="FY96">INDEX(FX:FX,MIN(IF(ISNUMBER(FX96:FX292),ROW(FX96:FX292),"")))</f>
        <v/>
      </c>
      <c r="FZ96" s="151">
        <f>IF('Données projet'!$A$244&gt;35,FZ95+FY96-GH95,IF(A96&lt;'Données projet'!$A$244,$FW$205^A96,IF(A96='Données projet'!$A$244,'Données projet'!$B$244,FZ95+FY96-GH95)))</f>
        <v>0</v>
      </c>
      <c r="GA96" s="158" t="str">
        <f>FZ96*VLOOKUP('Données projet'!$B$17,'Paramètres'!$A$1:$I$88,3,0)*VLOOKUP('Données projet'!$B$17,'Paramètres'!$A$1:$I$88,5,0)</f>
        <v>#N/A</v>
      </c>
      <c r="GB96" s="150" t="str">
        <f t="shared" si="50"/>
        <v>#N/A</v>
      </c>
      <c r="GC96" s="161" t="str">
        <f t="shared" si="26"/>
        <v>#N/A</v>
      </c>
      <c r="GD96" s="153" t="str">
        <f t="shared" si="27"/>
        <v>#N/A</v>
      </c>
      <c r="GE96" s="153" t="str">
        <f>AVERAGE(OFFSET($GD$3,0,0,'Données projet'!$E$17+1,1))-AVERAGE(OFFSET($H$3,0,0,'Données projet'!$E$17+1,1))</f>
        <v>#N/A</v>
      </c>
      <c r="GF96" s="153" t="str">
        <f t="shared" si="51"/>
        <v>#N/A</v>
      </c>
      <c r="GG96" s="154">
        <f>IF(ISNA(VLOOKUP(A96,'Données projet'!$A$243:$I$263,3,0)),0,VLOOKUP(A96,'Données projet'!$A$243:$I$263,3,0))</f>
        <v>0</v>
      </c>
      <c r="GH96" s="154">
        <f>IF(ISNA(VLOOKUP(A96,'Données projet'!$A$243:$I$263,4,0)),0,VLOOKUP(A96,'Données projet'!$A$243:$I$263,4,0))</f>
        <v>0</v>
      </c>
      <c r="GI96" s="155">
        <f>IF(ISNA(VLOOKUP(A96,'Données projet'!$A$243:$I$263,5,0)),0%,VLOOKUP(A96,'Données projet'!$A$243:$I$263,5,0)*VLOOKUP('Données projet'!$B$17,'Paramètres'!$A$1:$I$88,7,0))</f>
        <v>0</v>
      </c>
      <c r="GJ96" s="155">
        <f>IF(ISNA(VLOOKUP(A96,'Données projet'!$A$243:$I$263,6,0)),0%,VLOOKUP(A96,'Données projet'!$A$243:$I$263,6,0)*VLOOKUP('Données projet'!$B$17,'Paramètres'!$A$1:$I$88,7,0))</f>
        <v>0</v>
      </c>
      <c r="GK96" s="155">
        <f>IF(ISNA(VLOOKUP(A96,'Données projet'!$A$243:$I$263,7,0)),0%,VLOOKUP(A96,'Données projet'!$A$243:$I$263,7,0))</f>
        <v>0</v>
      </c>
      <c r="GL96" s="162" t="str">
        <f>EXP(-LN(2)/35)*GL95+(1-EXP(-LN(2)/35))/(LN(2)/35)*GH96*GI96*VLOOKUP('Données projet'!$B$17,'Paramètres'!$A$1:$I$88,3,0)*0.475*44/12</f>
        <v>#N/A</v>
      </c>
      <c r="GM96" s="162" t="str">
        <f>EXP(-LN(2)/25)*GM95+(1-EXP(-LN(2)/25))/(LN(2)/25)*Calculateur!GH96*Calculateur!GJ96*VLOOKUP('Données projet'!$B$17,'Paramètres'!$A$1:$I$88,3,0)*0.475*44/12</f>
        <v>#N/A</v>
      </c>
      <c r="GN96" s="162" t="str">
        <f>EXP(-LN(2)/2)*GN95+(1-EXP(-LN(2)/2))/(LN(2)/2)*GH96*GK96*VLOOKUP('Données projet'!$B$17,'Paramètres'!$A$1:$I$88,3,0)*0.475*44/12</f>
        <v>#N/A</v>
      </c>
      <c r="GO96" s="162" t="str">
        <f t="shared" si="28"/>
        <v>#N/A</v>
      </c>
      <c r="GP96" s="159">
        <f>('Scénario référence'!$F$8+'Scénario référence'!$F$9+'Scénario référence'!$B$17+'Scénario référence'!$B$9+'Scénario référence'!$B$10)*70+IF((45+25*(1-EXP(-0.0175*A96)))&lt;70,'Scénario référence'!$B$16*(45+25*(1-EXP(-0.0175*A96))),70*'Scénario référence'!$B$16)+IF((32+38*(1-EXP(-0.0175*A96)))&lt;70,'Scénario référence'!$B$18*(32+38*(1-EXP(-0.0175*A96))),70*'Scénario référence'!$B$18)</f>
        <v>70</v>
      </c>
      <c r="GQ96" s="151">
        <f>IF(A96&gt;30,10,('Scénario référence'!$B$16+'Scénario référence'!$B$17+'Scénario référence'!$B$18+'Scénario référence'!$B$9+'Scénario référence'!$B$10)*A96*10/30+('Scénario référence'!$F$8+'Scénario référence'!$F$9)*10)</f>
        <v>10</v>
      </c>
      <c r="GR96" s="151" t="str">
        <f>VLOOKUP(A96,'Données projet'!$A$269:$I$289,2,0)</f>
        <v>#N/A</v>
      </c>
      <c r="GS96" s="151" t="str">
        <f>VLOOKUP(A96,'Données projet'!$A$269:$I$289,9,0)</f>
        <v>#N/A</v>
      </c>
      <c r="GT96" s="151" t="str">
        <f t="array" ref="GT96">INDEX(GS:GS,MIN(IF(ISNUMBER(GS96:GS292),ROW(GS96:GS292),"")))</f>
        <v/>
      </c>
      <c r="GU96" s="151">
        <f>IF('Données projet'!$A$270&gt;35,GU95+GT96-HC95,IF(A96&lt;'Données projet'!$A$270,$GR$205^A96,IF(A96='Données projet'!$A$270,'Données projet'!$B$270,GU95+GT96-HC95)))</f>
        <v>0</v>
      </c>
      <c r="GV96" s="158" t="str">
        <f>GU96*VLOOKUP('Données projet'!$B$18,'Paramètres'!$A$1:$I$88,3,0)*VLOOKUP('Données projet'!$B$18,'Paramètres'!$A$1:$I$88,5,0)</f>
        <v>#N/A</v>
      </c>
      <c r="GW96" s="150" t="str">
        <f t="shared" si="52"/>
        <v>#N/A</v>
      </c>
      <c r="GX96" s="161" t="str">
        <f t="shared" si="29"/>
        <v>#N/A</v>
      </c>
      <c r="GY96" s="153" t="str">
        <f t="shared" si="30"/>
        <v>#N/A</v>
      </c>
      <c r="GZ96" s="153" t="str">
        <f>AVERAGE(OFFSET($GY$3,0,0,'Données projet'!$E$18+1,1))-AVERAGE(OFFSET($H$3,0,0,'Données projet'!$E$18+1,1))</f>
        <v>#N/A</v>
      </c>
      <c r="HA96" s="153" t="str">
        <f t="shared" si="53"/>
        <v>#N/A</v>
      </c>
      <c r="HB96" s="154">
        <f>IF(ISNA(VLOOKUP(A96,'Données projet'!$A$269:$I$289,3,0)),0,VLOOKUP(A96,'Données projet'!$A$269:$I$289,3,0))</f>
        <v>0</v>
      </c>
      <c r="HC96" s="154">
        <f>IF(ISNA(VLOOKUP(A96,'Données projet'!$A$269:$I$289,4,0)),0,VLOOKUP(A96,'Données projet'!$A$269:$I$289,4,0))</f>
        <v>0</v>
      </c>
      <c r="HD96" s="155">
        <f>IF(ISNA(VLOOKUP(A96,'Données projet'!$A$269:$I$289,5,0)),0%,VLOOKUP(A96,'Données projet'!$A$269:$I$289,5,0)*VLOOKUP('Données projet'!$B$18,'Paramètres'!$A$1:$I$88,7,0))</f>
        <v>0</v>
      </c>
      <c r="HE96" s="155">
        <f>IF(ISNA(VLOOKUP(A96,'Données projet'!$A$269:$I$289,6,0)),0%,VLOOKUP(A96,'Données projet'!$A$269:$I$289,6,0)*VLOOKUP('Données projet'!$B$18,'Paramètres'!$A$1:$I$88,7,0))</f>
        <v>0</v>
      </c>
      <c r="HF96" s="155">
        <f>IF(ISNA(VLOOKUP(A96,'Données projet'!$A$269:$I$289,7,0)),0%,VLOOKUP(A96,'Données projet'!$A$269:$I$289,7,0))</f>
        <v>0</v>
      </c>
      <c r="HG96" s="162" t="str">
        <f>EXP(-LN(2)/35)*HG95+(1-EXP(-LN(2)/35))/(LN(2)/35)*HC96*HD96*VLOOKUP('Données projet'!$B$18,'Paramètres'!$A$1:$I$88,3,0)*0.475*44/12</f>
        <v>#N/A</v>
      </c>
      <c r="HH96" s="162" t="str">
        <f>EXP(-LN(2)/25)*HH95+(1-EXP(-LN(2)/25))/(LN(2)/25)*Calculateur!HC96*Calculateur!HE96*VLOOKUP('Données projet'!$B$18,'Paramètres'!$A$1:$I$88,3,0)*0.475*44/12</f>
        <v>#N/A</v>
      </c>
      <c r="HI96" s="162" t="str">
        <f>EXP(-LN(2)/2)*HI95+(1-EXP(-LN(2)/2))/(LN(2)/2)*HC96*HF96*VLOOKUP('Données projet'!$B$18,'Paramètres'!$A$1:$I$88,3,0)*0.475*44/12</f>
        <v>#N/A</v>
      </c>
      <c r="HJ96" s="163" t="str">
        <f t="shared" si="31"/>
        <v>#N/A</v>
      </c>
    </row>
    <row r="97" ht="15.75" customHeight="1">
      <c r="A97" s="145">
        <f t="shared" si="32"/>
        <v>94</v>
      </c>
      <c r="B97" s="146">
        <f>'Scénario référence'!$B$16*5+'Scénario référence'!$B$17*0+'Scénario référence'!$B$18*5</f>
        <v>0</v>
      </c>
      <c r="C97" s="160">
        <f>Calculateur!C96+'Scénario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97" s="147">
        <f t="shared" si="33"/>
        <v>0</v>
      </c>
      <c r="E97" s="147">
        <f>'Scénario référence'!$B$16*45+('Scénario référence'!$B$17+'Scénario référence'!$F$8+'Scénario référence'!$F$9+'Scénario référence'!$B$10+'Scénario référence'!$B$9)*70+'Scénario référence'!$B$18*32</f>
        <v>70</v>
      </c>
      <c r="F97" s="147">
        <f>IF(OR('Scénario référence'!$F$8&gt;0,'Scénario référence'!$F$9&gt;0),('Scénario référence'!$F$8+'Scénario référence'!$F$9)*10,0)</f>
        <v>0</v>
      </c>
      <c r="G97" s="147">
        <f>'Scénario référence'!$B$8*B97*44/12+'Scénario référence'!$B$9*(C97+D97)/0.475*44/12+'Scénario référence'!$B$10*(C97+D97)/0.475*44/12+'Scénario référence'!$F$8*(C97+D97)/0.475*44/12+'Scénario référence'!$F$9*(C97+D97)/0.475*44/12</f>
        <v>0</v>
      </c>
      <c r="H97" s="148">
        <f t="shared" si="1"/>
        <v>256.6666667</v>
      </c>
      <c r="I97" s="149">
        <f>('Scénario référence'!$F$8+'Scénario référence'!$F$9+'Scénario référence'!$B$17+'Scénario référence'!$B$9+'Scénario référence'!$B$10)*70+IF((45+25*(1-EXP(-0.0175*A97)))&lt;70,'Scénario référence'!$B$16*(45+25*(1-EXP(-0.0175*A97))),70*'Scénario référence'!$B$16)+IF((32+38*(1-EXP(-0.0175*A97)))&lt;70,'Scénario référence'!$B$18*(32+38*(1-EXP(-0.0175*A97))),70*'Scénario référence'!$B$18)</f>
        <v>70</v>
      </c>
      <c r="J97" s="150">
        <f>IF(A97&gt;30,10,('Scénario référence'!$B$16+'Scénario référence'!$B$17+'Scénario référence'!$B$18+'Scénario référence'!$B$9+'Scénario référence'!$B$10)*A97*10/30+('Scénario référence'!$F$8+'Scénario référence'!$F$9)*10)</f>
        <v>10</v>
      </c>
      <c r="K97" s="151" t="str">
        <f>VLOOKUP(A97,'Données projet'!$A$35:$I$55,2,0)</f>
        <v>#N/A</v>
      </c>
      <c r="L97" s="151" t="str">
        <f>VLOOKUP(A97,'Données projet'!$A$35:$I$55,9,0)</f>
        <v>#N/A</v>
      </c>
      <c r="M97" s="150">
        <f t="array" ref="M97">INDEX(L:L,MIN(IF(ISNUMBER(L97:L293),ROW(L97:L293),"")))</f>
        <v>6.2</v>
      </c>
      <c r="N97" s="150">
        <f>IF('Données projet'!$A$36&gt;35,N96+M97-V96,IF(A97&lt;'Données projet'!$A$36,$K$205^A97,IF(A97='Données projet'!$A$36,'Données projet'!$B$36,N96+M97-V96)))</f>
        <v>326.8</v>
      </c>
      <c r="O97" s="150">
        <f>N97*VLOOKUP('Données projet'!$B$9,'Paramètres'!$A$1:$I$88,3,0)*VLOOKUP('Données projet'!$B$9,'Paramètres'!$A$1:$I$88,5,0)</f>
        <v>295.68864</v>
      </c>
      <c r="P97" s="150">
        <f t="shared" si="34"/>
        <v>70.27187678</v>
      </c>
      <c r="Q97" s="161">
        <f t="shared" si="2"/>
        <v>637.3812334</v>
      </c>
      <c r="R97" s="153">
        <f t="shared" si="3"/>
        <v>930.7145667</v>
      </c>
      <c r="S97" s="153">
        <f>AVERAGE(OFFSET($R$3,0,0,'Données projet'!$E$9+1,1))-AVERAGE(OFFSET($H$3,0,0,'Données projet'!$E$9+1,1))</f>
        <v>439.1985427</v>
      </c>
      <c r="T97" s="153">
        <f t="shared" si="35"/>
        <v>278.2174123</v>
      </c>
      <c r="U97" s="154">
        <f>IF(ISNA(VLOOKUP(A97,'Données projet'!$A$35:$I$55,3,0)),0,VLOOKUP(A97,'Données projet'!$A$35:$I$55,3,0))</f>
        <v>0</v>
      </c>
      <c r="V97" s="154">
        <f>IF(ISNA(VLOOKUP(A97,'Données projet'!$A$35:$I$55,4,0)),0,VLOOKUP(A97,'Données projet'!$A$35:$I$55,4,0))</f>
        <v>0</v>
      </c>
      <c r="W97" s="155">
        <f>IF(ISNA(VLOOKUP(A97,'Données projet'!$A$35:$I$55,5,0)),0%,VLOOKUP(A97,'Données projet'!$A$35:$I$55,5,0)*VLOOKUP('Données projet'!$B$9,'Paramètres'!$A$1:$I$88,7,0))</f>
        <v>0</v>
      </c>
      <c r="X97" s="155">
        <f>IF(ISNA(VLOOKUP(A97,'Données projet'!$A$35:$I$55,6,0)),0%,VLOOKUP(A97,'Données projet'!$A$35:$I$55,6,0)*VLOOKUP('Données projet'!$B$9,'Paramètres'!$A$1:$I$88,7,0))</f>
        <v>0</v>
      </c>
      <c r="Y97" s="155">
        <f>IF(ISNA(VLOOKUP(A97,'Données projet'!$A$35:$I$55,7,0)),0%,VLOOKUP(A97,'Données projet'!$A$35:$I$55,7,0))</f>
        <v>0</v>
      </c>
      <c r="Z97" s="162">
        <f>EXP(-LN(2)/35)*Z96+(1-EXP(-LN(2)/35))/(LN(2)/35)*V97*W97*VLOOKUP('Données projet'!$B$9,'Paramètres'!$A$1:$I$88,3,0)*0.475*44/12</f>
        <v>0</v>
      </c>
      <c r="AA97" s="162">
        <f>EXP(-LN(2)/25)*AA96+(1-EXP(-LN(2)/25))/(LN(2)/25)*Calculateur!V97*Calculateur!X97*VLOOKUP('Données projet'!$B$9,'Paramètres'!$A$1:$I$88,3,0)*0.475*44/12</f>
        <v>0.7609839376</v>
      </c>
      <c r="AB97" s="162">
        <f>EXP(-LN(2)/2)*AB96+(1-EXP(-LN(2)/2))/(LN(2)/2)*V97*Y97*VLOOKUP('Données projet'!$B$9,'Paramètres'!$A$1:$I$88,3,0)*0.475*44/12</f>
        <v>0</v>
      </c>
      <c r="AC97" s="163">
        <f t="shared" si="4"/>
        <v>0.7609839376</v>
      </c>
      <c r="AD97" s="150">
        <f>('Scénario référence'!$F$8+'Scénario référence'!$F$9+'Scénario référence'!$B$17+'Scénario référence'!$B$9+'Scénario référence'!$B$10)*70+IF((45+25*(1-EXP(-0.0175*A97)))&lt;70,'Scénario référence'!$B$16*(45+25*(1-EXP(-0.0175*A97))),70*'Scénario référence'!$B$16)+IF((32+38*(1-EXP(-0.0175*A97)))&lt;70,'Scénario référence'!$B$18*(32+38*(1-EXP(-0.0175*A97))),70*'Scénario référence'!$B$18)</f>
        <v>70</v>
      </c>
      <c r="AE97" s="150">
        <f>IF(A97&gt;30,10,('Scénario référence'!$B$16+'Scénario référence'!$B$17+'Scénario référence'!$B$18+'Scénario référence'!$B$9+'Scénario référence'!$B$10)*A97*10/30+('Scénario référence'!$F$8+'Scénario référence'!$F$9)*10)</f>
        <v>10</v>
      </c>
      <c r="AF97" s="151" t="str">
        <f>VLOOKUP(A97,'Données projet'!$A$61:$I$81,2,0)</f>
        <v>#N/A</v>
      </c>
      <c r="AG97" s="151" t="str">
        <f>VLOOKUP(A97,'Données projet'!$A$61:$I$81,9,0)</f>
        <v>#N/A</v>
      </c>
      <c r="AH97" s="151" t="str">
        <f t="array" ref="AH97">INDEX(AG:AG,MIN(IF(ISNUMBER(AG97:AG293),ROW(AG97:AG293),"")))</f>
        <v/>
      </c>
      <c r="AI97" s="150">
        <f>IF('Données projet'!$A$62&gt;35,AI96+AH97-AQ96,IF(A97&lt;'Données projet'!$A$62,$AF$205^A97,IF(A97='Données projet'!$A$62,'Données projet'!$B$62,AI96+AH97-AQ96)))</f>
        <v>369</v>
      </c>
      <c r="AJ97" s="150">
        <f>AI97*VLOOKUP('Données projet'!$B$10,'Paramètres'!$A$1:$I$88,3,0)*VLOOKUP('Données projet'!$B$10,'Paramètres'!$A$1:$I$88,5,0)</f>
        <v>293.5764</v>
      </c>
      <c r="AK97" s="150">
        <f t="shared" si="36"/>
        <v>69.82813851</v>
      </c>
      <c r="AL97" s="161">
        <f t="shared" si="5"/>
        <v>632.9295712</v>
      </c>
      <c r="AM97" s="153">
        <f t="shared" si="6"/>
        <v>926.2629046</v>
      </c>
      <c r="AN97" s="153">
        <f>AVERAGE(OFFSET($AM$3,0,0,'Données projet'!$E$10+1,1))-AVERAGE(OFFSET($H$3,0,0,'Données projet'!$E$10+1,1))</f>
        <v>405.6113614</v>
      </c>
      <c r="AO97" s="153">
        <f t="shared" si="37"/>
        <v>393.0787141</v>
      </c>
      <c r="AP97" s="154">
        <f>IF(ISNA(VLOOKUP(A97,'Données projet'!$A$61:$I$81,3,0)),0,VLOOKUP(A97,'Données projet'!$A$61:$I$81,3,0))</f>
        <v>0</v>
      </c>
      <c r="AQ97" s="154">
        <f>IF(ISNA(VLOOKUP(A97,'Données projet'!$A$61:$I$81,4,0)),0,VLOOKUP(A97,'Données projet'!$A$61:$I$81,4,0))</f>
        <v>0</v>
      </c>
      <c r="AR97" s="155">
        <f>IF(ISNA(VLOOKUP(A97,'Données projet'!$A$61:$I$81,5,0)),0%,VLOOKUP(A97,'Données projet'!$A$61:$I$81,5,0)*VLOOKUP('Données projet'!$B$10,'Paramètres'!$A$1:$I$88,7,0))</f>
        <v>0</v>
      </c>
      <c r="AS97" s="155">
        <f>IF(ISNA(VLOOKUP(A97,'Données projet'!$A$61:$I$81,6,0)),0%,VLOOKUP(A97,'Données projet'!$A$61:$I$81,6,0)*VLOOKUP('Données projet'!$B$10,'Paramètres'!$A$1:$I$88,7,0))</f>
        <v>0</v>
      </c>
      <c r="AT97" s="155">
        <f>IF(ISNA(VLOOKUP(A97,'Données projet'!$A$61:$I$81,7,0)),0%,VLOOKUP(A97,'Données projet'!$A$61:$I$81,7,0))</f>
        <v>0</v>
      </c>
      <c r="AU97" s="162">
        <f>EXP(-LN(2)/35)*AU96+(1-EXP(-LN(2)/35))/(LN(2)/35)*AQ97*AR97*VLOOKUP('Données projet'!$B$10,'Paramètres'!$A$1:$I$88,3,0)*0.475*44/12</f>
        <v>0</v>
      </c>
      <c r="AV97" s="162">
        <f>EXP(-LN(2)/25)*AV96+(1-EXP(-LN(2)/25))/(LN(2)/25)*Calculateur!AQ97*Calculateur!AS97*VLOOKUP('Données projet'!$B$10,'Paramètres'!$A$1:$I$88,3,0)*0.475*44/12</f>
        <v>3.092832172</v>
      </c>
      <c r="AW97" s="162">
        <f>EXP(-LN(2)/2)*AW96+(1-EXP(-LN(2)/2))/(LN(2)/2)*AQ97*AT97*VLOOKUP('Données projet'!$B$10,'Paramètres'!$A$1:$I$88,3,0)*0.475*44/12</f>
        <v>0.0000000001349747656</v>
      </c>
      <c r="AX97" s="162">
        <f t="shared" si="7"/>
        <v>3.092832173</v>
      </c>
      <c r="AY97" s="157">
        <f>('Scénario référence'!$F$8+'Scénario référence'!$F$9+'Scénario référence'!$B$17+'Scénario référence'!$B$9+'Scénario référence'!$B$10)*70+IF((45+25*(1-EXP(-0.0175*A97)))&lt;70,'Scénario référence'!$B$16*(45+25*(1-EXP(-0.0175*A97))),70*'Scénario référence'!$B$16)+IF((32+38*(1-EXP(-0.0175*A97)))&lt;70,'Scénario référence'!$B$18*(32+38*(1-EXP(-0.0175*A97))),70*'Scénario référence'!$B$18)</f>
        <v>70</v>
      </c>
      <c r="AZ97" s="151">
        <f>IF(A97&gt;30,10,('Scénario référence'!$B$16+'Scénario référence'!$B$17+'Scénario référence'!$B$18+'Scénario référence'!$B$9+'Scénario référence'!$B$10)*A97*10/30+('Scénario référence'!$F$8+'Scénario référence'!$F$9)*10)</f>
        <v>10</v>
      </c>
      <c r="BA97" s="151" t="str">
        <f>VLOOKUP(A97,'Données projet'!$A$87:$I$107,2,0)</f>
        <v>#N/A</v>
      </c>
      <c r="BB97" s="151" t="str">
        <f>VLOOKUP(A97,'Données projet'!$A$87:$I$107,9,0)</f>
        <v>#N/A</v>
      </c>
      <c r="BC97" s="151" t="str">
        <f t="array" ref="BC97">INDEX(BB:BB,MIN(IF(ISNUMBER(BB97:BB293),ROW(BB97:BB293),"")))</f>
        <v/>
      </c>
      <c r="BD97" s="150">
        <f>IF('Données projet'!$A$88&gt;35,BD96+BC97-BL96,IF(A97&lt;'Données projet'!$A$88,$BA$205^A97,IF(A97='Données projet'!$A$88,'Données projet'!$B$88,BD96+BC97-BL96)))</f>
        <v>0</v>
      </c>
      <c r="BE97" s="150">
        <f>BD97*VLOOKUP('Données projet'!$B$11,'Paramètres'!$A$1:$I$88,3,0)*VLOOKUP('Données projet'!$B$11,'Paramètres'!$A$1:$I$88,5,0)</f>
        <v>0</v>
      </c>
      <c r="BF97" s="150" t="str">
        <f t="shared" si="38"/>
        <v>#NUM!</v>
      </c>
      <c r="BG97" s="161" t="str">
        <f t="shared" si="8"/>
        <v>#NUM!</v>
      </c>
      <c r="BH97" s="153" t="str">
        <f t="shared" si="9"/>
        <v>#NUM!</v>
      </c>
      <c r="BI97" s="153">
        <f>AVERAGE(OFFSET($BH$3,0,0,'Données projet'!$E$11+1,1))-AVERAGE(OFFSET($H$3,0,0,'Données projet'!$E$11+1,1))</f>
        <v>0</v>
      </c>
      <c r="BJ97" s="153">
        <f t="shared" si="39"/>
        <v>0</v>
      </c>
      <c r="BK97" s="154">
        <f>IF(ISNA(VLOOKUP(A97,'Données projet'!$A$87:$I$107,3,0)),0,VLOOKUP(A97,'Données projet'!$A$87:$I$107,3,0))</f>
        <v>0</v>
      </c>
      <c r="BL97" s="154">
        <f>IF(ISNA(VLOOKUP(A97,'Données projet'!$A$87:$I$107,4,0)),0,VLOOKUP(A97,'Données projet'!$A$87:$I$107,4,0))</f>
        <v>0</v>
      </c>
      <c r="BM97" s="155">
        <f>IF(ISNA(VLOOKUP(A97,'Données projet'!$A$87:$I$107,5,0)),0%,VLOOKUP(A97,'Données projet'!$A$87:$I$107,5,0)*VLOOKUP('Données projet'!$B$11,'Paramètres'!$A$1:$I$88,7,0))</f>
        <v>0</v>
      </c>
      <c r="BN97" s="155">
        <f>IF(ISNA(VLOOKUP(A97,'Données projet'!$A$87:$I$107,6,0)),0%,VLOOKUP(A97,'Données projet'!$A$87:$I$107,6,0)*VLOOKUP('Données projet'!$B$11,'Paramètres'!$A$1:$I$88,7,0))</f>
        <v>0</v>
      </c>
      <c r="BO97" s="155">
        <f>IF(ISNA(VLOOKUP(A97,'Données projet'!$A$87:$I$107,7,0)),0%,VLOOKUP(A97,'Données projet'!$A$87:$I$107,7,0))</f>
        <v>0</v>
      </c>
      <c r="BP97" s="162">
        <f>EXP(-LN(2)/35)*BP96+(1-EXP(-LN(2)/35))/(LN(2)/35)*BL97*BM97*VLOOKUP('Données projet'!$B$11,'Paramètres'!$A$1:$I$88,3,0)*0.475*44/12</f>
        <v>0</v>
      </c>
      <c r="BQ97" s="162">
        <f>EXP(-LN(2)/25)*BQ96+(1-EXP(-LN(2)/25))/(LN(2)/25)*Calculateur!BL97*Calculateur!BN97*VLOOKUP('Données projet'!$B$11,'Paramètres'!$A$1:$I$88,3,0)*0.475*44/12</f>
        <v>0</v>
      </c>
      <c r="BR97" s="162">
        <f>EXP(-LN(2)/2)*BR96+(1-EXP(-LN(2)/2))/(LN(2)/2)*BL97*BO97*VLOOKUP('Données projet'!$B$11,'Paramètres'!$A$1:$I$88,3,0)*0.475*44/12</f>
        <v>0</v>
      </c>
      <c r="BS97" s="163">
        <f t="shared" si="10"/>
        <v>0</v>
      </c>
      <c r="BT97" s="159">
        <f>('Scénario référence'!$F$8+'Scénario référence'!$F$9+'Scénario référence'!$B$17+'Scénario référence'!$B$9+'Scénario référence'!$B$10)*70+IF((45+25*(1-EXP(-0.0175*A97)))&lt;70,'Scénario référence'!$B$16*(45+25*(1-EXP(-0.0175*A97))),70*'Scénario référence'!$B$16)+IF((32+38*(1-EXP(-0.0175*A97)))&lt;70,'Scénario référence'!$B$18*(32+38*(1-EXP(-0.0175*A97))),70*'Scénario référence'!$B$18)</f>
        <v>70</v>
      </c>
      <c r="BU97" s="151">
        <f>IF(A97&gt;30,10,('Scénario référence'!$B$16+'Scénario référence'!$B$17+'Scénario référence'!$B$18+'Scénario référence'!$B$9+'Scénario référence'!$B$10)*A97*10/30+('Scénario référence'!$F$8+'Scénario référence'!$F$9)*10)</f>
        <v>10</v>
      </c>
      <c r="BV97" s="151" t="str">
        <f>VLOOKUP(A97,'Données projet'!$A$113:$I$133,2,0)</f>
        <v>#N/A</v>
      </c>
      <c r="BW97" s="151" t="str">
        <f>VLOOKUP(A97,'Données projet'!$A$113:$I$133,9,0)</f>
        <v>#N/A</v>
      </c>
      <c r="BX97" s="150" t="str">
        <f t="array" ref="BX97">INDEX(BW:BW,MIN(IF(ISNUMBER(BW97:BW293),ROW(BW97:BW293),"")))</f>
        <v/>
      </c>
      <c r="BY97" s="150">
        <f>IF('Données projet'!$A$114&gt;35,BY96+BX97-CG96,IF(A97&lt;'Données projet'!$A$114,$BV$205^A97,IF(A97='Données projet'!$A$114,'Données projet'!$B$114,BY96+BX97-CG96)))</f>
        <v>0</v>
      </c>
      <c r="BZ97" s="150" t="str">
        <f>BY97*VLOOKUP('Données projet'!$B$12,'Paramètres'!$A$1:$I$88,3,0)*VLOOKUP('Données projet'!$B$12,'Paramètres'!$A$1:$I$88,5,0)</f>
        <v>#N/A</v>
      </c>
      <c r="CA97" s="150" t="str">
        <f t="shared" si="40"/>
        <v>#N/A</v>
      </c>
      <c r="CB97" s="161" t="str">
        <f t="shared" si="11"/>
        <v>#N/A</v>
      </c>
      <c r="CC97" s="153" t="str">
        <f t="shared" si="12"/>
        <v>#N/A</v>
      </c>
      <c r="CD97" s="153" t="str">
        <f>AVERAGE(OFFSET($CC$3,0,0,'Données projet'!$E$12+1,1))-AVERAGE(OFFSET($H$3,0,0,'Données projet'!$E$12+1,1))</f>
        <v>#N/A</v>
      </c>
      <c r="CE97" s="153" t="str">
        <f t="shared" si="41"/>
        <v>#N/A</v>
      </c>
      <c r="CF97" s="154">
        <f>IF(ISNA(VLOOKUP(A97,'Données projet'!$A$113:$I$133,3,0)),0,VLOOKUP(A97,'Données projet'!$A$113:$I$133,3,0))</f>
        <v>0</v>
      </c>
      <c r="CG97" s="154">
        <f>IF(ISNA(VLOOKUP(A97,'Données projet'!$A$113:$I$133,4,0)),0,VLOOKUP(A97,'Données projet'!$A$113:$I$133,4,0))</f>
        <v>0</v>
      </c>
      <c r="CH97" s="155">
        <f>IF(ISNA(VLOOKUP(A97,'Données projet'!$A$113:$I$133,5,0)),0%,VLOOKUP(A97,'Données projet'!$A$113:$I$133,5,0)*VLOOKUP('Données projet'!$B$12,'Paramètres'!$A$1:$I$88,7,0))</f>
        <v>0</v>
      </c>
      <c r="CI97" s="155">
        <f>IF(ISNA(VLOOKUP(A97,'Données projet'!$A$113:$I$133,6,0)),0%,VLOOKUP(A97,'Données projet'!$A$113:$I$133,6,0)*VLOOKUP('Données projet'!$B$12,'Paramètres'!$A$1:$I$88,7,0))</f>
        <v>0</v>
      </c>
      <c r="CJ97" s="155">
        <f>IF(ISNA(VLOOKUP(A97,'Données projet'!$A$113:$I$133,7,0)),0%,VLOOKUP(A97,'Données projet'!$A$113:$I$133,7,0))</f>
        <v>0</v>
      </c>
      <c r="CK97" s="162" t="str">
        <f>EXP(-LN(2)/35)*CK96+(1-EXP(-LN(2)/35))/(LN(2)/35)*CG97*CH97*VLOOKUP('Données projet'!$B$12,'Paramètres'!$A$1:$I$88,3,0)*0.475*44/12</f>
        <v>#N/A</v>
      </c>
      <c r="CL97" s="162" t="str">
        <f>EXP(-LN(2)/25)*CL96+(1-EXP(-LN(2)/25))/(LN(2)/25)*Calculateur!CG97*Calculateur!CI97*VLOOKUP('Données projet'!$B$12,'Paramètres'!$A$1:$I$88,3,0)*0.475*44/12</f>
        <v>#N/A</v>
      </c>
      <c r="CM97" s="162" t="str">
        <f>EXP(-LN(2)/2)*CM96+(1-EXP(-LN(2)/2))/(LN(2)/2)*CG97*CJ97*VLOOKUP('Données projet'!$B$12,'Paramètres'!$A$1:$I$88,3,0)*0.475*44/12</f>
        <v>#N/A</v>
      </c>
      <c r="CN97" s="163" t="str">
        <f t="shared" si="13"/>
        <v>#N/A</v>
      </c>
      <c r="CO97" s="159">
        <f>('Scénario référence'!$F$8+'Scénario référence'!$F$9+'Scénario référence'!$B$17+'Scénario référence'!$B$9+'Scénario référence'!$B$10)*70+IF((45+25*(1-EXP(-0.0175*A97)))&lt;70,'Scénario référence'!$B$16*(45+25*(1-EXP(-0.0175*A97))),70*'Scénario référence'!$B$16)+IF((32+38*(1-EXP(-0.0175*A97)))&lt;70,'Scénario référence'!$B$18*(32+38*(1-EXP(-0.0175*A97))),70*'Scénario référence'!$B$18)</f>
        <v>70</v>
      </c>
      <c r="CP97" s="151">
        <f>IF(A97&gt;30,10,('Scénario référence'!$B$16+'Scénario référence'!$B$17+'Scénario référence'!$B$18+'Scénario référence'!$B$9+'Scénario référence'!$B$10)*A97*10/30+('Scénario référence'!$F$8+'Scénario référence'!$F$9)*10)</f>
        <v>10</v>
      </c>
      <c r="CQ97" s="151" t="str">
        <f>VLOOKUP(A97,'Données projet'!$A$139:$I$159,2,0)</f>
        <v>#N/A</v>
      </c>
      <c r="CR97" s="151" t="str">
        <f>VLOOKUP(A97,'Données projet'!$A$139:$I$159,9,0)</f>
        <v>#N/A</v>
      </c>
      <c r="CS97" s="151" t="str">
        <f t="array" ref="CS97">INDEX(CR:CR,MIN(IF(ISNUMBER(CR97:CR293),ROW(CR97:CR293),"")))</f>
        <v/>
      </c>
      <c r="CT97" s="151">
        <f>IF('Données projet'!$A$140&gt;35,CT96+CS97-DB96,IF(A97&lt;'Données projet'!$A$140,$CQ$205^A97,IF(A97='Données projet'!$A$140,'Données projet'!$B$140,CT96+CS97-DB96)))</f>
        <v>0</v>
      </c>
      <c r="CU97" s="158" t="str">
        <f>CT97*VLOOKUP('Données projet'!$B$13,'Paramètres'!$A$1:$I$88,3,0)*VLOOKUP('Données projet'!$B$13,'Paramètres'!$A$1:$I$88,5,0)</f>
        <v>#N/A</v>
      </c>
      <c r="CV97" s="150" t="str">
        <f t="shared" si="42"/>
        <v>#N/A</v>
      </c>
      <c r="CW97" s="161" t="str">
        <f t="shared" si="14"/>
        <v>#N/A</v>
      </c>
      <c r="CX97" s="153" t="str">
        <f t="shared" si="15"/>
        <v>#N/A</v>
      </c>
      <c r="CY97" s="153" t="str">
        <f>AVERAGE(OFFSET($CX$3,0,0,'Données projet'!$E$13+1,1))-AVERAGE(OFFSET($H$3,0,0,'Données projet'!$E$13+1,1))</f>
        <v>#N/A</v>
      </c>
      <c r="CZ97" s="153" t="str">
        <f t="shared" si="43"/>
        <v>#N/A</v>
      </c>
      <c r="DA97" s="154">
        <f>IF(ISNA(VLOOKUP(A97,'Données projet'!$A$139:$I$159,3,0)),0,VLOOKUP(A97,'Données projet'!$A$139:$I$159,3,0))</f>
        <v>0</v>
      </c>
      <c r="DB97" s="154">
        <f>IF(ISNA(VLOOKUP(A97,'Données projet'!$A$139:$I$159,4,0)),0,VLOOKUP(A97,'Données projet'!$A$139:$I$159,4,0))</f>
        <v>0</v>
      </c>
      <c r="DC97" s="155">
        <f>IF(ISNA(VLOOKUP(A97,'Données projet'!$A$139:$I$159,5,0)),0%,VLOOKUP(A97,'Données projet'!$A$139:$I$159,5,0)*VLOOKUP('Données projet'!$B$13,'Paramètres'!$A$1:$I$88,7,0))</f>
        <v>0</v>
      </c>
      <c r="DD97" s="155">
        <f>IF(ISNA(VLOOKUP(A97,'Données projet'!$A$139:$I$159,6,0)),0%,VLOOKUP(A97,'Données projet'!$A$139:$I$159,6,0)*VLOOKUP('Données projet'!$B$13,'Paramètres'!$A$1:$I$88,7,0))</f>
        <v>0</v>
      </c>
      <c r="DE97" s="155">
        <f>IF(ISNA(VLOOKUP(A97,'Données projet'!$A$139:$I$159,7,0)),0%,VLOOKUP(A97,'Données projet'!$A$139:$I$159,7,0))</f>
        <v>0</v>
      </c>
      <c r="DF97" s="162" t="str">
        <f>EXP(-LN(2)/35)*DF96+(1-EXP(-LN(2)/35))/(LN(2)/35)*DB97*DC97*VLOOKUP('Données projet'!$B$13,'Paramètres'!$A$1:$I$88,3,0)*0.475*44/12</f>
        <v>#N/A</v>
      </c>
      <c r="DG97" s="162" t="str">
        <f>EXP(-LN(2)/25)*DG96+(1-EXP(-LN(2)/25))/(LN(2)/25)*Calculateur!DB97*Calculateur!DD97*VLOOKUP('Données projet'!$B$13,'Paramètres'!$A$1:$I$88,3,0)*0.475*44/12</f>
        <v>#N/A</v>
      </c>
      <c r="DH97" s="162" t="str">
        <f>EXP(-LN(2)/2)*DH96+(1-EXP(-LN(2)/2))/(LN(2)/2)*DB97*DE97*VLOOKUP('Données projet'!$B$13,'Paramètres'!$A$1:$I$88,3,0)*0.475*44/12</f>
        <v>#N/A</v>
      </c>
      <c r="DI97" s="163" t="str">
        <f t="shared" si="16"/>
        <v>#N/A</v>
      </c>
      <c r="DJ97" s="159">
        <f>('Scénario référence'!$F$8+'Scénario référence'!$F$9+'Scénario référence'!$B$17+'Scénario référence'!$B$9+'Scénario référence'!$B$10)*70+IF((45+25*(1-EXP(-0.0175*A97)))&lt;70,'Scénario référence'!$B$16*(45+25*(1-EXP(-0.0175*A97))),70*'Scénario référence'!$B$16)+IF((32+38*(1-EXP(-0.0175*A97)))&lt;70,'Scénario référence'!$B$18*(32+38*(1-EXP(-0.0175*A97))),70*'Scénario référence'!$B$18)</f>
        <v>70</v>
      </c>
      <c r="DK97" s="151">
        <f>IF(A97&gt;30,10,('Scénario référence'!$B$16+'Scénario référence'!$B$17+'Scénario référence'!$B$18+'Scénario référence'!$B$9+'Scénario référence'!$B$10)*A97*10/30+('Scénario référence'!$F$8+'Scénario référence'!$F$9)*10)</f>
        <v>10</v>
      </c>
      <c r="DL97" s="151" t="str">
        <f>VLOOKUP(A97,'Données projet'!$A$165:$I$185,2,0)</f>
        <v>#N/A</v>
      </c>
      <c r="DM97" s="151" t="str">
        <f>VLOOKUP(A97,'Données projet'!$A$165:$I$185,9,0)</f>
        <v>#N/A</v>
      </c>
      <c r="DN97" s="151" t="str">
        <f t="array" ref="DN97">INDEX(DM:DM,MIN(IF(ISNUMBER(DM97:DM293),ROW(DM97:DM293),"")))</f>
        <v/>
      </c>
      <c r="DO97" s="151">
        <f>IF('Données projet'!$A$166&gt;35,DO96+DN97-DW96,IF(A97&lt;'Données projet'!$A$166,$DL$205^A97,IF(A97='Données projet'!$A$166,'Données projet'!$B$166,DO96+DN97-DW96)))</f>
        <v>0</v>
      </c>
      <c r="DP97" s="158" t="str">
        <f>DO97*VLOOKUP('Données projet'!$B$14,'Paramètres'!$A$1:$I$88,3,0)*VLOOKUP('Données projet'!$B$14,'Paramètres'!$A$1:$I$88,5,0)</f>
        <v>#N/A</v>
      </c>
      <c r="DQ97" s="150" t="str">
        <f t="shared" si="44"/>
        <v>#N/A</v>
      </c>
      <c r="DR97" s="161" t="str">
        <f t="shared" si="17"/>
        <v>#N/A</v>
      </c>
      <c r="DS97" s="153" t="str">
        <f t="shared" si="18"/>
        <v>#N/A</v>
      </c>
      <c r="DT97" s="153" t="str">
        <f>AVERAGE(OFFSET($DS$3,0,0,'Données projet'!$E$14+1,1))-AVERAGE(OFFSET($H$3,0,0,'Données projet'!$E$14+1,1))</f>
        <v>#N/A</v>
      </c>
      <c r="DU97" s="153" t="str">
        <f t="shared" si="45"/>
        <v>#N/A</v>
      </c>
      <c r="DV97" s="154">
        <f>IF(ISNA(VLOOKUP(A97,'Données projet'!$A$165:$I$185,3,0)),0,VLOOKUP(A97,'Données projet'!$A$165:$I$185,3,0))</f>
        <v>0</v>
      </c>
      <c r="DW97" s="154">
        <f>IF(ISNA(VLOOKUP(A97,'Données projet'!$A$165:$I$185,4,0)),0,VLOOKUP(A97,'Données projet'!$A$165:$I$185,4,0))</f>
        <v>0</v>
      </c>
      <c r="DX97" s="155">
        <f>IF(ISNA(VLOOKUP(A97,'Données projet'!$A$165:$I$185,5,0)),0%,VLOOKUP(A97,'Données projet'!$A$165:$I$185,5,0)*VLOOKUP('Données projet'!$B$14,'Paramètres'!$A$1:$I$88,7,0))</f>
        <v>0</v>
      </c>
      <c r="DY97" s="155">
        <f>IF(ISNA(VLOOKUP(A97,'Données projet'!$A$165:$I$185,6,0)),0%,VLOOKUP(A97,'Données projet'!$A$165:$I$185,6,0)*VLOOKUP('Données projet'!$B$14,'Paramètres'!$A$1:$I$88,7,0))</f>
        <v>0</v>
      </c>
      <c r="DZ97" s="155">
        <f>IF(ISNA(VLOOKUP(A97,'Données projet'!$A$165:$I$185,7,0)),0%,VLOOKUP(A97,'Données projet'!$A$165:$I$185,7,0))</f>
        <v>0</v>
      </c>
      <c r="EA97" s="162" t="str">
        <f>EXP(-LN(2)/35)*EA96+(1-EXP(-LN(2)/35))/(LN(2)/35)*DW97*DX97*VLOOKUP('Données projet'!$B$14,'Paramètres'!$A$1:$I$88,3,0)*0.475*44/12</f>
        <v>#N/A</v>
      </c>
      <c r="EB97" s="162" t="str">
        <f>EXP(-LN(2)/25)*EB96+(1-EXP(-LN(2)/25))/(LN(2)/25)*Calculateur!DW97*Calculateur!DY97*VLOOKUP('Données projet'!$B$14,'Paramètres'!$A$1:$I$88,3,0)*0.475*44/12</f>
        <v>#N/A</v>
      </c>
      <c r="EC97" s="162" t="str">
        <f>EXP(-LN(2)/2)*EC96+(1-EXP(-LN(2)/2))/(LN(2)/2)*DW97*DZ97*VLOOKUP('Données projet'!$B$14,'Paramètres'!$A$1:$I$88,3,0)*0.475*44/12</f>
        <v>#N/A</v>
      </c>
      <c r="ED97" s="163" t="str">
        <f t="shared" si="19"/>
        <v>#N/A</v>
      </c>
      <c r="EE97" s="159">
        <f>('Scénario référence'!$F$8+'Scénario référence'!$F$9+'Scénario référence'!$B$17+'Scénario référence'!$B$9+'Scénario référence'!$B$10)*70+IF((45+25*(1-EXP(-0.0175*A97)))&lt;70,'Scénario référence'!$B$16*(45+25*(1-EXP(-0.0175*A97))),70*'Scénario référence'!$B$16)+IF((32+38*(1-EXP(-0.0175*A97)))&lt;70,'Scénario référence'!$B$18*(32+38*(1-EXP(-0.0175*A97))),70*'Scénario référence'!$B$18)</f>
        <v>70</v>
      </c>
      <c r="EF97" s="151">
        <f>IF(A97&gt;30,10,('Scénario référence'!$B$16+'Scénario référence'!$B$17+'Scénario référence'!$B$18+'Scénario référence'!$B$9+'Scénario référence'!$B$10)*A97*10/30+('Scénario référence'!$F$8+'Scénario référence'!$F$9)*10)</f>
        <v>10</v>
      </c>
      <c r="EG97" s="151" t="str">
        <f>VLOOKUP(A97,'Données projet'!$A$191:$I$211,2,0)</f>
        <v>#N/A</v>
      </c>
      <c r="EH97" s="151" t="str">
        <f>VLOOKUP(A97,'Données projet'!$A$191:$I$211,9,0)</f>
        <v>#N/A</v>
      </c>
      <c r="EI97" s="151" t="str">
        <f t="array" ref="EI97">INDEX(EH:EH,MIN(IF(ISNUMBER(EH97:EH293),ROW(EH97:EH293),"")))</f>
        <v/>
      </c>
      <c r="EJ97" s="151">
        <f>IF('Données projet'!$A$192&gt;35,EJ96+EI97-ER96,IF(A97&lt;'Données projet'!$A$192,$EG$205^A97,IF(A97='Données projet'!$A$192,'Données projet'!$B$192,EJ96+EI97-ER96)))</f>
        <v>0</v>
      </c>
      <c r="EK97" s="158" t="str">
        <f>EJ97*VLOOKUP('Données projet'!$B$15,'Paramètres'!$A$1:$I$88,3,0)*VLOOKUP('Données projet'!$B$15,'Paramètres'!$A$1:$I$88,5,0)</f>
        <v>#N/A</v>
      </c>
      <c r="EL97" s="150" t="str">
        <f t="shared" si="46"/>
        <v>#N/A</v>
      </c>
      <c r="EM97" s="161" t="str">
        <f t="shared" si="20"/>
        <v>#N/A</v>
      </c>
      <c r="EN97" s="153" t="str">
        <f t="shared" si="21"/>
        <v>#N/A</v>
      </c>
      <c r="EO97" s="153" t="str">
        <f>AVERAGE(OFFSET($EN$3,0,0,'Données projet'!$E$15+1,1))-AVERAGE(OFFSET($H$3,0,0,'Données projet'!$E$15+1,1))</f>
        <v>#N/A</v>
      </c>
      <c r="EP97" s="153" t="str">
        <f t="shared" si="47"/>
        <v>#N/A</v>
      </c>
      <c r="EQ97" s="154">
        <f>IF(ISNA(VLOOKUP(A97,'Données projet'!$A$191:$I$211,3,0)),0,VLOOKUP(A97,'Données projet'!$A$191:$I$211,3,0))</f>
        <v>0</v>
      </c>
      <c r="ER97" s="154">
        <f>IF(ISNA(VLOOKUP(A97,'Données projet'!$A$191:$I$211,4,0)),0,VLOOKUP(A97,'Données projet'!$A$191:$I$211,4,0))</f>
        <v>0</v>
      </c>
      <c r="ES97" s="155">
        <f>IF(ISNA(VLOOKUP(A97,'Données projet'!$A$191:$I$211,5,0)),0%,VLOOKUP(A97,'Données projet'!$A$191:$I$211,5,0)*VLOOKUP('Données projet'!$B$15,'Paramètres'!$A$1:$I$88,7,0))</f>
        <v>0</v>
      </c>
      <c r="ET97" s="155">
        <f>IF(ISNA(VLOOKUP(A97,'Données projet'!$A$191:$I$211,6,0)),0%,VLOOKUP(A97,'Données projet'!$A$191:$I$211,6,0)*VLOOKUP('Données projet'!$B$15,'Paramètres'!$A$1:$I$88,7,0))</f>
        <v>0</v>
      </c>
      <c r="EU97" s="155">
        <f>IF(ISNA(VLOOKUP(A97,'Données projet'!$A$191:$I$211,7,0)),0%,VLOOKUP(A97,'Données projet'!$A$191:$I$211,7,0))</f>
        <v>0</v>
      </c>
      <c r="EV97" s="162" t="str">
        <f>EXP(-LN(2)/35)*EV96+(1-EXP(-LN(2)/35))/(LN(2)/35)*ER97*ES97*VLOOKUP('Données projet'!$B$15,'Paramètres'!$A$1:$I$88,3,0)*0.475*44/12</f>
        <v>#N/A</v>
      </c>
      <c r="EW97" s="162" t="str">
        <f>EXP(-LN(2)/25)*EW96+(1-EXP(-LN(2)/25))/(LN(2)/25)*Calculateur!ER97*Calculateur!ET97*VLOOKUP('Données projet'!$B$15,'Paramètres'!$A$1:$I$88,3,0)*0.475*44/12</f>
        <v>#N/A</v>
      </c>
      <c r="EX97" s="162" t="str">
        <f>EXP(-LN(2)/2)*EX96+(1-EXP(-LN(2)/2))/(LN(2)/2)*ER97*EU97*VLOOKUP('Données projet'!$B$15,'Paramètres'!$A$1:$I$88,3,0)*0.475*44/12</f>
        <v>#N/A</v>
      </c>
      <c r="EY97" s="163" t="str">
        <f t="shared" si="22"/>
        <v>#N/A</v>
      </c>
      <c r="EZ97" s="159">
        <f>('Scénario référence'!$F$8+'Scénario référence'!$F$9+'Scénario référence'!$B$17+'Scénario référence'!$B$9+'Scénario référence'!$B$10)*70+IF((45+25*(1-EXP(-0.0175*A97)))&lt;70,'Scénario référence'!$B$16*(45+25*(1-EXP(-0.0175*A97))),70*'Scénario référence'!$B$16)+IF((32+38*(1-EXP(-0.0175*A97)))&lt;70,'Scénario référence'!$B$18*(32+38*(1-EXP(-0.0175*A97))),70*'Scénario référence'!$B$18)</f>
        <v>70</v>
      </c>
      <c r="FA97" s="151">
        <f>IF(A97&gt;30,10,('Scénario référence'!$B$16+'Scénario référence'!$B$17+'Scénario référence'!$B$18+'Scénario référence'!$B$9+'Scénario référence'!$B$10)*A97*10/30+('Scénario référence'!$F$8+'Scénario référence'!$F$9)*10)</f>
        <v>10</v>
      </c>
      <c r="FB97" s="151" t="str">
        <f>VLOOKUP(A97,'Données projet'!$A$217:$I$237,2,0)</f>
        <v>#N/A</v>
      </c>
      <c r="FC97" s="151" t="str">
        <f>VLOOKUP(A97,'Données projet'!$A$217:$I$237,9,0)</f>
        <v>#N/A</v>
      </c>
      <c r="FD97" s="151" t="str">
        <f t="array" ref="FD97">INDEX(FC:FC,MIN(IF(ISNUMBER(FC97:FC293),ROW(FC97:FC293),"")))</f>
        <v/>
      </c>
      <c r="FE97" s="151">
        <f>IF('Données projet'!$A$218&gt;35,FE96+FD97-FM96,IF(A97&lt;'Données projet'!$A$218,$FB$205^A97,IF(A97='Données projet'!$A$218,'Données projet'!$B$218,FE96+FD97-FM96)))</f>
        <v>0</v>
      </c>
      <c r="FF97" s="158" t="str">
        <f>FE97*VLOOKUP('Données projet'!$B$16,'Paramètres'!$A$1:$I$88,3,0)*VLOOKUP('Données projet'!$B$16,'Paramètres'!$A$1:$I$88,5,0)</f>
        <v>#N/A</v>
      </c>
      <c r="FG97" s="150" t="str">
        <f t="shared" si="48"/>
        <v>#N/A</v>
      </c>
      <c r="FH97" s="161" t="str">
        <f t="shared" si="23"/>
        <v>#N/A</v>
      </c>
      <c r="FI97" s="153" t="str">
        <f t="shared" si="24"/>
        <v>#N/A</v>
      </c>
      <c r="FJ97" s="153" t="str">
        <f>AVERAGE(OFFSET($FI$3,0,0,'Données projet'!$E$16+1,1))-AVERAGE(OFFSET($H$3,0,0,'Données projet'!$E$16+1,1))</f>
        <v>#N/A</v>
      </c>
      <c r="FK97" s="153" t="str">
        <f t="shared" si="49"/>
        <v>#N/A</v>
      </c>
      <c r="FL97" s="154">
        <f>IF(ISNA(VLOOKUP(A97,'Données projet'!$A$217:$I$237,3,0)),0,VLOOKUP(A97,'Données projet'!$A$217:$I$237,3,0))</f>
        <v>0</v>
      </c>
      <c r="FM97" s="154">
        <f>IF(ISNA(VLOOKUP(A97,'Données projet'!$A$217:$I$237,4,0)),0,VLOOKUP(A97,'Données projet'!$A$217:$I$237,4,0))</f>
        <v>0</v>
      </c>
      <c r="FN97" s="155">
        <f>IF(ISNA(VLOOKUP(A97,'Données projet'!$A$217:$I$237,5,0)),0%,VLOOKUP(A97,'Données projet'!$A$217:$I$237,5,0)*VLOOKUP('Données projet'!$B$16,'Paramètres'!$A$1:$I$88,7,0))</f>
        <v>0</v>
      </c>
      <c r="FO97" s="155">
        <f>IF(ISNA(VLOOKUP(A97,'Données projet'!$A$217:$I$237,6,0)),0%,VLOOKUP(A97,'Données projet'!$A$217:$I$237,6,0)*VLOOKUP('Données projet'!$B$16,'Paramètres'!$A$1:$I$88,7,0))</f>
        <v>0</v>
      </c>
      <c r="FP97" s="155">
        <f>IF(ISNA(VLOOKUP(A97,'Données projet'!$A$217:$I$237,7,0)),0%,VLOOKUP(A97,'Données projet'!$A$217:$I$237,7,0))</f>
        <v>0</v>
      </c>
      <c r="FQ97" s="162" t="str">
        <f>EXP(-LN(2)/35)*FQ96+(1-EXP(-LN(2)/35))/(LN(2)/35)*FM97*FN97*VLOOKUP('Données projet'!$B$16,'Paramètres'!$A$1:$I$88,3,0)*0.475*44/12</f>
        <v>#N/A</v>
      </c>
      <c r="FR97" s="162" t="str">
        <f>EXP(-LN(2)/25)*FR96+(1-EXP(-LN(2)/25))/(LN(2)/25)*Calculateur!FM97*Calculateur!FO97*VLOOKUP('Données projet'!$B$16,'Paramètres'!$A$1:$I$88,3,0)*0.475*44/12</f>
        <v>#N/A</v>
      </c>
      <c r="FS97" s="162" t="str">
        <f>EXP(-LN(2)/2)*FS96+(1-EXP(-LN(2)/2))/(LN(2)/2)*FM97*FP97*VLOOKUP('Données projet'!$B$16,'Paramètres'!$A$1:$I$88,3,0)*0.475*44/12</f>
        <v>#N/A</v>
      </c>
      <c r="FT97" s="163" t="str">
        <f t="shared" si="25"/>
        <v>#N/A</v>
      </c>
      <c r="FU97" s="159">
        <f>('Scénario référence'!$F$8+'Scénario référence'!$F$9+'Scénario référence'!$B$17+'Scénario référence'!$B$9+'Scénario référence'!$B$10)*70+IF((45+25*(1-EXP(-0.0175*A97)))&lt;70,'Scénario référence'!$B$16*(45+25*(1-EXP(-0.0175*A97))),70*'Scénario référence'!$B$16)+IF((32+38*(1-EXP(-0.0175*A97)))&lt;70,'Scénario référence'!$B$18*(32+38*(1-EXP(-0.0175*A97))),70*'Scénario référence'!$B$18)</f>
        <v>70</v>
      </c>
      <c r="FV97" s="151">
        <f>IF(A97&gt;30,10,('Scénario référence'!$B$16+'Scénario référence'!$B$17+'Scénario référence'!$B$18+'Scénario référence'!$B$9+'Scénario référence'!$B$10)*A97*10/30+('Scénario référence'!$F$8+'Scénario référence'!$F$9)*10)</f>
        <v>10</v>
      </c>
      <c r="FW97" s="151" t="str">
        <f>VLOOKUP(A97,'Données projet'!$A$243:$I$263,2,0)</f>
        <v>#N/A</v>
      </c>
      <c r="FX97" s="151" t="str">
        <f>VLOOKUP(A97,'Données projet'!$A$243:$I$263,9,0)</f>
        <v>#N/A</v>
      </c>
      <c r="FY97" s="151" t="str">
        <f t="array" ref="FY97">INDEX(FX:FX,MIN(IF(ISNUMBER(FX97:FX293),ROW(FX97:FX293),"")))</f>
        <v/>
      </c>
      <c r="FZ97" s="151">
        <f>IF('Données projet'!$A$244&gt;35,FZ96+FY97-GH96,IF(A97&lt;'Données projet'!$A$244,$FW$205^A97,IF(A97='Données projet'!$A$244,'Données projet'!$B$244,FZ96+FY97-GH96)))</f>
        <v>0</v>
      </c>
      <c r="GA97" s="158" t="str">
        <f>FZ97*VLOOKUP('Données projet'!$B$17,'Paramètres'!$A$1:$I$88,3,0)*VLOOKUP('Données projet'!$B$17,'Paramètres'!$A$1:$I$88,5,0)</f>
        <v>#N/A</v>
      </c>
      <c r="GB97" s="150" t="str">
        <f t="shared" si="50"/>
        <v>#N/A</v>
      </c>
      <c r="GC97" s="161" t="str">
        <f t="shared" si="26"/>
        <v>#N/A</v>
      </c>
      <c r="GD97" s="153" t="str">
        <f t="shared" si="27"/>
        <v>#N/A</v>
      </c>
      <c r="GE97" s="153" t="str">
        <f>AVERAGE(OFFSET($GD$3,0,0,'Données projet'!$E$17+1,1))-AVERAGE(OFFSET($H$3,0,0,'Données projet'!$E$17+1,1))</f>
        <v>#N/A</v>
      </c>
      <c r="GF97" s="153" t="str">
        <f t="shared" si="51"/>
        <v>#N/A</v>
      </c>
      <c r="GG97" s="154">
        <f>IF(ISNA(VLOOKUP(A97,'Données projet'!$A$243:$I$263,3,0)),0,VLOOKUP(A97,'Données projet'!$A$243:$I$263,3,0))</f>
        <v>0</v>
      </c>
      <c r="GH97" s="154">
        <f>IF(ISNA(VLOOKUP(A97,'Données projet'!$A$243:$I$263,4,0)),0,VLOOKUP(A97,'Données projet'!$A$243:$I$263,4,0))</f>
        <v>0</v>
      </c>
      <c r="GI97" s="155">
        <f>IF(ISNA(VLOOKUP(A97,'Données projet'!$A$243:$I$263,5,0)),0%,VLOOKUP(A97,'Données projet'!$A$243:$I$263,5,0)*VLOOKUP('Données projet'!$B$17,'Paramètres'!$A$1:$I$88,7,0))</f>
        <v>0</v>
      </c>
      <c r="GJ97" s="155">
        <f>IF(ISNA(VLOOKUP(A97,'Données projet'!$A$243:$I$263,6,0)),0%,VLOOKUP(A97,'Données projet'!$A$243:$I$263,6,0)*VLOOKUP('Données projet'!$B$17,'Paramètres'!$A$1:$I$88,7,0))</f>
        <v>0</v>
      </c>
      <c r="GK97" s="155">
        <f>IF(ISNA(VLOOKUP(A97,'Données projet'!$A$243:$I$263,7,0)),0%,VLOOKUP(A97,'Données projet'!$A$243:$I$263,7,0))</f>
        <v>0</v>
      </c>
      <c r="GL97" s="162" t="str">
        <f>EXP(-LN(2)/35)*GL96+(1-EXP(-LN(2)/35))/(LN(2)/35)*GH97*GI97*VLOOKUP('Données projet'!$B$17,'Paramètres'!$A$1:$I$88,3,0)*0.475*44/12</f>
        <v>#N/A</v>
      </c>
      <c r="GM97" s="162" t="str">
        <f>EXP(-LN(2)/25)*GM96+(1-EXP(-LN(2)/25))/(LN(2)/25)*Calculateur!GH97*Calculateur!GJ97*VLOOKUP('Données projet'!$B$17,'Paramètres'!$A$1:$I$88,3,0)*0.475*44/12</f>
        <v>#N/A</v>
      </c>
      <c r="GN97" s="162" t="str">
        <f>EXP(-LN(2)/2)*GN96+(1-EXP(-LN(2)/2))/(LN(2)/2)*GH97*GK97*VLOOKUP('Données projet'!$B$17,'Paramètres'!$A$1:$I$88,3,0)*0.475*44/12</f>
        <v>#N/A</v>
      </c>
      <c r="GO97" s="162" t="str">
        <f t="shared" si="28"/>
        <v>#N/A</v>
      </c>
      <c r="GP97" s="159">
        <f>('Scénario référence'!$F$8+'Scénario référence'!$F$9+'Scénario référence'!$B$17+'Scénario référence'!$B$9+'Scénario référence'!$B$10)*70+IF((45+25*(1-EXP(-0.0175*A97)))&lt;70,'Scénario référence'!$B$16*(45+25*(1-EXP(-0.0175*A97))),70*'Scénario référence'!$B$16)+IF((32+38*(1-EXP(-0.0175*A97)))&lt;70,'Scénario référence'!$B$18*(32+38*(1-EXP(-0.0175*A97))),70*'Scénario référence'!$B$18)</f>
        <v>70</v>
      </c>
      <c r="GQ97" s="151">
        <f>IF(A97&gt;30,10,('Scénario référence'!$B$16+'Scénario référence'!$B$17+'Scénario référence'!$B$18+'Scénario référence'!$B$9+'Scénario référence'!$B$10)*A97*10/30+('Scénario référence'!$F$8+'Scénario référence'!$F$9)*10)</f>
        <v>10</v>
      </c>
      <c r="GR97" s="151" t="str">
        <f>VLOOKUP(A97,'Données projet'!$A$269:$I$289,2,0)</f>
        <v>#N/A</v>
      </c>
      <c r="GS97" s="151" t="str">
        <f>VLOOKUP(A97,'Données projet'!$A$269:$I$289,9,0)</f>
        <v>#N/A</v>
      </c>
      <c r="GT97" s="151" t="str">
        <f t="array" ref="GT97">INDEX(GS:GS,MIN(IF(ISNUMBER(GS97:GS293),ROW(GS97:GS293),"")))</f>
        <v/>
      </c>
      <c r="GU97" s="151">
        <f>IF('Données projet'!$A$270&gt;35,GU96+GT97-HC96,IF(A97&lt;'Données projet'!$A$270,$GR$205^A97,IF(A97='Données projet'!$A$270,'Données projet'!$B$270,GU96+GT97-HC96)))</f>
        <v>0</v>
      </c>
      <c r="GV97" s="158" t="str">
        <f>GU97*VLOOKUP('Données projet'!$B$18,'Paramètres'!$A$1:$I$88,3,0)*VLOOKUP('Données projet'!$B$18,'Paramètres'!$A$1:$I$88,5,0)</f>
        <v>#N/A</v>
      </c>
      <c r="GW97" s="150" t="str">
        <f t="shared" si="52"/>
        <v>#N/A</v>
      </c>
      <c r="GX97" s="161" t="str">
        <f t="shared" si="29"/>
        <v>#N/A</v>
      </c>
      <c r="GY97" s="153" t="str">
        <f t="shared" si="30"/>
        <v>#N/A</v>
      </c>
      <c r="GZ97" s="153" t="str">
        <f>AVERAGE(OFFSET($GY$3,0,0,'Données projet'!$E$18+1,1))-AVERAGE(OFFSET($H$3,0,0,'Données projet'!$E$18+1,1))</f>
        <v>#N/A</v>
      </c>
      <c r="HA97" s="153" t="str">
        <f t="shared" si="53"/>
        <v>#N/A</v>
      </c>
      <c r="HB97" s="154">
        <f>IF(ISNA(VLOOKUP(A97,'Données projet'!$A$269:$I$289,3,0)),0,VLOOKUP(A97,'Données projet'!$A$269:$I$289,3,0))</f>
        <v>0</v>
      </c>
      <c r="HC97" s="154">
        <f>IF(ISNA(VLOOKUP(A97,'Données projet'!$A$269:$I$289,4,0)),0,VLOOKUP(A97,'Données projet'!$A$269:$I$289,4,0))</f>
        <v>0</v>
      </c>
      <c r="HD97" s="155">
        <f>IF(ISNA(VLOOKUP(A97,'Données projet'!$A$269:$I$289,5,0)),0%,VLOOKUP(A97,'Données projet'!$A$269:$I$289,5,0)*VLOOKUP('Données projet'!$B$18,'Paramètres'!$A$1:$I$88,7,0))</f>
        <v>0</v>
      </c>
      <c r="HE97" s="155">
        <f>IF(ISNA(VLOOKUP(A97,'Données projet'!$A$269:$I$289,6,0)),0%,VLOOKUP(A97,'Données projet'!$A$269:$I$289,6,0)*VLOOKUP('Données projet'!$B$18,'Paramètres'!$A$1:$I$88,7,0))</f>
        <v>0</v>
      </c>
      <c r="HF97" s="155">
        <f>IF(ISNA(VLOOKUP(A97,'Données projet'!$A$269:$I$289,7,0)),0%,VLOOKUP(A97,'Données projet'!$A$269:$I$289,7,0))</f>
        <v>0</v>
      </c>
      <c r="HG97" s="162" t="str">
        <f>EXP(-LN(2)/35)*HG96+(1-EXP(-LN(2)/35))/(LN(2)/35)*HC97*HD97*VLOOKUP('Données projet'!$B$18,'Paramètres'!$A$1:$I$88,3,0)*0.475*44/12</f>
        <v>#N/A</v>
      </c>
      <c r="HH97" s="162" t="str">
        <f>EXP(-LN(2)/25)*HH96+(1-EXP(-LN(2)/25))/(LN(2)/25)*Calculateur!HC97*Calculateur!HE97*VLOOKUP('Données projet'!$B$18,'Paramètres'!$A$1:$I$88,3,0)*0.475*44/12</f>
        <v>#N/A</v>
      </c>
      <c r="HI97" s="162" t="str">
        <f>EXP(-LN(2)/2)*HI96+(1-EXP(-LN(2)/2))/(LN(2)/2)*HC97*HF97*VLOOKUP('Données projet'!$B$18,'Paramètres'!$A$1:$I$88,3,0)*0.475*44/12</f>
        <v>#N/A</v>
      </c>
      <c r="HJ97" s="163" t="str">
        <f t="shared" si="31"/>
        <v>#N/A</v>
      </c>
    </row>
    <row r="98" ht="15.75" customHeight="1">
      <c r="A98" s="145">
        <f t="shared" si="32"/>
        <v>95</v>
      </c>
      <c r="B98" s="146">
        <f>'Scénario référence'!$B$16*5+'Scénario référence'!$B$17*0+'Scénario référence'!$B$18*5</f>
        <v>0</v>
      </c>
      <c r="C98" s="160">
        <f>Calculateur!C97+'Scénario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98" s="147">
        <f t="shared" si="33"/>
        <v>0</v>
      </c>
      <c r="E98" s="147">
        <f>'Scénario référence'!$B$16*45+('Scénario référence'!$B$17+'Scénario référence'!$F$8+'Scénario référence'!$F$9+'Scénario référence'!$B$10+'Scénario référence'!$B$9)*70+'Scénario référence'!$B$18*32</f>
        <v>70</v>
      </c>
      <c r="F98" s="147">
        <f>IF(OR('Scénario référence'!$F$8&gt;0,'Scénario référence'!$F$9&gt;0),('Scénario référence'!$F$8+'Scénario référence'!$F$9)*10,0)</f>
        <v>0</v>
      </c>
      <c r="G98" s="147">
        <f>'Scénario référence'!$B$8*B98*44/12+'Scénario référence'!$B$9*(C98+D98)/0.475*44/12+'Scénario référence'!$B$10*(C98+D98)/0.475*44/12+'Scénario référence'!$F$8*(C98+D98)/0.475*44/12+'Scénario référence'!$F$9*(C98+D98)/0.475*44/12</f>
        <v>0</v>
      </c>
      <c r="H98" s="148">
        <f t="shared" si="1"/>
        <v>256.6666667</v>
      </c>
      <c r="I98" s="149">
        <f>('Scénario référence'!$F$8+'Scénario référence'!$F$9+'Scénario référence'!$B$17+'Scénario référence'!$B$9+'Scénario référence'!$B$10)*70+IF((45+25*(1-EXP(-0.0175*A98)))&lt;70,'Scénario référence'!$B$16*(45+25*(1-EXP(-0.0175*A98))),70*'Scénario référence'!$B$16)+IF((32+38*(1-EXP(-0.0175*A98)))&lt;70,'Scénario référence'!$B$18*(32+38*(1-EXP(-0.0175*A98))),70*'Scénario référence'!$B$18)</f>
        <v>70</v>
      </c>
      <c r="J98" s="150">
        <f>IF(A98&gt;30,10,('Scénario référence'!$B$16+'Scénario référence'!$B$17+'Scénario référence'!$B$18+'Scénario référence'!$B$9+'Scénario référence'!$B$10)*A98*10/30+('Scénario référence'!$F$8+'Scénario référence'!$F$9)*10)</f>
        <v>10</v>
      </c>
      <c r="K98" s="165">
        <f>VLOOKUP(A98,'Données projet'!$A$35:$I$55,2,0)</f>
        <v>333</v>
      </c>
      <c r="L98" s="151">
        <f>VLOOKUP(A98,'Données projet'!$A$35:$I$55,9,0)</f>
        <v>6.2</v>
      </c>
      <c r="M98" s="150">
        <f t="array" ref="M98">INDEX(L:L,MIN(IF(ISNUMBER(L98:L294),ROW(L98:L294),"")))</f>
        <v>6.2</v>
      </c>
      <c r="N98" s="150">
        <f>IF('Données projet'!$A$36&gt;35,N97+M98-V97,IF(A98&lt;'Données projet'!$A$36,$K$205^A98,IF(A98='Données projet'!$A$36,'Données projet'!$B$36,N97+M98-V97)))</f>
        <v>333</v>
      </c>
      <c r="O98" s="150">
        <f>N98*VLOOKUP('Données projet'!$B$9,'Paramètres'!$A$1:$I$88,3,0)*VLOOKUP('Données projet'!$B$9,'Paramètres'!$A$1:$I$88,5,0)</f>
        <v>301.2984</v>
      </c>
      <c r="P98" s="150">
        <f t="shared" si="34"/>
        <v>71.44858953</v>
      </c>
      <c r="Q98" s="161">
        <f t="shared" si="2"/>
        <v>649.2010068</v>
      </c>
      <c r="R98" s="153">
        <f t="shared" si="3"/>
        <v>942.5343401</v>
      </c>
      <c r="S98" s="153">
        <f>AVERAGE(OFFSET($R$3,0,0,'Données projet'!$E$9+1,1))-AVERAGE(OFFSET($H$3,0,0,'Données projet'!$E$9+1,1))</f>
        <v>439.1985427</v>
      </c>
      <c r="T98" s="153">
        <f t="shared" si="35"/>
        <v>278.2174123</v>
      </c>
      <c r="U98" s="154">
        <f>IF(ISNA(VLOOKUP(A98,'Données projet'!$A$35:$I$55,3,0)),0,VLOOKUP(A98,'Données projet'!$A$35:$I$55,3,0))</f>
        <v>16</v>
      </c>
      <c r="V98" s="164">
        <f>IF(ISNA(VLOOKUP(A98,'Données projet'!$A$35:$I$55,4,0)),0,VLOOKUP(A98,'Données projet'!$A$35:$I$55,4,0))</f>
        <v>28</v>
      </c>
      <c r="W98" s="155">
        <f>IF(ISNA(VLOOKUP(A98,'Données projet'!$A$35:$I$55,5,0)),0%,VLOOKUP(A98,'Données projet'!$A$35:$I$55,5,0)*VLOOKUP('Données projet'!$B$9,'Paramètres'!$A$1:$I$88,7,0))</f>
        <v>0</v>
      </c>
      <c r="X98" s="155">
        <f>IF(ISNA(VLOOKUP(A98,'Données projet'!$A$35:$I$55,6,0)),0%,VLOOKUP(A98,'Données projet'!$A$35:$I$55,6,0)*VLOOKUP('Données projet'!$B$9,'Paramètres'!$A$1:$I$88,7,0))</f>
        <v>0</v>
      </c>
      <c r="Y98" s="155" t="str">
        <f>IF(ISNA(VLOOKUP(A98,'Données projet'!$A$35:$I$55,7,0)),0%,VLOOKUP(A98,'Données projet'!$A$35:$I$55,7,0))</f>
        <v/>
      </c>
      <c r="Z98" s="162">
        <f>EXP(-LN(2)/35)*Z97+(1-EXP(-LN(2)/35))/(LN(2)/35)*V98*W98*VLOOKUP('Données projet'!$B$9,'Paramètres'!$A$1:$I$88,3,0)*0.475*44/12</f>
        <v>0</v>
      </c>
      <c r="AA98" s="162">
        <f>EXP(-LN(2)/25)*AA97+(1-EXP(-LN(2)/25))/(LN(2)/25)*Calculateur!V98*Calculateur!X98*VLOOKUP('Données projet'!$B$9,'Paramètres'!$A$1:$I$88,3,0)*0.475*44/12</f>
        <v>0.7401747918</v>
      </c>
      <c r="AB98" s="162">
        <f>EXP(-LN(2)/2)*AB97+(1-EXP(-LN(2)/2))/(LN(2)/2)*V98*Y98*VLOOKUP('Données projet'!$B$9,'Paramètres'!$A$1:$I$88,3,0)*0.475*44/12</f>
        <v>0</v>
      </c>
      <c r="AC98" s="163">
        <f t="shared" si="4"/>
        <v>0.7401747918</v>
      </c>
      <c r="AD98" s="150">
        <f>('Scénario référence'!$F$8+'Scénario référence'!$F$9+'Scénario référence'!$B$17+'Scénario référence'!$B$9+'Scénario référence'!$B$10)*70+IF((45+25*(1-EXP(-0.0175*A98)))&lt;70,'Scénario référence'!$B$16*(45+25*(1-EXP(-0.0175*A98))),70*'Scénario référence'!$B$16)+IF((32+38*(1-EXP(-0.0175*A98)))&lt;70,'Scénario référence'!$B$18*(32+38*(1-EXP(-0.0175*A98))),70*'Scénario référence'!$B$18)</f>
        <v>70</v>
      </c>
      <c r="AE98" s="150">
        <f>IF(A98&gt;30,10,('Scénario référence'!$B$16+'Scénario référence'!$B$17+'Scénario référence'!$B$18+'Scénario référence'!$B$9+'Scénario référence'!$B$10)*A98*10/30+('Scénario référence'!$F$8+'Scénario référence'!$F$9)*10)</f>
        <v>10</v>
      </c>
      <c r="AF98" s="151" t="str">
        <f>VLOOKUP(A98,'Données projet'!$A$61:$I$81,2,0)</f>
        <v>#N/A</v>
      </c>
      <c r="AG98" s="151" t="str">
        <f>VLOOKUP(A98,'Données projet'!$A$61:$I$81,9,0)</f>
        <v>#N/A</v>
      </c>
      <c r="AH98" s="151" t="str">
        <f t="array" ref="AH98">INDEX(AG:AG,MIN(IF(ISNUMBER(AG98:AG294),ROW(AG98:AG294),"")))</f>
        <v/>
      </c>
      <c r="AI98" s="150">
        <f>IF('Données projet'!$A$62&gt;35,AI97+AH98-AQ97,IF(A98&lt;'Données projet'!$A$62,$AF$205^A98,IF(A98='Données projet'!$A$62,'Données projet'!$B$62,AI97+AH98-AQ97)))</f>
        <v>369</v>
      </c>
      <c r="AJ98" s="150">
        <f>AI98*VLOOKUP('Données projet'!$B$10,'Paramètres'!$A$1:$I$88,3,0)*VLOOKUP('Données projet'!$B$10,'Paramètres'!$A$1:$I$88,5,0)</f>
        <v>293.5764</v>
      </c>
      <c r="AK98" s="150">
        <f t="shared" si="36"/>
        <v>69.82813851</v>
      </c>
      <c r="AL98" s="161">
        <f t="shared" si="5"/>
        <v>632.9295712</v>
      </c>
      <c r="AM98" s="153">
        <f t="shared" si="6"/>
        <v>926.2629046</v>
      </c>
      <c r="AN98" s="153">
        <f>AVERAGE(OFFSET($AM$3,0,0,'Données projet'!$E$10+1,1))-AVERAGE(OFFSET($H$3,0,0,'Données projet'!$E$10+1,1))</f>
        <v>405.6113614</v>
      </c>
      <c r="AO98" s="153">
        <f t="shared" si="37"/>
        <v>393.0787141</v>
      </c>
      <c r="AP98" s="154">
        <f>IF(ISNA(VLOOKUP(A98,'Données projet'!$A$61:$I$81,3,0)),0,VLOOKUP(A98,'Données projet'!$A$61:$I$81,3,0))</f>
        <v>0</v>
      </c>
      <c r="AQ98" s="154">
        <f>IF(ISNA(VLOOKUP(A98,'Données projet'!$A$61:$I$81,4,0)),0,VLOOKUP(A98,'Données projet'!$A$61:$I$81,4,0))</f>
        <v>0</v>
      </c>
      <c r="AR98" s="155">
        <f>IF(ISNA(VLOOKUP(A98,'Données projet'!$A$61:$I$81,5,0)),0%,VLOOKUP(A98,'Données projet'!$A$61:$I$81,5,0)*VLOOKUP('Données projet'!$B$10,'Paramètres'!$A$1:$I$88,7,0))</f>
        <v>0</v>
      </c>
      <c r="AS98" s="155">
        <f>IF(ISNA(VLOOKUP(A98,'Données projet'!$A$61:$I$81,6,0)),0%,VLOOKUP(A98,'Données projet'!$A$61:$I$81,6,0)*VLOOKUP('Données projet'!$B$10,'Paramètres'!$A$1:$I$88,7,0))</f>
        <v>0</v>
      </c>
      <c r="AT98" s="155">
        <f>IF(ISNA(VLOOKUP(A98,'Données projet'!$A$61:$I$81,7,0)),0%,VLOOKUP(A98,'Données projet'!$A$61:$I$81,7,0))</f>
        <v>0</v>
      </c>
      <c r="AU98" s="162">
        <f>EXP(-LN(2)/35)*AU97+(1-EXP(-LN(2)/35))/(LN(2)/35)*AQ98*AR98*VLOOKUP('Données projet'!$B$10,'Paramètres'!$A$1:$I$88,3,0)*0.475*44/12</f>
        <v>0</v>
      </c>
      <c r="AV98" s="162">
        <f>EXP(-LN(2)/25)*AV97+(1-EXP(-LN(2)/25))/(LN(2)/25)*Calculateur!AQ98*Calculateur!AS98*VLOOKUP('Données projet'!$B$10,'Paramètres'!$A$1:$I$88,3,0)*0.475*44/12</f>
        <v>3.008258514</v>
      </c>
      <c r="AW98" s="162">
        <f>EXP(-LN(2)/2)*AW97+(1-EXP(-LN(2)/2))/(LN(2)/2)*AQ98*AT98*VLOOKUP('Données projet'!$B$10,'Paramètres'!$A$1:$I$88,3,0)*0.475*44/12</f>
        <v>0</v>
      </c>
      <c r="AX98" s="162">
        <f t="shared" si="7"/>
        <v>3.008258514</v>
      </c>
      <c r="AY98" s="157">
        <f>('Scénario référence'!$F$8+'Scénario référence'!$F$9+'Scénario référence'!$B$17+'Scénario référence'!$B$9+'Scénario référence'!$B$10)*70+IF((45+25*(1-EXP(-0.0175*A98)))&lt;70,'Scénario référence'!$B$16*(45+25*(1-EXP(-0.0175*A98))),70*'Scénario référence'!$B$16)+IF((32+38*(1-EXP(-0.0175*A98)))&lt;70,'Scénario référence'!$B$18*(32+38*(1-EXP(-0.0175*A98))),70*'Scénario référence'!$B$18)</f>
        <v>70</v>
      </c>
      <c r="AZ98" s="151">
        <f>IF(A98&gt;30,10,('Scénario référence'!$B$16+'Scénario référence'!$B$17+'Scénario référence'!$B$18+'Scénario référence'!$B$9+'Scénario référence'!$B$10)*A98*10/30+('Scénario référence'!$F$8+'Scénario référence'!$F$9)*10)</f>
        <v>10</v>
      </c>
      <c r="BA98" s="151" t="str">
        <f>VLOOKUP(A98,'Données projet'!$A$87:$I$107,2,0)</f>
        <v>#N/A</v>
      </c>
      <c r="BB98" s="151" t="str">
        <f>VLOOKUP(A98,'Données projet'!$A$87:$I$107,9,0)</f>
        <v>#N/A</v>
      </c>
      <c r="BC98" s="151" t="str">
        <f t="array" ref="BC98">INDEX(BB:BB,MIN(IF(ISNUMBER(BB98:BB294),ROW(BB98:BB294),"")))</f>
        <v/>
      </c>
      <c r="BD98" s="150">
        <f>IF('Données projet'!$A$88&gt;35,BD97+BC98-BL97,IF(A98&lt;'Données projet'!$A$88,$BA$205^A98,IF(A98='Données projet'!$A$88,'Données projet'!$B$88,BD97+BC98-BL97)))</f>
        <v>0</v>
      </c>
      <c r="BE98" s="150">
        <f>BD98*VLOOKUP('Données projet'!$B$11,'Paramètres'!$A$1:$I$88,3,0)*VLOOKUP('Données projet'!$B$11,'Paramètres'!$A$1:$I$88,5,0)</f>
        <v>0</v>
      </c>
      <c r="BF98" s="150" t="str">
        <f t="shared" si="38"/>
        <v>#NUM!</v>
      </c>
      <c r="BG98" s="161" t="str">
        <f t="shared" si="8"/>
        <v>#NUM!</v>
      </c>
      <c r="BH98" s="153" t="str">
        <f t="shared" si="9"/>
        <v>#NUM!</v>
      </c>
      <c r="BI98" s="153">
        <f>AVERAGE(OFFSET($BH$3,0,0,'Données projet'!$E$11+1,1))-AVERAGE(OFFSET($H$3,0,0,'Données projet'!$E$11+1,1))</f>
        <v>0</v>
      </c>
      <c r="BJ98" s="153">
        <f t="shared" si="39"/>
        <v>0</v>
      </c>
      <c r="BK98" s="154">
        <f>IF(ISNA(VLOOKUP(A98,'Données projet'!$A$87:$I$107,3,0)),0,VLOOKUP(A98,'Données projet'!$A$87:$I$107,3,0))</f>
        <v>0</v>
      </c>
      <c r="BL98" s="154">
        <f>IF(ISNA(VLOOKUP(A98,'Données projet'!$A$87:$I$107,4,0)),0,VLOOKUP(A98,'Données projet'!$A$87:$I$107,4,0))</f>
        <v>0</v>
      </c>
      <c r="BM98" s="155">
        <f>IF(ISNA(VLOOKUP(A98,'Données projet'!$A$87:$I$107,5,0)),0%,VLOOKUP(A98,'Données projet'!$A$87:$I$107,5,0)*VLOOKUP('Données projet'!$B$11,'Paramètres'!$A$1:$I$88,7,0))</f>
        <v>0</v>
      </c>
      <c r="BN98" s="155">
        <f>IF(ISNA(VLOOKUP(A98,'Données projet'!$A$87:$I$107,6,0)),0%,VLOOKUP(A98,'Données projet'!$A$87:$I$107,6,0)*VLOOKUP('Données projet'!$B$11,'Paramètres'!$A$1:$I$88,7,0))</f>
        <v>0</v>
      </c>
      <c r="BO98" s="155">
        <f>IF(ISNA(VLOOKUP(A98,'Données projet'!$A$87:$I$107,7,0)),0%,VLOOKUP(A98,'Données projet'!$A$87:$I$107,7,0))</f>
        <v>0</v>
      </c>
      <c r="BP98" s="162">
        <f>EXP(-LN(2)/35)*BP97+(1-EXP(-LN(2)/35))/(LN(2)/35)*BL98*BM98*VLOOKUP('Données projet'!$B$11,'Paramètres'!$A$1:$I$88,3,0)*0.475*44/12</f>
        <v>0</v>
      </c>
      <c r="BQ98" s="162">
        <f>EXP(-LN(2)/25)*BQ97+(1-EXP(-LN(2)/25))/(LN(2)/25)*Calculateur!BL98*Calculateur!BN98*VLOOKUP('Données projet'!$B$11,'Paramètres'!$A$1:$I$88,3,0)*0.475*44/12</f>
        <v>0</v>
      </c>
      <c r="BR98" s="162">
        <f>EXP(-LN(2)/2)*BR97+(1-EXP(-LN(2)/2))/(LN(2)/2)*BL98*BO98*VLOOKUP('Données projet'!$B$11,'Paramètres'!$A$1:$I$88,3,0)*0.475*44/12</f>
        <v>0</v>
      </c>
      <c r="BS98" s="163">
        <f t="shared" si="10"/>
        <v>0</v>
      </c>
      <c r="BT98" s="159">
        <f>('Scénario référence'!$F$8+'Scénario référence'!$F$9+'Scénario référence'!$B$17+'Scénario référence'!$B$9+'Scénario référence'!$B$10)*70+IF((45+25*(1-EXP(-0.0175*A98)))&lt;70,'Scénario référence'!$B$16*(45+25*(1-EXP(-0.0175*A98))),70*'Scénario référence'!$B$16)+IF((32+38*(1-EXP(-0.0175*A98)))&lt;70,'Scénario référence'!$B$18*(32+38*(1-EXP(-0.0175*A98))),70*'Scénario référence'!$B$18)</f>
        <v>70</v>
      </c>
      <c r="BU98" s="151">
        <f>IF(A98&gt;30,10,('Scénario référence'!$B$16+'Scénario référence'!$B$17+'Scénario référence'!$B$18+'Scénario référence'!$B$9+'Scénario référence'!$B$10)*A98*10/30+('Scénario référence'!$F$8+'Scénario référence'!$F$9)*10)</f>
        <v>10</v>
      </c>
      <c r="BV98" s="151" t="str">
        <f>VLOOKUP(A98,'Données projet'!$A$113:$I$133,2,0)</f>
        <v>#N/A</v>
      </c>
      <c r="BW98" s="151" t="str">
        <f>VLOOKUP(A98,'Données projet'!$A$113:$I$133,9,0)</f>
        <v>#N/A</v>
      </c>
      <c r="BX98" s="150" t="str">
        <f t="array" ref="BX98">INDEX(BW:BW,MIN(IF(ISNUMBER(BW98:BW294),ROW(BW98:BW294),"")))</f>
        <v/>
      </c>
      <c r="BY98" s="150">
        <f>IF('Données projet'!$A$114&gt;35,BY97+BX98-CG97,IF(A98&lt;'Données projet'!$A$114,$BV$205^A98,IF(A98='Données projet'!$A$114,'Données projet'!$B$114,BY97+BX98-CG97)))</f>
        <v>0</v>
      </c>
      <c r="BZ98" s="150" t="str">
        <f>BY98*VLOOKUP('Données projet'!$B$12,'Paramètres'!$A$1:$I$88,3,0)*VLOOKUP('Données projet'!$B$12,'Paramètres'!$A$1:$I$88,5,0)</f>
        <v>#N/A</v>
      </c>
      <c r="CA98" s="150" t="str">
        <f t="shared" si="40"/>
        <v>#N/A</v>
      </c>
      <c r="CB98" s="161" t="str">
        <f t="shared" si="11"/>
        <v>#N/A</v>
      </c>
      <c r="CC98" s="153" t="str">
        <f t="shared" si="12"/>
        <v>#N/A</v>
      </c>
      <c r="CD98" s="153" t="str">
        <f>AVERAGE(OFFSET($CC$3,0,0,'Données projet'!$E$12+1,1))-AVERAGE(OFFSET($H$3,0,0,'Données projet'!$E$12+1,1))</f>
        <v>#N/A</v>
      </c>
      <c r="CE98" s="153" t="str">
        <f t="shared" si="41"/>
        <v>#N/A</v>
      </c>
      <c r="CF98" s="154">
        <f>IF(ISNA(VLOOKUP(A98,'Données projet'!$A$113:$I$133,3,0)),0,VLOOKUP(A98,'Données projet'!$A$113:$I$133,3,0))</f>
        <v>0</v>
      </c>
      <c r="CG98" s="154">
        <f>IF(ISNA(VLOOKUP(A98,'Données projet'!$A$113:$I$133,4,0)),0,VLOOKUP(A98,'Données projet'!$A$113:$I$133,4,0))</f>
        <v>0</v>
      </c>
      <c r="CH98" s="155">
        <f>IF(ISNA(VLOOKUP(A98,'Données projet'!$A$113:$I$133,5,0)),0%,VLOOKUP(A98,'Données projet'!$A$113:$I$133,5,0)*VLOOKUP('Données projet'!$B$12,'Paramètres'!$A$1:$I$88,7,0))</f>
        <v>0</v>
      </c>
      <c r="CI98" s="155">
        <f>IF(ISNA(VLOOKUP(A98,'Données projet'!$A$113:$I$133,6,0)),0%,VLOOKUP(A98,'Données projet'!$A$113:$I$133,6,0)*VLOOKUP('Données projet'!$B$12,'Paramètres'!$A$1:$I$88,7,0))</f>
        <v>0</v>
      </c>
      <c r="CJ98" s="155">
        <f>IF(ISNA(VLOOKUP(A98,'Données projet'!$A$113:$I$133,7,0)),0%,VLOOKUP(A98,'Données projet'!$A$113:$I$133,7,0))</f>
        <v>0</v>
      </c>
      <c r="CK98" s="162" t="str">
        <f>EXP(-LN(2)/35)*CK97+(1-EXP(-LN(2)/35))/(LN(2)/35)*CG98*CH98*VLOOKUP('Données projet'!$B$12,'Paramètres'!$A$1:$I$88,3,0)*0.475*44/12</f>
        <v>#N/A</v>
      </c>
      <c r="CL98" s="162" t="str">
        <f>EXP(-LN(2)/25)*CL97+(1-EXP(-LN(2)/25))/(LN(2)/25)*Calculateur!CG98*Calculateur!CI98*VLOOKUP('Données projet'!$B$12,'Paramètres'!$A$1:$I$88,3,0)*0.475*44/12</f>
        <v>#N/A</v>
      </c>
      <c r="CM98" s="162" t="str">
        <f>EXP(-LN(2)/2)*CM97+(1-EXP(-LN(2)/2))/(LN(2)/2)*CG98*CJ98*VLOOKUP('Données projet'!$B$12,'Paramètres'!$A$1:$I$88,3,0)*0.475*44/12</f>
        <v>#N/A</v>
      </c>
      <c r="CN98" s="163" t="str">
        <f t="shared" si="13"/>
        <v>#N/A</v>
      </c>
      <c r="CO98" s="159">
        <f>('Scénario référence'!$F$8+'Scénario référence'!$F$9+'Scénario référence'!$B$17+'Scénario référence'!$B$9+'Scénario référence'!$B$10)*70+IF((45+25*(1-EXP(-0.0175*A98)))&lt;70,'Scénario référence'!$B$16*(45+25*(1-EXP(-0.0175*A98))),70*'Scénario référence'!$B$16)+IF((32+38*(1-EXP(-0.0175*A98)))&lt;70,'Scénario référence'!$B$18*(32+38*(1-EXP(-0.0175*A98))),70*'Scénario référence'!$B$18)</f>
        <v>70</v>
      </c>
      <c r="CP98" s="151">
        <f>IF(A98&gt;30,10,('Scénario référence'!$B$16+'Scénario référence'!$B$17+'Scénario référence'!$B$18+'Scénario référence'!$B$9+'Scénario référence'!$B$10)*A98*10/30+('Scénario référence'!$F$8+'Scénario référence'!$F$9)*10)</f>
        <v>10</v>
      </c>
      <c r="CQ98" s="151" t="str">
        <f>VLOOKUP(A98,'Données projet'!$A$139:$I$159,2,0)</f>
        <v>#N/A</v>
      </c>
      <c r="CR98" s="151" t="str">
        <f>VLOOKUP(A98,'Données projet'!$A$139:$I$159,9,0)</f>
        <v>#N/A</v>
      </c>
      <c r="CS98" s="151" t="str">
        <f t="array" ref="CS98">INDEX(CR:CR,MIN(IF(ISNUMBER(CR98:CR294),ROW(CR98:CR294),"")))</f>
        <v/>
      </c>
      <c r="CT98" s="151">
        <f>IF('Données projet'!$A$140&gt;35,CT97+CS98-DB97,IF(A98&lt;'Données projet'!$A$140,$CQ$205^A98,IF(A98='Données projet'!$A$140,'Données projet'!$B$140,CT97+CS98-DB97)))</f>
        <v>0</v>
      </c>
      <c r="CU98" s="158" t="str">
        <f>CT98*VLOOKUP('Données projet'!$B$13,'Paramètres'!$A$1:$I$88,3,0)*VLOOKUP('Données projet'!$B$13,'Paramètres'!$A$1:$I$88,5,0)</f>
        <v>#N/A</v>
      </c>
      <c r="CV98" s="150" t="str">
        <f t="shared" si="42"/>
        <v>#N/A</v>
      </c>
      <c r="CW98" s="161" t="str">
        <f t="shared" si="14"/>
        <v>#N/A</v>
      </c>
      <c r="CX98" s="153" t="str">
        <f t="shared" si="15"/>
        <v>#N/A</v>
      </c>
      <c r="CY98" s="153" t="str">
        <f>AVERAGE(OFFSET($CX$3,0,0,'Données projet'!$E$13+1,1))-AVERAGE(OFFSET($H$3,0,0,'Données projet'!$E$13+1,1))</f>
        <v>#N/A</v>
      </c>
      <c r="CZ98" s="153" t="str">
        <f t="shared" si="43"/>
        <v>#N/A</v>
      </c>
      <c r="DA98" s="154">
        <f>IF(ISNA(VLOOKUP(A98,'Données projet'!$A$139:$I$159,3,0)),0,VLOOKUP(A98,'Données projet'!$A$139:$I$159,3,0))</f>
        <v>0</v>
      </c>
      <c r="DB98" s="154">
        <f>IF(ISNA(VLOOKUP(A98,'Données projet'!$A$139:$I$159,4,0)),0,VLOOKUP(A98,'Données projet'!$A$139:$I$159,4,0))</f>
        <v>0</v>
      </c>
      <c r="DC98" s="155">
        <f>IF(ISNA(VLOOKUP(A98,'Données projet'!$A$139:$I$159,5,0)),0%,VLOOKUP(A98,'Données projet'!$A$139:$I$159,5,0)*VLOOKUP('Données projet'!$B$13,'Paramètres'!$A$1:$I$88,7,0))</f>
        <v>0</v>
      </c>
      <c r="DD98" s="155">
        <f>IF(ISNA(VLOOKUP(A98,'Données projet'!$A$139:$I$159,6,0)),0%,VLOOKUP(A98,'Données projet'!$A$139:$I$159,6,0)*VLOOKUP('Données projet'!$B$13,'Paramètres'!$A$1:$I$88,7,0))</f>
        <v>0</v>
      </c>
      <c r="DE98" s="155">
        <f>IF(ISNA(VLOOKUP(A98,'Données projet'!$A$139:$I$159,7,0)),0%,VLOOKUP(A98,'Données projet'!$A$139:$I$159,7,0))</f>
        <v>0</v>
      </c>
      <c r="DF98" s="162" t="str">
        <f>EXP(-LN(2)/35)*DF97+(1-EXP(-LN(2)/35))/(LN(2)/35)*DB98*DC98*VLOOKUP('Données projet'!$B$13,'Paramètres'!$A$1:$I$88,3,0)*0.475*44/12</f>
        <v>#N/A</v>
      </c>
      <c r="DG98" s="162" t="str">
        <f>EXP(-LN(2)/25)*DG97+(1-EXP(-LN(2)/25))/(LN(2)/25)*Calculateur!DB98*Calculateur!DD98*VLOOKUP('Données projet'!$B$13,'Paramètres'!$A$1:$I$88,3,0)*0.475*44/12</f>
        <v>#N/A</v>
      </c>
      <c r="DH98" s="162" t="str">
        <f>EXP(-LN(2)/2)*DH97+(1-EXP(-LN(2)/2))/(LN(2)/2)*DB98*DE98*VLOOKUP('Données projet'!$B$13,'Paramètres'!$A$1:$I$88,3,0)*0.475*44/12</f>
        <v>#N/A</v>
      </c>
      <c r="DI98" s="163" t="str">
        <f t="shared" si="16"/>
        <v>#N/A</v>
      </c>
      <c r="DJ98" s="159">
        <f>('Scénario référence'!$F$8+'Scénario référence'!$F$9+'Scénario référence'!$B$17+'Scénario référence'!$B$9+'Scénario référence'!$B$10)*70+IF((45+25*(1-EXP(-0.0175*A98)))&lt;70,'Scénario référence'!$B$16*(45+25*(1-EXP(-0.0175*A98))),70*'Scénario référence'!$B$16)+IF((32+38*(1-EXP(-0.0175*A98)))&lt;70,'Scénario référence'!$B$18*(32+38*(1-EXP(-0.0175*A98))),70*'Scénario référence'!$B$18)</f>
        <v>70</v>
      </c>
      <c r="DK98" s="151">
        <f>IF(A98&gt;30,10,('Scénario référence'!$B$16+'Scénario référence'!$B$17+'Scénario référence'!$B$18+'Scénario référence'!$B$9+'Scénario référence'!$B$10)*A98*10/30+('Scénario référence'!$F$8+'Scénario référence'!$F$9)*10)</f>
        <v>10</v>
      </c>
      <c r="DL98" s="151" t="str">
        <f>VLOOKUP(A98,'Données projet'!$A$165:$I$185,2,0)</f>
        <v>#N/A</v>
      </c>
      <c r="DM98" s="151" t="str">
        <f>VLOOKUP(A98,'Données projet'!$A$165:$I$185,9,0)</f>
        <v>#N/A</v>
      </c>
      <c r="DN98" s="151" t="str">
        <f t="array" ref="DN98">INDEX(DM:DM,MIN(IF(ISNUMBER(DM98:DM294),ROW(DM98:DM294),"")))</f>
        <v/>
      </c>
      <c r="DO98" s="151">
        <f>IF('Données projet'!$A$166&gt;35,DO97+DN98-DW97,IF(A98&lt;'Données projet'!$A$166,$DL$205^A98,IF(A98='Données projet'!$A$166,'Données projet'!$B$166,DO97+DN98-DW97)))</f>
        <v>0</v>
      </c>
      <c r="DP98" s="158" t="str">
        <f>DO98*VLOOKUP('Données projet'!$B$14,'Paramètres'!$A$1:$I$88,3,0)*VLOOKUP('Données projet'!$B$14,'Paramètres'!$A$1:$I$88,5,0)</f>
        <v>#N/A</v>
      </c>
      <c r="DQ98" s="150" t="str">
        <f t="shared" si="44"/>
        <v>#N/A</v>
      </c>
      <c r="DR98" s="161" t="str">
        <f t="shared" si="17"/>
        <v>#N/A</v>
      </c>
      <c r="DS98" s="153" t="str">
        <f t="shared" si="18"/>
        <v>#N/A</v>
      </c>
      <c r="DT98" s="153" t="str">
        <f>AVERAGE(OFFSET($DS$3,0,0,'Données projet'!$E$14+1,1))-AVERAGE(OFFSET($H$3,0,0,'Données projet'!$E$14+1,1))</f>
        <v>#N/A</v>
      </c>
      <c r="DU98" s="153" t="str">
        <f t="shared" si="45"/>
        <v>#N/A</v>
      </c>
      <c r="DV98" s="154">
        <f>IF(ISNA(VLOOKUP(A98,'Données projet'!$A$165:$I$185,3,0)),0,VLOOKUP(A98,'Données projet'!$A$165:$I$185,3,0))</f>
        <v>0</v>
      </c>
      <c r="DW98" s="154">
        <f>IF(ISNA(VLOOKUP(A98,'Données projet'!$A$165:$I$185,4,0)),0,VLOOKUP(A98,'Données projet'!$A$165:$I$185,4,0))</f>
        <v>0</v>
      </c>
      <c r="DX98" s="155">
        <f>IF(ISNA(VLOOKUP(A98,'Données projet'!$A$165:$I$185,5,0)),0%,VLOOKUP(A98,'Données projet'!$A$165:$I$185,5,0)*VLOOKUP('Données projet'!$B$14,'Paramètres'!$A$1:$I$88,7,0))</f>
        <v>0</v>
      </c>
      <c r="DY98" s="155">
        <f>IF(ISNA(VLOOKUP(A98,'Données projet'!$A$165:$I$185,6,0)),0%,VLOOKUP(A98,'Données projet'!$A$165:$I$185,6,0)*VLOOKUP('Données projet'!$B$14,'Paramètres'!$A$1:$I$88,7,0))</f>
        <v>0</v>
      </c>
      <c r="DZ98" s="155">
        <f>IF(ISNA(VLOOKUP(A98,'Données projet'!$A$165:$I$185,7,0)),0%,VLOOKUP(A98,'Données projet'!$A$165:$I$185,7,0))</f>
        <v>0</v>
      </c>
      <c r="EA98" s="162" t="str">
        <f>EXP(-LN(2)/35)*EA97+(1-EXP(-LN(2)/35))/(LN(2)/35)*DW98*DX98*VLOOKUP('Données projet'!$B$14,'Paramètres'!$A$1:$I$88,3,0)*0.475*44/12</f>
        <v>#N/A</v>
      </c>
      <c r="EB98" s="162" t="str">
        <f>EXP(-LN(2)/25)*EB97+(1-EXP(-LN(2)/25))/(LN(2)/25)*Calculateur!DW98*Calculateur!DY98*VLOOKUP('Données projet'!$B$14,'Paramètres'!$A$1:$I$88,3,0)*0.475*44/12</f>
        <v>#N/A</v>
      </c>
      <c r="EC98" s="162" t="str">
        <f>EXP(-LN(2)/2)*EC97+(1-EXP(-LN(2)/2))/(LN(2)/2)*DW98*DZ98*VLOOKUP('Données projet'!$B$14,'Paramètres'!$A$1:$I$88,3,0)*0.475*44/12</f>
        <v>#N/A</v>
      </c>
      <c r="ED98" s="163" t="str">
        <f t="shared" si="19"/>
        <v>#N/A</v>
      </c>
      <c r="EE98" s="159">
        <f>('Scénario référence'!$F$8+'Scénario référence'!$F$9+'Scénario référence'!$B$17+'Scénario référence'!$B$9+'Scénario référence'!$B$10)*70+IF((45+25*(1-EXP(-0.0175*A98)))&lt;70,'Scénario référence'!$B$16*(45+25*(1-EXP(-0.0175*A98))),70*'Scénario référence'!$B$16)+IF((32+38*(1-EXP(-0.0175*A98)))&lt;70,'Scénario référence'!$B$18*(32+38*(1-EXP(-0.0175*A98))),70*'Scénario référence'!$B$18)</f>
        <v>70</v>
      </c>
      <c r="EF98" s="151">
        <f>IF(A98&gt;30,10,('Scénario référence'!$B$16+'Scénario référence'!$B$17+'Scénario référence'!$B$18+'Scénario référence'!$B$9+'Scénario référence'!$B$10)*A98*10/30+('Scénario référence'!$F$8+'Scénario référence'!$F$9)*10)</f>
        <v>10</v>
      </c>
      <c r="EG98" s="151" t="str">
        <f>VLOOKUP(A98,'Données projet'!$A$191:$I$211,2,0)</f>
        <v>#N/A</v>
      </c>
      <c r="EH98" s="151" t="str">
        <f>VLOOKUP(A98,'Données projet'!$A$191:$I$211,9,0)</f>
        <v>#N/A</v>
      </c>
      <c r="EI98" s="151" t="str">
        <f t="array" ref="EI98">INDEX(EH:EH,MIN(IF(ISNUMBER(EH98:EH294),ROW(EH98:EH294),"")))</f>
        <v/>
      </c>
      <c r="EJ98" s="151">
        <f>IF('Données projet'!$A$192&gt;35,EJ97+EI98-ER97,IF(A98&lt;'Données projet'!$A$192,$EG$205^A98,IF(A98='Données projet'!$A$192,'Données projet'!$B$192,EJ97+EI98-ER97)))</f>
        <v>0</v>
      </c>
      <c r="EK98" s="158" t="str">
        <f>EJ98*VLOOKUP('Données projet'!$B$15,'Paramètres'!$A$1:$I$88,3,0)*VLOOKUP('Données projet'!$B$15,'Paramètres'!$A$1:$I$88,5,0)</f>
        <v>#N/A</v>
      </c>
      <c r="EL98" s="150" t="str">
        <f t="shared" si="46"/>
        <v>#N/A</v>
      </c>
      <c r="EM98" s="161" t="str">
        <f t="shared" si="20"/>
        <v>#N/A</v>
      </c>
      <c r="EN98" s="153" t="str">
        <f t="shared" si="21"/>
        <v>#N/A</v>
      </c>
      <c r="EO98" s="153" t="str">
        <f>AVERAGE(OFFSET($EN$3,0,0,'Données projet'!$E$15+1,1))-AVERAGE(OFFSET($H$3,0,0,'Données projet'!$E$15+1,1))</f>
        <v>#N/A</v>
      </c>
      <c r="EP98" s="153" t="str">
        <f t="shared" si="47"/>
        <v>#N/A</v>
      </c>
      <c r="EQ98" s="154">
        <f>IF(ISNA(VLOOKUP(A98,'Données projet'!$A$191:$I$211,3,0)),0,VLOOKUP(A98,'Données projet'!$A$191:$I$211,3,0))</f>
        <v>0</v>
      </c>
      <c r="ER98" s="154">
        <f>IF(ISNA(VLOOKUP(A98,'Données projet'!$A$191:$I$211,4,0)),0,VLOOKUP(A98,'Données projet'!$A$191:$I$211,4,0))</f>
        <v>0</v>
      </c>
      <c r="ES98" s="155">
        <f>IF(ISNA(VLOOKUP(A98,'Données projet'!$A$191:$I$211,5,0)),0%,VLOOKUP(A98,'Données projet'!$A$191:$I$211,5,0)*VLOOKUP('Données projet'!$B$15,'Paramètres'!$A$1:$I$88,7,0))</f>
        <v>0</v>
      </c>
      <c r="ET98" s="155">
        <f>IF(ISNA(VLOOKUP(A98,'Données projet'!$A$191:$I$211,6,0)),0%,VLOOKUP(A98,'Données projet'!$A$191:$I$211,6,0)*VLOOKUP('Données projet'!$B$15,'Paramètres'!$A$1:$I$88,7,0))</f>
        <v>0</v>
      </c>
      <c r="EU98" s="155">
        <f>IF(ISNA(VLOOKUP(A98,'Données projet'!$A$191:$I$211,7,0)),0%,VLOOKUP(A98,'Données projet'!$A$191:$I$211,7,0))</f>
        <v>0</v>
      </c>
      <c r="EV98" s="162" t="str">
        <f>EXP(-LN(2)/35)*EV97+(1-EXP(-LN(2)/35))/(LN(2)/35)*ER98*ES98*VLOOKUP('Données projet'!$B$15,'Paramètres'!$A$1:$I$88,3,0)*0.475*44/12</f>
        <v>#N/A</v>
      </c>
      <c r="EW98" s="162" t="str">
        <f>EXP(-LN(2)/25)*EW97+(1-EXP(-LN(2)/25))/(LN(2)/25)*Calculateur!ER98*Calculateur!ET98*VLOOKUP('Données projet'!$B$15,'Paramètres'!$A$1:$I$88,3,0)*0.475*44/12</f>
        <v>#N/A</v>
      </c>
      <c r="EX98" s="162" t="str">
        <f>EXP(-LN(2)/2)*EX97+(1-EXP(-LN(2)/2))/(LN(2)/2)*ER98*EU98*VLOOKUP('Données projet'!$B$15,'Paramètres'!$A$1:$I$88,3,0)*0.475*44/12</f>
        <v>#N/A</v>
      </c>
      <c r="EY98" s="163" t="str">
        <f t="shared" si="22"/>
        <v>#N/A</v>
      </c>
      <c r="EZ98" s="159">
        <f>('Scénario référence'!$F$8+'Scénario référence'!$F$9+'Scénario référence'!$B$17+'Scénario référence'!$B$9+'Scénario référence'!$B$10)*70+IF((45+25*(1-EXP(-0.0175*A98)))&lt;70,'Scénario référence'!$B$16*(45+25*(1-EXP(-0.0175*A98))),70*'Scénario référence'!$B$16)+IF((32+38*(1-EXP(-0.0175*A98)))&lt;70,'Scénario référence'!$B$18*(32+38*(1-EXP(-0.0175*A98))),70*'Scénario référence'!$B$18)</f>
        <v>70</v>
      </c>
      <c r="FA98" s="151">
        <f>IF(A98&gt;30,10,('Scénario référence'!$B$16+'Scénario référence'!$B$17+'Scénario référence'!$B$18+'Scénario référence'!$B$9+'Scénario référence'!$B$10)*A98*10/30+('Scénario référence'!$F$8+'Scénario référence'!$F$9)*10)</f>
        <v>10</v>
      </c>
      <c r="FB98" s="151" t="str">
        <f>VLOOKUP(A98,'Données projet'!$A$217:$I$237,2,0)</f>
        <v>#N/A</v>
      </c>
      <c r="FC98" s="151" t="str">
        <f>VLOOKUP(A98,'Données projet'!$A$217:$I$237,9,0)</f>
        <v>#N/A</v>
      </c>
      <c r="FD98" s="151" t="str">
        <f t="array" ref="FD98">INDEX(FC:FC,MIN(IF(ISNUMBER(FC98:FC294),ROW(FC98:FC294),"")))</f>
        <v/>
      </c>
      <c r="FE98" s="151">
        <f>IF('Données projet'!$A$218&gt;35,FE97+FD98-FM97,IF(A98&lt;'Données projet'!$A$218,$FB$205^A98,IF(A98='Données projet'!$A$218,'Données projet'!$B$218,FE97+FD98-FM97)))</f>
        <v>0</v>
      </c>
      <c r="FF98" s="158" t="str">
        <f>FE98*VLOOKUP('Données projet'!$B$16,'Paramètres'!$A$1:$I$88,3,0)*VLOOKUP('Données projet'!$B$16,'Paramètres'!$A$1:$I$88,5,0)</f>
        <v>#N/A</v>
      </c>
      <c r="FG98" s="150" t="str">
        <f t="shared" si="48"/>
        <v>#N/A</v>
      </c>
      <c r="FH98" s="161" t="str">
        <f t="shared" si="23"/>
        <v>#N/A</v>
      </c>
      <c r="FI98" s="153" t="str">
        <f t="shared" si="24"/>
        <v>#N/A</v>
      </c>
      <c r="FJ98" s="153" t="str">
        <f>AVERAGE(OFFSET($FI$3,0,0,'Données projet'!$E$16+1,1))-AVERAGE(OFFSET($H$3,0,0,'Données projet'!$E$16+1,1))</f>
        <v>#N/A</v>
      </c>
      <c r="FK98" s="153" t="str">
        <f t="shared" si="49"/>
        <v>#N/A</v>
      </c>
      <c r="FL98" s="154">
        <f>IF(ISNA(VLOOKUP(A98,'Données projet'!$A$217:$I$237,3,0)),0,VLOOKUP(A98,'Données projet'!$A$217:$I$237,3,0))</f>
        <v>0</v>
      </c>
      <c r="FM98" s="154">
        <f>IF(ISNA(VLOOKUP(A98,'Données projet'!$A$217:$I$237,4,0)),0,VLOOKUP(A98,'Données projet'!$A$217:$I$237,4,0))</f>
        <v>0</v>
      </c>
      <c r="FN98" s="155">
        <f>IF(ISNA(VLOOKUP(A98,'Données projet'!$A$217:$I$237,5,0)),0%,VLOOKUP(A98,'Données projet'!$A$217:$I$237,5,0)*VLOOKUP('Données projet'!$B$16,'Paramètres'!$A$1:$I$88,7,0))</f>
        <v>0</v>
      </c>
      <c r="FO98" s="155">
        <f>IF(ISNA(VLOOKUP(A98,'Données projet'!$A$217:$I$237,6,0)),0%,VLOOKUP(A98,'Données projet'!$A$217:$I$237,6,0)*VLOOKUP('Données projet'!$B$16,'Paramètres'!$A$1:$I$88,7,0))</f>
        <v>0</v>
      </c>
      <c r="FP98" s="155">
        <f>IF(ISNA(VLOOKUP(A98,'Données projet'!$A$217:$I$237,7,0)),0%,VLOOKUP(A98,'Données projet'!$A$217:$I$237,7,0))</f>
        <v>0</v>
      </c>
      <c r="FQ98" s="162" t="str">
        <f>EXP(-LN(2)/35)*FQ97+(1-EXP(-LN(2)/35))/(LN(2)/35)*FM98*FN98*VLOOKUP('Données projet'!$B$16,'Paramètres'!$A$1:$I$88,3,0)*0.475*44/12</f>
        <v>#N/A</v>
      </c>
      <c r="FR98" s="162" t="str">
        <f>EXP(-LN(2)/25)*FR97+(1-EXP(-LN(2)/25))/(LN(2)/25)*Calculateur!FM98*Calculateur!FO98*VLOOKUP('Données projet'!$B$16,'Paramètres'!$A$1:$I$88,3,0)*0.475*44/12</f>
        <v>#N/A</v>
      </c>
      <c r="FS98" s="162" t="str">
        <f>EXP(-LN(2)/2)*FS97+(1-EXP(-LN(2)/2))/(LN(2)/2)*FM98*FP98*VLOOKUP('Données projet'!$B$16,'Paramètres'!$A$1:$I$88,3,0)*0.475*44/12</f>
        <v>#N/A</v>
      </c>
      <c r="FT98" s="163" t="str">
        <f t="shared" si="25"/>
        <v>#N/A</v>
      </c>
      <c r="FU98" s="159">
        <f>('Scénario référence'!$F$8+'Scénario référence'!$F$9+'Scénario référence'!$B$17+'Scénario référence'!$B$9+'Scénario référence'!$B$10)*70+IF((45+25*(1-EXP(-0.0175*A98)))&lt;70,'Scénario référence'!$B$16*(45+25*(1-EXP(-0.0175*A98))),70*'Scénario référence'!$B$16)+IF((32+38*(1-EXP(-0.0175*A98)))&lt;70,'Scénario référence'!$B$18*(32+38*(1-EXP(-0.0175*A98))),70*'Scénario référence'!$B$18)</f>
        <v>70</v>
      </c>
      <c r="FV98" s="151">
        <f>IF(A98&gt;30,10,('Scénario référence'!$B$16+'Scénario référence'!$B$17+'Scénario référence'!$B$18+'Scénario référence'!$B$9+'Scénario référence'!$B$10)*A98*10/30+('Scénario référence'!$F$8+'Scénario référence'!$F$9)*10)</f>
        <v>10</v>
      </c>
      <c r="FW98" s="151" t="str">
        <f>VLOOKUP(A98,'Données projet'!$A$243:$I$263,2,0)</f>
        <v>#N/A</v>
      </c>
      <c r="FX98" s="151" t="str">
        <f>VLOOKUP(A98,'Données projet'!$A$243:$I$263,9,0)</f>
        <v>#N/A</v>
      </c>
      <c r="FY98" s="151" t="str">
        <f t="array" ref="FY98">INDEX(FX:FX,MIN(IF(ISNUMBER(FX98:FX294),ROW(FX98:FX294),"")))</f>
        <v/>
      </c>
      <c r="FZ98" s="151">
        <f>IF('Données projet'!$A$244&gt;35,FZ97+FY98-GH97,IF(A98&lt;'Données projet'!$A$244,$FW$205^A98,IF(A98='Données projet'!$A$244,'Données projet'!$B$244,FZ97+FY98-GH97)))</f>
        <v>0</v>
      </c>
      <c r="GA98" s="158" t="str">
        <f>FZ98*VLOOKUP('Données projet'!$B$17,'Paramètres'!$A$1:$I$88,3,0)*VLOOKUP('Données projet'!$B$17,'Paramètres'!$A$1:$I$88,5,0)</f>
        <v>#N/A</v>
      </c>
      <c r="GB98" s="150" t="str">
        <f t="shared" si="50"/>
        <v>#N/A</v>
      </c>
      <c r="GC98" s="161" t="str">
        <f t="shared" si="26"/>
        <v>#N/A</v>
      </c>
      <c r="GD98" s="153" t="str">
        <f t="shared" si="27"/>
        <v>#N/A</v>
      </c>
      <c r="GE98" s="153" t="str">
        <f>AVERAGE(OFFSET($GD$3,0,0,'Données projet'!$E$17+1,1))-AVERAGE(OFFSET($H$3,0,0,'Données projet'!$E$17+1,1))</f>
        <v>#N/A</v>
      </c>
      <c r="GF98" s="153" t="str">
        <f t="shared" si="51"/>
        <v>#N/A</v>
      </c>
      <c r="GG98" s="154">
        <f>IF(ISNA(VLOOKUP(A98,'Données projet'!$A$243:$I$263,3,0)),0,VLOOKUP(A98,'Données projet'!$A$243:$I$263,3,0))</f>
        <v>0</v>
      </c>
      <c r="GH98" s="154">
        <f>IF(ISNA(VLOOKUP(A98,'Données projet'!$A$243:$I$263,4,0)),0,VLOOKUP(A98,'Données projet'!$A$243:$I$263,4,0))</f>
        <v>0</v>
      </c>
      <c r="GI98" s="155">
        <f>IF(ISNA(VLOOKUP(A98,'Données projet'!$A$243:$I$263,5,0)),0%,VLOOKUP(A98,'Données projet'!$A$243:$I$263,5,0)*VLOOKUP('Données projet'!$B$17,'Paramètres'!$A$1:$I$88,7,0))</f>
        <v>0</v>
      </c>
      <c r="GJ98" s="155">
        <f>IF(ISNA(VLOOKUP(A98,'Données projet'!$A$243:$I$263,6,0)),0%,VLOOKUP(A98,'Données projet'!$A$243:$I$263,6,0)*VLOOKUP('Données projet'!$B$17,'Paramètres'!$A$1:$I$88,7,0))</f>
        <v>0</v>
      </c>
      <c r="GK98" s="155">
        <f>IF(ISNA(VLOOKUP(A98,'Données projet'!$A$243:$I$263,7,0)),0%,VLOOKUP(A98,'Données projet'!$A$243:$I$263,7,0))</f>
        <v>0</v>
      </c>
      <c r="GL98" s="162" t="str">
        <f>EXP(-LN(2)/35)*GL97+(1-EXP(-LN(2)/35))/(LN(2)/35)*GH98*GI98*VLOOKUP('Données projet'!$B$17,'Paramètres'!$A$1:$I$88,3,0)*0.475*44/12</f>
        <v>#N/A</v>
      </c>
      <c r="GM98" s="162" t="str">
        <f>EXP(-LN(2)/25)*GM97+(1-EXP(-LN(2)/25))/(LN(2)/25)*Calculateur!GH98*Calculateur!GJ98*VLOOKUP('Données projet'!$B$17,'Paramètres'!$A$1:$I$88,3,0)*0.475*44/12</f>
        <v>#N/A</v>
      </c>
      <c r="GN98" s="162" t="str">
        <f>EXP(-LN(2)/2)*GN97+(1-EXP(-LN(2)/2))/(LN(2)/2)*GH98*GK98*VLOOKUP('Données projet'!$B$17,'Paramètres'!$A$1:$I$88,3,0)*0.475*44/12</f>
        <v>#N/A</v>
      </c>
      <c r="GO98" s="162" t="str">
        <f t="shared" si="28"/>
        <v>#N/A</v>
      </c>
      <c r="GP98" s="159">
        <f>('Scénario référence'!$F$8+'Scénario référence'!$F$9+'Scénario référence'!$B$17+'Scénario référence'!$B$9+'Scénario référence'!$B$10)*70+IF((45+25*(1-EXP(-0.0175*A98)))&lt;70,'Scénario référence'!$B$16*(45+25*(1-EXP(-0.0175*A98))),70*'Scénario référence'!$B$16)+IF((32+38*(1-EXP(-0.0175*A98)))&lt;70,'Scénario référence'!$B$18*(32+38*(1-EXP(-0.0175*A98))),70*'Scénario référence'!$B$18)</f>
        <v>70</v>
      </c>
      <c r="GQ98" s="151">
        <f>IF(A98&gt;30,10,('Scénario référence'!$B$16+'Scénario référence'!$B$17+'Scénario référence'!$B$18+'Scénario référence'!$B$9+'Scénario référence'!$B$10)*A98*10/30+('Scénario référence'!$F$8+'Scénario référence'!$F$9)*10)</f>
        <v>10</v>
      </c>
      <c r="GR98" s="151" t="str">
        <f>VLOOKUP(A98,'Données projet'!$A$269:$I$289,2,0)</f>
        <v>#N/A</v>
      </c>
      <c r="GS98" s="151" t="str">
        <f>VLOOKUP(A98,'Données projet'!$A$269:$I$289,9,0)</f>
        <v>#N/A</v>
      </c>
      <c r="GT98" s="151" t="str">
        <f t="array" ref="GT98">INDEX(GS:GS,MIN(IF(ISNUMBER(GS98:GS294),ROW(GS98:GS294),"")))</f>
        <v/>
      </c>
      <c r="GU98" s="151">
        <f>IF('Données projet'!$A$270&gt;35,GU97+GT98-HC97,IF(A98&lt;'Données projet'!$A$270,$GR$205^A98,IF(A98='Données projet'!$A$270,'Données projet'!$B$270,GU97+GT98-HC97)))</f>
        <v>0</v>
      </c>
      <c r="GV98" s="158" t="str">
        <f>GU98*VLOOKUP('Données projet'!$B$18,'Paramètres'!$A$1:$I$88,3,0)*VLOOKUP('Données projet'!$B$18,'Paramètres'!$A$1:$I$88,5,0)</f>
        <v>#N/A</v>
      </c>
      <c r="GW98" s="150" t="str">
        <f t="shared" si="52"/>
        <v>#N/A</v>
      </c>
      <c r="GX98" s="161" t="str">
        <f t="shared" si="29"/>
        <v>#N/A</v>
      </c>
      <c r="GY98" s="153" t="str">
        <f t="shared" si="30"/>
        <v>#N/A</v>
      </c>
      <c r="GZ98" s="153" t="str">
        <f>AVERAGE(OFFSET($GY$3,0,0,'Données projet'!$E$18+1,1))-AVERAGE(OFFSET($H$3,0,0,'Données projet'!$E$18+1,1))</f>
        <v>#N/A</v>
      </c>
      <c r="HA98" s="153" t="str">
        <f t="shared" si="53"/>
        <v>#N/A</v>
      </c>
      <c r="HB98" s="154">
        <f>IF(ISNA(VLOOKUP(A98,'Données projet'!$A$269:$I$289,3,0)),0,VLOOKUP(A98,'Données projet'!$A$269:$I$289,3,0))</f>
        <v>0</v>
      </c>
      <c r="HC98" s="154">
        <f>IF(ISNA(VLOOKUP(A98,'Données projet'!$A$269:$I$289,4,0)),0,VLOOKUP(A98,'Données projet'!$A$269:$I$289,4,0))</f>
        <v>0</v>
      </c>
      <c r="HD98" s="155">
        <f>IF(ISNA(VLOOKUP(A98,'Données projet'!$A$269:$I$289,5,0)),0%,VLOOKUP(A98,'Données projet'!$A$269:$I$289,5,0)*VLOOKUP('Données projet'!$B$18,'Paramètres'!$A$1:$I$88,7,0))</f>
        <v>0</v>
      </c>
      <c r="HE98" s="155">
        <f>IF(ISNA(VLOOKUP(A98,'Données projet'!$A$269:$I$289,6,0)),0%,VLOOKUP(A98,'Données projet'!$A$269:$I$289,6,0)*VLOOKUP('Données projet'!$B$18,'Paramètres'!$A$1:$I$88,7,0))</f>
        <v>0</v>
      </c>
      <c r="HF98" s="155">
        <f>IF(ISNA(VLOOKUP(A98,'Données projet'!$A$269:$I$289,7,0)),0%,VLOOKUP(A98,'Données projet'!$A$269:$I$289,7,0))</f>
        <v>0</v>
      </c>
      <c r="HG98" s="162" t="str">
        <f>EXP(-LN(2)/35)*HG97+(1-EXP(-LN(2)/35))/(LN(2)/35)*HC98*HD98*VLOOKUP('Données projet'!$B$18,'Paramètres'!$A$1:$I$88,3,0)*0.475*44/12</f>
        <v>#N/A</v>
      </c>
      <c r="HH98" s="162" t="str">
        <f>EXP(-LN(2)/25)*HH97+(1-EXP(-LN(2)/25))/(LN(2)/25)*Calculateur!HC98*Calculateur!HE98*VLOOKUP('Données projet'!$B$18,'Paramètres'!$A$1:$I$88,3,0)*0.475*44/12</f>
        <v>#N/A</v>
      </c>
      <c r="HI98" s="162" t="str">
        <f>EXP(-LN(2)/2)*HI97+(1-EXP(-LN(2)/2))/(LN(2)/2)*HC98*HF98*VLOOKUP('Données projet'!$B$18,'Paramètres'!$A$1:$I$88,3,0)*0.475*44/12</f>
        <v>#N/A</v>
      </c>
      <c r="HJ98" s="163" t="str">
        <f t="shared" si="31"/>
        <v>#N/A</v>
      </c>
    </row>
    <row r="99" ht="15.75" customHeight="1">
      <c r="A99" s="145">
        <f t="shared" si="32"/>
        <v>96</v>
      </c>
      <c r="B99" s="146">
        <f>'Scénario référence'!$B$16*5+'Scénario référence'!$B$17*0+'Scénario référence'!$B$18*5</f>
        <v>0</v>
      </c>
      <c r="C99" s="160">
        <f>Calculateur!C98+'Scénario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99" s="147">
        <f t="shared" si="33"/>
        <v>0</v>
      </c>
      <c r="E99" s="147">
        <f>'Scénario référence'!$B$16*45+('Scénario référence'!$B$17+'Scénario référence'!$F$8+'Scénario référence'!$F$9+'Scénario référence'!$B$10+'Scénario référence'!$B$9)*70+'Scénario référence'!$B$18*32</f>
        <v>70</v>
      </c>
      <c r="F99" s="147">
        <f>IF(OR('Scénario référence'!$F$8&gt;0,'Scénario référence'!$F$9&gt;0),('Scénario référence'!$F$8+'Scénario référence'!$F$9)*10,0)</f>
        <v>0</v>
      </c>
      <c r="G99" s="147">
        <f>'Scénario référence'!$B$8*B99*44/12+'Scénario référence'!$B$9*(C99+D99)/0.475*44/12+'Scénario référence'!$B$10*(C99+D99)/0.475*44/12+'Scénario référence'!$F$8*(C99+D99)/0.475*44/12+'Scénario référence'!$F$9*(C99+D99)/0.475*44/12</f>
        <v>0</v>
      </c>
      <c r="H99" s="148">
        <f t="shared" si="1"/>
        <v>256.6666667</v>
      </c>
      <c r="I99" s="149">
        <f>('Scénario référence'!$F$8+'Scénario référence'!$F$9+'Scénario référence'!$B$17+'Scénario référence'!$B$9+'Scénario référence'!$B$10)*70+IF((45+25*(1-EXP(-0.0175*A99)))&lt;70,'Scénario référence'!$B$16*(45+25*(1-EXP(-0.0175*A99))),70*'Scénario référence'!$B$16)+IF((32+38*(1-EXP(-0.0175*A99)))&lt;70,'Scénario référence'!$B$18*(32+38*(1-EXP(-0.0175*A99))),70*'Scénario référence'!$B$18)</f>
        <v>70</v>
      </c>
      <c r="J99" s="150">
        <f>IF(A99&gt;30,10,('Scénario référence'!$B$16+'Scénario référence'!$B$17+'Scénario référence'!$B$18+'Scénario référence'!$B$9+'Scénario référence'!$B$10)*A99*10/30+('Scénario référence'!$F$8+'Scénario référence'!$F$9)*10)</f>
        <v>10</v>
      </c>
      <c r="K99" s="151" t="str">
        <f>VLOOKUP(A99,'Données projet'!$A$35:$I$55,2,0)</f>
        <v>#N/A</v>
      </c>
      <c r="L99" s="151" t="str">
        <f>VLOOKUP(A99,'Données projet'!$A$35:$I$55,9,0)</f>
        <v>#N/A</v>
      </c>
      <c r="M99" s="150">
        <f t="array" ref="M99">INDEX(L:L,MIN(IF(ISNUMBER(L99:L295),ROW(L99:L295),"")))</f>
        <v>5.6</v>
      </c>
      <c r="N99" s="150">
        <f>IF('Données projet'!$A$36&gt;35,N98+M99-V98,IF(A99&lt;'Données projet'!$A$36,$K$205^A99,IF(A99='Données projet'!$A$36,'Données projet'!$B$36,N98+M99-V98)))</f>
        <v>310.6</v>
      </c>
      <c r="O99" s="150">
        <f>N99*VLOOKUP('Données projet'!$B$9,'Paramètres'!$A$1:$I$88,3,0)*VLOOKUP('Données projet'!$B$9,'Paramètres'!$A$1:$I$88,5,0)</f>
        <v>281.03088</v>
      </c>
      <c r="P99" s="150">
        <f t="shared" si="34"/>
        <v>67.18481684</v>
      </c>
      <c r="Q99" s="161">
        <f t="shared" si="2"/>
        <v>606.475672</v>
      </c>
      <c r="R99" s="153">
        <f t="shared" si="3"/>
        <v>899.8090053</v>
      </c>
      <c r="S99" s="153">
        <f>AVERAGE(OFFSET($R$3,0,0,'Données projet'!$E$9+1,1))-AVERAGE(OFFSET($H$3,0,0,'Données projet'!$E$9+1,1))</f>
        <v>439.1985427</v>
      </c>
      <c r="T99" s="153">
        <f t="shared" si="35"/>
        <v>278.2174123</v>
      </c>
      <c r="U99" s="154">
        <f>IF(ISNA(VLOOKUP(A99,'Données projet'!$A$35:$I$55,3,0)),0,VLOOKUP(A99,'Données projet'!$A$35:$I$55,3,0))</f>
        <v>0</v>
      </c>
      <c r="V99" s="154">
        <f>IF(ISNA(VLOOKUP(A99,'Données projet'!$A$35:$I$55,4,0)),0,VLOOKUP(A99,'Données projet'!$A$35:$I$55,4,0))</f>
        <v>0</v>
      </c>
      <c r="W99" s="155">
        <f>IF(ISNA(VLOOKUP(A99,'Données projet'!$A$35:$I$55,5,0)),0%,VLOOKUP(A99,'Données projet'!$A$35:$I$55,5,0)*VLOOKUP('Données projet'!$B$9,'Paramètres'!$A$1:$I$88,7,0))</f>
        <v>0</v>
      </c>
      <c r="X99" s="155">
        <f>IF(ISNA(VLOOKUP(A99,'Données projet'!$A$35:$I$55,6,0)),0%,VLOOKUP(A99,'Données projet'!$A$35:$I$55,6,0)*VLOOKUP('Données projet'!$B$9,'Paramètres'!$A$1:$I$88,7,0))</f>
        <v>0</v>
      </c>
      <c r="Y99" s="155">
        <f>IF(ISNA(VLOOKUP(A99,'Données projet'!$A$35:$I$55,7,0)),0%,VLOOKUP(A99,'Données projet'!$A$35:$I$55,7,0))</f>
        <v>0</v>
      </c>
      <c r="Z99" s="162">
        <f>EXP(-LN(2)/35)*Z98+(1-EXP(-LN(2)/35))/(LN(2)/35)*V99*W99*VLOOKUP('Données projet'!$B$9,'Paramètres'!$A$1:$I$88,3,0)*0.475*44/12</f>
        <v>0</v>
      </c>
      <c r="AA99" s="162">
        <f>EXP(-LN(2)/25)*AA98+(1-EXP(-LN(2)/25))/(LN(2)/25)*Calculateur!V99*Calculateur!X99*VLOOKUP('Données projet'!$B$9,'Paramètres'!$A$1:$I$88,3,0)*0.475*44/12</f>
        <v>0.7199346732</v>
      </c>
      <c r="AB99" s="162">
        <f>EXP(-LN(2)/2)*AB98+(1-EXP(-LN(2)/2))/(LN(2)/2)*V99*Y99*VLOOKUP('Données projet'!$B$9,'Paramètres'!$A$1:$I$88,3,0)*0.475*44/12</f>
        <v>0</v>
      </c>
      <c r="AC99" s="163">
        <f t="shared" si="4"/>
        <v>0.7199346732</v>
      </c>
      <c r="AD99" s="150">
        <f>('Scénario référence'!$F$8+'Scénario référence'!$F$9+'Scénario référence'!$B$17+'Scénario référence'!$B$9+'Scénario référence'!$B$10)*70+IF((45+25*(1-EXP(-0.0175*A99)))&lt;70,'Scénario référence'!$B$16*(45+25*(1-EXP(-0.0175*A99))),70*'Scénario référence'!$B$16)+IF((32+38*(1-EXP(-0.0175*A99)))&lt;70,'Scénario référence'!$B$18*(32+38*(1-EXP(-0.0175*A99))),70*'Scénario référence'!$B$18)</f>
        <v>70</v>
      </c>
      <c r="AE99" s="150">
        <f>IF(A99&gt;30,10,('Scénario référence'!$B$16+'Scénario référence'!$B$17+'Scénario référence'!$B$18+'Scénario référence'!$B$9+'Scénario référence'!$B$10)*A99*10/30+('Scénario référence'!$F$8+'Scénario référence'!$F$9)*10)</f>
        <v>10</v>
      </c>
      <c r="AF99" s="151" t="str">
        <f>VLOOKUP(A99,'Données projet'!$A$61:$I$81,2,0)</f>
        <v>#N/A</v>
      </c>
      <c r="AG99" s="151" t="str">
        <f>VLOOKUP(A99,'Données projet'!$A$61:$I$81,9,0)</f>
        <v>#N/A</v>
      </c>
      <c r="AH99" s="151" t="str">
        <f t="array" ref="AH99">INDEX(AG:AG,MIN(IF(ISNUMBER(AG99:AG295),ROW(AG99:AG295),"")))</f>
        <v/>
      </c>
      <c r="AI99" s="150">
        <f>IF('Données projet'!$A$62&gt;35,AI98+AH99-AQ98,IF(A99&lt;'Données projet'!$A$62,$AF$205^A99,IF(A99='Données projet'!$A$62,'Données projet'!$B$62,AI98+AH99-AQ98)))</f>
        <v>369</v>
      </c>
      <c r="AJ99" s="150">
        <f>AI99*VLOOKUP('Données projet'!$B$10,'Paramètres'!$A$1:$I$88,3,0)*VLOOKUP('Données projet'!$B$10,'Paramètres'!$A$1:$I$88,5,0)</f>
        <v>293.5764</v>
      </c>
      <c r="AK99" s="150">
        <f t="shared" si="36"/>
        <v>69.82813851</v>
      </c>
      <c r="AL99" s="161">
        <f t="shared" si="5"/>
        <v>632.9295712</v>
      </c>
      <c r="AM99" s="153">
        <f t="shared" si="6"/>
        <v>926.2629046</v>
      </c>
      <c r="AN99" s="153">
        <f>AVERAGE(OFFSET($AM$3,0,0,'Données projet'!$E$10+1,1))-AVERAGE(OFFSET($H$3,0,0,'Données projet'!$E$10+1,1))</f>
        <v>405.6113614</v>
      </c>
      <c r="AO99" s="153">
        <f t="shared" si="37"/>
        <v>393.0787141</v>
      </c>
      <c r="AP99" s="154">
        <f>IF(ISNA(VLOOKUP(A99,'Données projet'!$A$61:$I$81,3,0)),0,VLOOKUP(A99,'Données projet'!$A$61:$I$81,3,0))</f>
        <v>0</v>
      </c>
      <c r="AQ99" s="154">
        <f>IF(ISNA(VLOOKUP(A99,'Données projet'!$A$61:$I$81,4,0)),0,VLOOKUP(A99,'Données projet'!$A$61:$I$81,4,0))</f>
        <v>0</v>
      </c>
      <c r="AR99" s="155">
        <f>IF(ISNA(VLOOKUP(A99,'Données projet'!$A$61:$I$81,5,0)),0%,VLOOKUP(A99,'Données projet'!$A$61:$I$81,5,0)*VLOOKUP('Données projet'!$B$10,'Paramètres'!$A$1:$I$88,7,0))</f>
        <v>0</v>
      </c>
      <c r="AS99" s="155">
        <f>IF(ISNA(VLOOKUP(A99,'Données projet'!$A$61:$I$81,6,0)),0%,VLOOKUP(A99,'Données projet'!$A$61:$I$81,6,0)*VLOOKUP('Données projet'!$B$10,'Paramètres'!$A$1:$I$88,7,0))</f>
        <v>0</v>
      </c>
      <c r="AT99" s="155">
        <f>IF(ISNA(VLOOKUP(A99,'Données projet'!$A$61:$I$81,7,0)),0%,VLOOKUP(A99,'Données projet'!$A$61:$I$81,7,0))</f>
        <v>0</v>
      </c>
      <c r="AU99" s="162">
        <f>EXP(-LN(2)/35)*AU98+(1-EXP(-LN(2)/35))/(LN(2)/35)*AQ99*AR99*VLOOKUP('Données projet'!$B$10,'Paramètres'!$A$1:$I$88,3,0)*0.475*44/12</f>
        <v>0</v>
      </c>
      <c r="AV99" s="162">
        <f>EXP(-LN(2)/25)*AV98+(1-EXP(-LN(2)/25))/(LN(2)/25)*Calculateur!AQ99*Calculateur!AS99*VLOOKUP('Données projet'!$B$10,'Paramètres'!$A$1:$I$88,3,0)*0.475*44/12</f>
        <v>2.925997527</v>
      </c>
      <c r="AW99" s="162">
        <f>EXP(-LN(2)/2)*AW98+(1-EXP(-LN(2)/2))/(LN(2)/2)*AQ99*AT99*VLOOKUP('Données projet'!$B$10,'Paramètres'!$A$1:$I$88,3,0)*0.475*44/12</f>
        <v>0</v>
      </c>
      <c r="AX99" s="162">
        <f t="shared" si="7"/>
        <v>2.925997527</v>
      </c>
      <c r="AY99" s="157">
        <f>('Scénario référence'!$F$8+'Scénario référence'!$F$9+'Scénario référence'!$B$17+'Scénario référence'!$B$9+'Scénario référence'!$B$10)*70+IF((45+25*(1-EXP(-0.0175*A99)))&lt;70,'Scénario référence'!$B$16*(45+25*(1-EXP(-0.0175*A99))),70*'Scénario référence'!$B$16)+IF((32+38*(1-EXP(-0.0175*A99)))&lt;70,'Scénario référence'!$B$18*(32+38*(1-EXP(-0.0175*A99))),70*'Scénario référence'!$B$18)</f>
        <v>70</v>
      </c>
      <c r="AZ99" s="151">
        <f>IF(A99&gt;30,10,('Scénario référence'!$B$16+'Scénario référence'!$B$17+'Scénario référence'!$B$18+'Scénario référence'!$B$9+'Scénario référence'!$B$10)*A99*10/30+('Scénario référence'!$F$8+'Scénario référence'!$F$9)*10)</f>
        <v>10</v>
      </c>
      <c r="BA99" s="151" t="str">
        <f>VLOOKUP(A99,'Données projet'!$A$87:$I$107,2,0)</f>
        <v>#N/A</v>
      </c>
      <c r="BB99" s="151" t="str">
        <f>VLOOKUP(A99,'Données projet'!$A$87:$I$107,9,0)</f>
        <v>#N/A</v>
      </c>
      <c r="BC99" s="151" t="str">
        <f t="array" ref="BC99">INDEX(BB:BB,MIN(IF(ISNUMBER(BB99:BB295),ROW(BB99:BB295),"")))</f>
        <v/>
      </c>
      <c r="BD99" s="150">
        <f>IF('Données projet'!$A$88&gt;35,BD98+BC99-BL98,IF(A99&lt;'Données projet'!$A$88,$BA$205^A99,IF(A99='Données projet'!$A$88,'Données projet'!$B$88,BD98+BC99-BL98)))</f>
        <v>0</v>
      </c>
      <c r="BE99" s="150">
        <f>BD99*VLOOKUP('Données projet'!$B$11,'Paramètres'!$A$1:$I$88,3,0)*VLOOKUP('Données projet'!$B$11,'Paramètres'!$A$1:$I$88,5,0)</f>
        <v>0</v>
      </c>
      <c r="BF99" s="150" t="str">
        <f t="shared" si="38"/>
        <v>#NUM!</v>
      </c>
      <c r="BG99" s="161" t="str">
        <f t="shared" si="8"/>
        <v>#NUM!</v>
      </c>
      <c r="BH99" s="153" t="str">
        <f t="shared" si="9"/>
        <v>#NUM!</v>
      </c>
      <c r="BI99" s="153">
        <f>AVERAGE(OFFSET($BH$3,0,0,'Données projet'!$E$11+1,1))-AVERAGE(OFFSET($H$3,0,0,'Données projet'!$E$11+1,1))</f>
        <v>0</v>
      </c>
      <c r="BJ99" s="153">
        <f t="shared" si="39"/>
        <v>0</v>
      </c>
      <c r="BK99" s="154">
        <f>IF(ISNA(VLOOKUP(A99,'Données projet'!$A$87:$I$107,3,0)),0,VLOOKUP(A99,'Données projet'!$A$87:$I$107,3,0))</f>
        <v>0</v>
      </c>
      <c r="BL99" s="154">
        <f>IF(ISNA(VLOOKUP(A99,'Données projet'!$A$87:$I$107,4,0)),0,VLOOKUP(A99,'Données projet'!$A$87:$I$107,4,0))</f>
        <v>0</v>
      </c>
      <c r="BM99" s="155">
        <f>IF(ISNA(VLOOKUP(A99,'Données projet'!$A$87:$I$107,5,0)),0%,VLOOKUP(A99,'Données projet'!$A$87:$I$107,5,0)*VLOOKUP('Données projet'!$B$11,'Paramètres'!$A$1:$I$88,7,0))</f>
        <v>0</v>
      </c>
      <c r="BN99" s="155">
        <f>IF(ISNA(VLOOKUP(A99,'Données projet'!$A$87:$I$107,6,0)),0%,VLOOKUP(A99,'Données projet'!$A$87:$I$107,6,0)*VLOOKUP('Données projet'!$B$11,'Paramètres'!$A$1:$I$88,7,0))</f>
        <v>0</v>
      </c>
      <c r="BO99" s="155">
        <f>IF(ISNA(VLOOKUP(A99,'Données projet'!$A$87:$I$107,7,0)),0%,VLOOKUP(A99,'Données projet'!$A$87:$I$107,7,0))</f>
        <v>0</v>
      </c>
      <c r="BP99" s="162">
        <f>EXP(-LN(2)/35)*BP98+(1-EXP(-LN(2)/35))/(LN(2)/35)*BL99*BM99*VLOOKUP('Données projet'!$B$11,'Paramètres'!$A$1:$I$88,3,0)*0.475*44/12</f>
        <v>0</v>
      </c>
      <c r="BQ99" s="162">
        <f>EXP(-LN(2)/25)*BQ98+(1-EXP(-LN(2)/25))/(LN(2)/25)*Calculateur!BL99*Calculateur!BN99*VLOOKUP('Données projet'!$B$11,'Paramètres'!$A$1:$I$88,3,0)*0.475*44/12</f>
        <v>0</v>
      </c>
      <c r="BR99" s="162">
        <f>EXP(-LN(2)/2)*BR98+(1-EXP(-LN(2)/2))/(LN(2)/2)*BL99*BO99*VLOOKUP('Données projet'!$B$11,'Paramètres'!$A$1:$I$88,3,0)*0.475*44/12</f>
        <v>0</v>
      </c>
      <c r="BS99" s="163">
        <f t="shared" si="10"/>
        <v>0</v>
      </c>
      <c r="BT99" s="159">
        <f>('Scénario référence'!$F$8+'Scénario référence'!$F$9+'Scénario référence'!$B$17+'Scénario référence'!$B$9+'Scénario référence'!$B$10)*70+IF((45+25*(1-EXP(-0.0175*A99)))&lt;70,'Scénario référence'!$B$16*(45+25*(1-EXP(-0.0175*A99))),70*'Scénario référence'!$B$16)+IF((32+38*(1-EXP(-0.0175*A99)))&lt;70,'Scénario référence'!$B$18*(32+38*(1-EXP(-0.0175*A99))),70*'Scénario référence'!$B$18)</f>
        <v>70</v>
      </c>
      <c r="BU99" s="151">
        <f>IF(A99&gt;30,10,('Scénario référence'!$B$16+'Scénario référence'!$B$17+'Scénario référence'!$B$18+'Scénario référence'!$B$9+'Scénario référence'!$B$10)*A99*10/30+('Scénario référence'!$F$8+'Scénario référence'!$F$9)*10)</f>
        <v>10</v>
      </c>
      <c r="BV99" s="151" t="str">
        <f>VLOOKUP(A99,'Données projet'!$A$113:$I$133,2,0)</f>
        <v>#N/A</v>
      </c>
      <c r="BW99" s="151" t="str">
        <f>VLOOKUP(A99,'Données projet'!$A$113:$I$133,9,0)</f>
        <v>#N/A</v>
      </c>
      <c r="BX99" s="150" t="str">
        <f t="array" ref="BX99">INDEX(BW:BW,MIN(IF(ISNUMBER(BW99:BW295),ROW(BW99:BW295),"")))</f>
        <v/>
      </c>
      <c r="BY99" s="150">
        <f>IF('Données projet'!$A$114&gt;35,BY98+BX99-CG98,IF(A99&lt;'Données projet'!$A$114,$BV$205^A99,IF(A99='Données projet'!$A$114,'Données projet'!$B$114,BY98+BX99-CG98)))</f>
        <v>0</v>
      </c>
      <c r="BZ99" s="150" t="str">
        <f>BY99*VLOOKUP('Données projet'!$B$12,'Paramètres'!$A$1:$I$88,3,0)*VLOOKUP('Données projet'!$B$12,'Paramètres'!$A$1:$I$88,5,0)</f>
        <v>#N/A</v>
      </c>
      <c r="CA99" s="150" t="str">
        <f t="shared" si="40"/>
        <v>#N/A</v>
      </c>
      <c r="CB99" s="161" t="str">
        <f t="shared" si="11"/>
        <v>#N/A</v>
      </c>
      <c r="CC99" s="153" t="str">
        <f t="shared" si="12"/>
        <v>#N/A</v>
      </c>
      <c r="CD99" s="153" t="str">
        <f>AVERAGE(OFFSET($CC$3,0,0,'Données projet'!$E$12+1,1))-AVERAGE(OFFSET($H$3,0,0,'Données projet'!$E$12+1,1))</f>
        <v>#N/A</v>
      </c>
      <c r="CE99" s="153" t="str">
        <f t="shared" si="41"/>
        <v>#N/A</v>
      </c>
      <c r="CF99" s="154">
        <f>IF(ISNA(VLOOKUP(A99,'Données projet'!$A$113:$I$133,3,0)),0,VLOOKUP(A99,'Données projet'!$A$113:$I$133,3,0))</f>
        <v>0</v>
      </c>
      <c r="CG99" s="154">
        <f>IF(ISNA(VLOOKUP(A99,'Données projet'!$A$113:$I$133,4,0)),0,VLOOKUP(A99,'Données projet'!$A$113:$I$133,4,0))</f>
        <v>0</v>
      </c>
      <c r="CH99" s="155">
        <f>IF(ISNA(VLOOKUP(A99,'Données projet'!$A$113:$I$133,5,0)),0%,VLOOKUP(A99,'Données projet'!$A$113:$I$133,5,0)*VLOOKUP('Données projet'!$B$12,'Paramètres'!$A$1:$I$88,7,0))</f>
        <v>0</v>
      </c>
      <c r="CI99" s="155">
        <f>IF(ISNA(VLOOKUP(A99,'Données projet'!$A$113:$I$133,6,0)),0%,VLOOKUP(A99,'Données projet'!$A$113:$I$133,6,0)*VLOOKUP('Données projet'!$B$12,'Paramètres'!$A$1:$I$88,7,0))</f>
        <v>0</v>
      </c>
      <c r="CJ99" s="155">
        <f>IF(ISNA(VLOOKUP(A99,'Données projet'!$A$113:$I$133,7,0)),0%,VLOOKUP(A99,'Données projet'!$A$113:$I$133,7,0))</f>
        <v>0</v>
      </c>
      <c r="CK99" s="162" t="str">
        <f>EXP(-LN(2)/35)*CK98+(1-EXP(-LN(2)/35))/(LN(2)/35)*CG99*CH99*VLOOKUP('Données projet'!$B$12,'Paramètres'!$A$1:$I$88,3,0)*0.475*44/12</f>
        <v>#N/A</v>
      </c>
      <c r="CL99" s="162" t="str">
        <f>EXP(-LN(2)/25)*CL98+(1-EXP(-LN(2)/25))/(LN(2)/25)*Calculateur!CG99*Calculateur!CI99*VLOOKUP('Données projet'!$B$12,'Paramètres'!$A$1:$I$88,3,0)*0.475*44/12</f>
        <v>#N/A</v>
      </c>
      <c r="CM99" s="162" t="str">
        <f>EXP(-LN(2)/2)*CM98+(1-EXP(-LN(2)/2))/(LN(2)/2)*CG99*CJ99*VLOOKUP('Données projet'!$B$12,'Paramètres'!$A$1:$I$88,3,0)*0.475*44/12</f>
        <v>#N/A</v>
      </c>
      <c r="CN99" s="163" t="str">
        <f t="shared" si="13"/>
        <v>#N/A</v>
      </c>
      <c r="CO99" s="159">
        <f>('Scénario référence'!$F$8+'Scénario référence'!$F$9+'Scénario référence'!$B$17+'Scénario référence'!$B$9+'Scénario référence'!$B$10)*70+IF((45+25*(1-EXP(-0.0175*A99)))&lt;70,'Scénario référence'!$B$16*(45+25*(1-EXP(-0.0175*A99))),70*'Scénario référence'!$B$16)+IF((32+38*(1-EXP(-0.0175*A99)))&lt;70,'Scénario référence'!$B$18*(32+38*(1-EXP(-0.0175*A99))),70*'Scénario référence'!$B$18)</f>
        <v>70</v>
      </c>
      <c r="CP99" s="151">
        <f>IF(A99&gt;30,10,('Scénario référence'!$B$16+'Scénario référence'!$B$17+'Scénario référence'!$B$18+'Scénario référence'!$B$9+'Scénario référence'!$B$10)*A99*10/30+('Scénario référence'!$F$8+'Scénario référence'!$F$9)*10)</f>
        <v>10</v>
      </c>
      <c r="CQ99" s="151" t="str">
        <f>VLOOKUP(A99,'Données projet'!$A$139:$I$159,2,0)</f>
        <v>#N/A</v>
      </c>
      <c r="CR99" s="151" t="str">
        <f>VLOOKUP(A99,'Données projet'!$A$139:$I$159,9,0)</f>
        <v>#N/A</v>
      </c>
      <c r="CS99" s="151" t="str">
        <f t="array" ref="CS99">INDEX(CR:CR,MIN(IF(ISNUMBER(CR99:CR295),ROW(CR99:CR295),"")))</f>
        <v/>
      </c>
      <c r="CT99" s="151">
        <f>IF('Données projet'!$A$140&gt;35,CT98+CS99-DB98,IF(A99&lt;'Données projet'!$A$140,$CQ$205^A99,IF(A99='Données projet'!$A$140,'Données projet'!$B$140,CT98+CS99-DB98)))</f>
        <v>0</v>
      </c>
      <c r="CU99" s="158" t="str">
        <f>CT99*VLOOKUP('Données projet'!$B$13,'Paramètres'!$A$1:$I$88,3,0)*VLOOKUP('Données projet'!$B$13,'Paramètres'!$A$1:$I$88,5,0)</f>
        <v>#N/A</v>
      </c>
      <c r="CV99" s="150" t="str">
        <f t="shared" si="42"/>
        <v>#N/A</v>
      </c>
      <c r="CW99" s="161" t="str">
        <f t="shared" si="14"/>
        <v>#N/A</v>
      </c>
      <c r="CX99" s="153" t="str">
        <f t="shared" si="15"/>
        <v>#N/A</v>
      </c>
      <c r="CY99" s="153" t="str">
        <f>AVERAGE(OFFSET($CX$3,0,0,'Données projet'!$E$13+1,1))-AVERAGE(OFFSET($H$3,0,0,'Données projet'!$E$13+1,1))</f>
        <v>#N/A</v>
      </c>
      <c r="CZ99" s="153" t="str">
        <f t="shared" si="43"/>
        <v>#N/A</v>
      </c>
      <c r="DA99" s="154">
        <f>IF(ISNA(VLOOKUP(A99,'Données projet'!$A$139:$I$159,3,0)),0,VLOOKUP(A99,'Données projet'!$A$139:$I$159,3,0))</f>
        <v>0</v>
      </c>
      <c r="DB99" s="154">
        <f>IF(ISNA(VLOOKUP(A99,'Données projet'!$A$139:$I$159,4,0)),0,VLOOKUP(A99,'Données projet'!$A$139:$I$159,4,0))</f>
        <v>0</v>
      </c>
      <c r="DC99" s="155">
        <f>IF(ISNA(VLOOKUP(A99,'Données projet'!$A$139:$I$159,5,0)),0%,VLOOKUP(A99,'Données projet'!$A$139:$I$159,5,0)*VLOOKUP('Données projet'!$B$13,'Paramètres'!$A$1:$I$88,7,0))</f>
        <v>0</v>
      </c>
      <c r="DD99" s="155">
        <f>IF(ISNA(VLOOKUP(A99,'Données projet'!$A$139:$I$159,6,0)),0%,VLOOKUP(A99,'Données projet'!$A$139:$I$159,6,0)*VLOOKUP('Données projet'!$B$13,'Paramètres'!$A$1:$I$88,7,0))</f>
        <v>0</v>
      </c>
      <c r="DE99" s="155">
        <f>IF(ISNA(VLOOKUP(A99,'Données projet'!$A$139:$I$159,7,0)),0%,VLOOKUP(A99,'Données projet'!$A$139:$I$159,7,0))</f>
        <v>0</v>
      </c>
      <c r="DF99" s="162" t="str">
        <f>EXP(-LN(2)/35)*DF98+(1-EXP(-LN(2)/35))/(LN(2)/35)*DB99*DC99*VLOOKUP('Données projet'!$B$13,'Paramètres'!$A$1:$I$88,3,0)*0.475*44/12</f>
        <v>#N/A</v>
      </c>
      <c r="DG99" s="162" t="str">
        <f>EXP(-LN(2)/25)*DG98+(1-EXP(-LN(2)/25))/(LN(2)/25)*Calculateur!DB99*Calculateur!DD99*VLOOKUP('Données projet'!$B$13,'Paramètres'!$A$1:$I$88,3,0)*0.475*44/12</f>
        <v>#N/A</v>
      </c>
      <c r="DH99" s="162" t="str">
        <f>EXP(-LN(2)/2)*DH98+(1-EXP(-LN(2)/2))/(LN(2)/2)*DB99*DE99*VLOOKUP('Données projet'!$B$13,'Paramètres'!$A$1:$I$88,3,0)*0.475*44/12</f>
        <v>#N/A</v>
      </c>
      <c r="DI99" s="163" t="str">
        <f t="shared" si="16"/>
        <v>#N/A</v>
      </c>
      <c r="DJ99" s="159">
        <f>('Scénario référence'!$F$8+'Scénario référence'!$F$9+'Scénario référence'!$B$17+'Scénario référence'!$B$9+'Scénario référence'!$B$10)*70+IF((45+25*(1-EXP(-0.0175*A99)))&lt;70,'Scénario référence'!$B$16*(45+25*(1-EXP(-0.0175*A99))),70*'Scénario référence'!$B$16)+IF((32+38*(1-EXP(-0.0175*A99)))&lt;70,'Scénario référence'!$B$18*(32+38*(1-EXP(-0.0175*A99))),70*'Scénario référence'!$B$18)</f>
        <v>70</v>
      </c>
      <c r="DK99" s="151">
        <f>IF(A99&gt;30,10,('Scénario référence'!$B$16+'Scénario référence'!$B$17+'Scénario référence'!$B$18+'Scénario référence'!$B$9+'Scénario référence'!$B$10)*A99*10/30+('Scénario référence'!$F$8+'Scénario référence'!$F$9)*10)</f>
        <v>10</v>
      </c>
      <c r="DL99" s="151" t="str">
        <f>VLOOKUP(A99,'Données projet'!$A$165:$I$185,2,0)</f>
        <v>#N/A</v>
      </c>
      <c r="DM99" s="151" t="str">
        <f>VLOOKUP(A99,'Données projet'!$A$165:$I$185,9,0)</f>
        <v>#N/A</v>
      </c>
      <c r="DN99" s="151" t="str">
        <f t="array" ref="DN99">INDEX(DM:DM,MIN(IF(ISNUMBER(DM99:DM295),ROW(DM99:DM295),"")))</f>
        <v/>
      </c>
      <c r="DO99" s="151">
        <f>IF('Données projet'!$A$166&gt;35,DO98+DN99-DW98,IF(A99&lt;'Données projet'!$A$166,$DL$205^A99,IF(A99='Données projet'!$A$166,'Données projet'!$B$166,DO98+DN99-DW98)))</f>
        <v>0</v>
      </c>
      <c r="DP99" s="158" t="str">
        <f>DO99*VLOOKUP('Données projet'!$B$14,'Paramètres'!$A$1:$I$88,3,0)*VLOOKUP('Données projet'!$B$14,'Paramètres'!$A$1:$I$88,5,0)</f>
        <v>#N/A</v>
      </c>
      <c r="DQ99" s="150" t="str">
        <f t="shared" si="44"/>
        <v>#N/A</v>
      </c>
      <c r="DR99" s="161" t="str">
        <f t="shared" si="17"/>
        <v>#N/A</v>
      </c>
      <c r="DS99" s="153" t="str">
        <f t="shared" si="18"/>
        <v>#N/A</v>
      </c>
      <c r="DT99" s="153" t="str">
        <f>AVERAGE(OFFSET($DS$3,0,0,'Données projet'!$E$14+1,1))-AVERAGE(OFFSET($H$3,0,0,'Données projet'!$E$14+1,1))</f>
        <v>#N/A</v>
      </c>
      <c r="DU99" s="153" t="str">
        <f t="shared" si="45"/>
        <v>#N/A</v>
      </c>
      <c r="DV99" s="154">
        <f>IF(ISNA(VLOOKUP(A99,'Données projet'!$A$165:$I$185,3,0)),0,VLOOKUP(A99,'Données projet'!$A$165:$I$185,3,0))</f>
        <v>0</v>
      </c>
      <c r="DW99" s="154">
        <f>IF(ISNA(VLOOKUP(A99,'Données projet'!$A$165:$I$185,4,0)),0,VLOOKUP(A99,'Données projet'!$A$165:$I$185,4,0))</f>
        <v>0</v>
      </c>
      <c r="DX99" s="155">
        <f>IF(ISNA(VLOOKUP(A99,'Données projet'!$A$165:$I$185,5,0)),0%,VLOOKUP(A99,'Données projet'!$A$165:$I$185,5,0)*VLOOKUP('Données projet'!$B$14,'Paramètres'!$A$1:$I$88,7,0))</f>
        <v>0</v>
      </c>
      <c r="DY99" s="155">
        <f>IF(ISNA(VLOOKUP(A99,'Données projet'!$A$165:$I$185,6,0)),0%,VLOOKUP(A99,'Données projet'!$A$165:$I$185,6,0)*VLOOKUP('Données projet'!$B$14,'Paramètres'!$A$1:$I$88,7,0))</f>
        <v>0</v>
      </c>
      <c r="DZ99" s="155">
        <f>IF(ISNA(VLOOKUP(A99,'Données projet'!$A$165:$I$185,7,0)),0%,VLOOKUP(A99,'Données projet'!$A$165:$I$185,7,0))</f>
        <v>0</v>
      </c>
      <c r="EA99" s="162" t="str">
        <f>EXP(-LN(2)/35)*EA98+(1-EXP(-LN(2)/35))/(LN(2)/35)*DW99*DX99*VLOOKUP('Données projet'!$B$14,'Paramètres'!$A$1:$I$88,3,0)*0.475*44/12</f>
        <v>#N/A</v>
      </c>
      <c r="EB99" s="162" t="str">
        <f>EXP(-LN(2)/25)*EB98+(1-EXP(-LN(2)/25))/(LN(2)/25)*Calculateur!DW99*Calculateur!DY99*VLOOKUP('Données projet'!$B$14,'Paramètres'!$A$1:$I$88,3,0)*0.475*44/12</f>
        <v>#N/A</v>
      </c>
      <c r="EC99" s="162" t="str">
        <f>EXP(-LN(2)/2)*EC98+(1-EXP(-LN(2)/2))/(LN(2)/2)*DW99*DZ99*VLOOKUP('Données projet'!$B$14,'Paramètres'!$A$1:$I$88,3,0)*0.475*44/12</f>
        <v>#N/A</v>
      </c>
      <c r="ED99" s="163" t="str">
        <f t="shared" si="19"/>
        <v>#N/A</v>
      </c>
      <c r="EE99" s="159">
        <f>('Scénario référence'!$F$8+'Scénario référence'!$F$9+'Scénario référence'!$B$17+'Scénario référence'!$B$9+'Scénario référence'!$B$10)*70+IF((45+25*(1-EXP(-0.0175*A99)))&lt;70,'Scénario référence'!$B$16*(45+25*(1-EXP(-0.0175*A99))),70*'Scénario référence'!$B$16)+IF((32+38*(1-EXP(-0.0175*A99)))&lt;70,'Scénario référence'!$B$18*(32+38*(1-EXP(-0.0175*A99))),70*'Scénario référence'!$B$18)</f>
        <v>70</v>
      </c>
      <c r="EF99" s="151">
        <f>IF(A99&gt;30,10,('Scénario référence'!$B$16+'Scénario référence'!$B$17+'Scénario référence'!$B$18+'Scénario référence'!$B$9+'Scénario référence'!$B$10)*A99*10/30+('Scénario référence'!$F$8+'Scénario référence'!$F$9)*10)</f>
        <v>10</v>
      </c>
      <c r="EG99" s="151" t="str">
        <f>VLOOKUP(A99,'Données projet'!$A$191:$I$211,2,0)</f>
        <v>#N/A</v>
      </c>
      <c r="EH99" s="151" t="str">
        <f>VLOOKUP(A99,'Données projet'!$A$191:$I$211,9,0)</f>
        <v>#N/A</v>
      </c>
      <c r="EI99" s="151" t="str">
        <f t="array" ref="EI99">INDEX(EH:EH,MIN(IF(ISNUMBER(EH99:EH295),ROW(EH99:EH295),"")))</f>
        <v/>
      </c>
      <c r="EJ99" s="151">
        <f>IF('Données projet'!$A$192&gt;35,EJ98+EI99-ER98,IF(A99&lt;'Données projet'!$A$192,$EG$205^A99,IF(A99='Données projet'!$A$192,'Données projet'!$B$192,EJ98+EI99-ER98)))</f>
        <v>0</v>
      </c>
      <c r="EK99" s="158" t="str">
        <f>EJ99*VLOOKUP('Données projet'!$B$15,'Paramètres'!$A$1:$I$88,3,0)*VLOOKUP('Données projet'!$B$15,'Paramètres'!$A$1:$I$88,5,0)</f>
        <v>#N/A</v>
      </c>
      <c r="EL99" s="150" t="str">
        <f t="shared" si="46"/>
        <v>#N/A</v>
      </c>
      <c r="EM99" s="161" t="str">
        <f t="shared" si="20"/>
        <v>#N/A</v>
      </c>
      <c r="EN99" s="153" t="str">
        <f t="shared" si="21"/>
        <v>#N/A</v>
      </c>
      <c r="EO99" s="153" t="str">
        <f>AVERAGE(OFFSET($EN$3,0,0,'Données projet'!$E$15+1,1))-AVERAGE(OFFSET($H$3,0,0,'Données projet'!$E$15+1,1))</f>
        <v>#N/A</v>
      </c>
      <c r="EP99" s="153" t="str">
        <f t="shared" si="47"/>
        <v>#N/A</v>
      </c>
      <c r="EQ99" s="154">
        <f>IF(ISNA(VLOOKUP(A99,'Données projet'!$A$191:$I$211,3,0)),0,VLOOKUP(A99,'Données projet'!$A$191:$I$211,3,0))</f>
        <v>0</v>
      </c>
      <c r="ER99" s="154">
        <f>IF(ISNA(VLOOKUP(A99,'Données projet'!$A$191:$I$211,4,0)),0,VLOOKUP(A99,'Données projet'!$A$191:$I$211,4,0))</f>
        <v>0</v>
      </c>
      <c r="ES99" s="155">
        <f>IF(ISNA(VLOOKUP(A99,'Données projet'!$A$191:$I$211,5,0)),0%,VLOOKUP(A99,'Données projet'!$A$191:$I$211,5,0)*VLOOKUP('Données projet'!$B$15,'Paramètres'!$A$1:$I$88,7,0))</f>
        <v>0</v>
      </c>
      <c r="ET99" s="155">
        <f>IF(ISNA(VLOOKUP(A99,'Données projet'!$A$191:$I$211,6,0)),0%,VLOOKUP(A99,'Données projet'!$A$191:$I$211,6,0)*VLOOKUP('Données projet'!$B$15,'Paramètres'!$A$1:$I$88,7,0))</f>
        <v>0</v>
      </c>
      <c r="EU99" s="155">
        <f>IF(ISNA(VLOOKUP(A99,'Données projet'!$A$191:$I$211,7,0)),0%,VLOOKUP(A99,'Données projet'!$A$191:$I$211,7,0))</f>
        <v>0</v>
      </c>
      <c r="EV99" s="162" t="str">
        <f>EXP(-LN(2)/35)*EV98+(1-EXP(-LN(2)/35))/(LN(2)/35)*ER99*ES99*VLOOKUP('Données projet'!$B$15,'Paramètres'!$A$1:$I$88,3,0)*0.475*44/12</f>
        <v>#N/A</v>
      </c>
      <c r="EW99" s="162" t="str">
        <f>EXP(-LN(2)/25)*EW98+(1-EXP(-LN(2)/25))/(LN(2)/25)*Calculateur!ER99*Calculateur!ET99*VLOOKUP('Données projet'!$B$15,'Paramètres'!$A$1:$I$88,3,0)*0.475*44/12</f>
        <v>#N/A</v>
      </c>
      <c r="EX99" s="162" t="str">
        <f>EXP(-LN(2)/2)*EX98+(1-EXP(-LN(2)/2))/(LN(2)/2)*ER99*EU99*VLOOKUP('Données projet'!$B$15,'Paramètres'!$A$1:$I$88,3,0)*0.475*44/12</f>
        <v>#N/A</v>
      </c>
      <c r="EY99" s="163" t="str">
        <f t="shared" si="22"/>
        <v>#N/A</v>
      </c>
      <c r="EZ99" s="159">
        <f>('Scénario référence'!$F$8+'Scénario référence'!$F$9+'Scénario référence'!$B$17+'Scénario référence'!$B$9+'Scénario référence'!$B$10)*70+IF((45+25*(1-EXP(-0.0175*A99)))&lt;70,'Scénario référence'!$B$16*(45+25*(1-EXP(-0.0175*A99))),70*'Scénario référence'!$B$16)+IF((32+38*(1-EXP(-0.0175*A99)))&lt;70,'Scénario référence'!$B$18*(32+38*(1-EXP(-0.0175*A99))),70*'Scénario référence'!$B$18)</f>
        <v>70</v>
      </c>
      <c r="FA99" s="151">
        <f>IF(A99&gt;30,10,('Scénario référence'!$B$16+'Scénario référence'!$B$17+'Scénario référence'!$B$18+'Scénario référence'!$B$9+'Scénario référence'!$B$10)*A99*10/30+('Scénario référence'!$F$8+'Scénario référence'!$F$9)*10)</f>
        <v>10</v>
      </c>
      <c r="FB99" s="151" t="str">
        <f>VLOOKUP(A99,'Données projet'!$A$217:$I$237,2,0)</f>
        <v>#N/A</v>
      </c>
      <c r="FC99" s="151" t="str">
        <f>VLOOKUP(A99,'Données projet'!$A$217:$I$237,9,0)</f>
        <v>#N/A</v>
      </c>
      <c r="FD99" s="151" t="str">
        <f t="array" ref="FD99">INDEX(FC:FC,MIN(IF(ISNUMBER(FC99:FC295),ROW(FC99:FC295),"")))</f>
        <v/>
      </c>
      <c r="FE99" s="151">
        <f>IF('Données projet'!$A$218&gt;35,FE98+FD99-FM98,IF(A99&lt;'Données projet'!$A$218,$FB$205^A99,IF(A99='Données projet'!$A$218,'Données projet'!$B$218,FE98+FD99-FM98)))</f>
        <v>0</v>
      </c>
      <c r="FF99" s="158" t="str">
        <f>FE99*VLOOKUP('Données projet'!$B$16,'Paramètres'!$A$1:$I$88,3,0)*VLOOKUP('Données projet'!$B$16,'Paramètres'!$A$1:$I$88,5,0)</f>
        <v>#N/A</v>
      </c>
      <c r="FG99" s="150" t="str">
        <f t="shared" si="48"/>
        <v>#N/A</v>
      </c>
      <c r="FH99" s="161" t="str">
        <f t="shared" si="23"/>
        <v>#N/A</v>
      </c>
      <c r="FI99" s="153" t="str">
        <f t="shared" si="24"/>
        <v>#N/A</v>
      </c>
      <c r="FJ99" s="153" t="str">
        <f>AVERAGE(OFFSET($FI$3,0,0,'Données projet'!$E$16+1,1))-AVERAGE(OFFSET($H$3,0,0,'Données projet'!$E$16+1,1))</f>
        <v>#N/A</v>
      </c>
      <c r="FK99" s="153" t="str">
        <f t="shared" si="49"/>
        <v>#N/A</v>
      </c>
      <c r="FL99" s="154">
        <f>IF(ISNA(VLOOKUP(A99,'Données projet'!$A$217:$I$237,3,0)),0,VLOOKUP(A99,'Données projet'!$A$217:$I$237,3,0))</f>
        <v>0</v>
      </c>
      <c r="FM99" s="154">
        <f>IF(ISNA(VLOOKUP(A99,'Données projet'!$A$217:$I$237,4,0)),0,VLOOKUP(A99,'Données projet'!$A$217:$I$237,4,0))</f>
        <v>0</v>
      </c>
      <c r="FN99" s="155">
        <f>IF(ISNA(VLOOKUP(A99,'Données projet'!$A$217:$I$237,5,0)),0%,VLOOKUP(A99,'Données projet'!$A$217:$I$237,5,0)*VLOOKUP('Données projet'!$B$16,'Paramètres'!$A$1:$I$88,7,0))</f>
        <v>0</v>
      </c>
      <c r="FO99" s="155">
        <f>IF(ISNA(VLOOKUP(A99,'Données projet'!$A$217:$I$237,6,0)),0%,VLOOKUP(A99,'Données projet'!$A$217:$I$237,6,0)*VLOOKUP('Données projet'!$B$16,'Paramètres'!$A$1:$I$88,7,0))</f>
        <v>0</v>
      </c>
      <c r="FP99" s="155">
        <f>IF(ISNA(VLOOKUP(A99,'Données projet'!$A$217:$I$237,7,0)),0%,VLOOKUP(A99,'Données projet'!$A$217:$I$237,7,0))</f>
        <v>0</v>
      </c>
      <c r="FQ99" s="162" t="str">
        <f>EXP(-LN(2)/35)*FQ98+(1-EXP(-LN(2)/35))/(LN(2)/35)*FM99*FN99*VLOOKUP('Données projet'!$B$16,'Paramètres'!$A$1:$I$88,3,0)*0.475*44/12</f>
        <v>#N/A</v>
      </c>
      <c r="FR99" s="162" t="str">
        <f>EXP(-LN(2)/25)*FR98+(1-EXP(-LN(2)/25))/(LN(2)/25)*Calculateur!FM99*Calculateur!FO99*VLOOKUP('Données projet'!$B$16,'Paramètres'!$A$1:$I$88,3,0)*0.475*44/12</f>
        <v>#N/A</v>
      </c>
      <c r="FS99" s="162" t="str">
        <f>EXP(-LN(2)/2)*FS98+(1-EXP(-LN(2)/2))/(LN(2)/2)*FM99*FP99*VLOOKUP('Données projet'!$B$16,'Paramètres'!$A$1:$I$88,3,0)*0.475*44/12</f>
        <v>#N/A</v>
      </c>
      <c r="FT99" s="163" t="str">
        <f t="shared" si="25"/>
        <v>#N/A</v>
      </c>
      <c r="FU99" s="159">
        <f>('Scénario référence'!$F$8+'Scénario référence'!$F$9+'Scénario référence'!$B$17+'Scénario référence'!$B$9+'Scénario référence'!$B$10)*70+IF((45+25*(1-EXP(-0.0175*A99)))&lt;70,'Scénario référence'!$B$16*(45+25*(1-EXP(-0.0175*A99))),70*'Scénario référence'!$B$16)+IF((32+38*(1-EXP(-0.0175*A99)))&lt;70,'Scénario référence'!$B$18*(32+38*(1-EXP(-0.0175*A99))),70*'Scénario référence'!$B$18)</f>
        <v>70</v>
      </c>
      <c r="FV99" s="151">
        <f>IF(A99&gt;30,10,('Scénario référence'!$B$16+'Scénario référence'!$B$17+'Scénario référence'!$B$18+'Scénario référence'!$B$9+'Scénario référence'!$B$10)*A99*10/30+('Scénario référence'!$F$8+'Scénario référence'!$F$9)*10)</f>
        <v>10</v>
      </c>
      <c r="FW99" s="151" t="str">
        <f>VLOOKUP(A99,'Données projet'!$A$243:$I$263,2,0)</f>
        <v>#N/A</v>
      </c>
      <c r="FX99" s="151" t="str">
        <f>VLOOKUP(A99,'Données projet'!$A$243:$I$263,9,0)</f>
        <v>#N/A</v>
      </c>
      <c r="FY99" s="151" t="str">
        <f t="array" ref="FY99">INDEX(FX:FX,MIN(IF(ISNUMBER(FX99:FX295),ROW(FX99:FX295),"")))</f>
        <v/>
      </c>
      <c r="FZ99" s="151">
        <f>IF('Données projet'!$A$244&gt;35,FZ98+FY99-GH98,IF(A99&lt;'Données projet'!$A$244,$FW$205^A99,IF(A99='Données projet'!$A$244,'Données projet'!$B$244,FZ98+FY99-GH98)))</f>
        <v>0</v>
      </c>
      <c r="GA99" s="158" t="str">
        <f>FZ99*VLOOKUP('Données projet'!$B$17,'Paramètres'!$A$1:$I$88,3,0)*VLOOKUP('Données projet'!$B$17,'Paramètres'!$A$1:$I$88,5,0)</f>
        <v>#N/A</v>
      </c>
      <c r="GB99" s="150" t="str">
        <f t="shared" si="50"/>
        <v>#N/A</v>
      </c>
      <c r="GC99" s="161" t="str">
        <f t="shared" si="26"/>
        <v>#N/A</v>
      </c>
      <c r="GD99" s="153" t="str">
        <f t="shared" si="27"/>
        <v>#N/A</v>
      </c>
      <c r="GE99" s="153" t="str">
        <f>AVERAGE(OFFSET($GD$3,0,0,'Données projet'!$E$17+1,1))-AVERAGE(OFFSET($H$3,0,0,'Données projet'!$E$17+1,1))</f>
        <v>#N/A</v>
      </c>
      <c r="GF99" s="153" t="str">
        <f t="shared" si="51"/>
        <v>#N/A</v>
      </c>
      <c r="GG99" s="154">
        <f>IF(ISNA(VLOOKUP(A99,'Données projet'!$A$243:$I$263,3,0)),0,VLOOKUP(A99,'Données projet'!$A$243:$I$263,3,0))</f>
        <v>0</v>
      </c>
      <c r="GH99" s="154">
        <f>IF(ISNA(VLOOKUP(A99,'Données projet'!$A$243:$I$263,4,0)),0,VLOOKUP(A99,'Données projet'!$A$243:$I$263,4,0))</f>
        <v>0</v>
      </c>
      <c r="GI99" s="155">
        <f>IF(ISNA(VLOOKUP(A99,'Données projet'!$A$243:$I$263,5,0)),0%,VLOOKUP(A99,'Données projet'!$A$243:$I$263,5,0)*VLOOKUP('Données projet'!$B$17,'Paramètres'!$A$1:$I$88,7,0))</f>
        <v>0</v>
      </c>
      <c r="GJ99" s="155">
        <f>IF(ISNA(VLOOKUP(A99,'Données projet'!$A$243:$I$263,6,0)),0%,VLOOKUP(A99,'Données projet'!$A$243:$I$263,6,0)*VLOOKUP('Données projet'!$B$17,'Paramètres'!$A$1:$I$88,7,0))</f>
        <v>0</v>
      </c>
      <c r="GK99" s="155">
        <f>IF(ISNA(VLOOKUP(A99,'Données projet'!$A$243:$I$263,7,0)),0%,VLOOKUP(A99,'Données projet'!$A$243:$I$263,7,0))</f>
        <v>0</v>
      </c>
      <c r="GL99" s="162" t="str">
        <f>EXP(-LN(2)/35)*GL98+(1-EXP(-LN(2)/35))/(LN(2)/35)*GH99*GI99*VLOOKUP('Données projet'!$B$17,'Paramètres'!$A$1:$I$88,3,0)*0.475*44/12</f>
        <v>#N/A</v>
      </c>
      <c r="GM99" s="162" t="str">
        <f>EXP(-LN(2)/25)*GM98+(1-EXP(-LN(2)/25))/(LN(2)/25)*Calculateur!GH99*Calculateur!GJ99*VLOOKUP('Données projet'!$B$17,'Paramètres'!$A$1:$I$88,3,0)*0.475*44/12</f>
        <v>#N/A</v>
      </c>
      <c r="GN99" s="162" t="str">
        <f>EXP(-LN(2)/2)*GN98+(1-EXP(-LN(2)/2))/(LN(2)/2)*GH99*GK99*VLOOKUP('Données projet'!$B$17,'Paramètres'!$A$1:$I$88,3,0)*0.475*44/12</f>
        <v>#N/A</v>
      </c>
      <c r="GO99" s="162" t="str">
        <f t="shared" si="28"/>
        <v>#N/A</v>
      </c>
      <c r="GP99" s="159">
        <f>('Scénario référence'!$F$8+'Scénario référence'!$F$9+'Scénario référence'!$B$17+'Scénario référence'!$B$9+'Scénario référence'!$B$10)*70+IF((45+25*(1-EXP(-0.0175*A99)))&lt;70,'Scénario référence'!$B$16*(45+25*(1-EXP(-0.0175*A99))),70*'Scénario référence'!$B$16)+IF((32+38*(1-EXP(-0.0175*A99)))&lt;70,'Scénario référence'!$B$18*(32+38*(1-EXP(-0.0175*A99))),70*'Scénario référence'!$B$18)</f>
        <v>70</v>
      </c>
      <c r="GQ99" s="151">
        <f>IF(A99&gt;30,10,('Scénario référence'!$B$16+'Scénario référence'!$B$17+'Scénario référence'!$B$18+'Scénario référence'!$B$9+'Scénario référence'!$B$10)*A99*10/30+('Scénario référence'!$F$8+'Scénario référence'!$F$9)*10)</f>
        <v>10</v>
      </c>
      <c r="GR99" s="151" t="str">
        <f>VLOOKUP(A99,'Données projet'!$A$269:$I$289,2,0)</f>
        <v>#N/A</v>
      </c>
      <c r="GS99" s="151" t="str">
        <f>VLOOKUP(A99,'Données projet'!$A$269:$I$289,9,0)</f>
        <v>#N/A</v>
      </c>
      <c r="GT99" s="151" t="str">
        <f t="array" ref="GT99">INDEX(GS:GS,MIN(IF(ISNUMBER(GS99:GS295),ROW(GS99:GS295),"")))</f>
        <v/>
      </c>
      <c r="GU99" s="151">
        <f>IF('Données projet'!$A$270&gt;35,GU98+GT99-HC98,IF(A99&lt;'Données projet'!$A$270,$GR$205^A99,IF(A99='Données projet'!$A$270,'Données projet'!$B$270,GU98+GT99-HC98)))</f>
        <v>0</v>
      </c>
      <c r="GV99" s="158" t="str">
        <f>GU99*VLOOKUP('Données projet'!$B$18,'Paramètres'!$A$1:$I$88,3,0)*VLOOKUP('Données projet'!$B$18,'Paramètres'!$A$1:$I$88,5,0)</f>
        <v>#N/A</v>
      </c>
      <c r="GW99" s="150" t="str">
        <f t="shared" si="52"/>
        <v>#N/A</v>
      </c>
      <c r="GX99" s="161" t="str">
        <f t="shared" si="29"/>
        <v>#N/A</v>
      </c>
      <c r="GY99" s="153" t="str">
        <f t="shared" si="30"/>
        <v>#N/A</v>
      </c>
      <c r="GZ99" s="153" t="str">
        <f>AVERAGE(OFFSET($GY$3,0,0,'Données projet'!$E$18+1,1))-AVERAGE(OFFSET($H$3,0,0,'Données projet'!$E$18+1,1))</f>
        <v>#N/A</v>
      </c>
      <c r="HA99" s="153" t="str">
        <f t="shared" si="53"/>
        <v>#N/A</v>
      </c>
      <c r="HB99" s="154">
        <f>IF(ISNA(VLOOKUP(A99,'Données projet'!$A$269:$I$289,3,0)),0,VLOOKUP(A99,'Données projet'!$A$269:$I$289,3,0))</f>
        <v>0</v>
      </c>
      <c r="HC99" s="154">
        <f>IF(ISNA(VLOOKUP(A99,'Données projet'!$A$269:$I$289,4,0)),0,VLOOKUP(A99,'Données projet'!$A$269:$I$289,4,0))</f>
        <v>0</v>
      </c>
      <c r="HD99" s="155">
        <f>IF(ISNA(VLOOKUP(A99,'Données projet'!$A$269:$I$289,5,0)),0%,VLOOKUP(A99,'Données projet'!$A$269:$I$289,5,0)*VLOOKUP('Données projet'!$B$18,'Paramètres'!$A$1:$I$88,7,0))</f>
        <v>0</v>
      </c>
      <c r="HE99" s="155">
        <f>IF(ISNA(VLOOKUP(A99,'Données projet'!$A$269:$I$289,6,0)),0%,VLOOKUP(A99,'Données projet'!$A$269:$I$289,6,0)*VLOOKUP('Données projet'!$B$18,'Paramètres'!$A$1:$I$88,7,0))</f>
        <v>0</v>
      </c>
      <c r="HF99" s="155">
        <f>IF(ISNA(VLOOKUP(A99,'Données projet'!$A$269:$I$289,7,0)),0%,VLOOKUP(A99,'Données projet'!$A$269:$I$289,7,0))</f>
        <v>0</v>
      </c>
      <c r="HG99" s="162" t="str">
        <f>EXP(-LN(2)/35)*HG98+(1-EXP(-LN(2)/35))/(LN(2)/35)*HC99*HD99*VLOOKUP('Données projet'!$B$18,'Paramètres'!$A$1:$I$88,3,0)*0.475*44/12</f>
        <v>#N/A</v>
      </c>
      <c r="HH99" s="162" t="str">
        <f>EXP(-LN(2)/25)*HH98+(1-EXP(-LN(2)/25))/(LN(2)/25)*Calculateur!HC99*Calculateur!HE99*VLOOKUP('Données projet'!$B$18,'Paramètres'!$A$1:$I$88,3,0)*0.475*44/12</f>
        <v>#N/A</v>
      </c>
      <c r="HI99" s="162" t="str">
        <f>EXP(-LN(2)/2)*HI98+(1-EXP(-LN(2)/2))/(LN(2)/2)*HC99*HF99*VLOOKUP('Données projet'!$B$18,'Paramètres'!$A$1:$I$88,3,0)*0.475*44/12</f>
        <v>#N/A</v>
      </c>
      <c r="HJ99" s="163" t="str">
        <f t="shared" si="31"/>
        <v>#N/A</v>
      </c>
    </row>
    <row r="100" ht="15.75" customHeight="1">
      <c r="A100" s="145">
        <f t="shared" si="32"/>
        <v>97</v>
      </c>
      <c r="B100" s="146">
        <f>'Scénario référence'!$B$16*5+'Scénario référence'!$B$17*0+'Scénario référence'!$B$18*5</f>
        <v>0</v>
      </c>
      <c r="C100" s="160">
        <f>Calculateur!C99+'Scénario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00" s="147">
        <f t="shared" si="33"/>
        <v>0</v>
      </c>
      <c r="E100" s="147">
        <f>'Scénario référence'!$B$16*45+('Scénario référence'!$B$17+'Scénario référence'!$F$8+'Scénario référence'!$F$9+'Scénario référence'!$B$10+'Scénario référence'!$B$9)*70+'Scénario référence'!$B$18*32</f>
        <v>70</v>
      </c>
      <c r="F100" s="147">
        <f>IF(OR('Scénario référence'!$F$8&gt;0,'Scénario référence'!$F$9&gt;0),('Scénario référence'!$F$8+'Scénario référence'!$F$9)*10,0)</f>
        <v>0</v>
      </c>
      <c r="G100" s="147">
        <f>'Scénario référence'!$B$8*B100*44/12+'Scénario référence'!$B$9*(C100+D100)/0.475*44/12+'Scénario référence'!$B$10*(C100+D100)/0.475*44/12+'Scénario référence'!$F$8*(C100+D100)/0.475*44/12+'Scénario référence'!$F$9*(C100+D100)/0.475*44/12</f>
        <v>0</v>
      </c>
      <c r="H100" s="148">
        <f t="shared" si="1"/>
        <v>256.6666667</v>
      </c>
      <c r="I100" s="149">
        <f>('Scénario référence'!$F$8+'Scénario référence'!$F$9+'Scénario référence'!$B$17+'Scénario référence'!$B$9+'Scénario référence'!$B$10)*70+IF((45+25*(1-EXP(-0.0175*A100)))&lt;70,'Scénario référence'!$B$16*(45+25*(1-EXP(-0.0175*A100))),70*'Scénario référence'!$B$16)+IF((32+38*(1-EXP(-0.0175*A100)))&lt;70,'Scénario référence'!$B$18*(32+38*(1-EXP(-0.0175*A100))),70*'Scénario référence'!$B$18)</f>
        <v>70</v>
      </c>
      <c r="J100" s="150">
        <f>IF(A100&gt;30,10,('Scénario référence'!$B$16+'Scénario référence'!$B$17+'Scénario référence'!$B$18+'Scénario référence'!$B$9+'Scénario référence'!$B$10)*A100*10/30+('Scénario référence'!$F$8+'Scénario référence'!$F$9)*10)</f>
        <v>10</v>
      </c>
      <c r="K100" s="151" t="str">
        <f>VLOOKUP(A100,'Données projet'!$A$35:$I$55,2,0)</f>
        <v>#N/A</v>
      </c>
      <c r="L100" s="151" t="str">
        <f>VLOOKUP(A100,'Données projet'!$A$35:$I$55,9,0)</f>
        <v>#N/A</v>
      </c>
      <c r="M100" s="150">
        <f t="array" ref="M100">INDEX(L:L,MIN(IF(ISNUMBER(L100:L296),ROW(L100:L296),"")))</f>
        <v>5.6</v>
      </c>
      <c r="N100" s="150">
        <f>IF('Données projet'!$A$36&gt;35,N99+M100-V99,IF(A100&lt;'Données projet'!$A$36,$K$205^A100,IF(A100='Données projet'!$A$36,'Données projet'!$B$36,N99+M100-V99)))</f>
        <v>316.2</v>
      </c>
      <c r="O100" s="150">
        <f>N100*VLOOKUP('Données projet'!$B$9,'Paramètres'!$A$1:$I$88,3,0)*VLOOKUP('Données projet'!$B$9,'Paramètres'!$A$1:$I$88,5,0)</f>
        <v>286.09776</v>
      </c>
      <c r="P100" s="150">
        <f t="shared" si="34"/>
        <v>68.25402065</v>
      </c>
      <c r="Q100" s="161">
        <f t="shared" si="2"/>
        <v>617.1626846</v>
      </c>
      <c r="R100" s="153">
        <f t="shared" si="3"/>
        <v>910.496018</v>
      </c>
      <c r="S100" s="153">
        <f>AVERAGE(OFFSET($R$3,0,0,'Données projet'!$E$9+1,1))-AVERAGE(OFFSET($H$3,0,0,'Données projet'!$E$9+1,1))</f>
        <v>439.1985427</v>
      </c>
      <c r="T100" s="153">
        <f t="shared" si="35"/>
        <v>278.2174123</v>
      </c>
      <c r="U100" s="154">
        <f>IF(ISNA(VLOOKUP(A100,'Données projet'!$A$35:$I$55,3,0)),0,VLOOKUP(A100,'Données projet'!$A$35:$I$55,3,0))</f>
        <v>0</v>
      </c>
      <c r="V100" s="154">
        <f>IF(ISNA(VLOOKUP(A100,'Données projet'!$A$35:$I$55,4,0)),0,VLOOKUP(A100,'Données projet'!$A$35:$I$55,4,0))</f>
        <v>0</v>
      </c>
      <c r="W100" s="155">
        <f>IF(ISNA(VLOOKUP(A100,'Données projet'!$A$35:$I$55,5,0)),0%,VLOOKUP(A100,'Données projet'!$A$35:$I$55,5,0)*VLOOKUP('Données projet'!$B$9,'Paramètres'!$A$1:$I$88,7,0))</f>
        <v>0</v>
      </c>
      <c r="X100" s="155">
        <f>IF(ISNA(VLOOKUP(A100,'Données projet'!$A$35:$I$55,6,0)),0%,VLOOKUP(A100,'Données projet'!$A$35:$I$55,6,0)*VLOOKUP('Données projet'!$B$9,'Paramètres'!$A$1:$I$88,7,0))</f>
        <v>0</v>
      </c>
      <c r="Y100" s="155">
        <f>IF(ISNA(VLOOKUP(A100,'Données projet'!$A$35:$I$55,7,0)),0%,VLOOKUP(A100,'Données projet'!$A$35:$I$55,7,0))</f>
        <v>0</v>
      </c>
      <c r="Z100" s="162">
        <f>EXP(-LN(2)/35)*Z99+(1-EXP(-LN(2)/35))/(LN(2)/35)*V100*W100*VLOOKUP('Données projet'!$B$9,'Paramètres'!$A$1:$I$88,3,0)*0.475*44/12</f>
        <v>0</v>
      </c>
      <c r="AA100" s="162">
        <f>EXP(-LN(2)/25)*AA99+(1-EXP(-LN(2)/25))/(LN(2)/25)*Calculateur!V100*Calculateur!X100*VLOOKUP('Données projet'!$B$9,'Paramètres'!$A$1:$I$88,3,0)*0.475*44/12</f>
        <v>0.7002480217</v>
      </c>
      <c r="AB100" s="162">
        <f>EXP(-LN(2)/2)*AB99+(1-EXP(-LN(2)/2))/(LN(2)/2)*V100*Y100*VLOOKUP('Données projet'!$B$9,'Paramètres'!$A$1:$I$88,3,0)*0.475*44/12</f>
        <v>0</v>
      </c>
      <c r="AC100" s="163">
        <f t="shared" si="4"/>
        <v>0.7002480217</v>
      </c>
      <c r="AD100" s="150">
        <f>('Scénario référence'!$F$8+'Scénario référence'!$F$9+'Scénario référence'!$B$17+'Scénario référence'!$B$9+'Scénario référence'!$B$10)*70+IF((45+25*(1-EXP(-0.0175*A100)))&lt;70,'Scénario référence'!$B$16*(45+25*(1-EXP(-0.0175*A100))),70*'Scénario référence'!$B$16)+IF((32+38*(1-EXP(-0.0175*A100)))&lt;70,'Scénario référence'!$B$18*(32+38*(1-EXP(-0.0175*A100))),70*'Scénario référence'!$B$18)</f>
        <v>70</v>
      </c>
      <c r="AE100" s="150">
        <f>IF(A100&gt;30,10,('Scénario référence'!$B$16+'Scénario référence'!$B$17+'Scénario référence'!$B$18+'Scénario référence'!$B$9+'Scénario référence'!$B$10)*A100*10/30+('Scénario référence'!$F$8+'Scénario référence'!$F$9)*10)</f>
        <v>10</v>
      </c>
      <c r="AF100" s="151" t="str">
        <f>VLOOKUP(A100,'Données projet'!$A$61:$I$81,2,0)</f>
        <v>#N/A</v>
      </c>
      <c r="AG100" s="151" t="str">
        <f>VLOOKUP(A100,'Données projet'!$A$61:$I$81,9,0)</f>
        <v>#N/A</v>
      </c>
      <c r="AH100" s="151" t="str">
        <f t="array" ref="AH100">INDEX(AG:AG,MIN(IF(ISNUMBER(AG100:AG296),ROW(AG100:AG296),"")))</f>
        <v/>
      </c>
      <c r="AI100" s="150">
        <f>IF('Données projet'!$A$62&gt;35,AI99+AH100-AQ99,IF(A100&lt;'Données projet'!$A$62,$AF$205^A100,IF(A100='Données projet'!$A$62,'Données projet'!$B$62,AI99+AH100-AQ99)))</f>
        <v>369</v>
      </c>
      <c r="AJ100" s="150">
        <f>AI100*VLOOKUP('Données projet'!$B$10,'Paramètres'!$A$1:$I$88,3,0)*VLOOKUP('Données projet'!$B$10,'Paramètres'!$A$1:$I$88,5,0)</f>
        <v>293.5764</v>
      </c>
      <c r="AK100" s="150">
        <f t="shared" si="36"/>
        <v>69.82813851</v>
      </c>
      <c r="AL100" s="161">
        <f t="shared" si="5"/>
        <v>632.9295712</v>
      </c>
      <c r="AM100" s="153">
        <f t="shared" si="6"/>
        <v>926.2629046</v>
      </c>
      <c r="AN100" s="153">
        <f>AVERAGE(OFFSET($AM$3,0,0,'Données projet'!$E$10+1,1))-AVERAGE(OFFSET($H$3,0,0,'Données projet'!$E$10+1,1))</f>
        <v>405.6113614</v>
      </c>
      <c r="AO100" s="153">
        <f t="shared" si="37"/>
        <v>393.0787141</v>
      </c>
      <c r="AP100" s="154">
        <f>IF(ISNA(VLOOKUP(A100,'Données projet'!$A$61:$I$81,3,0)),0,VLOOKUP(A100,'Données projet'!$A$61:$I$81,3,0))</f>
        <v>0</v>
      </c>
      <c r="AQ100" s="154">
        <f>IF(ISNA(VLOOKUP(A100,'Données projet'!$A$61:$I$81,4,0)),0,VLOOKUP(A100,'Données projet'!$A$61:$I$81,4,0))</f>
        <v>0</v>
      </c>
      <c r="AR100" s="155">
        <f>IF(ISNA(VLOOKUP(A100,'Données projet'!$A$61:$I$81,5,0)),0%,VLOOKUP(A100,'Données projet'!$A$61:$I$81,5,0)*VLOOKUP('Données projet'!$B$10,'Paramètres'!$A$1:$I$88,7,0))</f>
        <v>0</v>
      </c>
      <c r="AS100" s="155">
        <f>IF(ISNA(VLOOKUP(A100,'Données projet'!$A$61:$I$81,6,0)),0%,VLOOKUP(A100,'Données projet'!$A$61:$I$81,6,0)*VLOOKUP('Données projet'!$B$10,'Paramètres'!$A$1:$I$88,7,0))</f>
        <v>0</v>
      </c>
      <c r="AT100" s="155">
        <f>IF(ISNA(VLOOKUP(A100,'Données projet'!$A$61:$I$81,7,0)),0%,VLOOKUP(A100,'Données projet'!$A$61:$I$81,7,0))</f>
        <v>0</v>
      </c>
      <c r="AU100" s="162">
        <f>EXP(-LN(2)/35)*AU99+(1-EXP(-LN(2)/35))/(LN(2)/35)*AQ100*AR100*VLOOKUP('Données projet'!$B$10,'Paramètres'!$A$1:$I$88,3,0)*0.475*44/12</f>
        <v>0</v>
      </c>
      <c r="AV100" s="162">
        <f>EXP(-LN(2)/25)*AV99+(1-EXP(-LN(2)/25))/(LN(2)/25)*Calculateur!AQ100*Calculateur!AS100*VLOOKUP('Données projet'!$B$10,'Paramètres'!$A$1:$I$88,3,0)*0.475*44/12</f>
        <v>2.84598597</v>
      </c>
      <c r="AW100" s="162">
        <f>EXP(-LN(2)/2)*AW99+(1-EXP(-LN(2)/2))/(LN(2)/2)*AQ100*AT100*VLOOKUP('Données projet'!$B$10,'Paramètres'!$A$1:$I$88,3,0)*0.475*44/12</f>
        <v>0</v>
      </c>
      <c r="AX100" s="162">
        <f t="shared" si="7"/>
        <v>2.845985971</v>
      </c>
      <c r="AY100" s="157">
        <f>('Scénario référence'!$F$8+'Scénario référence'!$F$9+'Scénario référence'!$B$17+'Scénario référence'!$B$9+'Scénario référence'!$B$10)*70+IF((45+25*(1-EXP(-0.0175*A100)))&lt;70,'Scénario référence'!$B$16*(45+25*(1-EXP(-0.0175*A100))),70*'Scénario référence'!$B$16)+IF((32+38*(1-EXP(-0.0175*A100)))&lt;70,'Scénario référence'!$B$18*(32+38*(1-EXP(-0.0175*A100))),70*'Scénario référence'!$B$18)</f>
        <v>70</v>
      </c>
      <c r="AZ100" s="151">
        <f>IF(A100&gt;30,10,('Scénario référence'!$B$16+'Scénario référence'!$B$17+'Scénario référence'!$B$18+'Scénario référence'!$B$9+'Scénario référence'!$B$10)*A100*10/30+('Scénario référence'!$F$8+'Scénario référence'!$F$9)*10)</f>
        <v>10</v>
      </c>
      <c r="BA100" s="151" t="str">
        <f>VLOOKUP(A100,'Données projet'!$A$87:$I$107,2,0)</f>
        <v>#N/A</v>
      </c>
      <c r="BB100" s="151" t="str">
        <f>VLOOKUP(A100,'Données projet'!$A$87:$I$107,9,0)</f>
        <v>#N/A</v>
      </c>
      <c r="BC100" s="151" t="str">
        <f t="array" ref="BC100">INDEX(BB:BB,MIN(IF(ISNUMBER(BB100:BB296),ROW(BB100:BB296),"")))</f>
        <v/>
      </c>
      <c r="BD100" s="150">
        <f>IF('Données projet'!$A$88&gt;35,BD99+BC100-BL99,IF(A100&lt;'Données projet'!$A$88,$BA$205^A100,IF(A100='Données projet'!$A$88,'Données projet'!$B$88,BD99+BC100-BL99)))</f>
        <v>0</v>
      </c>
      <c r="BE100" s="150">
        <f>BD100*VLOOKUP('Données projet'!$B$11,'Paramètres'!$A$1:$I$88,3,0)*VLOOKUP('Données projet'!$B$11,'Paramètres'!$A$1:$I$88,5,0)</f>
        <v>0</v>
      </c>
      <c r="BF100" s="150" t="str">
        <f t="shared" si="38"/>
        <v>#NUM!</v>
      </c>
      <c r="BG100" s="161" t="str">
        <f t="shared" si="8"/>
        <v>#NUM!</v>
      </c>
      <c r="BH100" s="153" t="str">
        <f t="shared" si="9"/>
        <v>#NUM!</v>
      </c>
      <c r="BI100" s="153">
        <f>AVERAGE(OFFSET($BH$3,0,0,'Données projet'!$E$11+1,1))-AVERAGE(OFFSET($H$3,0,0,'Données projet'!$E$11+1,1))</f>
        <v>0</v>
      </c>
      <c r="BJ100" s="153">
        <f t="shared" si="39"/>
        <v>0</v>
      </c>
      <c r="BK100" s="154">
        <f>IF(ISNA(VLOOKUP(A100,'Données projet'!$A$87:$I$107,3,0)),0,VLOOKUP(A100,'Données projet'!$A$87:$I$107,3,0))</f>
        <v>0</v>
      </c>
      <c r="BL100" s="154">
        <f>IF(ISNA(VLOOKUP(A100,'Données projet'!$A$87:$I$107,4,0)),0,VLOOKUP(A100,'Données projet'!$A$87:$I$107,4,0))</f>
        <v>0</v>
      </c>
      <c r="BM100" s="155">
        <f>IF(ISNA(VLOOKUP(A100,'Données projet'!$A$87:$I$107,5,0)),0%,VLOOKUP(A100,'Données projet'!$A$87:$I$107,5,0)*VLOOKUP('Données projet'!$B$11,'Paramètres'!$A$1:$I$88,7,0))</f>
        <v>0</v>
      </c>
      <c r="BN100" s="155">
        <f>IF(ISNA(VLOOKUP(A100,'Données projet'!$A$87:$I$107,6,0)),0%,VLOOKUP(A100,'Données projet'!$A$87:$I$107,6,0)*VLOOKUP('Données projet'!$B$11,'Paramètres'!$A$1:$I$88,7,0))</f>
        <v>0</v>
      </c>
      <c r="BO100" s="155">
        <f>IF(ISNA(VLOOKUP(A100,'Données projet'!$A$87:$I$107,7,0)),0%,VLOOKUP(A100,'Données projet'!$A$87:$I$107,7,0))</f>
        <v>0</v>
      </c>
      <c r="BP100" s="162">
        <f>EXP(-LN(2)/35)*BP99+(1-EXP(-LN(2)/35))/(LN(2)/35)*BL100*BM100*VLOOKUP('Données projet'!$B$11,'Paramètres'!$A$1:$I$88,3,0)*0.475*44/12</f>
        <v>0</v>
      </c>
      <c r="BQ100" s="162">
        <f>EXP(-LN(2)/25)*BQ99+(1-EXP(-LN(2)/25))/(LN(2)/25)*Calculateur!BL100*Calculateur!BN100*VLOOKUP('Données projet'!$B$11,'Paramètres'!$A$1:$I$88,3,0)*0.475*44/12</f>
        <v>0</v>
      </c>
      <c r="BR100" s="162">
        <f>EXP(-LN(2)/2)*BR99+(1-EXP(-LN(2)/2))/(LN(2)/2)*BL100*BO100*VLOOKUP('Données projet'!$B$11,'Paramètres'!$A$1:$I$88,3,0)*0.475*44/12</f>
        <v>0</v>
      </c>
      <c r="BS100" s="163">
        <f t="shared" si="10"/>
        <v>0</v>
      </c>
      <c r="BT100" s="159">
        <f>('Scénario référence'!$F$8+'Scénario référence'!$F$9+'Scénario référence'!$B$17+'Scénario référence'!$B$9+'Scénario référence'!$B$10)*70+IF((45+25*(1-EXP(-0.0175*A100)))&lt;70,'Scénario référence'!$B$16*(45+25*(1-EXP(-0.0175*A100))),70*'Scénario référence'!$B$16)+IF((32+38*(1-EXP(-0.0175*A100)))&lt;70,'Scénario référence'!$B$18*(32+38*(1-EXP(-0.0175*A100))),70*'Scénario référence'!$B$18)</f>
        <v>70</v>
      </c>
      <c r="BU100" s="151">
        <f>IF(A100&gt;30,10,('Scénario référence'!$B$16+'Scénario référence'!$B$17+'Scénario référence'!$B$18+'Scénario référence'!$B$9+'Scénario référence'!$B$10)*A100*10/30+('Scénario référence'!$F$8+'Scénario référence'!$F$9)*10)</f>
        <v>10</v>
      </c>
      <c r="BV100" s="151" t="str">
        <f>VLOOKUP(A100,'Données projet'!$A$113:$I$133,2,0)</f>
        <v>#N/A</v>
      </c>
      <c r="BW100" s="151" t="str">
        <f>VLOOKUP(A100,'Données projet'!$A$113:$I$133,9,0)</f>
        <v>#N/A</v>
      </c>
      <c r="BX100" s="150" t="str">
        <f t="array" ref="BX100">INDEX(BW:BW,MIN(IF(ISNUMBER(BW100:BW296),ROW(BW100:BW296),"")))</f>
        <v/>
      </c>
      <c r="BY100" s="150">
        <f>IF('Données projet'!$A$114&gt;35,BY99+BX100-CG99,IF(A100&lt;'Données projet'!$A$114,$BV$205^A100,IF(A100='Données projet'!$A$114,'Données projet'!$B$114,BY99+BX100-CG99)))</f>
        <v>0</v>
      </c>
      <c r="BZ100" s="150" t="str">
        <f>BY100*VLOOKUP('Données projet'!$B$12,'Paramètres'!$A$1:$I$88,3,0)*VLOOKUP('Données projet'!$B$12,'Paramètres'!$A$1:$I$88,5,0)</f>
        <v>#N/A</v>
      </c>
      <c r="CA100" s="150" t="str">
        <f t="shared" si="40"/>
        <v>#N/A</v>
      </c>
      <c r="CB100" s="161" t="str">
        <f t="shared" si="11"/>
        <v>#N/A</v>
      </c>
      <c r="CC100" s="153" t="str">
        <f t="shared" si="12"/>
        <v>#N/A</v>
      </c>
      <c r="CD100" s="153" t="str">
        <f>AVERAGE(OFFSET($CC$3,0,0,'Données projet'!$E$12+1,1))-AVERAGE(OFFSET($H$3,0,0,'Données projet'!$E$12+1,1))</f>
        <v>#N/A</v>
      </c>
      <c r="CE100" s="153" t="str">
        <f t="shared" si="41"/>
        <v>#N/A</v>
      </c>
      <c r="CF100" s="154">
        <f>IF(ISNA(VLOOKUP(A100,'Données projet'!$A$113:$I$133,3,0)),0,VLOOKUP(A100,'Données projet'!$A$113:$I$133,3,0))</f>
        <v>0</v>
      </c>
      <c r="CG100" s="154">
        <f>IF(ISNA(VLOOKUP(A100,'Données projet'!$A$113:$I$133,4,0)),0,VLOOKUP(A100,'Données projet'!$A$113:$I$133,4,0))</f>
        <v>0</v>
      </c>
      <c r="CH100" s="155">
        <f>IF(ISNA(VLOOKUP(A100,'Données projet'!$A$113:$I$133,5,0)),0%,VLOOKUP(A100,'Données projet'!$A$113:$I$133,5,0)*VLOOKUP('Données projet'!$B$12,'Paramètres'!$A$1:$I$88,7,0))</f>
        <v>0</v>
      </c>
      <c r="CI100" s="155">
        <f>IF(ISNA(VLOOKUP(A100,'Données projet'!$A$113:$I$133,6,0)),0%,VLOOKUP(A100,'Données projet'!$A$113:$I$133,6,0)*VLOOKUP('Données projet'!$B$12,'Paramètres'!$A$1:$I$88,7,0))</f>
        <v>0</v>
      </c>
      <c r="CJ100" s="155">
        <f>IF(ISNA(VLOOKUP(A100,'Données projet'!$A$113:$I$133,7,0)),0%,VLOOKUP(A100,'Données projet'!$A$113:$I$133,7,0))</f>
        <v>0</v>
      </c>
      <c r="CK100" s="162" t="str">
        <f>EXP(-LN(2)/35)*CK99+(1-EXP(-LN(2)/35))/(LN(2)/35)*CG100*CH100*VLOOKUP('Données projet'!$B$12,'Paramètres'!$A$1:$I$88,3,0)*0.475*44/12</f>
        <v>#N/A</v>
      </c>
      <c r="CL100" s="162" t="str">
        <f>EXP(-LN(2)/25)*CL99+(1-EXP(-LN(2)/25))/(LN(2)/25)*Calculateur!CG100*Calculateur!CI100*VLOOKUP('Données projet'!$B$12,'Paramètres'!$A$1:$I$88,3,0)*0.475*44/12</f>
        <v>#N/A</v>
      </c>
      <c r="CM100" s="162" t="str">
        <f>EXP(-LN(2)/2)*CM99+(1-EXP(-LN(2)/2))/(LN(2)/2)*CG100*CJ100*VLOOKUP('Données projet'!$B$12,'Paramètres'!$A$1:$I$88,3,0)*0.475*44/12</f>
        <v>#N/A</v>
      </c>
      <c r="CN100" s="163" t="str">
        <f t="shared" si="13"/>
        <v>#N/A</v>
      </c>
      <c r="CO100" s="159">
        <f>('Scénario référence'!$F$8+'Scénario référence'!$F$9+'Scénario référence'!$B$17+'Scénario référence'!$B$9+'Scénario référence'!$B$10)*70+IF((45+25*(1-EXP(-0.0175*A100)))&lt;70,'Scénario référence'!$B$16*(45+25*(1-EXP(-0.0175*A100))),70*'Scénario référence'!$B$16)+IF((32+38*(1-EXP(-0.0175*A100)))&lt;70,'Scénario référence'!$B$18*(32+38*(1-EXP(-0.0175*A100))),70*'Scénario référence'!$B$18)</f>
        <v>70</v>
      </c>
      <c r="CP100" s="151">
        <f>IF(A100&gt;30,10,('Scénario référence'!$B$16+'Scénario référence'!$B$17+'Scénario référence'!$B$18+'Scénario référence'!$B$9+'Scénario référence'!$B$10)*A100*10/30+('Scénario référence'!$F$8+'Scénario référence'!$F$9)*10)</f>
        <v>10</v>
      </c>
      <c r="CQ100" s="151" t="str">
        <f>VLOOKUP(A100,'Données projet'!$A$139:$I$159,2,0)</f>
        <v>#N/A</v>
      </c>
      <c r="CR100" s="151" t="str">
        <f>VLOOKUP(A100,'Données projet'!$A$139:$I$159,9,0)</f>
        <v>#N/A</v>
      </c>
      <c r="CS100" s="151" t="str">
        <f t="array" ref="CS100">INDEX(CR:CR,MIN(IF(ISNUMBER(CR100:CR296),ROW(CR100:CR296),"")))</f>
        <v/>
      </c>
      <c r="CT100" s="151">
        <f>IF('Données projet'!$A$140&gt;35,CT99+CS100-DB99,IF(A100&lt;'Données projet'!$A$140,$CQ$205^A100,IF(A100='Données projet'!$A$140,'Données projet'!$B$140,CT99+CS100-DB99)))</f>
        <v>0</v>
      </c>
      <c r="CU100" s="158" t="str">
        <f>CT100*VLOOKUP('Données projet'!$B$13,'Paramètres'!$A$1:$I$88,3,0)*VLOOKUP('Données projet'!$B$13,'Paramètres'!$A$1:$I$88,5,0)</f>
        <v>#N/A</v>
      </c>
      <c r="CV100" s="150" t="str">
        <f t="shared" si="42"/>
        <v>#N/A</v>
      </c>
      <c r="CW100" s="161" t="str">
        <f t="shared" si="14"/>
        <v>#N/A</v>
      </c>
      <c r="CX100" s="153" t="str">
        <f t="shared" si="15"/>
        <v>#N/A</v>
      </c>
      <c r="CY100" s="153" t="str">
        <f>AVERAGE(OFFSET($CX$3,0,0,'Données projet'!$E$13+1,1))-AVERAGE(OFFSET($H$3,0,0,'Données projet'!$E$13+1,1))</f>
        <v>#N/A</v>
      </c>
      <c r="CZ100" s="153" t="str">
        <f t="shared" si="43"/>
        <v>#N/A</v>
      </c>
      <c r="DA100" s="154">
        <f>IF(ISNA(VLOOKUP(A100,'Données projet'!$A$139:$I$159,3,0)),0,VLOOKUP(A100,'Données projet'!$A$139:$I$159,3,0))</f>
        <v>0</v>
      </c>
      <c r="DB100" s="154">
        <f>IF(ISNA(VLOOKUP(A100,'Données projet'!$A$139:$I$159,4,0)),0,VLOOKUP(A100,'Données projet'!$A$139:$I$159,4,0))</f>
        <v>0</v>
      </c>
      <c r="DC100" s="155">
        <f>IF(ISNA(VLOOKUP(A100,'Données projet'!$A$139:$I$159,5,0)),0%,VLOOKUP(A100,'Données projet'!$A$139:$I$159,5,0)*VLOOKUP('Données projet'!$B$13,'Paramètres'!$A$1:$I$88,7,0))</f>
        <v>0</v>
      </c>
      <c r="DD100" s="155">
        <f>IF(ISNA(VLOOKUP(A100,'Données projet'!$A$139:$I$159,6,0)),0%,VLOOKUP(A100,'Données projet'!$A$139:$I$159,6,0)*VLOOKUP('Données projet'!$B$13,'Paramètres'!$A$1:$I$88,7,0))</f>
        <v>0</v>
      </c>
      <c r="DE100" s="155">
        <f>IF(ISNA(VLOOKUP(A100,'Données projet'!$A$139:$I$159,7,0)),0%,VLOOKUP(A100,'Données projet'!$A$139:$I$159,7,0))</f>
        <v>0</v>
      </c>
      <c r="DF100" s="162" t="str">
        <f>EXP(-LN(2)/35)*DF99+(1-EXP(-LN(2)/35))/(LN(2)/35)*DB100*DC100*VLOOKUP('Données projet'!$B$13,'Paramètres'!$A$1:$I$88,3,0)*0.475*44/12</f>
        <v>#N/A</v>
      </c>
      <c r="DG100" s="162" t="str">
        <f>EXP(-LN(2)/25)*DG99+(1-EXP(-LN(2)/25))/(LN(2)/25)*Calculateur!DB100*Calculateur!DD100*VLOOKUP('Données projet'!$B$13,'Paramètres'!$A$1:$I$88,3,0)*0.475*44/12</f>
        <v>#N/A</v>
      </c>
      <c r="DH100" s="162" t="str">
        <f>EXP(-LN(2)/2)*DH99+(1-EXP(-LN(2)/2))/(LN(2)/2)*DB100*DE100*VLOOKUP('Données projet'!$B$13,'Paramètres'!$A$1:$I$88,3,0)*0.475*44/12</f>
        <v>#N/A</v>
      </c>
      <c r="DI100" s="163" t="str">
        <f t="shared" si="16"/>
        <v>#N/A</v>
      </c>
      <c r="DJ100" s="159">
        <f>('Scénario référence'!$F$8+'Scénario référence'!$F$9+'Scénario référence'!$B$17+'Scénario référence'!$B$9+'Scénario référence'!$B$10)*70+IF((45+25*(1-EXP(-0.0175*A100)))&lt;70,'Scénario référence'!$B$16*(45+25*(1-EXP(-0.0175*A100))),70*'Scénario référence'!$B$16)+IF((32+38*(1-EXP(-0.0175*A100)))&lt;70,'Scénario référence'!$B$18*(32+38*(1-EXP(-0.0175*A100))),70*'Scénario référence'!$B$18)</f>
        <v>70</v>
      </c>
      <c r="DK100" s="151">
        <f>IF(A100&gt;30,10,('Scénario référence'!$B$16+'Scénario référence'!$B$17+'Scénario référence'!$B$18+'Scénario référence'!$B$9+'Scénario référence'!$B$10)*A100*10/30+('Scénario référence'!$F$8+'Scénario référence'!$F$9)*10)</f>
        <v>10</v>
      </c>
      <c r="DL100" s="151" t="str">
        <f>VLOOKUP(A100,'Données projet'!$A$165:$I$185,2,0)</f>
        <v>#N/A</v>
      </c>
      <c r="DM100" s="151" t="str">
        <f>VLOOKUP(A100,'Données projet'!$A$165:$I$185,9,0)</f>
        <v>#N/A</v>
      </c>
      <c r="DN100" s="151" t="str">
        <f t="array" ref="DN100">INDEX(DM:DM,MIN(IF(ISNUMBER(DM100:DM296),ROW(DM100:DM296),"")))</f>
        <v/>
      </c>
      <c r="DO100" s="151">
        <f>IF('Données projet'!$A$166&gt;35,DO99+DN100-DW99,IF(A100&lt;'Données projet'!$A$166,$DL$205^A100,IF(A100='Données projet'!$A$166,'Données projet'!$B$166,DO99+DN100-DW99)))</f>
        <v>0</v>
      </c>
      <c r="DP100" s="158" t="str">
        <f>DO100*VLOOKUP('Données projet'!$B$14,'Paramètres'!$A$1:$I$88,3,0)*VLOOKUP('Données projet'!$B$14,'Paramètres'!$A$1:$I$88,5,0)</f>
        <v>#N/A</v>
      </c>
      <c r="DQ100" s="150" t="str">
        <f t="shared" si="44"/>
        <v>#N/A</v>
      </c>
      <c r="DR100" s="161" t="str">
        <f t="shared" si="17"/>
        <v>#N/A</v>
      </c>
      <c r="DS100" s="153" t="str">
        <f t="shared" si="18"/>
        <v>#N/A</v>
      </c>
      <c r="DT100" s="153" t="str">
        <f>AVERAGE(OFFSET($DS$3,0,0,'Données projet'!$E$14+1,1))-AVERAGE(OFFSET($H$3,0,0,'Données projet'!$E$14+1,1))</f>
        <v>#N/A</v>
      </c>
      <c r="DU100" s="153" t="str">
        <f t="shared" si="45"/>
        <v>#N/A</v>
      </c>
      <c r="DV100" s="154">
        <f>IF(ISNA(VLOOKUP(A100,'Données projet'!$A$165:$I$185,3,0)),0,VLOOKUP(A100,'Données projet'!$A$165:$I$185,3,0))</f>
        <v>0</v>
      </c>
      <c r="DW100" s="154">
        <f>IF(ISNA(VLOOKUP(A100,'Données projet'!$A$165:$I$185,4,0)),0,VLOOKUP(A100,'Données projet'!$A$165:$I$185,4,0))</f>
        <v>0</v>
      </c>
      <c r="DX100" s="155">
        <f>IF(ISNA(VLOOKUP(A100,'Données projet'!$A$165:$I$185,5,0)),0%,VLOOKUP(A100,'Données projet'!$A$165:$I$185,5,0)*VLOOKUP('Données projet'!$B$14,'Paramètres'!$A$1:$I$88,7,0))</f>
        <v>0</v>
      </c>
      <c r="DY100" s="155">
        <f>IF(ISNA(VLOOKUP(A100,'Données projet'!$A$165:$I$185,6,0)),0%,VLOOKUP(A100,'Données projet'!$A$165:$I$185,6,0)*VLOOKUP('Données projet'!$B$14,'Paramètres'!$A$1:$I$88,7,0))</f>
        <v>0</v>
      </c>
      <c r="DZ100" s="155">
        <f>IF(ISNA(VLOOKUP(A100,'Données projet'!$A$165:$I$185,7,0)),0%,VLOOKUP(A100,'Données projet'!$A$165:$I$185,7,0))</f>
        <v>0</v>
      </c>
      <c r="EA100" s="162" t="str">
        <f>EXP(-LN(2)/35)*EA99+(1-EXP(-LN(2)/35))/(LN(2)/35)*DW100*DX100*VLOOKUP('Données projet'!$B$14,'Paramètres'!$A$1:$I$88,3,0)*0.475*44/12</f>
        <v>#N/A</v>
      </c>
      <c r="EB100" s="162" t="str">
        <f>EXP(-LN(2)/25)*EB99+(1-EXP(-LN(2)/25))/(LN(2)/25)*Calculateur!DW100*Calculateur!DY100*VLOOKUP('Données projet'!$B$14,'Paramètres'!$A$1:$I$88,3,0)*0.475*44/12</f>
        <v>#N/A</v>
      </c>
      <c r="EC100" s="162" t="str">
        <f>EXP(-LN(2)/2)*EC99+(1-EXP(-LN(2)/2))/(LN(2)/2)*DW100*DZ100*VLOOKUP('Données projet'!$B$14,'Paramètres'!$A$1:$I$88,3,0)*0.475*44/12</f>
        <v>#N/A</v>
      </c>
      <c r="ED100" s="163" t="str">
        <f t="shared" si="19"/>
        <v>#N/A</v>
      </c>
      <c r="EE100" s="159">
        <f>('Scénario référence'!$F$8+'Scénario référence'!$F$9+'Scénario référence'!$B$17+'Scénario référence'!$B$9+'Scénario référence'!$B$10)*70+IF((45+25*(1-EXP(-0.0175*A100)))&lt;70,'Scénario référence'!$B$16*(45+25*(1-EXP(-0.0175*A100))),70*'Scénario référence'!$B$16)+IF((32+38*(1-EXP(-0.0175*A100)))&lt;70,'Scénario référence'!$B$18*(32+38*(1-EXP(-0.0175*A100))),70*'Scénario référence'!$B$18)</f>
        <v>70</v>
      </c>
      <c r="EF100" s="151">
        <f>IF(A100&gt;30,10,('Scénario référence'!$B$16+'Scénario référence'!$B$17+'Scénario référence'!$B$18+'Scénario référence'!$B$9+'Scénario référence'!$B$10)*A100*10/30+('Scénario référence'!$F$8+'Scénario référence'!$F$9)*10)</f>
        <v>10</v>
      </c>
      <c r="EG100" s="151" t="str">
        <f>VLOOKUP(A100,'Données projet'!$A$191:$I$211,2,0)</f>
        <v>#N/A</v>
      </c>
      <c r="EH100" s="151" t="str">
        <f>VLOOKUP(A100,'Données projet'!$A$191:$I$211,9,0)</f>
        <v>#N/A</v>
      </c>
      <c r="EI100" s="151" t="str">
        <f t="array" ref="EI100">INDEX(EH:EH,MIN(IF(ISNUMBER(EH100:EH296),ROW(EH100:EH296),"")))</f>
        <v/>
      </c>
      <c r="EJ100" s="151">
        <f>IF('Données projet'!$A$192&gt;35,EJ99+EI100-ER99,IF(A100&lt;'Données projet'!$A$192,$EG$205^A100,IF(A100='Données projet'!$A$192,'Données projet'!$B$192,EJ99+EI100-ER99)))</f>
        <v>0</v>
      </c>
      <c r="EK100" s="158" t="str">
        <f>EJ100*VLOOKUP('Données projet'!$B$15,'Paramètres'!$A$1:$I$88,3,0)*VLOOKUP('Données projet'!$B$15,'Paramètres'!$A$1:$I$88,5,0)</f>
        <v>#N/A</v>
      </c>
      <c r="EL100" s="150" t="str">
        <f t="shared" si="46"/>
        <v>#N/A</v>
      </c>
      <c r="EM100" s="161" t="str">
        <f t="shared" si="20"/>
        <v>#N/A</v>
      </c>
      <c r="EN100" s="153" t="str">
        <f t="shared" si="21"/>
        <v>#N/A</v>
      </c>
      <c r="EO100" s="153" t="str">
        <f>AVERAGE(OFFSET($EN$3,0,0,'Données projet'!$E$15+1,1))-AVERAGE(OFFSET($H$3,0,0,'Données projet'!$E$15+1,1))</f>
        <v>#N/A</v>
      </c>
      <c r="EP100" s="153" t="str">
        <f t="shared" si="47"/>
        <v>#N/A</v>
      </c>
      <c r="EQ100" s="154">
        <f>IF(ISNA(VLOOKUP(A100,'Données projet'!$A$191:$I$211,3,0)),0,VLOOKUP(A100,'Données projet'!$A$191:$I$211,3,0))</f>
        <v>0</v>
      </c>
      <c r="ER100" s="154">
        <f>IF(ISNA(VLOOKUP(A100,'Données projet'!$A$191:$I$211,4,0)),0,VLOOKUP(A100,'Données projet'!$A$191:$I$211,4,0))</f>
        <v>0</v>
      </c>
      <c r="ES100" s="155">
        <f>IF(ISNA(VLOOKUP(A100,'Données projet'!$A$191:$I$211,5,0)),0%,VLOOKUP(A100,'Données projet'!$A$191:$I$211,5,0)*VLOOKUP('Données projet'!$B$15,'Paramètres'!$A$1:$I$88,7,0))</f>
        <v>0</v>
      </c>
      <c r="ET100" s="155">
        <f>IF(ISNA(VLOOKUP(A100,'Données projet'!$A$191:$I$211,6,0)),0%,VLOOKUP(A100,'Données projet'!$A$191:$I$211,6,0)*VLOOKUP('Données projet'!$B$15,'Paramètres'!$A$1:$I$88,7,0))</f>
        <v>0</v>
      </c>
      <c r="EU100" s="155">
        <f>IF(ISNA(VLOOKUP(A100,'Données projet'!$A$191:$I$211,7,0)),0%,VLOOKUP(A100,'Données projet'!$A$191:$I$211,7,0))</f>
        <v>0</v>
      </c>
      <c r="EV100" s="162" t="str">
        <f>EXP(-LN(2)/35)*EV99+(1-EXP(-LN(2)/35))/(LN(2)/35)*ER100*ES100*VLOOKUP('Données projet'!$B$15,'Paramètres'!$A$1:$I$88,3,0)*0.475*44/12</f>
        <v>#N/A</v>
      </c>
      <c r="EW100" s="162" t="str">
        <f>EXP(-LN(2)/25)*EW99+(1-EXP(-LN(2)/25))/(LN(2)/25)*Calculateur!ER100*Calculateur!ET100*VLOOKUP('Données projet'!$B$15,'Paramètres'!$A$1:$I$88,3,0)*0.475*44/12</f>
        <v>#N/A</v>
      </c>
      <c r="EX100" s="162" t="str">
        <f>EXP(-LN(2)/2)*EX99+(1-EXP(-LN(2)/2))/(LN(2)/2)*ER100*EU100*VLOOKUP('Données projet'!$B$15,'Paramètres'!$A$1:$I$88,3,0)*0.475*44/12</f>
        <v>#N/A</v>
      </c>
      <c r="EY100" s="163" t="str">
        <f t="shared" si="22"/>
        <v>#N/A</v>
      </c>
      <c r="EZ100" s="159">
        <f>('Scénario référence'!$F$8+'Scénario référence'!$F$9+'Scénario référence'!$B$17+'Scénario référence'!$B$9+'Scénario référence'!$B$10)*70+IF((45+25*(1-EXP(-0.0175*A100)))&lt;70,'Scénario référence'!$B$16*(45+25*(1-EXP(-0.0175*A100))),70*'Scénario référence'!$B$16)+IF((32+38*(1-EXP(-0.0175*A100)))&lt;70,'Scénario référence'!$B$18*(32+38*(1-EXP(-0.0175*A100))),70*'Scénario référence'!$B$18)</f>
        <v>70</v>
      </c>
      <c r="FA100" s="151">
        <f>IF(A100&gt;30,10,('Scénario référence'!$B$16+'Scénario référence'!$B$17+'Scénario référence'!$B$18+'Scénario référence'!$B$9+'Scénario référence'!$B$10)*A100*10/30+('Scénario référence'!$F$8+'Scénario référence'!$F$9)*10)</f>
        <v>10</v>
      </c>
      <c r="FB100" s="151" t="str">
        <f>VLOOKUP(A100,'Données projet'!$A$217:$I$237,2,0)</f>
        <v>#N/A</v>
      </c>
      <c r="FC100" s="151" t="str">
        <f>VLOOKUP(A100,'Données projet'!$A$217:$I$237,9,0)</f>
        <v>#N/A</v>
      </c>
      <c r="FD100" s="151" t="str">
        <f t="array" ref="FD100">INDEX(FC:FC,MIN(IF(ISNUMBER(FC100:FC296),ROW(FC100:FC296),"")))</f>
        <v/>
      </c>
      <c r="FE100" s="151">
        <f>IF('Données projet'!$A$218&gt;35,FE99+FD100-FM99,IF(A100&lt;'Données projet'!$A$218,$FB$205^A100,IF(A100='Données projet'!$A$218,'Données projet'!$B$218,FE99+FD100-FM99)))</f>
        <v>0</v>
      </c>
      <c r="FF100" s="158" t="str">
        <f>FE100*VLOOKUP('Données projet'!$B$16,'Paramètres'!$A$1:$I$88,3,0)*VLOOKUP('Données projet'!$B$16,'Paramètres'!$A$1:$I$88,5,0)</f>
        <v>#N/A</v>
      </c>
      <c r="FG100" s="150" t="str">
        <f t="shared" si="48"/>
        <v>#N/A</v>
      </c>
      <c r="FH100" s="161" t="str">
        <f t="shared" si="23"/>
        <v>#N/A</v>
      </c>
      <c r="FI100" s="153" t="str">
        <f t="shared" si="24"/>
        <v>#N/A</v>
      </c>
      <c r="FJ100" s="153" t="str">
        <f>AVERAGE(OFFSET($FI$3,0,0,'Données projet'!$E$16+1,1))-AVERAGE(OFFSET($H$3,0,0,'Données projet'!$E$16+1,1))</f>
        <v>#N/A</v>
      </c>
      <c r="FK100" s="153" t="str">
        <f t="shared" si="49"/>
        <v>#N/A</v>
      </c>
      <c r="FL100" s="154">
        <f>IF(ISNA(VLOOKUP(A100,'Données projet'!$A$217:$I$237,3,0)),0,VLOOKUP(A100,'Données projet'!$A$217:$I$237,3,0))</f>
        <v>0</v>
      </c>
      <c r="FM100" s="154">
        <f>IF(ISNA(VLOOKUP(A100,'Données projet'!$A$217:$I$237,4,0)),0,VLOOKUP(A100,'Données projet'!$A$217:$I$237,4,0))</f>
        <v>0</v>
      </c>
      <c r="FN100" s="155">
        <f>IF(ISNA(VLOOKUP(A100,'Données projet'!$A$217:$I$237,5,0)),0%,VLOOKUP(A100,'Données projet'!$A$217:$I$237,5,0)*VLOOKUP('Données projet'!$B$16,'Paramètres'!$A$1:$I$88,7,0))</f>
        <v>0</v>
      </c>
      <c r="FO100" s="155">
        <f>IF(ISNA(VLOOKUP(A100,'Données projet'!$A$217:$I$237,6,0)),0%,VLOOKUP(A100,'Données projet'!$A$217:$I$237,6,0)*VLOOKUP('Données projet'!$B$16,'Paramètres'!$A$1:$I$88,7,0))</f>
        <v>0</v>
      </c>
      <c r="FP100" s="155">
        <f>IF(ISNA(VLOOKUP(A100,'Données projet'!$A$217:$I$237,7,0)),0%,VLOOKUP(A100,'Données projet'!$A$217:$I$237,7,0))</f>
        <v>0</v>
      </c>
      <c r="FQ100" s="162" t="str">
        <f>EXP(-LN(2)/35)*FQ99+(1-EXP(-LN(2)/35))/(LN(2)/35)*FM100*FN100*VLOOKUP('Données projet'!$B$16,'Paramètres'!$A$1:$I$88,3,0)*0.475*44/12</f>
        <v>#N/A</v>
      </c>
      <c r="FR100" s="162" t="str">
        <f>EXP(-LN(2)/25)*FR99+(1-EXP(-LN(2)/25))/(LN(2)/25)*Calculateur!FM100*Calculateur!FO100*VLOOKUP('Données projet'!$B$16,'Paramètres'!$A$1:$I$88,3,0)*0.475*44/12</f>
        <v>#N/A</v>
      </c>
      <c r="FS100" s="162" t="str">
        <f>EXP(-LN(2)/2)*FS99+(1-EXP(-LN(2)/2))/(LN(2)/2)*FM100*FP100*VLOOKUP('Données projet'!$B$16,'Paramètres'!$A$1:$I$88,3,0)*0.475*44/12</f>
        <v>#N/A</v>
      </c>
      <c r="FT100" s="163" t="str">
        <f t="shared" si="25"/>
        <v>#N/A</v>
      </c>
      <c r="FU100" s="159">
        <f>('Scénario référence'!$F$8+'Scénario référence'!$F$9+'Scénario référence'!$B$17+'Scénario référence'!$B$9+'Scénario référence'!$B$10)*70+IF((45+25*(1-EXP(-0.0175*A100)))&lt;70,'Scénario référence'!$B$16*(45+25*(1-EXP(-0.0175*A100))),70*'Scénario référence'!$B$16)+IF((32+38*(1-EXP(-0.0175*A100)))&lt;70,'Scénario référence'!$B$18*(32+38*(1-EXP(-0.0175*A100))),70*'Scénario référence'!$B$18)</f>
        <v>70</v>
      </c>
      <c r="FV100" s="151">
        <f>IF(A100&gt;30,10,('Scénario référence'!$B$16+'Scénario référence'!$B$17+'Scénario référence'!$B$18+'Scénario référence'!$B$9+'Scénario référence'!$B$10)*A100*10/30+('Scénario référence'!$F$8+'Scénario référence'!$F$9)*10)</f>
        <v>10</v>
      </c>
      <c r="FW100" s="151" t="str">
        <f>VLOOKUP(A100,'Données projet'!$A$243:$I$263,2,0)</f>
        <v>#N/A</v>
      </c>
      <c r="FX100" s="151" t="str">
        <f>VLOOKUP(A100,'Données projet'!$A$243:$I$263,9,0)</f>
        <v>#N/A</v>
      </c>
      <c r="FY100" s="151" t="str">
        <f t="array" ref="FY100">INDEX(FX:FX,MIN(IF(ISNUMBER(FX100:FX296),ROW(FX100:FX296),"")))</f>
        <v/>
      </c>
      <c r="FZ100" s="151">
        <f>IF('Données projet'!$A$244&gt;35,FZ99+FY100-GH99,IF(A100&lt;'Données projet'!$A$244,$FW$205^A100,IF(A100='Données projet'!$A$244,'Données projet'!$B$244,FZ99+FY100-GH99)))</f>
        <v>0</v>
      </c>
      <c r="GA100" s="158" t="str">
        <f>FZ100*VLOOKUP('Données projet'!$B$17,'Paramètres'!$A$1:$I$88,3,0)*VLOOKUP('Données projet'!$B$17,'Paramètres'!$A$1:$I$88,5,0)</f>
        <v>#N/A</v>
      </c>
      <c r="GB100" s="150" t="str">
        <f t="shared" si="50"/>
        <v>#N/A</v>
      </c>
      <c r="GC100" s="161" t="str">
        <f t="shared" si="26"/>
        <v>#N/A</v>
      </c>
      <c r="GD100" s="153" t="str">
        <f t="shared" si="27"/>
        <v>#N/A</v>
      </c>
      <c r="GE100" s="153" t="str">
        <f>AVERAGE(OFFSET($GD$3,0,0,'Données projet'!$E$17+1,1))-AVERAGE(OFFSET($H$3,0,0,'Données projet'!$E$17+1,1))</f>
        <v>#N/A</v>
      </c>
      <c r="GF100" s="153" t="str">
        <f t="shared" si="51"/>
        <v>#N/A</v>
      </c>
      <c r="GG100" s="154">
        <f>IF(ISNA(VLOOKUP(A100,'Données projet'!$A$243:$I$263,3,0)),0,VLOOKUP(A100,'Données projet'!$A$243:$I$263,3,0))</f>
        <v>0</v>
      </c>
      <c r="GH100" s="154">
        <f>IF(ISNA(VLOOKUP(A100,'Données projet'!$A$243:$I$263,4,0)),0,VLOOKUP(A100,'Données projet'!$A$243:$I$263,4,0))</f>
        <v>0</v>
      </c>
      <c r="GI100" s="155">
        <f>IF(ISNA(VLOOKUP(A100,'Données projet'!$A$243:$I$263,5,0)),0%,VLOOKUP(A100,'Données projet'!$A$243:$I$263,5,0)*VLOOKUP('Données projet'!$B$17,'Paramètres'!$A$1:$I$88,7,0))</f>
        <v>0</v>
      </c>
      <c r="GJ100" s="155">
        <f>IF(ISNA(VLOOKUP(A100,'Données projet'!$A$243:$I$263,6,0)),0%,VLOOKUP(A100,'Données projet'!$A$243:$I$263,6,0)*VLOOKUP('Données projet'!$B$17,'Paramètres'!$A$1:$I$88,7,0))</f>
        <v>0</v>
      </c>
      <c r="GK100" s="155">
        <f>IF(ISNA(VLOOKUP(A100,'Données projet'!$A$243:$I$263,7,0)),0%,VLOOKUP(A100,'Données projet'!$A$243:$I$263,7,0))</f>
        <v>0</v>
      </c>
      <c r="GL100" s="162" t="str">
        <f>EXP(-LN(2)/35)*GL99+(1-EXP(-LN(2)/35))/(LN(2)/35)*GH100*GI100*VLOOKUP('Données projet'!$B$17,'Paramètres'!$A$1:$I$88,3,0)*0.475*44/12</f>
        <v>#N/A</v>
      </c>
      <c r="GM100" s="162" t="str">
        <f>EXP(-LN(2)/25)*GM99+(1-EXP(-LN(2)/25))/(LN(2)/25)*Calculateur!GH100*Calculateur!GJ100*VLOOKUP('Données projet'!$B$17,'Paramètres'!$A$1:$I$88,3,0)*0.475*44/12</f>
        <v>#N/A</v>
      </c>
      <c r="GN100" s="162" t="str">
        <f>EXP(-LN(2)/2)*GN99+(1-EXP(-LN(2)/2))/(LN(2)/2)*GH100*GK100*VLOOKUP('Données projet'!$B$17,'Paramètres'!$A$1:$I$88,3,0)*0.475*44/12</f>
        <v>#N/A</v>
      </c>
      <c r="GO100" s="162" t="str">
        <f t="shared" si="28"/>
        <v>#N/A</v>
      </c>
      <c r="GP100" s="159">
        <f>('Scénario référence'!$F$8+'Scénario référence'!$F$9+'Scénario référence'!$B$17+'Scénario référence'!$B$9+'Scénario référence'!$B$10)*70+IF((45+25*(1-EXP(-0.0175*A100)))&lt;70,'Scénario référence'!$B$16*(45+25*(1-EXP(-0.0175*A100))),70*'Scénario référence'!$B$16)+IF((32+38*(1-EXP(-0.0175*A100)))&lt;70,'Scénario référence'!$B$18*(32+38*(1-EXP(-0.0175*A100))),70*'Scénario référence'!$B$18)</f>
        <v>70</v>
      </c>
      <c r="GQ100" s="151">
        <f>IF(A100&gt;30,10,('Scénario référence'!$B$16+'Scénario référence'!$B$17+'Scénario référence'!$B$18+'Scénario référence'!$B$9+'Scénario référence'!$B$10)*A100*10/30+('Scénario référence'!$F$8+'Scénario référence'!$F$9)*10)</f>
        <v>10</v>
      </c>
      <c r="GR100" s="151" t="str">
        <f>VLOOKUP(A100,'Données projet'!$A$269:$I$289,2,0)</f>
        <v>#N/A</v>
      </c>
      <c r="GS100" s="151" t="str">
        <f>VLOOKUP(A100,'Données projet'!$A$269:$I$289,9,0)</f>
        <v>#N/A</v>
      </c>
      <c r="GT100" s="151" t="str">
        <f t="array" ref="GT100">INDEX(GS:GS,MIN(IF(ISNUMBER(GS100:GS296),ROW(GS100:GS296),"")))</f>
        <v/>
      </c>
      <c r="GU100" s="151">
        <f>IF('Données projet'!$A$270&gt;35,GU99+GT100-HC99,IF(A100&lt;'Données projet'!$A$270,$GR$205^A100,IF(A100='Données projet'!$A$270,'Données projet'!$B$270,GU99+GT100-HC99)))</f>
        <v>0</v>
      </c>
      <c r="GV100" s="158" t="str">
        <f>GU100*VLOOKUP('Données projet'!$B$18,'Paramètres'!$A$1:$I$88,3,0)*VLOOKUP('Données projet'!$B$18,'Paramètres'!$A$1:$I$88,5,0)</f>
        <v>#N/A</v>
      </c>
      <c r="GW100" s="150" t="str">
        <f t="shared" si="52"/>
        <v>#N/A</v>
      </c>
      <c r="GX100" s="161" t="str">
        <f t="shared" si="29"/>
        <v>#N/A</v>
      </c>
      <c r="GY100" s="153" t="str">
        <f t="shared" si="30"/>
        <v>#N/A</v>
      </c>
      <c r="GZ100" s="153" t="str">
        <f>AVERAGE(OFFSET($GY$3,0,0,'Données projet'!$E$18+1,1))-AVERAGE(OFFSET($H$3,0,0,'Données projet'!$E$18+1,1))</f>
        <v>#N/A</v>
      </c>
      <c r="HA100" s="153" t="str">
        <f t="shared" si="53"/>
        <v>#N/A</v>
      </c>
      <c r="HB100" s="154">
        <f>IF(ISNA(VLOOKUP(A100,'Données projet'!$A$269:$I$289,3,0)),0,VLOOKUP(A100,'Données projet'!$A$269:$I$289,3,0))</f>
        <v>0</v>
      </c>
      <c r="HC100" s="154">
        <f>IF(ISNA(VLOOKUP(A100,'Données projet'!$A$269:$I$289,4,0)),0,VLOOKUP(A100,'Données projet'!$A$269:$I$289,4,0))</f>
        <v>0</v>
      </c>
      <c r="HD100" s="155">
        <f>IF(ISNA(VLOOKUP(A100,'Données projet'!$A$269:$I$289,5,0)),0%,VLOOKUP(A100,'Données projet'!$A$269:$I$289,5,0)*VLOOKUP('Données projet'!$B$18,'Paramètres'!$A$1:$I$88,7,0))</f>
        <v>0</v>
      </c>
      <c r="HE100" s="155">
        <f>IF(ISNA(VLOOKUP(A100,'Données projet'!$A$269:$I$289,6,0)),0%,VLOOKUP(A100,'Données projet'!$A$269:$I$289,6,0)*VLOOKUP('Données projet'!$B$18,'Paramètres'!$A$1:$I$88,7,0))</f>
        <v>0</v>
      </c>
      <c r="HF100" s="155">
        <f>IF(ISNA(VLOOKUP(A100,'Données projet'!$A$269:$I$289,7,0)),0%,VLOOKUP(A100,'Données projet'!$A$269:$I$289,7,0))</f>
        <v>0</v>
      </c>
      <c r="HG100" s="162" t="str">
        <f>EXP(-LN(2)/35)*HG99+(1-EXP(-LN(2)/35))/(LN(2)/35)*HC100*HD100*VLOOKUP('Données projet'!$B$18,'Paramètres'!$A$1:$I$88,3,0)*0.475*44/12</f>
        <v>#N/A</v>
      </c>
      <c r="HH100" s="162" t="str">
        <f>EXP(-LN(2)/25)*HH99+(1-EXP(-LN(2)/25))/(LN(2)/25)*Calculateur!HC100*Calculateur!HE100*VLOOKUP('Données projet'!$B$18,'Paramètres'!$A$1:$I$88,3,0)*0.475*44/12</f>
        <v>#N/A</v>
      </c>
      <c r="HI100" s="162" t="str">
        <f>EXP(-LN(2)/2)*HI99+(1-EXP(-LN(2)/2))/(LN(2)/2)*HC100*HF100*VLOOKUP('Données projet'!$B$18,'Paramètres'!$A$1:$I$88,3,0)*0.475*44/12</f>
        <v>#N/A</v>
      </c>
      <c r="HJ100" s="163" t="str">
        <f t="shared" si="31"/>
        <v>#N/A</v>
      </c>
    </row>
    <row r="101" ht="15.75" customHeight="1">
      <c r="A101" s="145">
        <f t="shared" si="32"/>
        <v>98</v>
      </c>
      <c r="B101" s="146">
        <f>'Scénario référence'!$B$16*5+'Scénario référence'!$B$17*0+'Scénario référence'!$B$18*5</f>
        <v>0</v>
      </c>
      <c r="C101" s="160">
        <f>Calculateur!C100+'Scénario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01" s="147">
        <f t="shared" si="33"/>
        <v>0</v>
      </c>
      <c r="E101" s="147">
        <f>'Scénario référence'!$B$16*45+('Scénario référence'!$B$17+'Scénario référence'!$F$8+'Scénario référence'!$F$9+'Scénario référence'!$B$10+'Scénario référence'!$B$9)*70+'Scénario référence'!$B$18*32</f>
        <v>70</v>
      </c>
      <c r="F101" s="147">
        <f>IF(OR('Scénario référence'!$F$8&gt;0,'Scénario référence'!$F$9&gt;0),('Scénario référence'!$F$8+'Scénario référence'!$F$9)*10,0)</f>
        <v>0</v>
      </c>
      <c r="G101" s="147">
        <f>'Scénario référence'!$B$8*B101*44/12+'Scénario référence'!$B$9*(C101+D101)/0.475*44/12+'Scénario référence'!$B$10*(C101+D101)/0.475*44/12+'Scénario référence'!$F$8*(C101+D101)/0.475*44/12+'Scénario référence'!$F$9*(C101+D101)/0.475*44/12</f>
        <v>0</v>
      </c>
      <c r="H101" s="148">
        <f t="shared" si="1"/>
        <v>256.6666667</v>
      </c>
      <c r="I101" s="149">
        <f>('Scénario référence'!$F$8+'Scénario référence'!$F$9+'Scénario référence'!$B$17+'Scénario référence'!$B$9+'Scénario référence'!$B$10)*70+IF((45+25*(1-EXP(-0.0175*A101)))&lt;70,'Scénario référence'!$B$16*(45+25*(1-EXP(-0.0175*A101))),70*'Scénario référence'!$B$16)+IF((32+38*(1-EXP(-0.0175*A101)))&lt;70,'Scénario référence'!$B$18*(32+38*(1-EXP(-0.0175*A101))),70*'Scénario référence'!$B$18)</f>
        <v>70</v>
      </c>
      <c r="J101" s="150">
        <f>IF(A101&gt;30,10,('Scénario référence'!$B$16+'Scénario référence'!$B$17+'Scénario référence'!$B$18+'Scénario référence'!$B$9+'Scénario référence'!$B$10)*A101*10/30+('Scénario référence'!$F$8+'Scénario référence'!$F$9)*10)</f>
        <v>10</v>
      </c>
      <c r="K101" s="151" t="str">
        <f>VLOOKUP(A101,'Données projet'!$A$35:$I$55,2,0)</f>
        <v>#N/A</v>
      </c>
      <c r="L101" s="151" t="str">
        <f>VLOOKUP(A101,'Données projet'!$A$35:$I$55,9,0)</f>
        <v>#N/A</v>
      </c>
      <c r="M101" s="150">
        <f t="array" ref="M101">INDEX(L:L,MIN(IF(ISNUMBER(L101:L297),ROW(L101:L297),"")))</f>
        <v>5.6</v>
      </c>
      <c r="N101" s="150">
        <f>IF('Données projet'!$A$36&gt;35,N100+M101-V100,IF(A101&lt;'Données projet'!$A$36,$K$205^A101,IF(A101='Données projet'!$A$36,'Données projet'!$B$36,N100+M101-V100)))</f>
        <v>321.8</v>
      </c>
      <c r="O101" s="150">
        <f>N101*VLOOKUP('Données projet'!$B$9,'Paramètres'!$A$1:$I$88,3,0)*VLOOKUP('Données projet'!$B$9,'Paramètres'!$A$1:$I$88,5,0)</f>
        <v>291.16464</v>
      </c>
      <c r="P101" s="150">
        <f t="shared" si="34"/>
        <v>69.32102247</v>
      </c>
      <c r="Q101" s="161">
        <f t="shared" si="2"/>
        <v>627.8458621</v>
      </c>
      <c r="R101" s="153">
        <f t="shared" si="3"/>
        <v>921.1791955</v>
      </c>
      <c r="S101" s="153">
        <f>AVERAGE(OFFSET($R$3,0,0,'Données projet'!$E$9+1,1))-AVERAGE(OFFSET($H$3,0,0,'Données projet'!$E$9+1,1))</f>
        <v>439.1985427</v>
      </c>
      <c r="T101" s="153">
        <f t="shared" si="35"/>
        <v>278.2174123</v>
      </c>
      <c r="U101" s="154">
        <f>IF(ISNA(VLOOKUP(A101,'Données projet'!$A$35:$I$55,3,0)),0,VLOOKUP(A101,'Données projet'!$A$35:$I$55,3,0))</f>
        <v>0</v>
      </c>
      <c r="V101" s="154">
        <f>IF(ISNA(VLOOKUP(A101,'Données projet'!$A$35:$I$55,4,0)),0,VLOOKUP(A101,'Données projet'!$A$35:$I$55,4,0))</f>
        <v>0</v>
      </c>
      <c r="W101" s="155">
        <f>IF(ISNA(VLOOKUP(A101,'Données projet'!$A$35:$I$55,5,0)),0%,VLOOKUP(A101,'Données projet'!$A$35:$I$55,5,0)*VLOOKUP('Données projet'!$B$9,'Paramètres'!$A$1:$I$88,7,0))</f>
        <v>0</v>
      </c>
      <c r="X101" s="155">
        <f>IF(ISNA(VLOOKUP(A101,'Données projet'!$A$35:$I$55,6,0)),0%,VLOOKUP(A101,'Données projet'!$A$35:$I$55,6,0)*VLOOKUP('Données projet'!$B$9,'Paramètres'!$A$1:$I$88,7,0))</f>
        <v>0</v>
      </c>
      <c r="Y101" s="155">
        <f>IF(ISNA(VLOOKUP(A101,'Données projet'!$A$35:$I$55,7,0)),0%,VLOOKUP(A101,'Données projet'!$A$35:$I$55,7,0))</f>
        <v>0</v>
      </c>
      <c r="Z101" s="162">
        <f>EXP(-LN(2)/35)*Z100+(1-EXP(-LN(2)/35))/(LN(2)/35)*V101*W101*VLOOKUP('Données projet'!$B$9,'Paramètres'!$A$1:$I$88,3,0)*0.475*44/12</f>
        <v>0</v>
      </c>
      <c r="AA101" s="162">
        <f>EXP(-LN(2)/25)*AA100+(1-EXP(-LN(2)/25))/(LN(2)/25)*Calculateur!V101*Calculateur!X101*VLOOKUP('Données projet'!$B$9,'Paramètres'!$A$1:$I$88,3,0)*0.475*44/12</f>
        <v>0.6810997028</v>
      </c>
      <c r="AB101" s="162">
        <f>EXP(-LN(2)/2)*AB100+(1-EXP(-LN(2)/2))/(LN(2)/2)*V101*Y101*VLOOKUP('Données projet'!$B$9,'Paramètres'!$A$1:$I$88,3,0)*0.475*44/12</f>
        <v>0</v>
      </c>
      <c r="AC101" s="163">
        <f t="shared" si="4"/>
        <v>0.6810997028</v>
      </c>
      <c r="AD101" s="150">
        <f>('Scénario référence'!$F$8+'Scénario référence'!$F$9+'Scénario référence'!$B$17+'Scénario référence'!$B$9+'Scénario référence'!$B$10)*70+IF((45+25*(1-EXP(-0.0175*A101)))&lt;70,'Scénario référence'!$B$16*(45+25*(1-EXP(-0.0175*A101))),70*'Scénario référence'!$B$16)+IF((32+38*(1-EXP(-0.0175*A101)))&lt;70,'Scénario référence'!$B$18*(32+38*(1-EXP(-0.0175*A101))),70*'Scénario référence'!$B$18)</f>
        <v>70</v>
      </c>
      <c r="AE101" s="150">
        <f>IF(A101&gt;30,10,('Scénario référence'!$B$16+'Scénario référence'!$B$17+'Scénario référence'!$B$18+'Scénario référence'!$B$9+'Scénario référence'!$B$10)*A101*10/30+('Scénario référence'!$F$8+'Scénario référence'!$F$9)*10)</f>
        <v>10</v>
      </c>
      <c r="AF101" s="151" t="str">
        <f>VLOOKUP(A101,'Données projet'!$A$61:$I$81,2,0)</f>
        <v>#N/A</v>
      </c>
      <c r="AG101" s="151" t="str">
        <f>VLOOKUP(A101,'Données projet'!$A$61:$I$81,9,0)</f>
        <v>#N/A</v>
      </c>
      <c r="AH101" s="151" t="str">
        <f t="array" ref="AH101">INDEX(AG:AG,MIN(IF(ISNUMBER(AG101:AG297),ROW(AG101:AG297),"")))</f>
        <v/>
      </c>
      <c r="AI101" s="150">
        <f>IF('Données projet'!$A$62&gt;35,AI100+AH101-AQ100,IF(A101&lt;'Données projet'!$A$62,$AF$205^A101,IF(A101='Données projet'!$A$62,'Données projet'!$B$62,AI100+AH101-AQ100)))</f>
        <v>369</v>
      </c>
      <c r="AJ101" s="150">
        <f>AI101*VLOOKUP('Données projet'!$B$10,'Paramètres'!$A$1:$I$88,3,0)*VLOOKUP('Données projet'!$B$10,'Paramètres'!$A$1:$I$88,5,0)</f>
        <v>293.5764</v>
      </c>
      <c r="AK101" s="150">
        <f t="shared" si="36"/>
        <v>69.82813851</v>
      </c>
      <c r="AL101" s="161">
        <f t="shared" si="5"/>
        <v>632.9295712</v>
      </c>
      <c r="AM101" s="153">
        <f t="shared" si="6"/>
        <v>926.2629046</v>
      </c>
      <c r="AN101" s="153">
        <f>AVERAGE(OFFSET($AM$3,0,0,'Données projet'!$E$10+1,1))-AVERAGE(OFFSET($H$3,0,0,'Données projet'!$E$10+1,1))</f>
        <v>405.6113614</v>
      </c>
      <c r="AO101" s="153">
        <f t="shared" si="37"/>
        <v>393.0787141</v>
      </c>
      <c r="AP101" s="154">
        <f>IF(ISNA(VLOOKUP(A101,'Données projet'!$A$61:$I$81,3,0)),0,VLOOKUP(A101,'Données projet'!$A$61:$I$81,3,0))</f>
        <v>0</v>
      </c>
      <c r="AQ101" s="154">
        <f>IF(ISNA(VLOOKUP(A101,'Données projet'!$A$61:$I$81,4,0)),0,VLOOKUP(A101,'Données projet'!$A$61:$I$81,4,0))</f>
        <v>0</v>
      </c>
      <c r="AR101" s="155">
        <f>IF(ISNA(VLOOKUP(A101,'Données projet'!$A$61:$I$81,5,0)),0%,VLOOKUP(A101,'Données projet'!$A$61:$I$81,5,0)*VLOOKUP('Données projet'!$B$10,'Paramètres'!$A$1:$I$88,7,0))</f>
        <v>0</v>
      </c>
      <c r="AS101" s="155">
        <f>IF(ISNA(VLOOKUP(A101,'Données projet'!$A$61:$I$81,6,0)),0%,VLOOKUP(A101,'Données projet'!$A$61:$I$81,6,0)*VLOOKUP('Données projet'!$B$10,'Paramètres'!$A$1:$I$88,7,0))</f>
        <v>0</v>
      </c>
      <c r="AT101" s="155">
        <f>IF(ISNA(VLOOKUP(A101,'Données projet'!$A$61:$I$81,7,0)),0%,VLOOKUP(A101,'Données projet'!$A$61:$I$81,7,0))</f>
        <v>0</v>
      </c>
      <c r="AU101" s="162">
        <f>EXP(-LN(2)/35)*AU100+(1-EXP(-LN(2)/35))/(LN(2)/35)*AQ101*AR101*VLOOKUP('Données projet'!$B$10,'Paramètres'!$A$1:$I$88,3,0)*0.475*44/12</f>
        <v>0</v>
      </c>
      <c r="AV101" s="162">
        <f>EXP(-LN(2)/25)*AV100+(1-EXP(-LN(2)/25))/(LN(2)/25)*Calculateur!AQ101*Calculateur!AS101*VLOOKUP('Données projet'!$B$10,'Paramètres'!$A$1:$I$88,3,0)*0.475*44/12</f>
        <v>2.768162334</v>
      </c>
      <c r="AW101" s="162">
        <f>EXP(-LN(2)/2)*AW100+(1-EXP(-LN(2)/2))/(LN(2)/2)*AQ101*AT101*VLOOKUP('Données projet'!$B$10,'Paramètres'!$A$1:$I$88,3,0)*0.475*44/12</f>
        <v>0</v>
      </c>
      <c r="AX101" s="162">
        <f t="shared" si="7"/>
        <v>2.768162334</v>
      </c>
      <c r="AY101" s="157">
        <f>('Scénario référence'!$F$8+'Scénario référence'!$F$9+'Scénario référence'!$B$17+'Scénario référence'!$B$9+'Scénario référence'!$B$10)*70+IF((45+25*(1-EXP(-0.0175*A101)))&lt;70,'Scénario référence'!$B$16*(45+25*(1-EXP(-0.0175*A101))),70*'Scénario référence'!$B$16)+IF((32+38*(1-EXP(-0.0175*A101)))&lt;70,'Scénario référence'!$B$18*(32+38*(1-EXP(-0.0175*A101))),70*'Scénario référence'!$B$18)</f>
        <v>70</v>
      </c>
      <c r="AZ101" s="151">
        <f>IF(A101&gt;30,10,('Scénario référence'!$B$16+'Scénario référence'!$B$17+'Scénario référence'!$B$18+'Scénario référence'!$B$9+'Scénario référence'!$B$10)*A101*10/30+('Scénario référence'!$F$8+'Scénario référence'!$F$9)*10)</f>
        <v>10</v>
      </c>
      <c r="BA101" s="151" t="str">
        <f>VLOOKUP(A101,'Données projet'!$A$87:$I$107,2,0)</f>
        <v>#N/A</v>
      </c>
      <c r="BB101" s="151" t="str">
        <f>VLOOKUP(A101,'Données projet'!$A$87:$I$107,9,0)</f>
        <v>#N/A</v>
      </c>
      <c r="BC101" s="151" t="str">
        <f t="array" ref="BC101">INDEX(BB:BB,MIN(IF(ISNUMBER(BB101:BB297),ROW(BB101:BB297),"")))</f>
        <v/>
      </c>
      <c r="BD101" s="150">
        <f>IF('Données projet'!$A$88&gt;35,BD100+BC101-BL100,IF(A101&lt;'Données projet'!$A$88,$BA$205^A101,IF(A101='Données projet'!$A$88,'Données projet'!$B$88,BD100+BC101-BL100)))</f>
        <v>0</v>
      </c>
      <c r="BE101" s="150">
        <f>BD101*VLOOKUP('Données projet'!$B$11,'Paramètres'!$A$1:$I$88,3,0)*VLOOKUP('Données projet'!$B$11,'Paramètres'!$A$1:$I$88,5,0)</f>
        <v>0</v>
      </c>
      <c r="BF101" s="150" t="str">
        <f t="shared" si="38"/>
        <v>#NUM!</v>
      </c>
      <c r="BG101" s="161" t="str">
        <f t="shared" si="8"/>
        <v>#NUM!</v>
      </c>
      <c r="BH101" s="153" t="str">
        <f t="shared" si="9"/>
        <v>#NUM!</v>
      </c>
      <c r="BI101" s="153">
        <f>AVERAGE(OFFSET($BH$3,0,0,'Données projet'!$E$11+1,1))-AVERAGE(OFFSET($H$3,0,0,'Données projet'!$E$11+1,1))</f>
        <v>0</v>
      </c>
      <c r="BJ101" s="153">
        <f t="shared" si="39"/>
        <v>0</v>
      </c>
      <c r="BK101" s="154">
        <f>IF(ISNA(VLOOKUP(A101,'Données projet'!$A$87:$I$107,3,0)),0,VLOOKUP(A101,'Données projet'!$A$87:$I$107,3,0))</f>
        <v>0</v>
      </c>
      <c r="BL101" s="154">
        <f>IF(ISNA(VLOOKUP(A101,'Données projet'!$A$87:$I$107,4,0)),0,VLOOKUP(A101,'Données projet'!$A$87:$I$107,4,0))</f>
        <v>0</v>
      </c>
      <c r="BM101" s="155">
        <f>IF(ISNA(VLOOKUP(A101,'Données projet'!$A$87:$I$107,5,0)),0%,VLOOKUP(A101,'Données projet'!$A$87:$I$107,5,0)*VLOOKUP('Données projet'!$B$11,'Paramètres'!$A$1:$I$88,7,0))</f>
        <v>0</v>
      </c>
      <c r="BN101" s="155">
        <f>IF(ISNA(VLOOKUP(A101,'Données projet'!$A$87:$I$107,6,0)),0%,VLOOKUP(A101,'Données projet'!$A$87:$I$107,6,0)*VLOOKUP('Données projet'!$B$11,'Paramètres'!$A$1:$I$88,7,0))</f>
        <v>0</v>
      </c>
      <c r="BO101" s="155">
        <f>IF(ISNA(VLOOKUP(A101,'Données projet'!$A$87:$I$107,7,0)),0%,VLOOKUP(A101,'Données projet'!$A$87:$I$107,7,0))</f>
        <v>0</v>
      </c>
      <c r="BP101" s="162">
        <f>EXP(-LN(2)/35)*BP100+(1-EXP(-LN(2)/35))/(LN(2)/35)*BL101*BM101*VLOOKUP('Données projet'!$B$11,'Paramètres'!$A$1:$I$88,3,0)*0.475*44/12</f>
        <v>0</v>
      </c>
      <c r="BQ101" s="162">
        <f>EXP(-LN(2)/25)*BQ100+(1-EXP(-LN(2)/25))/(LN(2)/25)*Calculateur!BL101*Calculateur!BN101*VLOOKUP('Données projet'!$B$11,'Paramètres'!$A$1:$I$88,3,0)*0.475*44/12</f>
        <v>0</v>
      </c>
      <c r="BR101" s="162">
        <f>EXP(-LN(2)/2)*BR100+(1-EXP(-LN(2)/2))/(LN(2)/2)*BL101*BO101*VLOOKUP('Données projet'!$B$11,'Paramètres'!$A$1:$I$88,3,0)*0.475*44/12</f>
        <v>0</v>
      </c>
      <c r="BS101" s="163">
        <f t="shared" si="10"/>
        <v>0</v>
      </c>
      <c r="BT101" s="159">
        <f>('Scénario référence'!$F$8+'Scénario référence'!$F$9+'Scénario référence'!$B$17+'Scénario référence'!$B$9+'Scénario référence'!$B$10)*70+IF((45+25*(1-EXP(-0.0175*A101)))&lt;70,'Scénario référence'!$B$16*(45+25*(1-EXP(-0.0175*A101))),70*'Scénario référence'!$B$16)+IF((32+38*(1-EXP(-0.0175*A101)))&lt;70,'Scénario référence'!$B$18*(32+38*(1-EXP(-0.0175*A101))),70*'Scénario référence'!$B$18)</f>
        <v>70</v>
      </c>
      <c r="BU101" s="151">
        <f>IF(A101&gt;30,10,('Scénario référence'!$B$16+'Scénario référence'!$B$17+'Scénario référence'!$B$18+'Scénario référence'!$B$9+'Scénario référence'!$B$10)*A101*10/30+('Scénario référence'!$F$8+'Scénario référence'!$F$9)*10)</f>
        <v>10</v>
      </c>
      <c r="BV101" s="151" t="str">
        <f>VLOOKUP(A101,'Données projet'!$A$113:$I$133,2,0)</f>
        <v>#N/A</v>
      </c>
      <c r="BW101" s="151" t="str">
        <f>VLOOKUP(A101,'Données projet'!$A$113:$I$133,9,0)</f>
        <v>#N/A</v>
      </c>
      <c r="BX101" s="150" t="str">
        <f t="array" ref="BX101">INDEX(BW:BW,MIN(IF(ISNUMBER(BW101:BW297),ROW(BW101:BW297),"")))</f>
        <v/>
      </c>
      <c r="BY101" s="150">
        <f>IF('Données projet'!$A$114&gt;35,BY100+BX101-CG100,IF(A101&lt;'Données projet'!$A$114,$BV$205^A101,IF(A101='Données projet'!$A$114,'Données projet'!$B$114,BY100+BX101-CG100)))</f>
        <v>0</v>
      </c>
      <c r="BZ101" s="150" t="str">
        <f>BY101*VLOOKUP('Données projet'!$B$12,'Paramètres'!$A$1:$I$88,3,0)*VLOOKUP('Données projet'!$B$12,'Paramètres'!$A$1:$I$88,5,0)</f>
        <v>#N/A</v>
      </c>
      <c r="CA101" s="150" t="str">
        <f t="shared" si="40"/>
        <v>#N/A</v>
      </c>
      <c r="CB101" s="161" t="str">
        <f t="shared" si="11"/>
        <v>#N/A</v>
      </c>
      <c r="CC101" s="153" t="str">
        <f t="shared" si="12"/>
        <v>#N/A</v>
      </c>
      <c r="CD101" s="153" t="str">
        <f>AVERAGE(OFFSET($CC$3,0,0,'Données projet'!$E$12+1,1))-AVERAGE(OFFSET($H$3,0,0,'Données projet'!$E$12+1,1))</f>
        <v>#N/A</v>
      </c>
      <c r="CE101" s="153" t="str">
        <f t="shared" si="41"/>
        <v>#N/A</v>
      </c>
      <c r="CF101" s="154">
        <f>IF(ISNA(VLOOKUP(A101,'Données projet'!$A$113:$I$133,3,0)),0,VLOOKUP(A101,'Données projet'!$A$113:$I$133,3,0))</f>
        <v>0</v>
      </c>
      <c r="CG101" s="154">
        <f>IF(ISNA(VLOOKUP(A101,'Données projet'!$A$113:$I$133,4,0)),0,VLOOKUP(A101,'Données projet'!$A$113:$I$133,4,0))</f>
        <v>0</v>
      </c>
      <c r="CH101" s="155">
        <f>IF(ISNA(VLOOKUP(A101,'Données projet'!$A$113:$I$133,5,0)),0%,VLOOKUP(A101,'Données projet'!$A$113:$I$133,5,0)*VLOOKUP('Données projet'!$B$12,'Paramètres'!$A$1:$I$88,7,0))</f>
        <v>0</v>
      </c>
      <c r="CI101" s="155">
        <f>IF(ISNA(VLOOKUP(A101,'Données projet'!$A$113:$I$133,6,0)),0%,VLOOKUP(A101,'Données projet'!$A$113:$I$133,6,0)*VLOOKUP('Données projet'!$B$12,'Paramètres'!$A$1:$I$88,7,0))</f>
        <v>0</v>
      </c>
      <c r="CJ101" s="155">
        <f>IF(ISNA(VLOOKUP(A101,'Données projet'!$A$113:$I$133,7,0)),0%,VLOOKUP(A101,'Données projet'!$A$113:$I$133,7,0))</f>
        <v>0</v>
      </c>
      <c r="CK101" s="162" t="str">
        <f>EXP(-LN(2)/35)*CK100+(1-EXP(-LN(2)/35))/(LN(2)/35)*CG101*CH101*VLOOKUP('Données projet'!$B$12,'Paramètres'!$A$1:$I$88,3,0)*0.475*44/12</f>
        <v>#N/A</v>
      </c>
      <c r="CL101" s="162" t="str">
        <f>EXP(-LN(2)/25)*CL100+(1-EXP(-LN(2)/25))/(LN(2)/25)*Calculateur!CG101*Calculateur!CI101*VLOOKUP('Données projet'!$B$12,'Paramètres'!$A$1:$I$88,3,0)*0.475*44/12</f>
        <v>#N/A</v>
      </c>
      <c r="CM101" s="162" t="str">
        <f>EXP(-LN(2)/2)*CM100+(1-EXP(-LN(2)/2))/(LN(2)/2)*CG101*CJ101*VLOOKUP('Données projet'!$B$12,'Paramètres'!$A$1:$I$88,3,0)*0.475*44/12</f>
        <v>#N/A</v>
      </c>
      <c r="CN101" s="163" t="str">
        <f t="shared" si="13"/>
        <v>#N/A</v>
      </c>
      <c r="CO101" s="159">
        <f>('Scénario référence'!$F$8+'Scénario référence'!$F$9+'Scénario référence'!$B$17+'Scénario référence'!$B$9+'Scénario référence'!$B$10)*70+IF((45+25*(1-EXP(-0.0175*A101)))&lt;70,'Scénario référence'!$B$16*(45+25*(1-EXP(-0.0175*A101))),70*'Scénario référence'!$B$16)+IF((32+38*(1-EXP(-0.0175*A101)))&lt;70,'Scénario référence'!$B$18*(32+38*(1-EXP(-0.0175*A101))),70*'Scénario référence'!$B$18)</f>
        <v>70</v>
      </c>
      <c r="CP101" s="151">
        <f>IF(A101&gt;30,10,('Scénario référence'!$B$16+'Scénario référence'!$B$17+'Scénario référence'!$B$18+'Scénario référence'!$B$9+'Scénario référence'!$B$10)*A101*10/30+('Scénario référence'!$F$8+'Scénario référence'!$F$9)*10)</f>
        <v>10</v>
      </c>
      <c r="CQ101" s="151" t="str">
        <f>VLOOKUP(A101,'Données projet'!$A$139:$I$159,2,0)</f>
        <v>#N/A</v>
      </c>
      <c r="CR101" s="151" t="str">
        <f>VLOOKUP(A101,'Données projet'!$A$139:$I$159,9,0)</f>
        <v>#N/A</v>
      </c>
      <c r="CS101" s="151" t="str">
        <f t="array" ref="CS101">INDEX(CR:CR,MIN(IF(ISNUMBER(CR101:CR297),ROW(CR101:CR297),"")))</f>
        <v/>
      </c>
      <c r="CT101" s="151">
        <f>IF('Données projet'!$A$140&gt;35,CT100+CS101-DB100,IF(A101&lt;'Données projet'!$A$140,$CQ$205^A101,IF(A101='Données projet'!$A$140,'Données projet'!$B$140,CT100+CS101-DB100)))</f>
        <v>0</v>
      </c>
      <c r="CU101" s="158" t="str">
        <f>CT101*VLOOKUP('Données projet'!$B$13,'Paramètres'!$A$1:$I$88,3,0)*VLOOKUP('Données projet'!$B$13,'Paramètres'!$A$1:$I$88,5,0)</f>
        <v>#N/A</v>
      </c>
      <c r="CV101" s="150" t="str">
        <f t="shared" si="42"/>
        <v>#N/A</v>
      </c>
      <c r="CW101" s="161" t="str">
        <f t="shared" si="14"/>
        <v>#N/A</v>
      </c>
      <c r="CX101" s="153" t="str">
        <f t="shared" si="15"/>
        <v>#N/A</v>
      </c>
      <c r="CY101" s="153" t="str">
        <f>AVERAGE(OFFSET($CX$3,0,0,'Données projet'!$E$13+1,1))-AVERAGE(OFFSET($H$3,0,0,'Données projet'!$E$13+1,1))</f>
        <v>#N/A</v>
      </c>
      <c r="CZ101" s="153" t="str">
        <f t="shared" si="43"/>
        <v>#N/A</v>
      </c>
      <c r="DA101" s="154">
        <f>IF(ISNA(VLOOKUP(A101,'Données projet'!$A$139:$I$159,3,0)),0,VLOOKUP(A101,'Données projet'!$A$139:$I$159,3,0))</f>
        <v>0</v>
      </c>
      <c r="DB101" s="154">
        <f>IF(ISNA(VLOOKUP(A101,'Données projet'!$A$139:$I$159,4,0)),0,VLOOKUP(A101,'Données projet'!$A$139:$I$159,4,0))</f>
        <v>0</v>
      </c>
      <c r="DC101" s="155">
        <f>IF(ISNA(VLOOKUP(A101,'Données projet'!$A$139:$I$159,5,0)),0%,VLOOKUP(A101,'Données projet'!$A$139:$I$159,5,0)*VLOOKUP('Données projet'!$B$13,'Paramètres'!$A$1:$I$88,7,0))</f>
        <v>0</v>
      </c>
      <c r="DD101" s="155">
        <f>IF(ISNA(VLOOKUP(A101,'Données projet'!$A$139:$I$159,6,0)),0%,VLOOKUP(A101,'Données projet'!$A$139:$I$159,6,0)*VLOOKUP('Données projet'!$B$13,'Paramètres'!$A$1:$I$88,7,0))</f>
        <v>0</v>
      </c>
      <c r="DE101" s="155">
        <f>IF(ISNA(VLOOKUP(A101,'Données projet'!$A$139:$I$159,7,0)),0%,VLOOKUP(A101,'Données projet'!$A$139:$I$159,7,0))</f>
        <v>0</v>
      </c>
      <c r="DF101" s="162" t="str">
        <f>EXP(-LN(2)/35)*DF100+(1-EXP(-LN(2)/35))/(LN(2)/35)*DB101*DC101*VLOOKUP('Données projet'!$B$13,'Paramètres'!$A$1:$I$88,3,0)*0.475*44/12</f>
        <v>#N/A</v>
      </c>
      <c r="DG101" s="162" t="str">
        <f>EXP(-LN(2)/25)*DG100+(1-EXP(-LN(2)/25))/(LN(2)/25)*Calculateur!DB101*Calculateur!DD101*VLOOKUP('Données projet'!$B$13,'Paramètres'!$A$1:$I$88,3,0)*0.475*44/12</f>
        <v>#N/A</v>
      </c>
      <c r="DH101" s="162" t="str">
        <f>EXP(-LN(2)/2)*DH100+(1-EXP(-LN(2)/2))/(LN(2)/2)*DB101*DE101*VLOOKUP('Données projet'!$B$13,'Paramètres'!$A$1:$I$88,3,0)*0.475*44/12</f>
        <v>#N/A</v>
      </c>
      <c r="DI101" s="163" t="str">
        <f t="shared" si="16"/>
        <v>#N/A</v>
      </c>
      <c r="DJ101" s="159">
        <f>('Scénario référence'!$F$8+'Scénario référence'!$F$9+'Scénario référence'!$B$17+'Scénario référence'!$B$9+'Scénario référence'!$B$10)*70+IF((45+25*(1-EXP(-0.0175*A101)))&lt;70,'Scénario référence'!$B$16*(45+25*(1-EXP(-0.0175*A101))),70*'Scénario référence'!$B$16)+IF((32+38*(1-EXP(-0.0175*A101)))&lt;70,'Scénario référence'!$B$18*(32+38*(1-EXP(-0.0175*A101))),70*'Scénario référence'!$B$18)</f>
        <v>70</v>
      </c>
      <c r="DK101" s="151">
        <f>IF(A101&gt;30,10,('Scénario référence'!$B$16+'Scénario référence'!$B$17+'Scénario référence'!$B$18+'Scénario référence'!$B$9+'Scénario référence'!$B$10)*A101*10/30+('Scénario référence'!$F$8+'Scénario référence'!$F$9)*10)</f>
        <v>10</v>
      </c>
      <c r="DL101" s="151" t="str">
        <f>VLOOKUP(A101,'Données projet'!$A$165:$I$185,2,0)</f>
        <v>#N/A</v>
      </c>
      <c r="DM101" s="151" t="str">
        <f>VLOOKUP(A101,'Données projet'!$A$165:$I$185,9,0)</f>
        <v>#N/A</v>
      </c>
      <c r="DN101" s="151" t="str">
        <f t="array" ref="DN101">INDEX(DM:DM,MIN(IF(ISNUMBER(DM101:DM297),ROW(DM101:DM297),"")))</f>
        <v/>
      </c>
      <c r="DO101" s="151">
        <f>IF('Données projet'!$A$166&gt;35,DO100+DN101-DW100,IF(A101&lt;'Données projet'!$A$166,$DL$205^A101,IF(A101='Données projet'!$A$166,'Données projet'!$B$166,DO100+DN101-DW100)))</f>
        <v>0</v>
      </c>
      <c r="DP101" s="158" t="str">
        <f>DO101*VLOOKUP('Données projet'!$B$14,'Paramètres'!$A$1:$I$88,3,0)*VLOOKUP('Données projet'!$B$14,'Paramètres'!$A$1:$I$88,5,0)</f>
        <v>#N/A</v>
      </c>
      <c r="DQ101" s="150" t="str">
        <f t="shared" si="44"/>
        <v>#N/A</v>
      </c>
      <c r="DR101" s="161" t="str">
        <f t="shared" si="17"/>
        <v>#N/A</v>
      </c>
      <c r="DS101" s="153" t="str">
        <f t="shared" si="18"/>
        <v>#N/A</v>
      </c>
      <c r="DT101" s="153" t="str">
        <f>AVERAGE(OFFSET($DS$3,0,0,'Données projet'!$E$14+1,1))-AVERAGE(OFFSET($H$3,0,0,'Données projet'!$E$14+1,1))</f>
        <v>#N/A</v>
      </c>
      <c r="DU101" s="153" t="str">
        <f t="shared" si="45"/>
        <v>#N/A</v>
      </c>
      <c r="DV101" s="154">
        <f>IF(ISNA(VLOOKUP(A101,'Données projet'!$A$165:$I$185,3,0)),0,VLOOKUP(A101,'Données projet'!$A$165:$I$185,3,0))</f>
        <v>0</v>
      </c>
      <c r="DW101" s="154">
        <f>IF(ISNA(VLOOKUP(A101,'Données projet'!$A$165:$I$185,4,0)),0,VLOOKUP(A101,'Données projet'!$A$165:$I$185,4,0))</f>
        <v>0</v>
      </c>
      <c r="DX101" s="155">
        <f>IF(ISNA(VLOOKUP(A101,'Données projet'!$A$165:$I$185,5,0)),0%,VLOOKUP(A101,'Données projet'!$A$165:$I$185,5,0)*VLOOKUP('Données projet'!$B$14,'Paramètres'!$A$1:$I$88,7,0))</f>
        <v>0</v>
      </c>
      <c r="DY101" s="155">
        <f>IF(ISNA(VLOOKUP(A101,'Données projet'!$A$165:$I$185,6,0)),0%,VLOOKUP(A101,'Données projet'!$A$165:$I$185,6,0)*VLOOKUP('Données projet'!$B$14,'Paramètres'!$A$1:$I$88,7,0))</f>
        <v>0</v>
      </c>
      <c r="DZ101" s="155">
        <f>IF(ISNA(VLOOKUP(A101,'Données projet'!$A$165:$I$185,7,0)),0%,VLOOKUP(A101,'Données projet'!$A$165:$I$185,7,0))</f>
        <v>0</v>
      </c>
      <c r="EA101" s="162" t="str">
        <f>EXP(-LN(2)/35)*EA100+(1-EXP(-LN(2)/35))/(LN(2)/35)*DW101*DX101*VLOOKUP('Données projet'!$B$14,'Paramètres'!$A$1:$I$88,3,0)*0.475*44/12</f>
        <v>#N/A</v>
      </c>
      <c r="EB101" s="162" t="str">
        <f>EXP(-LN(2)/25)*EB100+(1-EXP(-LN(2)/25))/(LN(2)/25)*Calculateur!DW101*Calculateur!DY101*VLOOKUP('Données projet'!$B$14,'Paramètres'!$A$1:$I$88,3,0)*0.475*44/12</f>
        <v>#N/A</v>
      </c>
      <c r="EC101" s="162" t="str">
        <f>EXP(-LN(2)/2)*EC100+(1-EXP(-LN(2)/2))/(LN(2)/2)*DW101*DZ101*VLOOKUP('Données projet'!$B$14,'Paramètres'!$A$1:$I$88,3,0)*0.475*44/12</f>
        <v>#N/A</v>
      </c>
      <c r="ED101" s="163" t="str">
        <f t="shared" si="19"/>
        <v>#N/A</v>
      </c>
      <c r="EE101" s="159">
        <f>('Scénario référence'!$F$8+'Scénario référence'!$F$9+'Scénario référence'!$B$17+'Scénario référence'!$B$9+'Scénario référence'!$B$10)*70+IF((45+25*(1-EXP(-0.0175*A101)))&lt;70,'Scénario référence'!$B$16*(45+25*(1-EXP(-0.0175*A101))),70*'Scénario référence'!$B$16)+IF((32+38*(1-EXP(-0.0175*A101)))&lt;70,'Scénario référence'!$B$18*(32+38*(1-EXP(-0.0175*A101))),70*'Scénario référence'!$B$18)</f>
        <v>70</v>
      </c>
      <c r="EF101" s="151">
        <f>IF(A101&gt;30,10,('Scénario référence'!$B$16+'Scénario référence'!$B$17+'Scénario référence'!$B$18+'Scénario référence'!$B$9+'Scénario référence'!$B$10)*A101*10/30+('Scénario référence'!$F$8+'Scénario référence'!$F$9)*10)</f>
        <v>10</v>
      </c>
      <c r="EG101" s="151" t="str">
        <f>VLOOKUP(A101,'Données projet'!$A$191:$I$211,2,0)</f>
        <v>#N/A</v>
      </c>
      <c r="EH101" s="151" t="str">
        <f>VLOOKUP(A101,'Données projet'!$A$191:$I$211,9,0)</f>
        <v>#N/A</v>
      </c>
      <c r="EI101" s="151" t="str">
        <f t="array" ref="EI101">INDEX(EH:EH,MIN(IF(ISNUMBER(EH101:EH297),ROW(EH101:EH297),"")))</f>
        <v/>
      </c>
      <c r="EJ101" s="151">
        <f>IF('Données projet'!$A$192&gt;35,EJ100+EI101-ER100,IF(A101&lt;'Données projet'!$A$192,$EG$205^A101,IF(A101='Données projet'!$A$192,'Données projet'!$B$192,EJ100+EI101-ER100)))</f>
        <v>0</v>
      </c>
      <c r="EK101" s="158" t="str">
        <f>EJ101*VLOOKUP('Données projet'!$B$15,'Paramètres'!$A$1:$I$88,3,0)*VLOOKUP('Données projet'!$B$15,'Paramètres'!$A$1:$I$88,5,0)</f>
        <v>#N/A</v>
      </c>
      <c r="EL101" s="150" t="str">
        <f t="shared" si="46"/>
        <v>#N/A</v>
      </c>
      <c r="EM101" s="161" t="str">
        <f t="shared" si="20"/>
        <v>#N/A</v>
      </c>
      <c r="EN101" s="153" t="str">
        <f t="shared" si="21"/>
        <v>#N/A</v>
      </c>
      <c r="EO101" s="153" t="str">
        <f>AVERAGE(OFFSET($EN$3,0,0,'Données projet'!$E$15+1,1))-AVERAGE(OFFSET($H$3,0,0,'Données projet'!$E$15+1,1))</f>
        <v>#N/A</v>
      </c>
      <c r="EP101" s="153" t="str">
        <f t="shared" si="47"/>
        <v>#N/A</v>
      </c>
      <c r="EQ101" s="154">
        <f>IF(ISNA(VLOOKUP(A101,'Données projet'!$A$191:$I$211,3,0)),0,VLOOKUP(A101,'Données projet'!$A$191:$I$211,3,0))</f>
        <v>0</v>
      </c>
      <c r="ER101" s="154">
        <f>IF(ISNA(VLOOKUP(A101,'Données projet'!$A$191:$I$211,4,0)),0,VLOOKUP(A101,'Données projet'!$A$191:$I$211,4,0))</f>
        <v>0</v>
      </c>
      <c r="ES101" s="155">
        <f>IF(ISNA(VLOOKUP(A101,'Données projet'!$A$191:$I$211,5,0)),0%,VLOOKUP(A101,'Données projet'!$A$191:$I$211,5,0)*VLOOKUP('Données projet'!$B$15,'Paramètres'!$A$1:$I$88,7,0))</f>
        <v>0</v>
      </c>
      <c r="ET101" s="155">
        <f>IF(ISNA(VLOOKUP(A101,'Données projet'!$A$191:$I$211,6,0)),0%,VLOOKUP(A101,'Données projet'!$A$191:$I$211,6,0)*VLOOKUP('Données projet'!$B$15,'Paramètres'!$A$1:$I$88,7,0))</f>
        <v>0</v>
      </c>
      <c r="EU101" s="155">
        <f>IF(ISNA(VLOOKUP(A101,'Données projet'!$A$191:$I$211,7,0)),0%,VLOOKUP(A101,'Données projet'!$A$191:$I$211,7,0))</f>
        <v>0</v>
      </c>
      <c r="EV101" s="162" t="str">
        <f>EXP(-LN(2)/35)*EV100+(1-EXP(-LN(2)/35))/(LN(2)/35)*ER101*ES101*VLOOKUP('Données projet'!$B$15,'Paramètres'!$A$1:$I$88,3,0)*0.475*44/12</f>
        <v>#N/A</v>
      </c>
      <c r="EW101" s="162" t="str">
        <f>EXP(-LN(2)/25)*EW100+(1-EXP(-LN(2)/25))/(LN(2)/25)*Calculateur!ER101*Calculateur!ET101*VLOOKUP('Données projet'!$B$15,'Paramètres'!$A$1:$I$88,3,0)*0.475*44/12</f>
        <v>#N/A</v>
      </c>
      <c r="EX101" s="162" t="str">
        <f>EXP(-LN(2)/2)*EX100+(1-EXP(-LN(2)/2))/(LN(2)/2)*ER101*EU101*VLOOKUP('Données projet'!$B$15,'Paramètres'!$A$1:$I$88,3,0)*0.475*44/12</f>
        <v>#N/A</v>
      </c>
      <c r="EY101" s="163" t="str">
        <f t="shared" si="22"/>
        <v>#N/A</v>
      </c>
      <c r="EZ101" s="159">
        <f>('Scénario référence'!$F$8+'Scénario référence'!$F$9+'Scénario référence'!$B$17+'Scénario référence'!$B$9+'Scénario référence'!$B$10)*70+IF((45+25*(1-EXP(-0.0175*A101)))&lt;70,'Scénario référence'!$B$16*(45+25*(1-EXP(-0.0175*A101))),70*'Scénario référence'!$B$16)+IF((32+38*(1-EXP(-0.0175*A101)))&lt;70,'Scénario référence'!$B$18*(32+38*(1-EXP(-0.0175*A101))),70*'Scénario référence'!$B$18)</f>
        <v>70</v>
      </c>
      <c r="FA101" s="151">
        <f>IF(A101&gt;30,10,('Scénario référence'!$B$16+'Scénario référence'!$B$17+'Scénario référence'!$B$18+'Scénario référence'!$B$9+'Scénario référence'!$B$10)*A101*10/30+('Scénario référence'!$F$8+'Scénario référence'!$F$9)*10)</f>
        <v>10</v>
      </c>
      <c r="FB101" s="151" t="str">
        <f>VLOOKUP(A101,'Données projet'!$A$217:$I$237,2,0)</f>
        <v>#N/A</v>
      </c>
      <c r="FC101" s="151" t="str">
        <f>VLOOKUP(A101,'Données projet'!$A$217:$I$237,9,0)</f>
        <v>#N/A</v>
      </c>
      <c r="FD101" s="151" t="str">
        <f t="array" ref="FD101">INDEX(FC:FC,MIN(IF(ISNUMBER(FC101:FC297),ROW(FC101:FC297),"")))</f>
        <v/>
      </c>
      <c r="FE101" s="151">
        <f>IF('Données projet'!$A$218&gt;35,FE100+FD101-FM100,IF(A101&lt;'Données projet'!$A$218,$FB$205^A101,IF(A101='Données projet'!$A$218,'Données projet'!$B$218,FE100+FD101-FM100)))</f>
        <v>0</v>
      </c>
      <c r="FF101" s="158" t="str">
        <f>FE101*VLOOKUP('Données projet'!$B$16,'Paramètres'!$A$1:$I$88,3,0)*VLOOKUP('Données projet'!$B$16,'Paramètres'!$A$1:$I$88,5,0)</f>
        <v>#N/A</v>
      </c>
      <c r="FG101" s="150" t="str">
        <f t="shared" si="48"/>
        <v>#N/A</v>
      </c>
      <c r="FH101" s="161" t="str">
        <f t="shared" si="23"/>
        <v>#N/A</v>
      </c>
      <c r="FI101" s="153" t="str">
        <f t="shared" si="24"/>
        <v>#N/A</v>
      </c>
      <c r="FJ101" s="153" t="str">
        <f>AVERAGE(OFFSET($FI$3,0,0,'Données projet'!$E$16+1,1))-AVERAGE(OFFSET($H$3,0,0,'Données projet'!$E$16+1,1))</f>
        <v>#N/A</v>
      </c>
      <c r="FK101" s="153" t="str">
        <f t="shared" si="49"/>
        <v>#N/A</v>
      </c>
      <c r="FL101" s="154">
        <f>IF(ISNA(VLOOKUP(A101,'Données projet'!$A$217:$I$237,3,0)),0,VLOOKUP(A101,'Données projet'!$A$217:$I$237,3,0))</f>
        <v>0</v>
      </c>
      <c r="FM101" s="154">
        <f>IF(ISNA(VLOOKUP(A101,'Données projet'!$A$217:$I$237,4,0)),0,VLOOKUP(A101,'Données projet'!$A$217:$I$237,4,0))</f>
        <v>0</v>
      </c>
      <c r="FN101" s="155">
        <f>IF(ISNA(VLOOKUP(A101,'Données projet'!$A$217:$I$237,5,0)),0%,VLOOKUP(A101,'Données projet'!$A$217:$I$237,5,0)*VLOOKUP('Données projet'!$B$16,'Paramètres'!$A$1:$I$88,7,0))</f>
        <v>0</v>
      </c>
      <c r="FO101" s="155">
        <f>IF(ISNA(VLOOKUP(A101,'Données projet'!$A$217:$I$237,6,0)),0%,VLOOKUP(A101,'Données projet'!$A$217:$I$237,6,0)*VLOOKUP('Données projet'!$B$16,'Paramètres'!$A$1:$I$88,7,0))</f>
        <v>0</v>
      </c>
      <c r="FP101" s="155">
        <f>IF(ISNA(VLOOKUP(A101,'Données projet'!$A$217:$I$237,7,0)),0%,VLOOKUP(A101,'Données projet'!$A$217:$I$237,7,0))</f>
        <v>0</v>
      </c>
      <c r="FQ101" s="162" t="str">
        <f>EXP(-LN(2)/35)*FQ100+(1-EXP(-LN(2)/35))/(LN(2)/35)*FM101*FN101*VLOOKUP('Données projet'!$B$16,'Paramètres'!$A$1:$I$88,3,0)*0.475*44/12</f>
        <v>#N/A</v>
      </c>
      <c r="FR101" s="162" t="str">
        <f>EXP(-LN(2)/25)*FR100+(1-EXP(-LN(2)/25))/(LN(2)/25)*Calculateur!FM101*Calculateur!FO101*VLOOKUP('Données projet'!$B$16,'Paramètres'!$A$1:$I$88,3,0)*0.475*44/12</f>
        <v>#N/A</v>
      </c>
      <c r="FS101" s="162" t="str">
        <f>EXP(-LN(2)/2)*FS100+(1-EXP(-LN(2)/2))/(LN(2)/2)*FM101*FP101*VLOOKUP('Données projet'!$B$16,'Paramètres'!$A$1:$I$88,3,0)*0.475*44/12</f>
        <v>#N/A</v>
      </c>
      <c r="FT101" s="163" t="str">
        <f t="shared" si="25"/>
        <v>#N/A</v>
      </c>
      <c r="FU101" s="159">
        <f>('Scénario référence'!$F$8+'Scénario référence'!$F$9+'Scénario référence'!$B$17+'Scénario référence'!$B$9+'Scénario référence'!$B$10)*70+IF((45+25*(1-EXP(-0.0175*A101)))&lt;70,'Scénario référence'!$B$16*(45+25*(1-EXP(-0.0175*A101))),70*'Scénario référence'!$B$16)+IF((32+38*(1-EXP(-0.0175*A101)))&lt;70,'Scénario référence'!$B$18*(32+38*(1-EXP(-0.0175*A101))),70*'Scénario référence'!$B$18)</f>
        <v>70</v>
      </c>
      <c r="FV101" s="151">
        <f>IF(A101&gt;30,10,('Scénario référence'!$B$16+'Scénario référence'!$B$17+'Scénario référence'!$B$18+'Scénario référence'!$B$9+'Scénario référence'!$B$10)*A101*10/30+('Scénario référence'!$F$8+'Scénario référence'!$F$9)*10)</f>
        <v>10</v>
      </c>
      <c r="FW101" s="151" t="str">
        <f>VLOOKUP(A101,'Données projet'!$A$243:$I$263,2,0)</f>
        <v>#N/A</v>
      </c>
      <c r="FX101" s="151" t="str">
        <f>VLOOKUP(A101,'Données projet'!$A$243:$I$263,9,0)</f>
        <v>#N/A</v>
      </c>
      <c r="FY101" s="151" t="str">
        <f t="array" ref="FY101">INDEX(FX:FX,MIN(IF(ISNUMBER(FX101:FX297),ROW(FX101:FX297),"")))</f>
        <v/>
      </c>
      <c r="FZ101" s="151">
        <f>IF('Données projet'!$A$244&gt;35,FZ100+FY101-GH100,IF(A101&lt;'Données projet'!$A$244,$FW$205^A101,IF(A101='Données projet'!$A$244,'Données projet'!$B$244,FZ100+FY101-GH100)))</f>
        <v>0</v>
      </c>
      <c r="GA101" s="158" t="str">
        <f>FZ101*VLOOKUP('Données projet'!$B$17,'Paramètres'!$A$1:$I$88,3,0)*VLOOKUP('Données projet'!$B$17,'Paramètres'!$A$1:$I$88,5,0)</f>
        <v>#N/A</v>
      </c>
      <c r="GB101" s="150" t="str">
        <f t="shared" si="50"/>
        <v>#N/A</v>
      </c>
      <c r="GC101" s="161" t="str">
        <f t="shared" si="26"/>
        <v>#N/A</v>
      </c>
      <c r="GD101" s="153" t="str">
        <f t="shared" si="27"/>
        <v>#N/A</v>
      </c>
      <c r="GE101" s="153" t="str">
        <f>AVERAGE(OFFSET($GD$3,0,0,'Données projet'!$E$17+1,1))-AVERAGE(OFFSET($H$3,0,0,'Données projet'!$E$17+1,1))</f>
        <v>#N/A</v>
      </c>
      <c r="GF101" s="153" t="str">
        <f t="shared" si="51"/>
        <v>#N/A</v>
      </c>
      <c r="GG101" s="154">
        <f>IF(ISNA(VLOOKUP(A101,'Données projet'!$A$243:$I$263,3,0)),0,VLOOKUP(A101,'Données projet'!$A$243:$I$263,3,0))</f>
        <v>0</v>
      </c>
      <c r="GH101" s="154">
        <f>IF(ISNA(VLOOKUP(A101,'Données projet'!$A$243:$I$263,4,0)),0,VLOOKUP(A101,'Données projet'!$A$243:$I$263,4,0))</f>
        <v>0</v>
      </c>
      <c r="GI101" s="155">
        <f>IF(ISNA(VLOOKUP(A101,'Données projet'!$A$243:$I$263,5,0)),0%,VLOOKUP(A101,'Données projet'!$A$243:$I$263,5,0)*VLOOKUP('Données projet'!$B$17,'Paramètres'!$A$1:$I$88,7,0))</f>
        <v>0</v>
      </c>
      <c r="GJ101" s="155">
        <f>IF(ISNA(VLOOKUP(A101,'Données projet'!$A$243:$I$263,6,0)),0%,VLOOKUP(A101,'Données projet'!$A$243:$I$263,6,0)*VLOOKUP('Données projet'!$B$17,'Paramètres'!$A$1:$I$88,7,0))</f>
        <v>0</v>
      </c>
      <c r="GK101" s="155">
        <f>IF(ISNA(VLOOKUP(A101,'Données projet'!$A$243:$I$263,7,0)),0%,VLOOKUP(A101,'Données projet'!$A$243:$I$263,7,0))</f>
        <v>0</v>
      </c>
      <c r="GL101" s="162" t="str">
        <f>EXP(-LN(2)/35)*GL100+(1-EXP(-LN(2)/35))/(LN(2)/35)*GH101*GI101*VLOOKUP('Données projet'!$B$17,'Paramètres'!$A$1:$I$88,3,0)*0.475*44/12</f>
        <v>#N/A</v>
      </c>
      <c r="GM101" s="162" t="str">
        <f>EXP(-LN(2)/25)*GM100+(1-EXP(-LN(2)/25))/(LN(2)/25)*Calculateur!GH101*Calculateur!GJ101*VLOOKUP('Données projet'!$B$17,'Paramètres'!$A$1:$I$88,3,0)*0.475*44/12</f>
        <v>#N/A</v>
      </c>
      <c r="GN101" s="162" t="str">
        <f>EXP(-LN(2)/2)*GN100+(1-EXP(-LN(2)/2))/(LN(2)/2)*GH101*GK101*VLOOKUP('Données projet'!$B$17,'Paramètres'!$A$1:$I$88,3,0)*0.475*44/12</f>
        <v>#N/A</v>
      </c>
      <c r="GO101" s="162" t="str">
        <f t="shared" si="28"/>
        <v>#N/A</v>
      </c>
      <c r="GP101" s="159">
        <f>('Scénario référence'!$F$8+'Scénario référence'!$F$9+'Scénario référence'!$B$17+'Scénario référence'!$B$9+'Scénario référence'!$B$10)*70+IF((45+25*(1-EXP(-0.0175*A101)))&lt;70,'Scénario référence'!$B$16*(45+25*(1-EXP(-0.0175*A101))),70*'Scénario référence'!$B$16)+IF((32+38*(1-EXP(-0.0175*A101)))&lt;70,'Scénario référence'!$B$18*(32+38*(1-EXP(-0.0175*A101))),70*'Scénario référence'!$B$18)</f>
        <v>70</v>
      </c>
      <c r="GQ101" s="151">
        <f>IF(A101&gt;30,10,('Scénario référence'!$B$16+'Scénario référence'!$B$17+'Scénario référence'!$B$18+'Scénario référence'!$B$9+'Scénario référence'!$B$10)*A101*10/30+('Scénario référence'!$F$8+'Scénario référence'!$F$9)*10)</f>
        <v>10</v>
      </c>
      <c r="GR101" s="151" t="str">
        <f>VLOOKUP(A101,'Données projet'!$A$269:$I$289,2,0)</f>
        <v>#N/A</v>
      </c>
      <c r="GS101" s="151" t="str">
        <f>VLOOKUP(A101,'Données projet'!$A$269:$I$289,9,0)</f>
        <v>#N/A</v>
      </c>
      <c r="GT101" s="151" t="str">
        <f t="array" ref="GT101">INDEX(GS:GS,MIN(IF(ISNUMBER(GS101:GS297),ROW(GS101:GS297),"")))</f>
        <v/>
      </c>
      <c r="GU101" s="151">
        <f>IF('Données projet'!$A$270&gt;35,GU100+GT101-HC100,IF(A101&lt;'Données projet'!$A$270,$GR$205^A101,IF(A101='Données projet'!$A$270,'Données projet'!$B$270,GU100+GT101-HC100)))</f>
        <v>0</v>
      </c>
      <c r="GV101" s="158" t="str">
        <f>GU101*VLOOKUP('Données projet'!$B$18,'Paramètres'!$A$1:$I$88,3,0)*VLOOKUP('Données projet'!$B$18,'Paramètres'!$A$1:$I$88,5,0)</f>
        <v>#N/A</v>
      </c>
      <c r="GW101" s="150" t="str">
        <f t="shared" si="52"/>
        <v>#N/A</v>
      </c>
      <c r="GX101" s="161" t="str">
        <f t="shared" si="29"/>
        <v>#N/A</v>
      </c>
      <c r="GY101" s="153" t="str">
        <f t="shared" si="30"/>
        <v>#N/A</v>
      </c>
      <c r="GZ101" s="153" t="str">
        <f>AVERAGE(OFFSET($GY$3,0,0,'Données projet'!$E$18+1,1))-AVERAGE(OFFSET($H$3,0,0,'Données projet'!$E$18+1,1))</f>
        <v>#N/A</v>
      </c>
      <c r="HA101" s="153" t="str">
        <f t="shared" si="53"/>
        <v>#N/A</v>
      </c>
      <c r="HB101" s="154">
        <f>IF(ISNA(VLOOKUP(A101,'Données projet'!$A$269:$I$289,3,0)),0,VLOOKUP(A101,'Données projet'!$A$269:$I$289,3,0))</f>
        <v>0</v>
      </c>
      <c r="HC101" s="154">
        <f>IF(ISNA(VLOOKUP(A101,'Données projet'!$A$269:$I$289,4,0)),0,VLOOKUP(A101,'Données projet'!$A$269:$I$289,4,0))</f>
        <v>0</v>
      </c>
      <c r="HD101" s="155">
        <f>IF(ISNA(VLOOKUP(A101,'Données projet'!$A$269:$I$289,5,0)),0%,VLOOKUP(A101,'Données projet'!$A$269:$I$289,5,0)*VLOOKUP('Données projet'!$B$18,'Paramètres'!$A$1:$I$88,7,0))</f>
        <v>0</v>
      </c>
      <c r="HE101" s="155">
        <f>IF(ISNA(VLOOKUP(A101,'Données projet'!$A$269:$I$289,6,0)),0%,VLOOKUP(A101,'Données projet'!$A$269:$I$289,6,0)*VLOOKUP('Données projet'!$B$18,'Paramètres'!$A$1:$I$88,7,0))</f>
        <v>0</v>
      </c>
      <c r="HF101" s="155">
        <f>IF(ISNA(VLOOKUP(A101,'Données projet'!$A$269:$I$289,7,0)),0%,VLOOKUP(A101,'Données projet'!$A$269:$I$289,7,0))</f>
        <v>0</v>
      </c>
      <c r="HG101" s="162" t="str">
        <f>EXP(-LN(2)/35)*HG100+(1-EXP(-LN(2)/35))/(LN(2)/35)*HC101*HD101*VLOOKUP('Données projet'!$B$18,'Paramètres'!$A$1:$I$88,3,0)*0.475*44/12</f>
        <v>#N/A</v>
      </c>
      <c r="HH101" s="162" t="str">
        <f>EXP(-LN(2)/25)*HH100+(1-EXP(-LN(2)/25))/(LN(2)/25)*Calculateur!HC101*Calculateur!HE101*VLOOKUP('Données projet'!$B$18,'Paramètres'!$A$1:$I$88,3,0)*0.475*44/12</f>
        <v>#N/A</v>
      </c>
      <c r="HI101" s="162" t="str">
        <f>EXP(-LN(2)/2)*HI100+(1-EXP(-LN(2)/2))/(LN(2)/2)*HC101*HF101*VLOOKUP('Données projet'!$B$18,'Paramètres'!$A$1:$I$88,3,0)*0.475*44/12</f>
        <v>#N/A</v>
      </c>
      <c r="HJ101" s="163" t="str">
        <f t="shared" si="31"/>
        <v>#N/A</v>
      </c>
    </row>
    <row r="102" ht="15.75" customHeight="1">
      <c r="A102" s="145">
        <f t="shared" si="32"/>
        <v>99</v>
      </c>
      <c r="B102" s="146">
        <f>'Scénario référence'!$B$16*5+'Scénario référence'!$B$17*0+'Scénario référence'!$B$18*5</f>
        <v>0</v>
      </c>
      <c r="C102" s="160">
        <f>Calculateur!C101+'Scénario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02" s="147">
        <f t="shared" si="33"/>
        <v>0</v>
      </c>
      <c r="E102" s="147">
        <f>'Scénario référence'!$B$16*45+('Scénario référence'!$B$17+'Scénario référence'!$F$8+'Scénario référence'!$F$9+'Scénario référence'!$B$10+'Scénario référence'!$B$9)*70+'Scénario référence'!$B$18*32</f>
        <v>70</v>
      </c>
      <c r="F102" s="147">
        <f>IF(OR('Scénario référence'!$F$8&gt;0,'Scénario référence'!$F$9&gt;0),('Scénario référence'!$F$8+'Scénario référence'!$F$9)*10,0)</f>
        <v>0</v>
      </c>
      <c r="G102" s="147">
        <f>'Scénario référence'!$B$8*B102*44/12+'Scénario référence'!$B$9*(C102+D102)/0.475*44/12+'Scénario référence'!$B$10*(C102+D102)/0.475*44/12+'Scénario référence'!$F$8*(C102+D102)/0.475*44/12+'Scénario référence'!$F$9*(C102+D102)/0.475*44/12</f>
        <v>0</v>
      </c>
      <c r="H102" s="148">
        <f t="shared" si="1"/>
        <v>256.6666667</v>
      </c>
      <c r="I102" s="149">
        <f>('Scénario référence'!$F$8+'Scénario référence'!$F$9+'Scénario référence'!$B$17+'Scénario référence'!$B$9+'Scénario référence'!$B$10)*70+IF((45+25*(1-EXP(-0.0175*A102)))&lt;70,'Scénario référence'!$B$16*(45+25*(1-EXP(-0.0175*A102))),70*'Scénario référence'!$B$16)+IF((32+38*(1-EXP(-0.0175*A102)))&lt;70,'Scénario référence'!$B$18*(32+38*(1-EXP(-0.0175*A102))),70*'Scénario référence'!$B$18)</f>
        <v>70</v>
      </c>
      <c r="J102" s="150">
        <f>IF(A102&gt;30,10,('Scénario référence'!$B$16+'Scénario référence'!$B$17+'Scénario référence'!$B$18+'Scénario référence'!$B$9+'Scénario référence'!$B$10)*A102*10/30+('Scénario référence'!$F$8+'Scénario référence'!$F$9)*10)</f>
        <v>10</v>
      </c>
      <c r="K102" s="151" t="str">
        <f>VLOOKUP(A102,'Données projet'!$A$35:$I$55,2,0)</f>
        <v>#N/A</v>
      </c>
      <c r="L102" s="151" t="str">
        <f>VLOOKUP(A102,'Données projet'!$A$35:$I$55,9,0)</f>
        <v>#N/A</v>
      </c>
      <c r="M102" s="150">
        <f t="array" ref="M102">INDEX(L:L,MIN(IF(ISNUMBER(L102:L298),ROW(L102:L298),"")))</f>
        <v>5.6</v>
      </c>
      <c r="N102" s="150">
        <f>IF('Données projet'!$A$36&gt;35,N101+M102-V101,IF(A102&lt;'Données projet'!$A$36,$K$205^A102,IF(A102='Données projet'!$A$36,'Données projet'!$B$36,N101+M102-V101)))</f>
        <v>327.4</v>
      </c>
      <c r="O102" s="150">
        <f>N102*VLOOKUP('Données projet'!$B$9,'Paramètres'!$A$1:$I$88,3,0)*VLOOKUP('Données projet'!$B$9,'Paramètres'!$A$1:$I$88,5,0)</f>
        <v>296.23152</v>
      </c>
      <c r="P102" s="150">
        <f t="shared" si="34"/>
        <v>70.38586503</v>
      </c>
      <c r="Q102" s="161">
        <f t="shared" si="2"/>
        <v>638.5252789</v>
      </c>
      <c r="R102" s="153">
        <f t="shared" si="3"/>
        <v>931.8586123</v>
      </c>
      <c r="S102" s="153">
        <f>AVERAGE(OFFSET($R$3,0,0,'Données projet'!$E$9+1,1))-AVERAGE(OFFSET($H$3,0,0,'Données projet'!$E$9+1,1))</f>
        <v>439.1985427</v>
      </c>
      <c r="T102" s="153">
        <f t="shared" si="35"/>
        <v>278.2174123</v>
      </c>
      <c r="U102" s="154">
        <f>IF(ISNA(VLOOKUP(A102,'Données projet'!$A$35:$I$55,3,0)),0,VLOOKUP(A102,'Données projet'!$A$35:$I$55,3,0))</f>
        <v>0</v>
      </c>
      <c r="V102" s="154">
        <f>IF(ISNA(VLOOKUP(A102,'Données projet'!$A$35:$I$55,4,0)),0,VLOOKUP(A102,'Données projet'!$A$35:$I$55,4,0))</f>
        <v>0</v>
      </c>
      <c r="W102" s="155">
        <f>IF(ISNA(VLOOKUP(A102,'Données projet'!$A$35:$I$55,5,0)),0%,VLOOKUP(A102,'Données projet'!$A$35:$I$55,5,0)*VLOOKUP('Données projet'!$B$9,'Paramètres'!$A$1:$I$88,7,0))</f>
        <v>0</v>
      </c>
      <c r="X102" s="155">
        <f>IF(ISNA(VLOOKUP(A102,'Données projet'!$A$35:$I$55,6,0)),0%,VLOOKUP(A102,'Données projet'!$A$35:$I$55,6,0)*VLOOKUP('Données projet'!$B$9,'Paramètres'!$A$1:$I$88,7,0))</f>
        <v>0</v>
      </c>
      <c r="Y102" s="155">
        <f>IF(ISNA(VLOOKUP(A102,'Données projet'!$A$35:$I$55,7,0)),0%,VLOOKUP(A102,'Données projet'!$A$35:$I$55,7,0))</f>
        <v>0</v>
      </c>
      <c r="Z102" s="162">
        <f>EXP(-LN(2)/35)*Z101+(1-EXP(-LN(2)/35))/(LN(2)/35)*V102*W102*VLOOKUP('Données projet'!$B$9,'Paramètres'!$A$1:$I$88,3,0)*0.475*44/12</f>
        <v>0</v>
      </c>
      <c r="AA102" s="162">
        <f>EXP(-LN(2)/25)*AA101+(1-EXP(-LN(2)/25))/(LN(2)/25)*Calculateur!V102*Calculateur!X102*VLOOKUP('Données projet'!$B$9,'Paramètres'!$A$1:$I$88,3,0)*0.475*44/12</f>
        <v>0.6624749956</v>
      </c>
      <c r="AB102" s="162">
        <f>EXP(-LN(2)/2)*AB101+(1-EXP(-LN(2)/2))/(LN(2)/2)*V102*Y102*VLOOKUP('Données projet'!$B$9,'Paramètres'!$A$1:$I$88,3,0)*0.475*44/12</f>
        <v>0</v>
      </c>
      <c r="AC102" s="163">
        <f t="shared" si="4"/>
        <v>0.6624749956</v>
      </c>
      <c r="AD102" s="150">
        <f>('Scénario référence'!$F$8+'Scénario référence'!$F$9+'Scénario référence'!$B$17+'Scénario référence'!$B$9+'Scénario référence'!$B$10)*70+IF((45+25*(1-EXP(-0.0175*A102)))&lt;70,'Scénario référence'!$B$16*(45+25*(1-EXP(-0.0175*A102))),70*'Scénario référence'!$B$16)+IF((32+38*(1-EXP(-0.0175*A102)))&lt;70,'Scénario référence'!$B$18*(32+38*(1-EXP(-0.0175*A102))),70*'Scénario référence'!$B$18)</f>
        <v>70</v>
      </c>
      <c r="AE102" s="150">
        <f>IF(A102&gt;30,10,('Scénario référence'!$B$16+'Scénario référence'!$B$17+'Scénario référence'!$B$18+'Scénario référence'!$B$9+'Scénario référence'!$B$10)*A102*10/30+('Scénario référence'!$F$8+'Scénario référence'!$F$9)*10)</f>
        <v>10</v>
      </c>
      <c r="AF102" s="151" t="str">
        <f>VLOOKUP(A102,'Données projet'!$A$61:$I$81,2,0)</f>
        <v>#N/A</v>
      </c>
      <c r="AG102" s="151" t="str">
        <f>VLOOKUP(A102,'Données projet'!$A$61:$I$81,9,0)</f>
        <v>#N/A</v>
      </c>
      <c r="AH102" s="151" t="str">
        <f t="array" ref="AH102">INDEX(AG:AG,MIN(IF(ISNUMBER(AG102:AG298),ROW(AG102:AG298),"")))</f>
        <v/>
      </c>
      <c r="AI102" s="150">
        <f>IF('Données projet'!$A$62&gt;35,AI101+AH102-AQ101,IF(A102&lt;'Données projet'!$A$62,$AF$205^A102,IF(A102='Données projet'!$A$62,'Données projet'!$B$62,AI101+AH102-AQ101)))</f>
        <v>369</v>
      </c>
      <c r="AJ102" s="150">
        <f>AI102*VLOOKUP('Données projet'!$B$10,'Paramètres'!$A$1:$I$88,3,0)*VLOOKUP('Données projet'!$B$10,'Paramètres'!$A$1:$I$88,5,0)</f>
        <v>293.5764</v>
      </c>
      <c r="AK102" s="150">
        <f t="shared" si="36"/>
        <v>69.82813851</v>
      </c>
      <c r="AL102" s="161">
        <f t="shared" si="5"/>
        <v>632.9295712</v>
      </c>
      <c r="AM102" s="153">
        <f t="shared" si="6"/>
        <v>926.2629046</v>
      </c>
      <c r="AN102" s="153">
        <f>AVERAGE(OFFSET($AM$3,0,0,'Données projet'!$E$10+1,1))-AVERAGE(OFFSET($H$3,0,0,'Données projet'!$E$10+1,1))</f>
        <v>405.6113614</v>
      </c>
      <c r="AO102" s="153">
        <f t="shared" si="37"/>
        <v>393.0787141</v>
      </c>
      <c r="AP102" s="154">
        <f>IF(ISNA(VLOOKUP(A102,'Données projet'!$A$61:$I$81,3,0)),0,VLOOKUP(A102,'Données projet'!$A$61:$I$81,3,0))</f>
        <v>0</v>
      </c>
      <c r="AQ102" s="154">
        <f>IF(ISNA(VLOOKUP(A102,'Données projet'!$A$61:$I$81,4,0)),0,VLOOKUP(A102,'Données projet'!$A$61:$I$81,4,0))</f>
        <v>0</v>
      </c>
      <c r="AR102" s="155">
        <f>IF(ISNA(VLOOKUP(A102,'Données projet'!$A$61:$I$81,5,0)),0%,VLOOKUP(A102,'Données projet'!$A$61:$I$81,5,0)*VLOOKUP('Données projet'!$B$10,'Paramètres'!$A$1:$I$88,7,0))</f>
        <v>0</v>
      </c>
      <c r="AS102" s="155">
        <f>IF(ISNA(VLOOKUP(A102,'Données projet'!$A$61:$I$81,6,0)),0%,VLOOKUP(A102,'Données projet'!$A$61:$I$81,6,0)*VLOOKUP('Données projet'!$B$10,'Paramètres'!$A$1:$I$88,7,0))</f>
        <v>0</v>
      </c>
      <c r="AT102" s="155">
        <f>IF(ISNA(VLOOKUP(A102,'Données projet'!$A$61:$I$81,7,0)),0%,VLOOKUP(A102,'Données projet'!$A$61:$I$81,7,0))</f>
        <v>0</v>
      </c>
      <c r="AU102" s="162">
        <f>EXP(-LN(2)/35)*AU101+(1-EXP(-LN(2)/35))/(LN(2)/35)*AQ102*AR102*VLOOKUP('Données projet'!$B$10,'Paramètres'!$A$1:$I$88,3,0)*0.475*44/12</f>
        <v>0</v>
      </c>
      <c r="AV102" s="162">
        <f>EXP(-LN(2)/25)*AV101+(1-EXP(-LN(2)/25))/(LN(2)/25)*Calculateur!AQ102*Calculateur!AS102*VLOOKUP('Données projet'!$B$10,'Paramètres'!$A$1:$I$88,3,0)*0.475*44/12</f>
        <v>2.69246679</v>
      </c>
      <c r="AW102" s="162">
        <f>EXP(-LN(2)/2)*AW101+(1-EXP(-LN(2)/2))/(LN(2)/2)*AQ102*AT102*VLOOKUP('Données projet'!$B$10,'Paramètres'!$A$1:$I$88,3,0)*0.475*44/12</f>
        <v>0</v>
      </c>
      <c r="AX102" s="162">
        <f t="shared" si="7"/>
        <v>2.69246679</v>
      </c>
      <c r="AY102" s="157">
        <f>('Scénario référence'!$F$8+'Scénario référence'!$F$9+'Scénario référence'!$B$17+'Scénario référence'!$B$9+'Scénario référence'!$B$10)*70+IF((45+25*(1-EXP(-0.0175*A102)))&lt;70,'Scénario référence'!$B$16*(45+25*(1-EXP(-0.0175*A102))),70*'Scénario référence'!$B$16)+IF((32+38*(1-EXP(-0.0175*A102)))&lt;70,'Scénario référence'!$B$18*(32+38*(1-EXP(-0.0175*A102))),70*'Scénario référence'!$B$18)</f>
        <v>70</v>
      </c>
      <c r="AZ102" s="151">
        <f>IF(A102&gt;30,10,('Scénario référence'!$B$16+'Scénario référence'!$B$17+'Scénario référence'!$B$18+'Scénario référence'!$B$9+'Scénario référence'!$B$10)*A102*10/30+('Scénario référence'!$F$8+'Scénario référence'!$F$9)*10)</f>
        <v>10</v>
      </c>
      <c r="BA102" s="151" t="str">
        <f>VLOOKUP(A102,'Données projet'!$A$87:$I$107,2,0)</f>
        <v>#N/A</v>
      </c>
      <c r="BB102" s="151" t="str">
        <f>VLOOKUP(A102,'Données projet'!$A$87:$I$107,9,0)</f>
        <v>#N/A</v>
      </c>
      <c r="BC102" s="151" t="str">
        <f t="array" ref="BC102">INDEX(BB:BB,MIN(IF(ISNUMBER(BB102:BB298),ROW(BB102:BB298),"")))</f>
        <v/>
      </c>
      <c r="BD102" s="150">
        <f>IF('Données projet'!$A$88&gt;35,BD101+BC102-BL101,IF(A102&lt;'Données projet'!$A$88,$BA$205^A102,IF(A102='Données projet'!$A$88,'Données projet'!$B$88,BD101+BC102-BL101)))</f>
        <v>0</v>
      </c>
      <c r="BE102" s="150">
        <f>BD102*VLOOKUP('Données projet'!$B$11,'Paramètres'!$A$1:$I$88,3,0)*VLOOKUP('Données projet'!$B$11,'Paramètres'!$A$1:$I$88,5,0)</f>
        <v>0</v>
      </c>
      <c r="BF102" s="150" t="str">
        <f t="shared" si="38"/>
        <v>#NUM!</v>
      </c>
      <c r="BG102" s="161" t="str">
        <f t="shared" si="8"/>
        <v>#NUM!</v>
      </c>
      <c r="BH102" s="153" t="str">
        <f t="shared" si="9"/>
        <v>#NUM!</v>
      </c>
      <c r="BI102" s="153">
        <f>AVERAGE(OFFSET($BH$3,0,0,'Données projet'!$E$11+1,1))-AVERAGE(OFFSET($H$3,0,0,'Données projet'!$E$11+1,1))</f>
        <v>0</v>
      </c>
      <c r="BJ102" s="153">
        <f t="shared" si="39"/>
        <v>0</v>
      </c>
      <c r="BK102" s="154">
        <f>IF(ISNA(VLOOKUP(A102,'Données projet'!$A$87:$I$107,3,0)),0,VLOOKUP(A102,'Données projet'!$A$87:$I$107,3,0))</f>
        <v>0</v>
      </c>
      <c r="BL102" s="154">
        <f>IF(ISNA(VLOOKUP(A102,'Données projet'!$A$87:$I$107,4,0)),0,VLOOKUP(A102,'Données projet'!$A$87:$I$107,4,0))</f>
        <v>0</v>
      </c>
      <c r="BM102" s="155">
        <f>IF(ISNA(VLOOKUP(A102,'Données projet'!$A$87:$I$107,5,0)),0%,VLOOKUP(A102,'Données projet'!$A$87:$I$107,5,0)*VLOOKUP('Données projet'!$B$11,'Paramètres'!$A$1:$I$88,7,0))</f>
        <v>0</v>
      </c>
      <c r="BN102" s="155">
        <f>IF(ISNA(VLOOKUP(A102,'Données projet'!$A$87:$I$107,6,0)),0%,VLOOKUP(A102,'Données projet'!$A$87:$I$107,6,0)*VLOOKUP('Données projet'!$B$11,'Paramètres'!$A$1:$I$88,7,0))</f>
        <v>0</v>
      </c>
      <c r="BO102" s="155">
        <f>IF(ISNA(VLOOKUP(A102,'Données projet'!$A$87:$I$107,7,0)),0%,VLOOKUP(A102,'Données projet'!$A$87:$I$107,7,0))</f>
        <v>0</v>
      </c>
      <c r="BP102" s="162">
        <f>EXP(-LN(2)/35)*BP101+(1-EXP(-LN(2)/35))/(LN(2)/35)*BL102*BM102*VLOOKUP('Données projet'!$B$11,'Paramètres'!$A$1:$I$88,3,0)*0.475*44/12</f>
        <v>0</v>
      </c>
      <c r="BQ102" s="162">
        <f>EXP(-LN(2)/25)*BQ101+(1-EXP(-LN(2)/25))/(LN(2)/25)*Calculateur!BL102*Calculateur!BN102*VLOOKUP('Données projet'!$B$11,'Paramètres'!$A$1:$I$88,3,0)*0.475*44/12</f>
        <v>0</v>
      </c>
      <c r="BR102" s="162">
        <f>EXP(-LN(2)/2)*BR101+(1-EXP(-LN(2)/2))/(LN(2)/2)*BL102*BO102*VLOOKUP('Données projet'!$B$11,'Paramètres'!$A$1:$I$88,3,0)*0.475*44/12</f>
        <v>0</v>
      </c>
      <c r="BS102" s="163">
        <f t="shared" si="10"/>
        <v>0</v>
      </c>
      <c r="BT102" s="159">
        <f>('Scénario référence'!$F$8+'Scénario référence'!$F$9+'Scénario référence'!$B$17+'Scénario référence'!$B$9+'Scénario référence'!$B$10)*70+IF((45+25*(1-EXP(-0.0175*A102)))&lt;70,'Scénario référence'!$B$16*(45+25*(1-EXP(-0.0175*A102))),70*'Scénario référence'!$B$16)+IF((32+38*(1-EXP(-0.0175*A102)))&lt;70,'Scénario référence'!$B$18*(32+38*(1-EXP(-0.0175*A102))),70*'Scénario référence'!$B$18)</f>
        <v>70</v>
      </c>
      <c r="BU102" s="151">
        <f>IF(A102&gt;30,10,('Scénario référence'!$B$16+'Scénario référence'!$B$17+'Scénario référence'!$B$18+'Scénario référence'!$B$9+'Scénario référence'!$B$10)*A102*10/30+('Scénario référence'!$F$8+'Scénario référence'!$F$9)*10)</f>
        <v>10</v>
      </c>
      <c r="BV102" s="151" t="str">
        <f>VLOOKUP(A102,'Données projet'!$A$113:$I$133,2,0)</f>
        <v>#N/A</v>
      </c>
      <c r="BW102" s="151" t="str">
        <f>VLOOKUP(A102,'Données projet'!$A$113:$I$133,9,0)</f>
        <v>#N/A</v>
      </c>
      <c r="BX102" s="150" t="str">
        <f t="array" ref="BX102">INDEX(BW:BW,MIN(IF(ISNUMBER(BW102:BW298),ROW(BW102:BW298),"")))</f>
        <v/>
      </c>
      <c r="BY102" s="150">
        <f>IF('Données projet'!$A$114&gt;35,BY101+BX102-CG101,IF(A102&lt;'Données projet'!$A$114,$BV$205^A102,IF(A102='Données projet'!$A$114,'Données projet'!$B$114,BY101+BX102-CG101)))</f>
        <v>0</v>
      </c>
      <c r="BZ102" s="150" t="str">
        <f>BY102*VLOOKUP('Données projet'!$B$12,'Paramètres'!$A$1:$I$88,3,0)*VLOOKUP('Données projet'!$B$12,'Paramètres'!$A$1:$I$88,5,0)</f>
        <v>#N/A</v>
      </c>
      <c r="CA102" s="150" t="str">
        <f t="shared" si="40"/>
        <v>#N/A</v>
      </c>
      <c r="CB102" s="161" t="str">
        <f t="shared" si="11"/>
        <v>#N/A</v>
      </c>
      <c r="CC102" s="153" t="str">
        <f t="shared" si="12"/>
        <v>#N/A</v>
      </c>
      <c r="CD102" s="153" t="str">
        <f>AVERAGE(OFFSET($CC$3,0,0,'Données projet'!$E$12+1,1))-AVERAGE(OFFSET($H$3,0,0,'Données projet'!$E$12+1,1))</f>
        <v>#N/A</v>
      </c>
      <c r="CE102" s="153" t="str">
        <f t="shared" si="41"/>
        <v>#N/A</v>
      </c>
      <c r="CF102" s="154">
        <f>IF(ISNA(VLOOKUP(A102,'Données projet'!$A$113:$I$133,3,0)),0,VLOOKUP(A102,'Données projet'!$A$113:$I$133,3,0))</f>
        <v>0</v>
      </c>
      <c r="CG102" s="154">
        <f>IF(ISNA(VLOOKUP(A102,'Données projet'!$A$113:$I$133,4,0)),0,VLOOKUP(A102,'Données projet'!$A$113:$I$133,4,0))</f>
        <v>0</v>
      </c>
      <c r="CH102" s="155">
        <f>IF(ISNA(VLOOKUP(A102,'Données projet'!$A$113:$I$133,5,0)),0%,VLOOKUP(A102,'Données projet'!$A$113:$I$133,5,0)*VLOOKUP('Données projet'!$B$12,'Paramètres'!$A$1:$I$88,7,0))</f>
        <v>0</v>
      </c>
      <c r="CI102" s="155">
        <f>IF(ISNA(VLOOKUP(A102,'Données projet'!$A$113:$I$133,6,0)),0%,VLOOKUP(A102,'Données projet'!$A$113:$I$133,6,0)*VLOOKUP('Données projet'!$B$12,'Paramètres'!$A$1:$I$88,7,0))</f>
        <v>0</v>
      </c>
      <c r="CJ102" s="155">
        <f>IF(ISNA(VLOOKUP(A102,'Données projet'!$A$113:$I$133,7,0)),0%,VLOOKUP(A102,'Données projet'!$A$113:$I$133,7,0))</f>
        <v>0</v>
      </c>
      <c r="CK102" s="162" t="str">
        <f>EXP(-LN(2)/35)*CK101+(1-EXP(-LN(2)/35))/(LN(2)/35)*CG102*CH102*VLOOKUP('Données projet'!$B$12,'Paramètres'!$A$1:$I$88,3,0)*0.475*44/12</f>
        <v>#N/A</v>
      </c>
      <c r="CL102" s="162" t="str">
        <f>EXP(-LN(2)/25)*CL101+(1-EXP(-LN(2)/25))/(LN(2)/25)*Calculateur!CG102*Calculateur!CI102*VLOOKUP('Données projet'!$B$12,'Paramètres'!$A$1:$I$88,3,0)*0.475*44/12</f>
        <v>#N/A</v>
      </c>
      <c r="CM102" s="162" t="str">
        <f>EXP(-LN(2)/2)*CM101+(1-EXP(-LN(2)/2))/(LN(2)/2)*CG102*CJ102*VLOOKUP('Données projet'!$B$12,'Paramètres'!$A$1:$I$88,3,0)*0.475*44/12</f>
        <v>#N/A</v>
      </c>
      <c r="CN102" s="163" t="str">
        <f t="shared" si="13"/>
        <v>#N/A</v>
      </c>
      <c r="CO102" s="159">
        <f>('Scénario référence'!$F$8+'Scénario référence'!$F$9+'Scénario référence'!$B$17+'Scénario référence'!$B$9+'Scénario référence'!$B$10)*70+IF((45+25*(1-EXP(-0.0175*A102)))&lt;70,'Scénario référence'!$B$16*(45+25*(1-EXP(-0.0175*A102))),70*'Scénario référence'!$B$16)+IF((32+38*(1-EXP(-0.0175*A102)))&lt;70,'Scénario référence'!$B$18*(32+38*(1-EXP(-0.0175*A102))),70*'Scénario référence'!$B$18)</f>
        <v>70</v>
      </c>
      <c r="CP102" s="151">
        <f>IF(A102&gt;30,10,('Scénario référence'!$B$16+'Scénario référence'!$B$17+'Scénario référence'!$B$18+'Scénario référence'!$B$9+'Scénario référence'!$B$10)*A102*10/30+('Scénario référence'!$F$8+'Scénario référence'!$F$9)*10)</f>
        <v>10</v>
      </c>
      <c r="CQ102" s="151" t="str">
        <f>VLOOKUP(A102,'Données projet'!$A$139:$I$159,2,0)</f>
        <v>#N/A</v>
      </c>
      <c r="CR102" s="151" t="str">
        <f>VLOOKUP(A102,'Données projet'!$A$139:$I$159,9,0)</f>
        <v>#N/A</v>
      </c>
      <c r="CS102" s="151" t="str">
        <f t="array" ref="CS102">INDEX(CR:CR,MIN(IF(ISNUMBER(CR102:CR298),ROW(CR102:CR298),"")))</f>
        <v/>
      </c>
      <c r="CT102" s="151">
        <f>IF('Données projet'!$A$140&gt;35,CT101+CS102-DB101,IF(A102&lt;'Données projet'!$A$140,$CQ$205^A102,IF(A102='Données projet'!$A$140,'Données projet'!$B$140,CT101+CS102-DB101)))</f>
        <v>0</v>
      </c>
      <c r="CU102" s="158" t="str">
        <f>CT102*VLOOKUP('Données projet'!$B$13,'Paramètres'!$A$1:$I$88,3,0)*VLOOKUP('Données projet'!$B$13,'Paramètres'!$A$1:$I$88,5,0)</f>
        <v>#N/A</v>
      </c>
      <c r="CV102" s="150" t="str">
        <f t="shared" si="42"/>
        <v>#N/A</v>
      </c>
      <c r="CW102" s="161" t="str">
        <f t="shared" si="14"/>
        <v>#N/A</v>
      </c>
      <c r="CX102" s="153" t="str">
        <f t="shared" si="15"/>
        <v>#N/A</v>
      </c>
      <c r="CY102" s="153" t="str">
        <f>AVERAGE(OFFSET($CX$3,0,0,'Données projet'!$E$13+1,1))-AVERAGE(OFFSET($H$3,0,0,'Données projet'!$E$13+1,1))</f>
        <v>#N/A</v>
      </c>
      <c r="CZ102" s="153" t="str">
        <f t="shared" si="43"/>
        <v>#N/A</v>
      </c>
      <c r="DA102" s="154">
        <f>IF(ISNA(VLOOKUP(A102,'Données projet'!$A$139:$I$159,3,0)),0,VLOOKUP(A102,'Données projet'!$A$139:$I$159,3,0))</f>
        <v>0</v>
      </c>
      <c r="DB102" s="154">
        <f>IF(ISNA(VLOOKUP(A102,'Données projet'!$A$139:$I$159,4,0)),0,VLOOKUP(A102,'Données projet'!$A$139:$I$159,4,0))</f>
        <v>0</v>
      </c>
      <c r="DC102" s="155">
        <f>IF(ISNA(VLOOKUP(A102,'Données projet'!$A$139:$I$159,5,0)),0%,VLOOKUP(A102,'Données projet'!$A$139:$I$159,5,0)*VLOOKUP('Données projet'!$B$13,'Paramètres'!$A$1:$I$88,7,0))</f>
        <v>0</v>
      </c>
      <c r="DD102" s="155">
        <f>IF(ISNA(VLOOKUP(A102,'Données projet'!$A$139:$I$159,6,0)),0%,VLOOKUP(A102,'Données projet'!$A$139:$I$159,6,0)*VLOOKUP('Données projet'!$B$13,'Paramètres'!$A$1:$I$88,7,0))</f>
        <v>0</v>
      </c>
      <c r="DE102" s="155">
        <f>IF(ISNA(VLOOKUP(A102,'Données projet'!$A$139:$I$159,7,0)),0%,VLOOKUP(A102,'Données projet'!$A$139:$I$159,7,0))</f>
        <v>0</v>
      </c>
      <c r="DF102" s="162" t="str">
        <f>EXP(-LN(2)/35)*DF101+(1-EXP(-LN(2)/35))/(LN(2)/35)*DB102*DC102*VLOOKUP('Données projet'!$B$13,'Paramètres'!$A$1:$I$88,3,0)*0.475*44/12</f>
        <v>#N/A</v>
      </c>
      <c r="DG102" s="162" t="str">
        <f>EXP(-LN(2)/25)*DG101+(1-EXP(-LN(2)/25))/(LN(2)/25)*Calculateur!DB102*Calculateur!DD102*VLOOKUP('Données projet'!$B$13,'Paramètres'!$A$1:$I$88,3,0)*0.475*44/12</f>
        <v>#N/A</v>
      </c>
      <c r="DH102" s="162" t="str">
        <f>EXP(-LN(2)/2)*DH101+(1-EXP(-LN(2)/2))/(LN(2)/2)*DB102*DE102*VLOOKUP('Données projet'!$B$13,'Paramètres'!$A$1:$I$88,3,0)*0.475*44/12</f>
        <v>#N/A</v>
      </c>
      <c r="DI102" s="163" t="str">
        <f t="shared" si="16"/>
        <v>#N/A</v>
      </c>
      <c r="DJ102" s="159">
        <f>('Scénario référence'!$F$8+'Scénario référence'!$F$9+'Scénario référence'!$B$17+'Scénario référence'!$B$9+'Scénario référence'!$B$10)*70+IF((45+25*(1-EXP(-0.0175*A102)))&lt;70,'Scénario référence'!$B$16*(45+25*(1-EXP(-0.0175*A102))),70*'Scénario référence'!$B$16)+IF((32+38*(1-EXP(-0.0175*A102)))&lt;70,'Scénario référence'!$B$18*(32+38*(1-EXP(-0.0175*A102))),70*'Scénario référence'!$B$18)</f>
        <v>70</v>
      </c>
      <c r="DK102" s="151">
        <f>IF(A102&gt;30,10,('Scénario référence'!$B$16+'Scénario référence'!$B$17+'Scénario référence'!$B$18+'Scénario référence'!$B$9+'Scénario référence'!$B$10)*A102*10/30+('Scénario référence'!$F$8+'Scénario référence'!$F$9)*10)</f>
        <v>10</v>
      </c>
      <c r="DL102" s="151" t="str">
        <f>VLOOKUP(A102,'Données projet'!$A$165:$I$185,2,0)</f>
        <v>#N/A</v>
      </c>
      <c r="DM102" s="151" t="str">
        <f>VLOOKUP(A102,'Données projet'!$A$165:$I$185,9,0)</f>
        <v>#N/A</v>
      </c>
      <c r="DN102" s="151" t="str">
        <f t="array" ref="DN102">INDEX(DM:DM,MIN(IF(ISNUMBER(DM102:DM298),ROW(DM102:DM298),"")))</f>
        <v/>
      </c>
      <c r="DO102" s="151">
        <f>IF('Données projet'!$A$166&gt;35,DO101+DN102-DW101,IF(A102&lt;'Données projet'!$A$166,$DL$205^A102,IF(A102='Données projet'!$A$166,'Données projet'!$B$166,DO101+DN102-DW101)))</f>
        <v>0</v>
      </c>
      <c r="DP102" s="158" t="str">
        <f>DO102*VLOOKUP('Données projet'!$B$14,'Paramètres'!$A$1:$I$88,3,0)*VLOOKUP('Données projet'!$B$14,'Paramètres'!$A$1:$I$88,5,0)</f>
        <v>#N/A</v>
      </c>
      <c r="DQ102" s="150" t="str">
        <f t="shared" si="44"/>
        <v>#N/A</v>
      </c>
      <c r="DR102" s="161" t="str">
        <f t="shared" si="17"/>
        <v>#N/A</v>
      </c>
      <c r="DS102" s="153" t="str">
        <f t="shared" si="18"/>
        <v>#N/A</v>
      </c>
      <c r="DT102" s="153" t="str">
        <f>AVERAGE(OFFSET($DS$3,0,0,'Données projet'!$E$14+1,1))-AVERAGE(OFFSET($H$3,0,0,'Données projet'!$E$14+1,1))</f>
        <v>#N/A</v>
      </c>
      <c r="DU102" s="153" t="str">
        <f t="shared" si="45"/>
        <v>#N/A</v>
      </c>
      <c r="DV102" s="154">
        <f>IF(ISNA(VLOOKUP(A102,'Données projet'!$A$165:$I$185,3,0)),0,VLOOKUP(A102,'Données projet'!$A$165:$I$185,3,0))</f>
        <v>0</v>
      </c>
      <c r="DW102" s="154">
        <f>IF(ISNA(VLOOKUP(A102,'Données projet'!$A$165:$I$185,4,0)),0,VLOOKUP(A102,'Données projet'!$A$165:$I$185,4,0))</f>
        <v>0</v>
      </c>
      <c r="DX102" s="155">
        <f>IF(ISNA(VLOOKUP(A102,'Données projet'!$A$165:$I$185,5,0)),0%,VLOOKUP(A102,'Données projet'!$A$165:$I$185,5,0)*VLOOKUP('Données projet'!$B$14,'Paramètres'!$A$1:$I$88,7,0))</f>
        <v>0</v>
      </c>
      <c r="DY102" s="155">
        <f>IF(ISNA(VLOOKUP(A102,'Données projet'!$A$165:$I$185,6,0)),0%,VLOOKUP(A102,'Données projet'!$A$165:$I$185,6,0)*VLOOKUP('Données projet'!$B$14,'Paramètres'!$A$1:$I$88,7,0))</f>
        <v>0</v>
      </c>
      <c r="DZ102" s="155">
        <f>IF(ISNA(VLOOKUP(A102,'Données projet'!$A$165:$I$185,7,0)),0%,VLOOKUP(A102,'Données projet'!$A$165:$I$185,7,0))</f>
        <v>0</v>
      </c>
      <c r="EA102" s="162" t="str">
        <f>EXP(-LN(2)/35)*EA101+(1-EXP(-LN(2)/35))/(LN(2)/35)*DW102*DX102*VLOOKUP('Données projet'!$B$14,'Paramètres'!$A$1:$I$88,3,0)*0.475*44/12</f>
        <v>#N/A</v>
      </c>
      <c r="EB102" s="162" t="str">
        <f>EXP(-LN(2)/25)*EB101+(1-EXP(-LN(2)/25))/(LN(2)/25)*Calculateur!DW102*Calculateur!DY102*VLOOKUP('Données projet'!$B$14,'Paramètres'!$A$1:$I$88,3,0)*0.475*44/12</f>
        <v>#N/A</v>
      </c>
      <c r="EC102" s="162" t="str">
        <f>EXP(-LN(2)/2)*EC101+(1-EXP(-LN(2)/2))/(LN(2)/2)*DW102*DZ102*VLOOKUP('Données projet'!$B$14,'Paramètres'!$A$1:$I$88,3,0)*0.475*44/12</f>
        <v>#N/A</v>
      </c>
      <c r="ED102" s="163" t="str">
        <f t="shared" si="19"/>
        <v>#N/A</v>
      </c>
      <c r="EE102" s="159">
        <f>('Scénario référence'!$F$8+'Scénario référence'!$F$9+'Scénario référence'!$B$17+'Scénario référence'!$B$9+'Scénario référence'!$B$10)*70+IF((45+25*(1-EXP(-0.0175*A102)))&lt;70,'Scénario référence'!$B$16*(45+25*(1-EXP(-0.0175*A102))),70*'Scénario référence'!$B$16)+IF((32+38*(1-EXP(-0.0175*A102)))&lt;70,'Scénario référence'!$B$18*(32+38*(1-EXP(-0.0175*A102))),70*'Scénario référence'!$B$18)</f>
        <v>70</v>
      </c>
      <c r="EF102" s="151">
        <f>IF(A102&gt;30,10,('Scénario référence'!$B$16+'Scénario référence'!$B$17+'Scénario référence'!$B$18+'Scénario référence'!$B$9+'Scénario référence'!$B$10)*A102*10/30+('Scénario référence'!$F$8+'Scénario référence'!$F$9)*10)</f>
        <v>10</v>
      </c>
      <c r="EG102" s="151" t="str">
        <f>VLOOKUP(A102,'Données projet'!$A$191:$I$211,2,0)</f>
        <v>#N/A</v>
      </c>
      <c r="EH102" s="151" t="str">
        <f>VLOOKUP(A102,'Données projet'!$A$191:$I$211,9,0)</f>
        <v>#N/A</v>
      </c>
      <c r="EI102" s="151" t="str">
        <f t="array" ref="EI102">INDEX(EH:EH,MIN(IF(ISNUMBER(EH102:EH298),ROW(EH102:EH298),"")))</f>
        <v/>
      </c>
      <c r="EJ102" s="151">
        <f>IF('Données projet'!$A$192&gt;35,EJ101+EI102-ER101,IF(A102&lt;'Données projet'!$A$192,$EG$205^A102,IF(A102='Données projet'!$A$192,'Données projet'!$B$192,EJ101+EI102-ER101)))</f>
        <v>0</v>
      </c>
      <c r="EK102" s="158" t="str">
        <f>EJ102*VLOOKUP('Données projet'!$B$15,'Paramètres'!$A$1:$I$88,3,0)*VLOOKUP('Données projet'!$B$15,'Paramètres'!$A$1:$I$88,5,0)</f>
        <v>#N/A</v>
      </c>
      <c r="EL102" s="150" t="str">
        <f t="shared" si="46"/>
        <v>#N/A</v>
      </c>
      <c r="EM102" s="161" t="str">
        <f t="shared" si="20"/>
        <v>#N/A</v>
      </c>
      <c r="EN102" s="153" t="str">
        <f t="shared" si="21"/>
        <v>#N/A</v>
      </c>
      <c r="EO102" s="153" t="str">
        <f>AVERAGE(OFFSET($EN$3,0,0,'Données projet'!$E$15+1,1))-AVERAGE(OFFSET($H$3,0,0,'Données projet'!$E$15+1,1))</f>
        <v>#N/A</v>
      </c>
      <c r="EP102" s="153" t="str">
        <f t="shared" si="47"/>
        <v>#N/A</v>
      </c>
      <c r="EQ102" s="154">
        <f>IF(ISNA(VLOOKUP(A102,'Données projet'!$A$191:$I$211,3,0)),0,VLOOKUP(A102,'Données projet'!$A$191:$I$211,3,0))</f>
        <v>0</v>
      </c>
      <c r="ER102" s="154">
        <f>IF(ISNA(VLOOKUP(A102,'Données projet'!$A$191:$I$211,4,0)),0,VLOOKUP(A102,'Données projet'!$A$191:$I$211,4,0))</f>
        <v>0</v>
      </c>
      <c r="ES102" s="155">
        <f>IF(ISNA(VLOOKUP(A102,'Données projet'!$A$191:$I$211,5,0)),0%,VLOOKUP(A102,'Données projet'!$A$191:$I$211,5,0)*VLOOKUP('Données projet'!$B$15,'Paramètres'!$A$1:$I$88,7,0))</f>
        <v>0</v>
      </c>
      <c r="ET102" s="155">
        <f>IF(ISNA(VLOOKUP(A102,'Données projet'!$A$191:$I$211,6,0)),0%,VLOOKUP(A102,'Données projet'!$A$191:$I$211,6,0)*VLOOKUP('Données projet'!$B$15,'Paramètres'!$A$1:$I$88,7,0))</f>
        <v>0</v>
      </c>
      <c r="EU102" s="155">
        <f>IF(ISNA(VLOOKUP(A102,'Données projet'!$A$191:$I$211,7,0)),0%,VLOOKUP(A102,'Données projet'!$A$191:$I$211,7,0))</f>
        <v>0</v>
      </c>
      <c r="EV102" s="162" t="str">
        <f>EXP(-LN(2)/35)*EV101+(1-EXP(-LN(2)/35))/(LN(2)/35)*ER102*ES102*VLOOKUP('Données projet'!$B$15,'Paramètres'!$A$1:$I$88,3,0)*0.475*44/12</f>
        <v>#N/A</v>
      </c>
      <c r="EW102" s="162" t="str">
        <f>EXP(-LN(2)/25)*EW101+(1-EXP(-LN(2)/25))/(LN(2)/25)*Calculateur!ER102*Calculateur!ET102*VLOOKUP('Données projet'!$B$15,'Paramètres'!$A$1:$I$88,3,0)*0.475*44/12</f>
        <v>#N/A</v>
      </c>
      <c r="EX102" s="162" t="str">
        <f>EXP(-LN(2)/2)*EX101+(1-EXP(-LN(2)/2))/(LN(2)/2)*ER102*EU102*VLOOKUP('Données projet'!$B$15,'Paramètres'!$A$1:$I$88,3,0)*0.475*44/12</f>
        <v>#N/A</v>
      </c>
      <c r="EY102" s="163" t="str">
        <f t="shared" si="22"/>
        <v>#N/A</v>
      </c>
      <c r="EZ102" s="159">
        <f>('Scénario référence'!$F$8+'Scénario référence'!$F$9+'Scénario référence'!$B$17+'Scénario référence'!$B$9+'Scénario référence'!$B$10)*70+IF((45+25*(1-EXP(-0.0175*A102)))&lt;70,'Scénario référence'!$B$16*(45+25*(1-EXP(-0.0175*A102))),70*'Scénario référence'!$B$16)+IF((32+38*(1-EXP(-0.0175*A102)))&lt;70,'Scénario référence'!$B$18*(32+38*(1-EXP(-0.0175*A102))),70*'Scénario référence'!$B$18)</f>
        <v>70</v>
      </c>
      <c r="FA102" s="151">
        <f>IF(A102&gt;30,10,('Scénario référence'!$B$16+'Scénario référence'!$B$17+'Scénario référence'!$B$18+'Scénario référence'!$B$9+'Scénario référence'!$B$10)*A102*10/30+('Scénario référence'!$F$8+'Scénario référence'!$F$9)*10)</f>
        <v>10</v>
      </c>
      <c r="FB102" s="151" t="str">
        <f>VLOOKUP(A102,'Données projet'!$A$217:$I$237,2,0)</f>
        <v>#N/A</v>
      </c>
      <c r="FC102" s="151" t="str">
        <f>VLOOKUP(A102,'Données projet'!$A$217:$I$237,9,0)</f>
        <v>#N/A</v>
      </c>
      <c r="FD102" s="151" t="str">
        <f t="array" ref="FD102">INDEX(FC:FC,MIN(IF(ISNUMBER(FC102:FC298),ROW(FC102:FC298),"")))</f>
        <v/>
      </c>
      <c r="FE102" s="151">
        <f>IF('Données projet'!$A$218&gt;35,FE101+FD102-FM101,IF(A102&lt;'Données projet'!$A$218,$FB$205^A102,IF(A102='Données projet'!$A$218,'Données projet'!$B$218,FE101+FD102-FM101)))</f>
        <v>0</v>
      </c>
      <c r="FF102" s="158" t="str">
        <f>FE102*VLOOKUP('Données projet'!$B$16,'Paramètres'!$A$1:$I$88,3,0)*VLOOKUP('Données projet'!$B$16,'Paramètres'!$A$1:$I$88,5,0)</f>
        <v>#N/A</v>
      </c>
      <c r="FG102" s="150" t="str">
        <f t="shared" si="48"/>
        <v>#N/A</v>
      </c>
      <c r="FH102" s="161" t="str">
        <f t="shared" si="23"/>
        <v>#N/A</v>
      </c>
      <c r="FI102" s="153" t="str">
        <f t="shared" si="24"/>
        <v>#N/A</v>
      </c>
      <c r="FJ102" s="153" t="str">
        <f>AVERAGE(OFFSET($FI$3,0,0,'Données projet'!$E$16+1,1))-AVERAGE(OFFSET($H$3,0,0,'Données projet'!$E$16+1,1))</f>
        <v>#N/A</v>
      </c>
      <c r="FK102" s="153" t="str">
        <f t="shared" si="49"/>
        <v>#N/A</v>
      </c>
      <c r="FL102" s="154">
        <f>IF(ISNA(VLOOKUP(A102,'Données projet'!$A$217:$I$237,3,0)),0,VLOOKUP(A102,'Données projet'!$A$217:$I$237,3,0))</f>
        <v>0</v>
      </c>
      <c r="FM102" s="154">
        <f>IF(ISNA(VLOOKUP(A102,'Données projet'!$A$217:$I$237,4,0)),0,VLOOKUP(A102,'Données projet'!$A$217:$I$237,4,0))</f>
        <v>0</v>
      </c>
      <c r="FN102" s="155">
        <f>IF(ISNA(VLOOKUP(A102,'Données projet'!$A$217:$I$237,5,0)),0%,VLOOKUP(A102,'Données projet'!$A$217:$I$237,5,0)*VLOOKUP('Données projet'!$B$16,'Paramètres'!$A$1:$I$88,7,0))</f>
        <v>0</v>
      </c>
      <c r="FO102" s="155">
        <f>IF(ISNA(VLOOKUP(A102,'Données projet'!$A$217:$I$237,6,0)),0%,VLOOKUP(A102,'Données projet'!$A$217:$I$237,6,0)*VLOOKUP('Données projet'!$B$16,'Paramètres'!$A$1:$I$88,7,0))</f>
        <v>0</v>
      </c>
      <c r="FP102" s="155">
        <f>IF(ISNA(VLOOKUP(A102,'Données projet'!$A$217:$I$237,7,0)),0%,VLOOKUP(A102,'Données projet'!$A$217:$I$237,7,0))</f>
        <v>0</v>
      </c>
      <c r="FQ102" s="162" t="str">
        <f>EXP(-LN(2)/35)*FQ101+(1-EXP(-LN(2)/35))/(LN(2)/35)*FM102*FN102*VLOOKUP('Données projet'!$B$16,'Paramètres'!$A$1:$I$88,3,0)*0.475*44/12</f>
        <v>#N/A</v>
      </c>
      <c r="FR102" s="162" t="str">
        <f>EXP(-LN(2)/25)*FR101+(1-EXP(-LN(2)/25))/(LN(2)/25)*Calculateur!FM102*Calculateur!FO102*VLOOKUP('Données projet'!$B$16,'Paramètres'!$A$1:$I$88,3,0)*0.475*44/12</f>
        <v>#N/A</v>
      </c>
      <c r="FS102" s="162" t="str">
        <f>EXP(-LN(2)/2)*FS101+(1-EXP(-LN(2)/2))/(LN(2)/2)*FM102*FP102*VLOOKUP('Données projet'!$B$16,'Paramètres'!$A$1:$I$88,3,0)*0.475*44/12</f>
        <v>#N/A</v>
      </c>
      <c r="FT102" s="163" t="str">
        <f t="shared" si="25"/>
        <v>#N/A</v>
      </c>
      <c r="FU102" s="159">
        <f>('Scénario référence'!$F$8+'Scénario référence'!$F$9+'Scénario référence'!$B$17+'Scénario référence'!$B$9+'Scénario référence'!$B$10)*70+IF((45+25*(1-EXP(-0.0175*A102)))&lt;70,'Scénario référence'!$B$16*(45+25*(1-EXP(-0.0175*A102))),70*'Scénario référence'!$B$16)+IF((32+38*(1-EXP(-0.0175*A102)))&lt;70,'Scénario référence'!$B$18*(32+38*(1-EXP(-0.0175*A102))),70*'Scénario référence'!$B$18)</f>
        <v>70</v>
      </c>
      <c r="FV102" s="151">
        <f>IF(A102&gt;30,10,('Scénario référence'!$B$16+'Scénario référence'!$B$17+'Scénario référence'!$B$18+'Scénario référence'!$B$9+'Scénario référence'!$B$10)*A102*10/30+('Scénario référence'!$F$8+'Scénario référence'!$F$9)*10)</f>
        <v>10</v>
      </c>
      <c r="FW102" s="151" t="str">
        <f>VLOOKUP(A102,'Données projet'!$A$243:$I$263,2,0)</f>
        <v>#N/A</v>
      </c>
      <c r="FX102" s="151" t="str">
        <f>VLOOKUP(A102,'Données projet'!$A$243:$I$263,9,0)</f>
        <v>#N/A</v>
      </c>
      <c r="FY102" s="151" t="str">
        <f t="array" ref="FY102">INDEX(FX:FX,MIN(IF(ISNUMBER(FX102:FX298),ROW(FX102:FX298),"")))</f>
        <v/>
      </c>
      <c r="FZ102" s="151">
        <f>IF('Données projet'!$A$244&gt;35,FZ101+FY102-GH101,IF(A102&lt;'Données projet'!$A$244,$FW$205^A102,IF(A102='Données projet'!$A$244,'Données projet'!$B$244,FZ101+FY102-GH101)))</f>
        <v>0</v>
      </c>
      <c r="GA102" s="158" t="str">
        <f>FZ102*VLOOKUP('Données projet'!$B$17,'Paramètres'!$A$1:$I$88,3,0)*VLOOKUP('Données projet'!$B$17,'Paramètres'!$A$1:$I$88,5,0)</f>
        <v>#N/A</v>
      </c>
      <c r="GB102" s="150" t="str">
        <f t="shared" si="50"/>
        <v>#N/A</v>
      </c>
      <c r="GC102" s="161" t="str">
        <f t="shared" si="26"/>
        <v>#N/A</v>
      </c>
      <c r="GD102" s="153" t="str">
        <f t="shared" si="27"/>
        <v>#N/A</v>
      </c>
      <c r="GE102" s="153" t="str">
        <f>AVERAGE(OFFSET($GD$3,0,0,'Données projet'!$E$17+1,1))-AVERAGE(OFFSET($H$3,0,0,'Données projet'!$E$17+1,1))</f>
        <v>#N/A</v>
      </c>
      <c r="GF102" s="153" t="str">
        <f t="shared" si="51"/>
        <v>#N/A</v>
      </c>
      <c r="GG102" s="154">
        <f>IF(ISNA(VLOOKUP(A102,'Données projet'!$A$243:$I$263,3,0)),0,VLOOKUP(A102,'Données projet'!$A$243:$I$263,3,0))</f>
        <v>0</v>
      </c>
      <c r="GH102" s="154">
        <f>IF(ISNA(VLOOKUP(A102,'Données projet'!$A$243:$I$263,4,0)),0,VLOOKUP(A102,'Données projet'!$A$243:$I$263,4,0))</f>
        <v>0</v>
      </c>
      <c r="GI102" s="155">
        <f>IF(ISNA(VLOOKUP(A102,'Données projet'!$A$243:$I$263,5,0)),0%,VLOOKUP(A102,'Données projet'!$A$243:$I$263,5,0)*VLOOKUP('Données projet'!$B$17,'Paramètres'!$A$1:$I$88,7,0))</f>
        <v>0</v>
      </c>
      <c r="GJ102" s="155">
        <f>IF(ISNA(VLOOKUP(A102,'Données projet'!$A$243:$I$263,6,0)),0%,VLOOKUP(A102,'Données projet'!$A$243:$I$263,6,0)*VLOOKUP('Données projet'!$B$17,'Paramètres'!$A$1:$I$88,7,0))</f>
        <v>0</v>
      </c>
      <c r="GK102" s="155">
        <f>IF(ISNA(VLOOKUP(A102,'Données projet'!$A$243:$I$263,7,0)),0%,VLOOKUP(A102,'Données projet'!$A$243:$I$263,7,0))</f>
        <v>0</v>
      </c>
      <c r="GL102" s="162" t="str">
        <f>EXP(-LN(2)/35)*GL101+(1-EXP(-LN(2)/35))/(LN(2)/35)*GH102*GI102*VLOOKUP('Données projet'!$B$17,'Paramètres'!$A$1:$I$88,3,0)*0.475*44/12</f>
        <v>#N/A</v>
      </c>
      <c r="GM102" s="162" t="str">
        <f>EXP(-LN(2)/25)*GM101+(1-EXP(-LN(2)/25))/(LN(2)/25)*Calculateur!GH102*Calculateur!GJ102*VLOOKUP('Données projet'!$B$17,'Paramètres'!$A$1:$I$88,3,0)*0.475*44/12</f>
        <v>#N/A</v>
      </c>
      <c r="GN102" s="162" t="str">
        <f>EXP(-LN(2)/2)*GN101+(1-EXP(-LN(2)/2))/(LN(2)/2)*GH102*GK102*VLOOKUP('Données projet'!$B$17,'Paramètres'!$A$1:$I$88,3,0)*0.475*44/12</f>
        <v>#N/A</v>
      </c>
      <c r="GO102" s="162" t="str">
        <f t="shared" si="28"/>
        <v>#N/A</v>
      </c>
      <c r="GP102" s="159">
        <f>('Scénario référence'!$F$8+'Scénario référence'!$F$9+'Scénario référence'!$B$17+'Scénario référence'!$B$9+'Scénario référence'!$B$10)*70+IF((45+25*(1-EXP(-0.0175*A102)))&lt;70,'Scénario référence'!$B$16*(45+25*(1-EXP(-0.0175*A102))),70*'Scénario référence'!$B$16)+IF((32+38*(1-EXP(-0.0175*A102)))&lt;70,'Scénario référence'!$B$18*(32+38*(1-EXP(-0.0175*A102))),70*'Scénario référence'!$B$18)</f>
        <v>70</v>
      </c>
      <c r="GQ102" s="151">
        <f>IF(A102&gt;30,10,('Scénario référence'!$B$16+'Scénario référence'!$B$17+'Scénario référence'!$B$18+'Scénario référence'!$B$9+'Scénario référence'!$B$10)*A102*10/30+('Scénario référence'!$F$8+'Scénario référence'!$F$9)*10)</f>
        <v>10</v>
      </c>
      <c r="GR102" s="151" t="str">
        <f>VLOOKUP(A102,'Données projet'!$A$269:$I$289,2,0)</f>
        <v>#N/A</v>
      </c>
      <c r="GS102" s="151" t="str">
        <f>VLOOKUP(A102,'Données projet'!$A$269:$I$289,9,0)</f>
        <v>#N/A</v>
      </c>
      <c r="GT102" s="151" t="str">
        <f t="array" ref="GT102">INDEX(GS:GS,MIN(IF(ISNUMBER(GS102:GS298),ROW(GS102:GS298),"")))</f>
        <v/>
      </c>
      <c r="GU102" s="151">
        <f>IF('Données projet'!$A$270&gt;35,GU101+GT102-HC101,IF(A102&lt;'Données projet'!$A$270,$GR$205^A102,IF(A102='Données projet'!$A$270,'Données projet'!$B$270,GU101+GT102-HC101)))</f>
        <v>0</v>
      </c>
      <c r="GV102" s="158" t="str">
        <f>GU102*VLOOKUP('Données projet'!$B$18,'Paramètres'!$A$1:$I$88,3,0)*VLOOKUP('Données projet'!$B$18,'Paramètres'!$A$1:$I$88,5,0)</f>
        <v>#N/A</v>
      </c>
      <c r="GW102" s="150" t="str">
        <f t="shared" si="52"/>
        <v>#N/A</v>
      </c>
      <c r="GX102" s="161" t="str">
        <f t="shared" si="29"/>
        <v>#N/A</v>
      </c>
      <c r="GY102" s="153" t="str">
        <f t="shared" si="30"/>
        <v>#N/A</v>
      </c>
      <c r="GZ102" s="153" t="str">
        <f>AVERAGE(OFFSET($GY$3,0,0,'Données projet'!$E$18+1,1))-AVERAGE(OFFSET($H$3,0,0,'Données projet'!$E$18+1,1))</f>
        <v>#N/A</v>
      </c>
      <c r="HA102" s="153" t="str">
        <f t="shared" si="53"/>
        <v>#N/A</v>
      </c>
      <c r="HB102" s="154">
        <f>IF(ISNA(VLOOKUP(A102,'Données projet'!$A$269:$I$289,3,0)),0,VLOOKUP(A102,'Données projet'!$A$269:$I$289,3,0))</f>
        <v>0</v>
      </c>
      <c r="HC102" s="154">
        <f>IF(ISNA(VLOOKUP(A102,'Données projet'!$A$269:$I$289,4,0)),0,VLOOKUP(A102,'Données projet'!$A$269:$I$289,4,0))</f>
        <v>0</v>
      </c>
      <c r="HD102" s="155">
        <f>IF(ISNA(VLOOKUP(A102,'Données projet'!$A$269:$I$289,5,0)),0%,VLOOKUP(A102,'Données projet'!$A$269:$I$289,5,0)*VLOOKUP('Données projet'!$B$18,'Paramètres'!$A$1:$I$88,7,0))</f>
        <v>0</v>
      </c>
      <c r="HE102" s="155">
        <f>IF(ISNA(VLOOKUP(A102,'Données projet'!$A$269:$I$289,6,0)),0%,VLOOKUP(A102,'Données projet'!$A$269:$I$289,6,0)*VLOOKUP('Données projet'!$B$18,'Paramètres'!$A$1:$I$88,7,0))</f>
        <v>0</v>
      </c>
      <c r="HF102" s="155">
        <f>IF(ISNA(VLOOKUP(A102,'Données projet'!$A$269:$I$289,7,0)),0%,VLOOKUP(A102,'Données projet'!$A$269:$I$289,7,0))</f>
        <v>0</v>
      </c>
      <c r="HG102" s="162" t="str">
        <f>EXP(-LN(2)/35)*HG101+(1-EXP(-LN(2)/35))/(LN(2)/35)*HC102*HD102*VLOOKUP('Données projet'!$B$18,'Paramètres'!$A$1:$I$88,3,0)*0.475*44/12</f>
        <v>#N/A</v>
      </c>
      <c r="HH102" s="162" t="str">
        <f>EXP(-LN(2)/25)*HH101+(1-EXP(-LN(2)/25))/(LN(2)/25)*Calculateur!HC102*Calculateur!HE102*VLOOKUP('Données projet'!$B$18,'Paramètres'!$A$1:$I$88,3,0)*0.475*44/12</f>
        <v>#N/A</v>
      </c>
      <c r="HI102" s="162" t="str">
        <f>EXP(-LN(2)/2)*HI101+(1-EXP(-LN(2)/2))/(LN(2)/2)*HC102*HF102*VLOOKUP('Données projet'!$B$18,'Paramètres'!$A$1:$I$88,3,0)*0.475*44/12</f>
        <v>#N/A</v>
      </c>
      <c r="HJ102" s="163" t="str">
        <f t="shared" si="31"/>
        <v>#N/A</v>
      </c>
    </row>
    <row r="103" ht="15.75" customHeight="1">
      <c r="A103" s="145">
        <f t="shared" si="32"/>
        <v>100</v>
      </c>
      <c r="B103" s="146">
        <f>'Scénario référence'!$B$16*5+'Scénario référence'!$B$17*0+'Scénario référence'!$B$18*5</f>
        <v>0</v>
      </c>
      <c r="C103" s="160">
        <f>Calculateur!C102+'Scénario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03" s="147">
        <f t="shared" si="33"/>
        <v>0</v>
      </c>
      <c r="E103" s="147">
        <f>'Scénario référence'!$B$16*45+('Scénario référence'!$B$17+'Scénario référence'!$F$8+'Scénario référence'!$F$9+'Scénario référence'!$B$10+'Scénario référence'!$B$9)*70+'Scénario référence'!$B$18*32</f>
        <v>70</v>
      </c>
      <c r="F103" s="147">
        <f>IF(OR('Scénario référence'!$F$8&gt;0,'Scénario référence'!$F$9&gt;0),('Scénario référence'!$F$8+'Scénario référence'!$F$9)*10,0)</f>
        <v>0</v>
      </c>
      <c r="G103" s="147">
        <f>'Scénario référence'!$B$8*B103*44/12+'Scénario référence'!$B$9*(C103+D103)/0.475*44/12+'Scénario référence'!$B$10*(C103+D103)/0.475*44/12+'Scénario référence'!$F$8*(C103+D103)/0.475*44/12+'Scénario référence'!$F$9*(C103+D103)/0.475*44/12</f>
        <v>0</v>
      </c>
      <c r="H103" s="148">
        <f t="shared" si="1"/>
        <v>256.6666667</v>
      </c>
      <c r="I103" s="149">
        <f>('Scénario référence'!$F$8+'Scénario référence'!$F$9+'Scénario référence'!$B$17+'Scénario référence'!$B$9+'Scénario référence'!$B$10)*70+IF((45+25*(1-EXP(-0.0175*A103)))&lt;70,'Scénario référence'!$B$16*(45+25*(1-EXP(-0.0175*A103))),70*'Scénario référence'!$B$16)+IF((32+38*(1-EXP(-0.0175*A103)))&lt;70,'Scénario référence'!$B$18*(32+38*(1-EXP(-0.0175*A103))),70*'Scénario référence'!$B$18)</f>
        <v>70</v>
      </c>
      <c r="J103" s="150">
        <f>IF(A103&gt;30,10,('Scénario référence'!$B$16+'Scénario référence'!$B$17+'Scénario référence'!$B$18+'Scénario référence'!$B$9+'Scénario référence'!$B$10)*A103*10/30+('Scénario référence'!$F$8+'Scénario référence'!$F$9)*10)</f>
        <v>10</v>
      </c>
      <c r="K103" s="165">
        <f>VLOOKUP(A103,'Données projet'!$A$35:$I$55,2,0)</f>
        <v>333</v>
      </c>
      <c r="L103" s="150">
        <f>VLOOKUP(A103,'Données projet'!$A$35:$I$55,9,0)</f>
        <v>5.6</v>
      </c>
      <c r="M103" s="150">
        <f t="array" ref="M103">INDEX(L:L,MIN(IF(ISNUMBER(L103:L299),ROW(L103:L299),"")))</f>
        <v>5.6</v>
      </c>
      <c r="N103" s="150">
        <f>IF('Données projet'!$A$36&gt;35,N102+M103-V102,IF(A103&lt;'Données projet'!$A$36,$K$205^A103,IF(A103='Données projet'!$A$36,'Données projet'!$B$36,N102+M103-V102)))</f>
        <v>333</v>
      </c>
      <c r="O103" s="150">
        <f>N103*VLOOKUP('Données projet'!$B$9,'Paramètres'!$A$1:$I$88,3,0)*VLOOKUP('Données projet'!$B$9,'Paramètres'!$A$1:$I$88,5,0)</f>
        <v>301.2984</v>
      </c>
      <c r="P103" s="150">
        <f t="shared" si="34"/>
        <v>71.44858953</v>
      </c>
      <c r="Q103" s="161">
        <f t="shared" si="2"/>
        <v>649.2010068</v>
      </c>
      <c r="R103" s="153">
        <f t="shared" si="3"/>
        <v>942.5343401</v>
      </c>
      <c r="S103" s="153">
        <f>AVERAGE(OFFSET($R$3,0,0,'Données projet'!$E$9+1,1))-AVERAGE(OFFSET($H$3,0,0,'Données projet'!$E$9+1,1))</f>
        <v>439.1985427</v>
      </c>
      <c r="T103" s="153">
        <f t="shared" si="35"/>
        <v>278.2174123</v>
      </c>
      <c r="U103" s="154">
        <f>IF(ISNA(VLOOKUP(A103,'Données projet'!$A$35:$I$55,3,0)),0,VLOOKUP(A103,'Données projet'!$A$35:$I$55,3,0))</f>
        <v>17</v>
      </c>
      <c r="V103" s="164">
        <f>IF(ISNA(VLOOKUP(A103,'Données projet'!$A$35:$I$55,4,0)),0,VLOOKUP(A103,'Données projet'!$A$35:$I$55,4,0))</f>
        <v>27</v>
      </c>
      <c r="W103" s="155">
        <f>IF(ISNA(VLOOKUP(A103,'Données projet'!$A$35:$I$55,5,0)),0%,VLOOKUP(A103,'Données projet'!$A$35:$I$55,5,0)*VLOOKUP('Données projet'!$B$9,'Paramètres'!$A$1:$I$88,7,0))</f>
        <v>0</v>
      </c>
      <c r="X103" s="155">
        <f>IF(ISNA(VLOOKUP(A103,'Données projet'!$A$35:$I$55,6,0)),0%,VLOOKUP(A103,'Données projet'!$A$35:$I$55,6,0)*VLOOKUP('Données projet'!$B$9,'Paramètres'!$A$1:$I$88,7,0))</f>
        <v>0</v>
      </c>
      <c r="Y103" s="155" t="str">
        <f>IF(ISNA(VLOOKUP(A103,'Données projet'!$A$35:$I$55,7,0)),0%,VLOOKUP(A103,'Données projet'!$A$35:$I$55,7,0))</f>
        <v/>
      </c>
      <c r="Z103" s="162">
        <f>EXP(-LN(2)/35)*Z102+(1-EXP(-LN(2)/35))/(LN(2)/35)*V103*W103*VLOOKUP('Données projet'!$B$9,'Paramètres'!$A$1:$I$88,3,0)*0.475*44/12</f>
        <v>0</v>
      </c>
      <c r="AA103" s="162">
        <f>EXP(-LN(2)/25)*AA102+(1-EXP(-LN(2)/25))/(LN(2)/25)*Calculateur!V103*Calculateur!X103*VLOOKUP('Données projet'!$B$9,'Paramètres'!$A$1:$I$88,3,0)*0.475*44/12</f>
        <v>0.644359582</v>
      </c>
      <c r="AB103" s="162">
        <f>EXP(-LN(2)/2)*AB102+(1-EXP(-LN(2)/2))/(LN(2)/2)*V103*Y103*VLOOKUP('Données projet'!$B$9,'Paramètres'!$A$1:$I$88,3,0)*0.475*44/12</f>
        <v>0</v>
      </c>
      <c r="AC103" s="163">
        <f t="shared" si="4"/>
        <v>0.644359582</v>
      </c>
      <c r="AD103" s="150">
        <f>('Scénario référence'!$F$8+'Scénario référence'!$F$9+'Scénario référence'!$B$17+'Scénario référence'!$B$9+'Scénario référence'!$B$10)*70+IF((45+25*(1-EXP(-0.0175*A103)))&lt;70,'Scénario référence'!$B$16*(45+25*(1-EXP(-0.0175*A103))),70*'Scénario référence'!$B$16)+IF((32+38*(1-EXP(-0.0175*A103)))&lt;70,'Scénario référence'!$B$18*(32+38*(1-EXP(-0.0175*A103))),70*'Scénario référence'!$B$18)</f>
        <v>70</v>
      </c>
      <c r="AE103" s="150">
        <f>IF(A103&gt;30,10,('Scénario référence'!$B$16+'Scénario référence'!$B$17+'Scénario référence'!$B$18+'Scénario référence'!$B$9+'Scénario référence'!$B$10)*A103*10/30+('Scénario référence'!$F$8+'Scénario référence'!$F$9)*10)</f>
        <v>10</v>
      </c>
      <c r="AF103" s="151" t="str">
        <f>VLOOKUP(A103,'Données projet'!$A$61:$I$81,2,0)</f>
        <v>#N/A</v>
      </c>
      <c r="AG103" s="151" t="str">
        <f>VLOOKUP(A103,'Données projet'!$A$61:$I$81,9,0)</f>
        <v>#N/A</v>
      </c>
      <c r="AH103" s="151" t="str">
        <f t="array" ref="AH103">INDEX(AG:AG,MIN(IF(ISNUMBER(AG103:AG299),ROW(AG103:AG299),"")))</f>
        <v/>
      </c>
      <c r="AI103" s="150">
        <f>IF('Données projet'!$A$62&gt;35,AI102+AH103-AQ102,IF(A103&lt;'Données projet'!$A$62,$AF$205^A103,IF(A103='Données projet'!$A$62,'Données projet'!$B$62,AI102+AH103-AQ102)))</f>
        <v>369</v>
      </c>
      <c r="AJ103" s="150">
        <f>AI103*VLOOKUP('Données projet'!$B$10,'Paramètres'!$A$1:$I$88,3,0)*VLOOKUP('Données projet'!$B$10,'Paramètres'!$A$1:$I$88,5,0)</f>
        <v>293.5764</v>
      </c>
      <c r="AK103" s="150">
        <f t="shared" si="36"/>
        <v>69.82813851</v>
      </c>
      <c r="AL103" s="161">
        <f t="shared" si="5"/>
        <v>632.9295712</v>
      </c>
      <c r="AM103" s="153">
        <f t="shared" si="6"/>
        <v>926.2629046</v>
      </c>
      <c r="AN103" s="153">
        <f>AVERAGE(OFFSET($AM$3,0,0,'Données projet'!$E$10+1,1))-AVERAGE(OFFSET($H$3,0,0,'Données projet'!$E$10+1,1))</f>
        <v>405.6113614</v>
      </c>
      <c r="AO103" s="153">
        <f t="shared" si="37"/>
        <v>393.0787141</v>
      </c>
      <c r="AP103" s="154">
        <f>IF(ISNA(VLOOKUP(A103,'Données projet'!$A$61:$I$81,3,0)),0,VLOOKUP(A103,'Données projet'!$A$61:$I$81,3,0))</f>
        <v>0</v>
      </c>
      <c r="AQ103" s="154">
        <f>IF(ISNA(VLOOKUP(A103,'Données projet'!$A$61:$I$81,4,0)),0,VLOOKUP(A103,'Données projet'!$A$61:$I$81,4,0))</f>
        <v>0</v>
      </c>
      <c r="AR103" s="155">
        <f>IF(ISNA(VLOOKUP(A103,'Données projet'!$A$61:$I$81,5,0)),0%,VLOOKUP(A103,'Données projet'!$A$61:$I$81,5,0)*VLOOKUP('Données projet'!$B$10,'Paramètres'!$A$1:$I$88,7,0))</f>
        <v>0</v>
      </c>
      <c r="AS103" s="155">
        <f>IF(ISNA(VLOOKUP(A103,'Données projet'!$A$61:$I$81,6,0)),0%,VLOOKUP(A103,'Données projet'!$A$61:$I$81,6,0)*VLOOKUP('Données projet'!$B$10,'Paramètres'!$A$1:$I$88,7,0))</f>
        <v>0</v>
      </c>
      <c r="AT103" s="155">
        <f>IF(ISNA(VLOOKUP(A103,'Données projet'!$A$61:$I$81,7,0)),0%,VLOOKUP(A103,'Données projet'!$A$61:$I$81,7,0))</f>
        <v>0</v>
      </c>
      <c r="AU103" s="162">
        <f>EXP(-LN(2)/35)*AU102+(1-EXP(-LN(2)/35))/(LN(2)/35)*AQ103*AR103*VLOOKUP('Données projet'!$B$10,'Paramètres'!$A$1:$I$88,3,0)*0.475*44/12</f>
        <v>0</v>
      </c>
      <c r="AV103" s="162">
        <f>EXP(-LN(2)/25)*AV102+(1-EXP(-LN(2)/25))/(LN(2)/25)*Calculateur!AQ103*Calculateur!AS103*VLOOKUP('Données projet'!$B$10,'Paramètres'!$A$1:$I$88,3,0)*0.475*44/12</f>
        <v>2.618841144</v>
      </c>
      <c r="AW103" s="162">
        <f>EXP(-LN(2)/2)*AW102+(1-EXP(-LN(2)/2))/(LN(2)/2)*AQ103*AT103*VLOOKUP('Données projet'!$B$10,'Paramètres'!$A$1:$I$88,3,0)*0.475*44/12</f>
        <v>0</v>
      </c>
      <c r="AX103" s="162">
        <f t="shared" si="7"/>
        <v>2.618841144</v>
      </c>
      <c r="AY103" s="157">
        <f>('Scénario référence'!$F$8+'Scénario référence'!$F$9+'Scénario référence'!$B$17+'Scénario référence'!$B$9+'Scénario référence'!$B$10)*70+IF((45+25*(1-EXP(-0.0175*A103)))&lt;70,'Scénario référence'!$B$16*(45+25*(1-EXP(-0.0175*A103))),70*'Scénario référence'!$B$16)+IF((32+38*(1-EXP(-0.0175*A103)))&lt;70,'Scénario référence'!$B$18*(32+38*(1-EXP(-0.0175*A103))),70*'Scénario référence'!$B$18)</f>
        <v>70</v>
      </c>
      <c r="AZ103" s="151">
        <f>IF(A103&gt;30,10,('Scénario référence'!$B$16+'Scénario référence'!$B$17+'Scénario référence'!$B$18+'Scénario référence'!$B$9+'Scénario référence'!$B$10)*A103*10/30+('Scénario référence'!$F$8+'Scénario référence'!$F$9)*10)</f>
        <v>10</v>
      </c>
      <c r="BA103" s="151" t="str">
        <f>VLOOKUP(A103,'Données projet'!$A$87:$I$107,2,0)</f>
        <v>#N/A</v>
      </c>
      <c r="BB103" s="151" t="str">
        <f>VLOOKUP(A103,'Données projet'!$A$87:$I$107,9,0)</f>
        <v>#N/A</v>
      </c>
      <c r="BC103" s="151" t="str">
        <f t="array" ref="BC103">INDEX(BB:BB,MIN(IF(ISNUMBER(BB103:BB299),ROW(BB103:BB299),"")))</f>
        <v/>
      </c>
      <c r="BD103" s="150">
        <f>IF('Données projet'!$A$88&gt;35,BD102+BC103-BL102,IF(A103&lt;'Données projet'!$A$88,$BA$205^A103,IF(A103='Données projet'!$A$88,'Données projet'!$B$88,BD102+BC103-BL102)))</f>
        <v>0</v>
      </c>
      <c r="BE103" s="150">
        <f>BD103*VLOOKUP('Données projet'!$B$11,'Paramètres'!$A$1:$I$88,3,0)*VLOOKUP('Données projet'!$B$11,'Paramètres'!$A$1:$I$88,5,0)</f>
        <v>0</v>
      </c>
      <c r="BF103" s="150" t="str">
        <f t="shared" si="38"/>
        <v>#NUM!</v>
      </c>
      <c r="BG103" s="161" t="str">
        <f t="shared" si="8"/>
        <v>#NUM!</v>
      </c>
      <c r="BH103" s="153" t="str">
        <f t="shared" si="9"/>
        <v>#NUM!</v>
      </c>
      <c r="BI103" s="153">
        <f>AVERAGE(OFFSET($BH$3,0,0,'Données projet'!$E$11+1,1))-AVERAGE(OFFSET($H$3,0,0,'Données projet'!$E$11+1,1))</f>
        <v>0</v>
      </c>
      <c r="BJ103" s="153">
        <f t="shared" si="39"/>
        <v>0</v>
      </c>
      <c r="BK103" s="154">
        <f>IF(ISNA(VLOOKUP(A103,'Données projet'!$A$87:$I$107,3,0)),0,VLOOKUP(A103,'Données projet'!$A$87:$I$107,3,0))</f>
        <v>0</v>
      </c>
      <c r="BL103" s="154">
        <f>IF(ISNA(VLOOKUP(A103,'Données projet'!$A$87:$I$107,4,0)),0,VLOOKUP(A103,'Données projet'!$A$87:$I$107,4,0))</f>
        <v>0</v>
      </c>
      <c r="BM103" s="155">
        <f>IF(ISNA(VLOOKUP(A103,'Données projet'!$A$87:$I$107,5,0)),0%,VLOOKUP(A103,'Données projet'!$A$87:$I$107,5,0)*VLOOKUP('Données projet'!$B$11,'Paramètres'!$A$1:$I$88,7,0))</f>
        <v>0</v>
      </c>
      <c r="BN103" s="155">
        <f>IF(ISNA(VLOOKUP(A103,'Données projet'!$A$87:$I$107,6,0)),0%,VLOOKUP(A103,'Données projet'!$A$87:$I$107,6,0)*VLOOKUP('Données projet'!$B$11,'Paramètres'!$A$1:$I$88,7,0))</f>
        <v>0</v>
      </c>
      <c r="BO103" s="155">
        <f>IF(ISNA(VLOOKUP(A103,'Données projet'!$A$87:$I$107,7,0)),0%,VLOOKUP(A103,'Données projet'!$A$87:$I$107,7,0))</f>
        <v>0</v>
      </c>
      <c r="BP103" s="162">
        <f>EXP(-LN(2)/35)*BP102+(1-EXP(-LN(2)/35))/(LN(2)/35)*BL103*BM103*VLOOKUP('Données projet'!$B$11,'Paramètres'!$A$1:$I$88,3,0)*0.475*44/12</f>
        <v>0</v>
      </c>
      <c r="BQ103" s="162">
        <f>EXP(-LN(2)/25)*BQ102+(1-EXP(-LN(2)/25))/(LN(2)/25)*Calculateur!BL103*Calculateur!BN103*VLOOKUP('Données projet'!$B$11,'Paramètres'!$A$1:$I$88,3,0)*0.475*44/12</f>
        <v>0</v>
      </c>
      <c r="BR103" s="162">
        <f>EXP(-LN(2)/2)*BR102+(1-EXP(-LN(2)/2))/(LN(2)/2)*BL103*BO103*VLOOKUP('Données projet'!$B$11,'Paramètres'!$A$1:$I$88,3,0)*0.475*44/12</f>
        <v>0</v>
      </c>
      <c r="BS103" s="163">
        <f t="shared" si="10"/>
        <v>0</v>
      </c>
      <c r="BT103" s="159">
        <f>('Scénario référence'!$F$8+'Scénario référence'!$F$9+'Scénario référence'!$B$17+'Scénario référence'!$B$9+'Scénario référence'!$B$10)*70+IF((45+25*(1-EXP(-0.0175*A103)))&lt;70,'Scénario référence'!$B$16*(45+25*(1-EXP(-0.0175*A103))),70*'Scénario référence'!$B$16)+IF((32+38*(1-EXP(-0.0175*A103)))&lt;70,'Scénario référence'!$B$18*(32+38*(1-EXP(-0.0175*A103))),70*'Scénario référence'!$B$18)</f>
        <v>70</v>
      </c>
      <c r="BU103" s="151">
        <f>IF(A103&gt;30,10,('Scénario référence'!$B$16+'Scénario référence'!$B$17+'Scénario référence'!$B$18+'Scénario référence'!$B$9+'Scénario référence'!$B$10)*A103*10/30+('Scénario référence'!$F$8+'Scénario référence'!$F$9)*10)</f>
        <v>10</v>
      </c>
      <c r="BV103" s="151" t="str">
        <f>VLOOKUP(A103,'Données projet'!$A$113:$I$133,2,0)</f>
        <v>#N/A</v>
      </c>
      <c r="BW103" s="150" t="str">
        <f>VLOOKUP(A103,'Données projet'!$A$113:$I$133,9,0)</f>
        <v>#N/A</v>
      </c>
      <c r="BX103" s="150" t="str">
        <f t="array" ref="BX103">INDEX(BW:BW,MIN(IF(ISNUMBER(BW103:BW299),ROW(BW103:BW299),"")))</f>
        <v/>
      </c>
      <c r="BY103" s="150">
        <f>IF('Données projet'!$A$114&gt;35,BY102+BX103-CG102,IF(A103&lt;'Données projet'!$A$114,$BV$205^A103,IF(A103='Données projet'!$A$114,'Données projet'!$B$114,BY102+BX103-CG102)))</f>
        <v>0</v>
      </c>
      <c r="BZ103" s="150" t="str">
        <f>BY103*VLOOKUP('Données projet'!$B$12,'Paramètres'!$A$1:$I$88,3,0)*VLOOKUP('Données projet'!$B$12,'Paramètres'!$A$1:$I$88,5,0)</f>
        <v>#N/A</v>
      </c>
      <c r="CA103" s="150" t="str">
        <f t="shared" si="40"/>
        <v>#N/A</v>
      </c>
      <c r="CB103" s="161" t="str">
        <f t="shared" si="11"/>
        <v>#N/A</v>
      </c>
      <c r="CC103" s="153" t="str">
        <f t="shared" si="12"/>
        <v>#N/A</v>
      </c>
      <c r="CD103" s="153" t="str">
        <f>AVERAGE(OFFSET($CC$3,0,0,'Données projet'!$E$12+1,1))-AVERAGE(OFFSET($H$3,0,0,'Données projet'!$E$12+1,1))</f>
        <v>#N/A</v>
      </c>
      <c r="CE103" s="153" t="str">
        <f t="shared" si="41"/>
        <v>#N/A</v>
      </c>
      <c r="CF103" s="154">
        <f>IF(ISNA(VLOOKUP(A103,'Données projet'!$A$113:$I$133,3,0)),0,VLOOKUP(A103,'Données projet'!$A$113:$I$133,3,0))</f>
        <v>0</v>
      </c>
      <c r="CG103" s="154">
        <f>IF(ISNA(VLOOKUP(A103,'Données projet'!$A$113:$I$133,4,0)),0,VLOOKUP(A103,'Données projet'!$A$113:$I$133,4,0))</f>
        <v>0</v>
      </c>
      <c r="CH103" s="155">
        <f>IF(ISNA(VLOOKUP(A103,'Données projet'!$A$113:$I$133,5,0)),0%,VLOOKUP(A103,'Données projet'!$A$113:$I$133,5,0)*VLOOKUP('Données projet'!$B$12,'Paramètres'!$A$1:$I$88,7,0))</f>
        <v>0</v>
      </c>
      <c r="CI103" s="155">
        <f>IF(ISNA(VLOOKUP(A103,'Données projet'!$A$113:$I$133,6,0)),0%,VLOOKUP(A103,'Données projet'!$A$113:$I$133,6,0)*VLOOKUP('Données projet'!$B$12,'Paramètres'!$A$1:$I$88,7,0))</f>
        <v>0</v>
      </c>
      <c r="CJ103" s="155">
        <f>IF(ISNA(VLOOKUP(A103,'Données projet'!$A$113:$I$133,7,0)),0%,VLOOKUP(A103,'Données projet'!$A$113:$I$133,7,0))</f>
        <v>0</v>
      </c>
      <c r="CK103" s="162" t="str">
        <f>EXP(-LN(2)/35)*CK102+(1-EXP(-LN(2)/35))/(LN(2)/35)*CG103*CH103*VLOOKUP('Données projet'!$B$12,'Paramètres'!$A$1:$I$88,3,0)*0.475*44/12</f>
        <v>#N/A</v>
      </c>
      <c r="CL103" s="162" t="str">
        <f>EXP(-LN(2)/25)*CL102+(1-EXP(-LN(2)/25))/(LN(2)/25)*Calculateur!CG103*Calculateur!CI103*VLOOKUP('Données projet'!$B$12,'Paramètres'!$A$1:$I$88,3,0)*0.475*44/12</f>
        <v>#N/A</v>
      </c>
      <c r="CM103" s="162" t="str">
        <f>EXP(-LN(2)/2)*CM102+(1-EXP(-LN(2)/2))/(LN(2)/2)*CG103*CJ103*VLOOKUP('Données projet'!$B$12,'Paramètres'!$A$1:$I$88,3,0)*0.475*44/12</f>
        <v>#N/A</v>
      </c>
      <c r="CN103" s="163" t="str">
        <f t="shared" si="13"/>
        <v>#N/A</v>
      </c>
      <c r="CO103" s="159">
        <f>('Scénario référence'!$F$8+'Scénario référence'!$F$9+'Scénario référence'!$B$17+'Scénario référence'!$B$9+'Scénario référence'!$B$10)*70+IF((45+25*(1-EXP(-0.0175*A103)))&lt;70,'Scénario référence'!$B$16*(45+25*(1-EXP(-0.0175*A103))),70*'Scénario référence'!$B$16)+IF((32+38*(1-EXP(-0.0175*A103)))&lt;70,'Scénario référence'!$B$18*(32+38*(1-EXP(-0.0175*A103))),70*'Scénario référence'!$B$18)</f>
        <v>70</v>
      </c>
      <c r="CP103" s="151">
        <f>IF(A103&gt;30,10,('Scénario référence'!$B$16+'Scénario référence'!$B$17+'Scénario référence'!$B$18+'Scénario référence'!$B$9+'Scénario référence'!$B$10)*A103*10/30+('Scénario référence'!$F$8+'Scénario référence'!$F$9)*10)</f>
        <v>10</v>
      </c>
      <c r="CQ103" s="151" t="str">
        <f>VLOOKUP(A103,'Données projet'!$A$139:$I$159,2,0)</f>
        <v>#N/A</v>
      </c>
      <c r="CR103" s="151" t="str">
        <f>VLOOKUP(A103,'Données projet'!$A$139:$I$159,9,0)</f>
        <v>#N/A</v>
      </c>
      <c r="CS103" s="151" t="str">
        <f t="array" ref="CS103">INDEX(CR:CR,MIN(IF(ISNUMBER(CR103:CR299),ROW(CR103:CR299),"")))</f>
        <v/>
      </c>
      <c r="CT103" s="151">
        <f>IF('Données projet'!$A$140&gt;35,CT102+CS103-DB102,IF(A103&lt;'Données projet'!$A$140,$CQ$205^A103,IF(A103='Données projet'!$A$140,'Données projet'!$B$140,CT102+CS103-DB102)))</f>
        <v>0</v>
      </c>
      <c r="CU103" s="158" t="str">
        <f>CT103*VLOOKUP('Données projet'!$B$13,'Paramètres'!$A$1:$I$88,3,0)*VLOOKUP('Données projet'!$B$13,'Paramètres'!$A$1:$I$88,5,0)</f>
        <v>#N/A</v>
      </c>
      <c r="CV103" s="150" t="str">
        <f t="shared" si="42"/>
        <v>#N/A</v>
      </c>
      <c r="CW103" s="161" t="str">
        <f t="shared" si="14"/>
        <v>#N/A</v>
      </c>
      <c r="CX103" s="153" t="str">
        <f t="shared" si="15"/>
        <v>#N/A</v>
      </c>
      <c r="CY103" s="153" t="str">
        <f>AVERAGE(OFFSET($CX$3,0,0,'Données projet'!$E$13+1,1))-AVERAGE(OFFSET($H$3,0,0,'Données projet'!$E$13+1,1))</f>
        <v>#N/A</v>
      </c>
      <c r="CZ103" s="153" t="str">
        <f t="shared" si="43"/>
        <v>#N/A</v>
      </c>
      <c r="DA103" s="154">
        <f>IF(ISNA(VLOOKUP(A103,'Données projet'!$A$139:$I$159,3,0)),0,VLOOKUP(A103,'Données projet'!$A$139:$I$159,3,0))</f>
        <v>0</v>
      </c>
      <c r="DB103" s="154">
        <f>IF(ISNA(VLOOKUP(A103,'Données projet'!$A$139:$I$159,4,0)),0,VLOOKUP(A103,'Données projet'!$A$139:$I$159,4,0))</f>
        <v>0</v>
      </c>
      <c r="DC103" s="155">
        <f>IF(ISNA(VLOOKUP(A103,'Données projet'!$A$139:$I$159,5,0)),0%,VLOOKUP(A103,'Données projet'!$A$139:$I$159,5,0)*VLOOKUP('Données projet'!$B$13,'Paramètres'!$A$1:$I$88,7,0))</f>
        <v>0</v>
      </c>
      <c r="DD103" s="155">
        <f>IF(ISNA(VLOOKUP(A103,'Données projet'!$A$139:$I$159,6,0)),0%,VLOOKUP(A103,'Données projet'!$A$139:$I$159,6,0)*VLOOKUP('Données projet'!$B$13,'Paramètres'!$A$1:$I$88,7,0))</f>
        <v>0</v>
      </c>
      <c r="DE103" s="155">
        <f>IF(ISNA(VLOOKUP(A103,'Données projet'!$A$139:$I$159,7,0)),0%,VLOOKUP(A103,'Données projet'!$A$139:$I$159,7,0))</f>
        <v>0</v>
      </c>
      <c r="DF103" s="162" t="str">
        <f>EXP(-LN(2)/35)*DF102+(1-EXP(-LN(2)/35))/(LN(2)/35)*DB103*DC103*VLOOKUP('Données projet'!$B$13,'Paramètres'!$A$1:$I$88,3,0)*0.475*44/12</f>
        <v>#N/A</v>
      </c>
      <c r="DG103" s="162" t="str">
        <f>EXP(-LN(2)/25)*DG102+(1-EXP(-LN(2)/25))/(LN(2)/25)*Calculateur!DB103*Calculateur!DD103*VLOOKUP('Données projet'!$B$13,'Paramètres'!$A$1:$I$88,3,0)*0.475*44/12</f>
        <v>#N/A</v>
      </c>
      <c r="DH103" s="162" t="str">
        <f>EXP(-LN(2)/2)*DH102+(1-EXP(-LN(2)/2))/(LN(2)/2)*DB103*DE103*VLOOKUP('Données projet'!$B$13,'Paramètres'!$A$1:$I$88,3,0)*0.475*44/12</f>
        <v>#N/A</v>
      </c>
      <c r="DI103" s="163" t="str">
        <f t="shared" si="16"/>
        <v>#N/A</v>
      </c>
      <c r="DJ103" s="159">
        <f>('Scénario référence'!$F$8+'Scénario référence'!$F$9+'Scénario référence'!$B$17+'Scénario référence'!$B$9+'Scénario référence'!$B$10)*70+IF((45+25*(1-EXP(-0.0175*A103)))&lt;70,'Scénario référence'!$B$16*(45+25*(1-EXP(-0.0175*A103))),70*'Scénario référence'!$B$16)+IF((32+38*(1-EXP(-0.0175*A103)))&lt;70,'Scénario référence'!$B$18*(32+38*(1-EXP(-0.0175*A103))),70*'Scénario référence'!$B$18)</f>
        <v>70</v>
      </c>
      <c r="DK103" s="151">
        <f>IF(A103&gt;30,10,('Scénario référence'!$B$16+'Scénario référence'!$B$17+'Scénario référence'!$B$18+'Scénario référence'!$B$9+'Scénario référence'!$B$10)*A103*10/30+('Scénario référence'!$F$8+'Scénario référence'!$F$9)*10)</f>
        <v>10</v>
      </c>
      <c r="DL103" s="151" t="str">
        <f>VLOOKUP(A103,'Données projet'!$A$165:$I$185,2,0)</f>
        <v>#N/A</v>
      </c>
      <c r="DM103" s="151" t="str">
        <f>VLOOKUP(A103,'Données projet'!$A$165:$I$185,9,0)</f>
        <v>#N/A</v>
      </c>
      <c r="DN103" s="151" t="str">
        <f t="array" ref="DN103">INDEX(DM:DM,MIN(IF(ISNUMBER(DM103:DM299),ROW(DM103:DM299),"")))</f>
        <v/>
      </c>
      <c r="DO103" s="151">
        <f>IF('Données projet'!$A$166&gt;35,DO102+DN103-DW102,IF(A103&lt;'Données projet'!$A$166,$DL$205^A103,IF(A103='Données projet'!$A$166,'Données projet'!$B$166,DO102+DN103-DW102)))</f>
        <v>0</v>
      </c>
      <c r="DP103" s="158" t="str">
        <f>DO103*VLOOKUP('Données projet'!$B$14,'Paramètres'!$A$1:$I$88,3,0)*VLOOKUP('Données projet'!$B$14,'Paramètres'!$A$1:$I$88,5,0)</f>
        <v>#N/A</v>
      </c>
      <c r="DQ103" s="150" t="str">
        <f t="shared" si="44"/>
        <v>#N/A</v>
      </c>
      <c r="DR103" s="161" t="str">
        <f t="shared" si="17"/>
        <v>#N/A</v>
      </c>
      <c r="DS103" s="153" t="str">
        <f t="shared" si="18"/>
        <v>#N/A</v>
      </c>
      <c r="DT103" s="153" t="str">
        <f>AVERAGE(OFFSET($DS$3,0,0,'Données projet'!$E$14+1,1))-AVERAGE(OFFSET($H$3,0,0,'Données projet'!$E$14+1,1))</f>
        <v>#N/A</v>
      </c>
      <c r="DU103" s="153" t="str">
        <f t="shared" si="45"/>
        <v>#N/A</v>
      </c>
      <c r="DV103" s="154">
        <f>IF(ISNA(VLOOKUP(A103,'Données projet'!$A$165:$I$185,3,0)),0,VLOOKUP(A103,'Données projet'!$A$165:$I$185,3,0))</f>
        <v>0</v>
      </c>
      <c r="DW103" s="154">
        <f>IF(ISNA(VLOOKUP(A103,'Données projet'!$A$165:$I$185,4,0)),0,VLOOKUP(A103,'Données projet'!$A$165:$I$185,4,0))</f>
        <v>0</v>
      </c>
      <c r="DX103" s="155">
        <f>IF(ISNA(VLOOKUP(A103,'Données projet'!$A$165:$I$185,5,0)),0%,VLOOKUP(A103,'Données projet'!$A$165:$I$185,5,0)*VLOOKUP('Données projet'!$B$14,'Paramètres'!$A$1:$I$88,7,0))</f>
        <v>0</v>
      </c>
      <c r="DY103" s="155">
        <f>IF(ISNA(VLOOKUP(A103,'Données projet'!$A$165:$I$185,6,0)),0%,VLOOKUP(A103,'Données projet'!$A$165:$I$185,6,0)*VLOOKUP('Données projet'!$B$14,'Paramètres'!$A$1:$I$88,7,0))</f>
        <v>0</v>
      </c>
      <c r="DZ103" s="155">
        <f>IF(ISNA(VLOOKUP(A103,'Données projet'!$A$165:$I$185,7,0)),0%,VLOOKUP(A103,'Données projet'!$A$165:$I$185,7,0))</f>
        <v>0</v>
      </c>
      <c r="EA103" s="162" t="str">
        <f>EXP(-LN(2)/35)*EA102+(1-EXP(-LN(2)/35))/(LN(2)/35)*DW103*DX103*VLOOKUP('Données projet'!$B$14,'Paramètres'!$A$1:$I$88,3,0)*0.475*44/12</f>
        <v>#N/A</v>
      </c>
      <c r="EB103" s="162" t="str">
        <f>EXP(-LN(2)/25)*EB102+(1-EXP(-LN(2)/25))/(LN(2)/25)*Calculateur!DW103*Calculateur!DY103*VLOOKUP('Données projet'!$B$14,'Paramètres'!$A$1:$I$88,3,0)*0.475*44/12</f>
        <v>#N/A</v>
      </c>
      <c r="EC103" s="162" t="str">
        <f>EXP(-LN(2)/2)*EC102+(1-EXP(-LN(2)/2))/(LN(2)/2)*DW103*DZ103*VLOOKUP('Données projet'!$B$14,'Paramètres'!$A$1:$I$88,3,0)*0.475*44/12</f>
        <v>#N/A</v>
      </c>
      <c r="ED103" s="163" t="str">
        <f t="shared" si="19"/>
        <v>#N/A</v>
      </c>
      <c r="EE103" s="159">
        <f>('Scénario référence'!$F$8+'Scénario référence'!$F$9+'Scénario référence'!$B$17+'Scénario référence'!$B$9+'Scénario référence'!$B$10)*70+IF((45+25*(1-EXP(-0.0175*A103)))&lt;70,'Scénario référence'!$B$16*(45+25*(1-EXP(-0.0175*A103))),70*'Scénario référence'!$B$16)+IF((32+38*(1-EXP(-0.0175*A103)))&lt;70,'Scénario référence'!$B$18*(32+38*(1-EXP(-0.0175*A103))),70*'Scénario référence'!$B$18)</f>
        <v>70</v>
      </c>
      <c r="EF103" s="151">
        <f>IF(A103&gt;30,10,('Scénario référence'!$B$16+'Scénario référence'!$B$17+'Scénario référence'!$B$18+'Scénario référence'!$B$9+'Scénario référence'!$B$10)*A103*10/30+('Scénario référence'!$F$8+'Scénario référence'!$F$9)*10)</f>
        <v>10</v>
      </c>
      <c r="EG103" s="151" t="str">
        <f>VLOOKUP(A103,'Données projet'!$A$191:$I$211,2,0)</f>
        <v>#N/A</v>
      </c>
      <c r="EH103" s="151" t="str">
        <f>VLOOKUP(A103,'Données projet'!$A$191:$I$211,9,0)</f>
        <v>#N/A</v>
      </c>
      <c r="EI103" s="151" t="str">
        <f t="array" ref="EI103">INDEX(EH:EH,MIN(IF(ISNUMBER(EH103:EH299),ROW(EH103:EH299),"")))</f>
        <v/>
      </c>
      <c r="EJ103" s="151">
        <f>IF('Données projet'!$A$192&gt;35,EJ102+EI103-ER102,IF(A103&lt;'Données projet'!$A$192,$EG$205^A103,IF(A103='Données projet'!$A$192,'Données projet'!$B$192,EJ102+EI103-ER102)))</f>
        <v>0</v>
      </c>
      <c r="EK103" s="158" t="str">
        <f>EJ103*VLOOKUP('Données projet'!$B$15,'Paramètres'!$A$1:$I$88,3,0)*VLOOKUP('Données projet'!$B$15,'Paramètres'!$A$1:$I$88,5,0)</f>
        <v>#N/A</v>
      </c>
      <c r="EL103" s="150" t="str">
        <f t="shared" si="46"/>
        <v>#N/A</v>
      </c>
      <c r="EM103" s="161" t="str">
        <f t="shared" si="20"/>
        <v>#N/A</v>
      </c>
      <c r="EN103" s="153" t="str">
        <f t="shared" si="21"/>
        <v>#N/A</v>
      </c>
      <c r="EO103" s="153" t="str">
        <f>AVERAGE(OFFSET($EN$3,0,0,'Données projet'!$E$15+1,1))-AVERAGE(OFFSET($H$3,0,0,'Données projet'!$E$15+1,1))</f>
        <v>#N/A</v>
      </c>
      <c r="EP103" s="153" t="str">
        <f t="shared" si="47"/>
        <v>#N/A</v>
      </c>
      <c r="EQ103" s="154">
        <f>IF(ISNA(VLOOKUP(A103,'Données projet'!$A$191:$I$211,3,0)),0,VLOOKUP(A103,'Données projet'!$A$191:$I$211,3,0))</f>
        <v>0</v>
      </c>
      <c r="ER103" s="154">
        <f>IF(ISNA(VLOOKUP(A103,'Données projet'!$A$191:$I$211,4,0)),0,VLOOKUP(A103,'Données projet'!$A$191:$I$211,4,0))</f>
        <v>0</v>
      </c>
      <c r="ES103" s="155">
        <f>IF(ISNA(VLOOKUP(A103,'Données projet'!$A$191:$I$211,5,0)),0%,VLOOKUP(A103,'Données projet'!$A$191:$I$211,5,0)*VLOOKUP('Données projet'!$B$15,'Paramètres'!$A$1:$I$88,7,0))</f>
        <v>0</v>
      </c>
      <c r="ET103" s="155">
        <f>IF(ISNA(VLOOKUP(A103,'Données projet'!$A$191:$I$211,6,0)),0%,VLOOKUP(A103,'Données projet'!$A$191:$I$211,6,0)*VLOOKUP('Données projet'!$B$15,'Paramètres'!$A$1:$I$88,7,0))</f>
        <v>0</v>
      </c>
      <c r="EU103" s="155">
        <f>IF(ISNA(VLOOKUP(A103,'Données projet'!$A$191:$I$211,7,0)),0%,VLOOKUP(A103,'Données projet'!$A$191:$I$211,7,0))</f>
        <v>0</v>
      </c>
      <c r="EV103" s="162" t="str">
        <f>EXP(-LN(2)/35)*EV102+(1-EXP(-LN(2)/35))/(LN(2)/35)*ER103*ES103*VLOOKUP('Données projet'!$B$15,'Paramètres'!$A$1:$I$88,3,0)*0.475*44/12</f>
        <v>#N/A</v>
      </c>
      <c r="EW103" s="162" t="str">
        <f>EXP(-LN(2)/25)*EW102+(1-EXP(-LN(2)/25))/(LN(2)/25)*Calculateur!ER103*Calculateur!ET103*VLOOKUP('Données projet'!$B$15,'Paramètres'!$A$1:$I$88,3,0)*0.475*44/12</f>
        <v>#N/A</v>
      </c>
      <c r="EX103" s="162" t="str">
        <f>EXP(-LN(2)/2)*EX102+(1-EXP(-LN(2)/2))/(LN(2)/2)*ER103*EU103*VLOOKUP('Données projet'!$B$15,'Paramètres'!$A$1:$I$88,3,0)*0.475*44/12</f>
        <v>#N/A</v>
      </c>
      <c r="EY103" s="163" t="str">
        <f t="shared" si="22"/>
        <v>#N/A</v>
      </c>
      <c r="EZ103" s="159">
        <f>('Scénario référence'!$F$8+'Scénario référence'!$F$9+'Scénario référence'!$B$17+'Scénario référence'!$B$9+'Scénario référence'!$B$10)*70+IF((45+25*(1-EXP(-0.0175*A103)))&lt;70,'Scénario référence'!$B$16*(45+25*(1-EXP(-0.0175*A103))),70*'Scénario référence'!$B$16)+IF((32+38*(1-EXP(-0.0175*A103)))&lt;70,'Scénario référence'!$B$18*(32+38*(1-EXP(-0.0175*A103))),70*'Scénario référence'!$B$18)</f>
        <v>70</v>
      </c>
      <c r="FA103" s="151">
        <f>IF(A103&gt;30,10,('Scénario référence'!$B$16+'Scénario référence'!$B$17+'Scénario référence'!$B$18+'Scénario référence'!$B$9+'Scénario référence'!$B$10)*A103*10/30+('Scénario référence'!$F$8+'Scénario référence'!$F$9)*10)</f>
        <v>10</v>
      </c>
      <c r="FB103" s="151" t="str">
        <f>VLOOKUP(A103,'Données projet'!$A$217:$I$237,2,0)</f>
        <v>#N/A</v>
      </c>
      <c r="FC103" s="151" t="str">
        <f>VLOOKUP(A103,'Données projet'!$A$217:$I$237,9,0)</f>
        <v>#N/A</v>
      </c>
      <c r="FD103" s="151" t="str">
        <f t="array" ref="FD103">INDEX(FC:FC,MIN(IF(ISNUMBER(FC103:FC299),ROW(FC103:FC299),"")))</f>
        <v/>
      </c>
      <c r="FE103" s="151">
        <f>IF('Données projet'!$A$218&gt;35,FE102+FD103-FM102,IF(A103&lt;'Données projet'!$A$218,$FB$205^A103,IF(A103='Données projet'!$A$218,'Données projet'!$B$218,FE102+FD103-FM102)))</f>
        <v>0</v>
      </c>
      <c r="FF103" s="158" t="str">
        <f>FE103*VLOOKUP('Données projet'!$B$16,'Paramètres'!$A$1:$I$88,3,0)*VLOOKUP('Données projet'!$B$16,'Paramètres'!$A$1:$I$88,5,0)</f>
        <v>#N/A</v>
      </c>
      <c r="FG103" s="150" t="str">
        <f t="shared" si="48"/>
        <v>#N/A</v>
      </c>
      <c r="FH103" s="161" t="str">
        <f t="shared" si="23"/>
        <v>#N/A</v>
      </c>
      <c r="FI103" s="153" t="str">
        <f t="shared" si="24"/>
        <v>#N/A</v>
      </c>
      <c r="FJ103" s="153" t="str">
        <f>AVERAGE(OFFSET($FI$3,0,0,'Données projet'!$E$16+1,1))-AVERAGE(OFFSET($H$3,0,0,'Données projet'!$E$16+1,1))</f>
        <v>#N/A</v>
      </c>
      <c r="FK103" s="153" t="str">
        <f t="shared" si="49"/>
        <v>#N/A</v>
      </c>
      <c r="FL103" s="154">
        <f>IF(ISNA(VLOOKUP(A103,'Données projet'!$A$217:$I$237,3,0)),0,VLOOKUP(A103,'Données projet'!$A$217:$I$237,3,0))</f>
        <v>0</v>
      </c>
      <c r="FM103" s="154">
        <f>IF(ISNA(VLOOKUP(A103,'Données projet'!$A$217:$I$237,4,0)),0,VLOOKUP(A103,'Données projet'!$A$217:$I$237,4,0))</f>
        <v>0</v>
      </c>
      <c r="FN103" s="155">
        <f>IF(ISNA(VLOOKUP(A103,'Données projet'!$A$217:$I$237,5,0)),0%,VLOOKUP(A103,'Données projet'!$A$217:$I$237,5,0)*VLOOKUP('Données projet'!$B$16,'Paramètres'!$A$1:$I$88,7,0))</f>
        <v>0</v>
      </c>
      <c r="FO103" s="155">
        <f>IF(ISNA(VLOOKUP(A103,'Données projet'!$A$217:$I$237,6,0)),0%,VLOOKUP(A103,'Données projet'!$A$217:$I$237,6,0)*VLOOKUP('Données projet'!$B$16,'Paramètres'!$A$1:$I$88,7,0))</f>
        <v>0</v>
      </c>
      <c r="FP103" s="155">
        <f>IF(ISNA(VLOOKUP(A103,'Données projet'!$A$217:$I$237,7,0)),0%,VLOOKUP(A103,'Données projet'!$A$217:$I$237,7,0))</f>
        <v>0</v>
      </c>
      <c r="FQ103" s="162" t="str">
        <f>EXP(-LN(2)/35)*FQ102+(1-EXP(-LN(2)/35))/(LN(2)/35)*FM103*FN103*VLOOKUP('Données projet'!$B$16,'Paramètres'!$A$1:$I$88,3,0)*0.475*44/12</f>
        <v>#N/A</v>
      </c>
      <c r="FR103" s="162" t="str">
        <f>EXP(-LN(2)/25)*FR102+(1-EXP(-LN(2)/25))/(LN(2)/25)*Calculateur!FM103*Calculateur!FO103*VLOOKUP('Données projet'!$B$16,'Paramètres'!$A$1:$I$88,3,0)*0.475*44/12</f>
        <v>#N/A</v>
      </c>
      <c r="FS103" s="162" t="str">
        <f>EXP(-LN(2)/2)*FS102+(1-EXP(-LN(2)/2))/(LN(2)/2)*FM103*FP103*VLOOKUP('Données projet'!$B$16,'Paramètres'!$A$1:$I$88,3,0)*0.475*44/12</f>
        <v>#N/A</v>
      </c>
      <c r="FT103" s="163" t="str">
        <f t="shared" si="25"/>
        <v>#N/A</v>
      </c>
      <c r="FU103" s="159">
        <f>('Scénario référence'!$F$8+'Scénario référence'!$F$9+'Scénario référence'!$B$17+'Scénario référence'!$B$9+'Scénario référence'!$B$10)*70+IF((45+25*(1-EXP(-0.0175*A103)))&lt;70,'Scénario référence'!$B$16*(45+25*(1-EXP(-0.0175*A103))),70*'Scénario référence'!$B$16)+IF((32+38*(1-EXP(-0.0175*A103)))&lt;70,'Scénario référence'!$B$18*(32+38*(1-EXP(-0.0175*A103))),70*'Scénario référence'!$B$18)</f>
        <v>70</v>
      </c>
      <c r="FV103" s="151">
        <f>IF(A103&gt;30,10,('Scénario référence'!$B$16+'Scénario référence'!$B$17+'Scénario référence'!$B$18+'Scénario référence'!$B$9+'Scénario référence'!$B$10)*A103*10/30+('Scénario référence'!$F$8+'Scénario référence'!$F$9)*10)</f>
        <v>10</v>
      </c>
      <c r="FW103" s="151" t="str">
        <f>VLOOKUP(A103,'Données projet'!$A$243:$I$263,2,0)</f>
        <v>#N/A</v>
      </c>
      <c r="FX103" s="151" t="str">
        <f>VLOOKUP(A103,'Données projet'!$A$243:$I$263,9,0)</f>
        <v>#N/A</v>
      </c>
      <c r="FY103" s="151" t="str">
        <f t="array" ref="FY103">INDEX(FX:FX,MIN(IF(ISNUMBER(FX103:FX299),ROW(FX103:FX299),"")))</f>
        <v/>
      </c>
      <c r="FZ103" s="151">
        <f>IF('Données projet'!$A$244&gt;35,FZ102+FY103-GH102,IF(A103&lt;'Données projet'!$A$244,$FW$205^A103,IF(A103='Données projet'!$A$244,'Données projet'!$B$244,FZ102+FY103-GH102)))</f>
        <v>0</v>
      </c>
      <c r="GA103" s="158" t="str">
        <f>FZ103*VLOOKUP('Données projet'!$B$17,'Paramètres'!$A$1:$I$88,3,0)*VLOOKUP('Données projet'!$B$17,'Paramètres'!$A$1:$I$88,5,0)</f>
        <v>#N/A</v>
      </c>
      <c r="GB103" s="150" t="str">
        <f t="shared" si="50"/>
        <v>#N/A</v>
      </c>
      <c r="GC103" s="161" t="str">
        <f t="shared" si="26"/>
        <v>#N/A</v>
      </c>
      <c r="GD103" s="153" t="str">
        <f t="shared" si="27"/>
        <v>#N/A</v>
      </c>
      <c r="GE103" s="153" t="str">
        <f>AVERAGE(OFFSET($GD$3,0,0,'Données projet'!$E$17+1,1))-AVERAGE(OFFSET($H$3,0,0,'Données projet'!$E$17+1,1))</f>
        <v>#N/A</v>
      </c>
      <c r="GF103" s="153" t="str">
        <f t="shared" si="51"/>
        <v>#N/A</v>
      </c>
      <c r="GG103" s="154">
        <f>IF(ISNA(VLOOKUP(A103,'Données projet'!$A$243:$I$263,3,0)),0,VLOOKUP(A103,'Données projet'!$A$243:$I$263,3,0))</f>
        <v>0</v>
      </c>
      <c r="GH103" s="154">
        <f>IF(ISNA(VLOOKUP(A103,'Données projet'!$A$243:$I$263,4,0)),0,VLOOKUP(A103,'Données projet'!$A$243:$I$263,4,0))</f>
        <v>0</v>
      </c>
      <c r="GI103" s="155">
        <f>IF(ISNA(VLOOKUP(A103,'Données projet'!$A$243:$I$263,5,0)),0%,VLOOKUP(A103,'Données projet'!$A$243:$I$263,5,0)*VLOOKUP('Données projet'!$B$17,'Paramètres'!$A$1:$I$88,7,0))</f>
        <v>0</v>
      </c>
      <c r="GJ103" s="155">
        <f>IF(ISNA(VLOOKUP(A103,'Données projet'!$A$243:$I$263,6,0)),0%,VLOOKUP(A103,'Données projet'!$A$243:$I$263,6,0)*VLOOKUP('Données projet'!$B$17,'Paramètres'!$A$1:$I$88,7,0))</f>
        <v>0</v>
      </c>
      <c r="GK103" s="155">
        <f>IF(ISNA(VLOOKUP(A103,'Données projet'!$A$243:$I$263,7,0)),0%,VLOOKUP(A103,'Données projet'!$A$243:$I$263,7,0))</f>
        <v>0</v>
      </c>
      <c r="GL103" s="162" t="str">
        <f>EXP(-LN(2)/35)*GL102+(1-EXP(-LN(2)/35))/(LN(2)/35)*GH103*GI103*VLOOKUP('Données projet'!$B$17,'Paramètres'!$A$1:$I$88,3,0)*0.475*44/12</f>
        <v>#N/A</v>
      </c>
      <c r="GM103" s="162" t="str">
        <f>EXP(-LN(2)/25)*GM102+(1-EXP(-LN(2)/25))/(LN(2)/25)*Calculateur!GH103*Calculateur!GJ103*VLOOKUP('Données projet'!$B$17,'Paramètres'!$A$1:$I$88,3,0)*0.475*44/12</f>
        <v>#N/A</v>
      </c>
      <c r="GN103" s="162" t="str">
        <f>EXP(-LN(2)/2)*GN102+(1-EXP(-LN(2)/2))/(LN(2)/2)*GH103*GK103*VLOOKUP('Données projet'!$B$17,'Paramètres'!$A$1:$I$88,3,0)*0.475*44/12</f>
        <v>#N/A</v>
      </c>
      <c r="GO103" s="162" t="str">
        <f t="shared" si="28"/>
        <v>#N/A</v>
      </c>
      <c r="GP103" s="159">
        <f>('Scénario référence'!$F$8+'Scénario référence'!$F$9+'Scénario référence'!$B$17+'Scénario référence'!$B$9+'Scénario référence'!$B$10)*70+IF((45+25*(1-EXP(-0.0175*A103)))&lt;70,'Scénario référence'!$B$16*(45+25*(1-EXP(-0.0175*A103))),70*'Scénario référence'!$B$16)+IF((32+38*(1-EXP(-0.0175*A103)))&lt;70,'Scénario référence'!$B$18*(32+38*(1-EXP(-0.0175*A103))),70*'Scénario référence'!$B$18)</f>
        <v>70</v>
      </c>
      <c r="GQ103" s="151">
        <f>IF(A103&gt;30,10,('Scénario référence'!$B$16+'Scénario référence'!$B$17+'Scénario référence'!$B$18+'Scénario référence'!$B$9+'Scénario référence'!$B$10)*A103*10/30+('Scénario référence'!$F$8+'Scénario référence'!$F$9)*10)</f>
        <v>10</v>
      </c>
      <c r="GR103" s="151" t="str">
        <f>VLOOKUP(A103,'Données projet'!$A$269:$I$289,2,0)</f>
        <v>#N/A</v>
      </c>
      <c r="GS103" s="151" t="str">
        <f>VLOOKUP(A103,'Données projet'!$A$269:$I$289,9,0)</f>
        <v>#N/A</v>
      </c>
      <c r="GT103" s="151" t="str">
        <f t="array" ref="GT103">INDEX(GS:GS,MIN(IF(ISNUMBER(GS103:GS299),ROW(GS103:GS299),"")))</f>
        <v/>
      </c>
      <c r="GU103" s="151">
        <f>IF('Données projet'!$A$270&gt;35,GU102+GT103-HC102,IF(A103&lt;'Données projet'!$A$270,$GR$205^A103,IF(A103='Données projet'!$A$270,'Données projet'!$B$270,GU102+GT103-HC102)))</f>
        <v>0</v>
      </c>
      <c r="GV103" s="158" t="str">
        <f>GU103*VLOOKUP('Données projet'!$B$18,'Paramètres'!$A$1:$I$88,3,0)*VLOOKUP('Données projet'!$B$18,'Paramètres'!$A$1:$I$88,5,0)</f>
        <v>#N/A</v>
      </c>
      <c r="GW103" s="150" t="str">
        <f t="shared" si="52"/>
        <v>#N/A</v>
      </c>
      <c r="GX103" s="161" t="str">
        <f t="shared" si="29"/>
        <v>#N/A</v>
      </c>
      <c r="GY103" s="153" t="str">
        <f t="shared" si="30"/>
        <v>#N/A</v>
      </c>
      <c r="GZ103" s="153" t="str">
        <f>AVERAGE(OFFSET($GY$3,0,0,'Données projet'!$E$18+1,1))-AVERAGE(OFFSET($H$3,0,0,'Données projet'!$E$18+1,1))</f>
        <v>#N/A</v>
      </c>
      <c r="HA103" s="153" t="str">
        <f t="shared" si="53"/>
        <v>#N/A</v>
      </c>
      <c r="HB103" s="154">
        <f>IF(ISNA(VLOOKUP(A103,'Données projet'!$A$269:$I$289,3,0)),0,VLOOKUP(A103,'Données projet'!$A$269:$I$289,3,0))</f>
        <v>0</v>
      </c>
      <c r="HC103" s="154">
        <f>IF(ISNA(VLOOKUP(A103,'Données projet'!$A$269:$I$289,4,0)),0,VLOOKUP(A103,'Données projet'!$A$269:$I$289,4,0))</f>
        <v>0</v>
      </c>
      <c r="HD103" s="155">
        <f>IF(ISNA(VLOOKUP(A103,'Données projet'!$A$269:$I$289,5,0)),0%,VLOOKUP(A103,'Données projet'!$A$269:$I$289,5,0)*VLOOKUP('Données projet'!$B$18,'Paramètres'!$A$1:$I$88,7,0))</f>
        <v>0</v>
      </c>
      <c r="HE103" s="155">
        <f>IF(ISNA(VLOOKUP(A103,'Données projet'!$A$269:$I$289,6,0)),0%,VLOOKUP(A103,'Données projet'!$A$269:$I$289,6,0)*VLOOKUP('Données projet'!$B$18,'Paramètres'!$A$1:$I$88,7,0))</f>
        <v>0</v>
      </c>
      <c r="HF103" s="155">
        <f>IF(ISNA(VLOOKUP(A103,'Données projet'!$A$269:$I$289,7,0)),0%,VLOOKUP(A103,'Données projet'!$A$269:$I$289,7,0))</f>
        <v>0</v>
      </c>
      <c r="HG103" s="162" t="str">
        <f>EXP(-LN(2)/35)*HG102+(1-EXP(-LN(2)/35))/(LN(2)/35)*HC103*HD103*VLOOKUP('Données projet'!$B$18,'Paramètres'!$A$1:$I$88,3,0)*0.475*44/12</f>
        <v>#N/A</v>
      </c>
      <c r="HH103" s="162" t="str">
        <f>EXP(-LN(2)/25)*HH102+(1-EXP(-LN(2)/25))/(LN(2)/25)*Calculateur!HC103*Calculateur!HE103*VLOOKUP('Données projet'!$B$18,'Paramètres'!$A$1:$I$88,3,0)*0.475*44/12</f>
        <v>#N/A</v>
      </c>
      <c r="HI103" s="162" t="str">
        <f>EXP(-LN(2)/2)*HI102+(1-EXP(-LN(2)/2))/(LN(2)/2)*HC103*HF103*VLOOKUP('Données projet'!$B$18,'Paramètres'!$A$1:$I$88,3,0)*0.475*44/12</f>
        <v>#N/A</v>
      </c>
      <c r="HJ103" s="163" t="str">
        <f t="shared" si="31"/>
        <v>#N/A</v>
      </c>
    </row>
    <row r="104" ht="15.75" customHeight="1">
      <c r="A104" s="145">
        <f t="shared" si="32"/>
        <v>101</v>
      </c>
      <c r="B104" s="146">
        <f>'Scénario référence'!$B$16*5+'Scénario référence'!$B$17*0+'Scénario référence'!$B$18*5</f>
        <v>0</v>
      </c>
      <c r="C104" s="160">
        <f>Calculateur!C103+'Scénario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04" s="147">
        <f t="shared" si="33"/>
        <v>0</v>
      </c>
      <c r="E104" s="147">
        <f>'Scénario référence'!$B$16*45+('Scénario référence'!$B$17+'Scénario référence'!$F$8+'Scénario référence'!$F$9+'Scénario référence'!$B$10+'Scénario référence'!$B$9)*70+'Scénario référence'!$B$18*32</f>
        <v>70</v>
      </c>
      <c r="F104" s="147">
        <f>IF(OR('Scénario référence'!$F$8&gt;0,'Scénario référence'!$F$9&gt;0),('Scénario référence'!$F$8+'Scénario référence'!$F$9)*10,0)</f>
        <v>0</v>
      </c>
      <c r="G104" s="147">
        <f>'Scénario référence'!$B$8*B104*44/12+'Scénario référence'!$B$9*(C104+D104)/0.475*44/12+'Scénario référence'!$B$10*(C104+D104)/0.475*44/12+'Scénario référence'!$F$8*(C104+D104)/0.475*44/12+'Scénario référence'!$F$9*(C104+D104)/0.475*44/12</f>
        <v>0</v>
      </c>
      <c r="H104" s="148">
        <f t="shared" si="1"/>
        <v>256.6666667</v>
      </c>
      <c r="I104" s="149">
        <f>('Scénario référence'!$F$8+'Scénario référence'!$F$9+'Scénario référence'!$B$17+'Scénario référence'!$B$9+'Scénario référence'!$B$10)*70+IF((45+25*(1-EXP(-0.0175*A104)))&lt;70,'Scénario référence'!$B$16*(45+25*(1-EXP(-0.0175*A104))),70*'Scénario référence'!$B$16)+IF((32+38*(1-EXP(-0.0175*A104)))&lt;70,'Scénario référence'!$B$18*(32+38*(1-EXP(-0.0175*A104))),70*'Scénario référence'!$B$18)</f>
        <v>70</v>
      </c>
      <c r="J104" s="150">
        <f>IF(A104&gt;30,10,('Scénario référence'!$B$16+'Scénario référence'!$B$17+'Scénario référence'!$B$18+'Scénario référence'!$B$9+'Scénario référence'!$B$10)*A104*10/30+('Scénario référence'!$F$8+'Scénario référence'!$F$9)*10)</f>
        <v>10</v>
      </c>
      <c r="K104" s="151" t="str">
        <f>VLOOKUP(A104,'Données projet'!$A$35:$I$55,2,0)</f>
        <v>#N/A</v>
      </c>
      <c r="L104" s="151" t="str">
        <f>VLOOKUP(A104,'Données projet'!$A$35:$I$55,9,0)</f>
        <v>#N/A</v>
      </c>
      <c r="M104" s="150">
        <f t="array" ref="M104">INDEX(L:L,MIN(IF(ISNUMBER(L104:L300),ROW(L104:L300),"")))</f>
        <v>5.4</v>
      </c>
      <c r="N104" s="150">
        <f>IF('Données projet'!$A$36&gt;35,N103+M104-V103,IF(A104&lt;'Données projet'!$A$36,$K$205^A104,IF(A104='Données projet'!$A$36,'Données projet'!$B$36,N103+M104-V103)))</f>
        <v>311.4</v>
      </c>
      <c r="O104" s="150">
        <f>N104*VLOOKUP('Données projet'!$B$9,'Paramètres'!$A$1:$I$88,3,0)*VLOOKUP('Données projet'!$B$9,'Paramètres'!$A$1:$I$88,5,0)</f>
        <v>281.75472</v>
      </c>
      <c r="P104" s="150">
        <f t="shared" si="34"/>
        <v>67.33769672</v>
      </c>
      <c r="Q104" s="161">
        <f t="shared" si="2"/>
        <v>608.0026258</v>
      </c>
      <c r="R104" s="153">
        <f t="shared" si="3"/>
        <v>901.3359591</v>
      </c>
      <c r="S104" s="153">
        <f>AVERAGE(OFFSET($R$3,0,0,'Données projet'!$E$9+1,1))-AVERAGE(OFFSET($H$3,0,0,'Données projet'!$E$9+1,1))</f>
        <v>439.1985427</v>
      </c>
      <c r="T104" s="153">
        <f t="shared" si="35"/>
        <v>278.2174123</v>
      </c>
      <c r="U104" s="154">
        <f>IF(ISNA(VLOOKUP(A104,'Données projet'!$A$35:$I$55,3,0)),0,VLOOKUP(A104,'Données projet'!$A$35:$I$55,3,0))</f>
        <v>0</v>
      </c>
      <c r="V104" s="154">
        <f>IF(ISNA(VLOOKUP(A104,'Données projet'!$A$35:$I$55,4,0)),0,VLOOKUP(A104,'Données projet'!$A$35:$I$55,4,0))</f>
        <v>0</v>
      </c>
      <c r="W104" s="155">
        <f>IF(ISNA(VLOOKUP(A104,'Données projet'!$A$35:$I$55,5,0)),0%,VLOOKUP(A104,'Données projet'!$A$35:$I$55,5,0)*VLOOKUP('Données projet'!$B$9,'Paramètres'!$A$1:$I$88,7,0))</f>
        <v>0</v>
      </c>
      <c r="X104" s="155">
        <f>IF(ISNA(VLOOKUP(A104,'Données projet'!$A$35:$I$55,6,0)),0%,VLOOKUP(A104,'Données projet'!$A$35:$I$55,6,0)*VLOOKUP('Données projet'!$B$9,'Paramètres'!$A$1:$I$88,7,0))</f>
        <v>0</v>
      </c>
      <c r="Y104" s="155">
        <f>IF(ISNA(VLOOKUP(A104,'Données projet'!$A$35:$I$55,7,0)),0%,VLOOKUP(A104,'Données projet'!$A$35:$I$55,7,0))</f>
        <v>0</v>
      </c>
      <c r="Z104" s="162">
        <f>EXP(-LN(2)/35)*Z103+(1-EXP(-LN(2)/35))/(LN(2)/35)*V104*W104*VLOOKUP('Données projet'!$B$9,'Paramètres'!$A$1:$I$88,3,0)*0.475*44/12</f>
        <v>0</v>
      </c>
      <c r="AA104" s="162">
        <f>EXP(-LN(2)/25)*AA103+(1-EXP(-LN(2)/25))/(LN(2)/25)*Calculateur!V104*Calculateur!X104*VLOOKUP('Données projet'!$B$9,'Paramètres'!$A$1:$I$88,3,0)*0.475*44/12</f>
        <v>0.6267395353</v>
      </c>
      <c r="AB104" s="162">
        <f>EXP(-LN(2)/2)*AB103+(1-EXP(-LN(2)/2))/(LN(2)/2)*V104*Y104*VLOOKUP('Données projet'!$B$9,'Paramètres'!$A$1:$I$88,3,0)*0.475*44/12</f>
        <v>0</v>
      </c>
      <c r="AC104" s="163">
        <f t="shared" si="4"/>
        <v>0.6267395353</v>
      </c>
      <c r="AD104" s="150">
        <f>('Scénario référence'!$F$8+'Scénario référence'!$F$9+'Scénario référence'!$B$17+'Scénario référence'!$B$9+'Scénario référence'!$B$10)*70+IF((45+25*(1-EXP(-0.0175*A104)))&lt;70,'Scénario référence'!$B$16*(45+25*(1-EXP(-0.0175*A104))),70*'Scénario référence'!$B$16)+IF((32+38*(1-EXP(-0.0175*A104)))&lt;70,'Scénario référence'!$B$18*(32+38*(1-EXP(-0.0175*A104))),70*'Scénario référence'!$B$18)</f>
        <v>70</v>
      </c>
      <c r="AE104" s="150">
        <f>IF(A104&gt;30,10,('Scénario référence'!$B$16+'Scénario référence'!$B$17+'Scénario référence'!$B$18+'Scénario référence'!$B$9+'Scénario référence'!$B$10)*A104*10/30+('Scénario référence'!$F$8+'Scénario référence'!$F$9)*10)</f>
        <v>10</v>
      </c>
      <c r="AF104" s="151" t="str">
        <f>VLOOKUP(A104,'Données projet'!$A$61:$I$81,2,0)</f>
        <v>#N/A</v>
      </c>
      <c r="AG104" s="151" t="str">
        <f>VLOOKUP(A104,'Données projet'!$A$61:$I$81,9,0)</f>
        <v>#N/A</v>
      </c>
      <c r="AH104" s="151" t="str">
        <f t="array" ref="AH104">INDEX(AG:AG,MIN(IF(ISNUMBER(AG104:AG300),ROW(AG104:AG300),"")))</f>
        <v/>
      </c>
      <c r="AI104" s="150">
        <f>IF('Données projet'!$A$62&gt;35,AI103+AH104-AQ103,IF(A104&lt;'Données projet'!$A$62,$AF$205^A104,IF(A104='Données projet'!$A$62,'Données projet'!$B$62,AI103+AH104-AQ103)))</f>
        <v>369</v>
      </c>
      <c r="AJ104" s="150">
        <f>AI104*VLOOKUP('Données projet'!$B$10,'Paramètres'!$A$1:$I$88,3,0)*VLOOKUP('Données projet'!$B$10,'Paramètres'!$A$1:$I$88,5,0)</f>
        <v>293.5764</v>
      </c>
      <c r="AK104" s="150">
        <f t="shared" si="36"/>
        <v>69.82813851</v>
      </c>
      <c r="AL104" s="161">
        <f t="shared" si="5"/>
        <v>632.9295712</v>
      </c>
      <c r="AM104" s="153">
        <f t="shared" si="6"/>
        <v>926.2629046</v>
      </c>
      <c r="AN104" s="153">
        <f>AVERAGE(OFFSET($AM$3,0,0,'Données projet'!$E$10+1,1))-AVERAGE(OFFSET($H$3,0,0,'Données projet'!$E$10+1,1))</f>
        <v>405.6113614</v>
      </c>
      <c r="AO104" s="153">
        <f t="shared" si="37"/>
        <v>393.0787141</v>
      </c>
      <c r="AP104" s="154">
        <f>IF(ISNA(VLOOKUP(A104,'Données projet'!$A$61:$I$81,3,0)),0,VLOOKUP(A104,'Données projet'!$A$61:$I$81,3,0))</f>
        <v>0</v>
      </c>
      <c r="AQ104" s="154">
        <f>IF(ISNA(VLOOKUP(A104,'Données projet'!$A$61:$I$81,4,0)),0,VLOOKUP(A104,'Données projet'!$A$61:$I$81,4,0))</f>
        <v>0</v>
      </c>
      <c r="AR104" s="155">
        <f>IF(ISNA(VLOOKUP(A104,'Données projet'!$A$61:$I$81,5,0)),0%,VLOOKUP(A104,'Données projet'!$A$61:$I$81,5,0)*VLOOKUP('Données projet'!$B$10,'Paramètres'!$A$1:$I$88,7,0))</f>
        <v>0</v>
      </c>
      <c r="AS104" s="155">
        <f>IF(ISNA(VLOOKUP(A104,'Données projet'!$A$61:$I$81,6,0)),0%,VLOOKUP(A104,'Données projet'!$A$61:$I$81,6,0)*VLOOKUP('Données projet'!$B$10,'Paramètres'!$A$1:$I$88,7,0))</f>
        <v>0</v>
      </c>
      <c r="AT104" s="155">
        <f>IF(ISNA(VLOOKUP(A104,'Données projet'!$A$61:$I$81,7,0)),0%,VLOOKUP(A104,'Données projet'!$A$61:$I$81,7,0))</f>
        <v>0</v>
      </c>
      <c r="AU104" s="162">
        <f>EXP(-LN(2)/35)*AU103+(1-EXP(-LN(2)/35))/(LN(2)/35)*AQ104*AR104*VLOOKUP('Données projet'!$B$10,'Paramètres'!$A$1:$I$88,3,0)*0.475*44/12</f>
        <v>0</v>
      </c>
      <c r="AV104" s="162">
        <f>EXP(-LN(2)/25)*AV103+(1-EXP(-LN(2)/25))/(LN(2)/25)*Calculateur!AQ104*Calculateur!AS104*VLOOKUP('Données projet'!$B$10,'Paramètres'!$A$1:$I$88,3,0)*0.475*44/12</f>
        <v>2.547228795</v>
      </c>
      <c r="AW104" s="162">
        <f>EXP(-LN(2)/2)*AW103+(1-EXP(-LN(2)/2))/(LN(2)/2)*AQ104*AT104*VLOOKUP('Données projet'!$B$10,'Paramètres'!$A$1:$I$88,3,0)*0.475*44/12</f>
        <v>0</v>
      </c>
      <c r="AX104" s="162">
        <f t="shared" si="7"/>
        <v>2.547228795</v>
      </c>
      <c r="AY104" s="157">
        <f>('Scénario référence'!$F$8+'Scénario référence'!$F$9+'Scénario référence'!$B$17+'Scénario référence'!$B$9+'Scénario référence'!$B$10)*70+IF((45+25*(1-EXP(-0.0175*A104)))&lt;70,'Scénario référence'!$B$16*(45+25*(1-EXP(-0.0175*A104))),70*'Scénario référence'!$B$16)+IF((32+38*(1-EXP(-0.0175*A104)))&lt;70,'Scénario référence'!$B$18*(32+38*(1-EXP(-0.0175*A104))),70*'Scénario référence'!$B$18)</f>
        <v>70</v>
      </c>
      <c r="AZ104" s="151">
        <f>IF(A104&gt;30,10,('Scénario référence'!$B$16+'Scénario référence'!$B$17+'Scénario référence'!$B$18+'Scénario référence'!$B$9+'Scénario référence'!$B$10)*A104*10/30+('Scénario référence'!$F$8+'Scénario référence'!$F$9)*10)</f>
        <v>10</v>
      </c>
      <c r="BA104" s="151" t="str">
        <f>VLOOKUP(A104,'Données projet'!$A$87:$I$107,2,0)</f>
        <v>#N/A</v>
      </c>
      <c r="BB104" s="151" t="str">
        <f>VLOOKUP(A104,'Données projet'!$A$87:$I$107,9,0)</f>
        <v>#N/A</v>
      </c>
      <c r="BC104" s="151" t="str">
        <f t="array" ref="BC104">INDEX(BB:BB,MIN(IF(ISNUMBER(BB104:BB300),ROW(BB104:BB300),"")))</f>
        <v/>
      </c>
      <c r="BD104" s="150">
        <f>IF('Données projet'!$A$88&gt;35,BD103+BC104-BL103,IF(A104&lt;'Données projet'!$A$88,$BA$205^A104,IF(A104='Données projet'!$A$88,'Données projet'!$B$88,BD103+BC104-BL103)))</f>
        <v>0</v>
      </c>
      <c r="BE104" s="150">
        <f>BD104*VLOOKUP('Données projet'!$B$11,'Paramètres'!$A$1:$I$88,3,0)*VLOOKUP('Données projet'!$B$11,'Paramètres'!$A$1:$I$88,5,0)</f>
        <v>0</v>
      </c>
      <c r="BF104" s="150" t="str">
        <f t="shared" si="38"/>
        <v>#NUM!</v>
      </c>
      <c r="BG104" s="161" t="str">
        <f t="shared" si="8"/>
        <v>#NUM!</v>
      </c>
      <c r="BH104" s="153" t="str">
        <f t="shared" si="9"/>
        <v>#NUM!</v>
      </c>
      <c r="BI104" s="153">
        <f>AVERAGE(OFFSET($BH$3,0,0,'Données projet'!$E$11+1,1))-AVERAGE(OFFSET($H$3,0,0,'Données projet'!$E$11+1,1))</f>
        <v>0</v>
      </c>
      <c r="BJ104" s="153">
        <f t="shared" si="39"/>
        <v>0</v>
      </c>
      <c r="BK104" s="154">
        <f>IF(ISNA(VLOOKUP(A104,'Données projet'!$A$87:$I$107,3,0)),0,VLOOKUP(A104,'Données projet'!$A$87:$I$107,3,0))</f>
        <v>0</v>
      </c>
      <c r="BL104" s="154">
        <f>IF(ISNA(VLOOKUP(A104,'Données projet'!$A$87:$I$107,4,0)),0,VLOOKUP(A104,'Données projet'!$A$87:$I$107,4,0))</f>
        <v>0</v>
      </c>
      <c r="BM104" s="155">
        <f>IF(ISNA(VLOOKUP(A104,'Données projet'!$A$87:$I$107,5,0)),0%,VLOOKUP(A104,'Données projet'!$A$87:$I$107,5,0)*VLOOKUP('Données projet'!$B$11,'Paramètres'!$A$1:$I$88,7,0))</f>
        <v>0</v>
      </c>
      <c r="BN104" s="155">
        <f>IF(ISNA(VLOOKUP(A104,'Données projet'!$A$87:$I$107,6,0)),0%,VLOOKUP(A104,'Données projet'!$A$87:$I$107,6,0)*VLOOKUP('Données projet'!$B$11,'Paramètres'!$A$1:$I$88,7,0))</f>
        <v>0</v>
      </c>
      <c r="BO104" s="155">
        <f>IF(ISNA(VLOOKUP(A104,'Données projet'!$A$87:$I$107,7,0)),0%,VLOOKUP(A104,'Données projet'!$A$87:$I$107,7,0))</f>
        <v>0</v>
      </c>
      <c r="BP104" s="162">
        <f>EXP(-LN(2)/35)*BP103+(1-EXP(-LN(2)/35))/(LN(2)/35)*BL104*BM104*VLOOKUP('Données projet'!$B$11,'Paramètres'!$A$1:$I$88,3,0)*0.475*44/12</f>
        <v>0</v>
      </c>
      <c r="BQ104" s="162">
        <f>EXP(-LN(2)/25)*BQ103+(1-EXP(-LN(2)/25))/(LN(2)/25)*Calculateur!BL104*Calculateur!BN104*VLOOKUP('Données projet'!$B$11,'Paramètres'!$A$1:$I$88,3,0)*0.475*44/12</f>
        <v>0</v>
      </c>
      <c r="BR104" s="162">
        <f>EXP(-LN(2)/2)*BR103+(1-EXP(-LN(2)/2))/(LN(2)/2)*BL104*BO104*VLOOKUP('Données projet'!$B$11,'Paramètres'!$A$1:$I$88,3,0)*0.475*44/12</f>
        <v>0</v>
      </c>
      <c r="BS104" s="163">
        <f t="shared" si="10"/>
        <v>0</v>
      </c>
      <c r="BT104" s="159">
        <f>('Scénario référence'!$F$8+'Scénario référence'!$F$9+'Scénario référence'!$B$17+'Scénario référence'!$B$9+'Scénario référence'!$B$10)*70+IF((45+25*(1-EXP(-0.0175*A104)))&lt;70,'Scénario référence'!$B$16*(45+25*(1-EXP(-0.0175*A104))),70*'Scénario référence'!$B$16)+IF((32+38*(1-EXP(-0.0175*A104)))&lt;70,'Scénario référence'!$B$18*(32+38*(1-EXP(-0.0175*A104))),70*'Scénario référence'!$B$18)</f>
        <v>70</v>
      </c>
      <c r="BU104" s="151">
        <f>IF(A104&gt;30,10,('Scénario référence'!$B$16+'Scénario référence'!$B$17+'Scénario référence'!$B$18+'Scénario référence'!$B$9+'Scénario référence'!$B$10)*A104*10/30+('Scénario référence'!$F$8+'Scénario référence'!$F$9)*10)</f>
        <v>10</v>
      </c>
      <c r="BV104" s="151" t="str">
        <f>VLOOKUP(A104,'Données projet'!$A$113:$I$133,2,0)</f>
        <v>#N/A</v>
      </c>
      <c r="BW104" s="151" t="str">
        <f>VLOOKUP(A104,'Données projet'!$A$113:$I$133,9,0)</f>
        <v>#N/A</v>
      </c>
      <c r="BX104" s="151" t="str">
        <f t="array" ref="BX104">INDEX(BW:BW,MIN(IF(ISNUMBER(BW104:BW300),ROW(BW104:BW300),"")))</f>
        <v/>
      </c>
      <c r="BY104" s="150">
        <f>IF('Données projet'!$A$114&gt;35,BY103+BX104-CG103,IF(A104&lt;'Données projet'!$A$114,$BV$205^A104,IF(A104='Données projet'!$A$114,'Données projet'!$B$114,BY103+BX104-CG103)))</f>
        <v>0</v>
      </c>
      <c r="BZ104" s="150" t="str">
        <f>BY104*VLOOKUP('Données projet'!$B$12,'Paramètres'!$A$1:$I$88,3,0)*VLOOKUP('Données projet'!$B$12,'Paramètres'!$A$1:$I$88,5,0)</f>
        <v>#N/A</v>
      </c>
      <c r="CA104" s="150" t="str">
        <f t="shared" si="40"/>
        <v>#N/A</v>
      </c>
      <c r="CB104" s="161" t="str">
        <f t="shared" si="11"/>
        <v>#N/A</v>
      </c>
      <c r="CC104" s="153" t="str">
        <f t="shared" si="12"/>
        <v>#N/A</v>
      </c>
      <c r="CD104" s="153" t="str">
        <f>AVERAGE(OFFSET($CC$3,0,0,'Données projet'!$E$12+1,1))-AVERAGE(OFFSET($H$3,0,0,'Données projet'!$E$12+1,1))</f>
        <v>#N/A</v>
      </c>
      <c r="CE104" s="153" t="str">
        <f t="shared" si="41"/>
        <v>#N/A</v>
      </c>
      <c r="CF104" s="154">
        <f>IF(ISNA(VLOOKUP(A104,'Données projet'!$A$113:$I$133,3,0)),0,VLOOKUP(A104,'Données projet'!$A$113:$I$133,3,0))</f>
        <v>0</v>
      </c>
      <c r="CG104" s="154">
        <f>IF(ISNA(VLOOKUP(A104,'Données projet'!$A$113:$I$133,4,0)),0,VLOOKUP(A104,'Données projet'!$A$113:$I$133,4,0))</f>
        <v>0</v>
      </c>
      <c r="CH104" s="155">
        <f>IF(ISNA(VLOOKUP(A104,'Données projet'!$A$113:$I$133,5,0)),0%,VLOOKUP(A104,'Données projet'!$A$113:$I$133,5,0)*VLOOKUP('Données projet'!$B$12,'Paramètres'!$A$1:$I$88,7,0))</f>
        <v>0</v>
      </c>
      <c r="CI104" s="155">
        <f>IF(ISNA(VLOOKUP(A104,'Données projet'!$A$113:$I$133,6,0)),0%,VLOOKUP(A104,'Données projet'!$A$113:$I$133,6,0)*VLOOKUP('Données projet'!$B$12,'Paramètres'!$A$1:$I$88,7,0))</f>
        <v>0</v>
      </c>
      <c r="CJ104" s="155">
        <f>IF(ISNA(VLOOKUP(A104,'Données projet'!$A$113:$I$133,7,0)),0%,VLOOKUP(A104,'Données projet'!$A$113:$I$133,7,0))</f>
        <v>0</v>
      </c>
      <c r="CK104" s="162" t="str">
        <f>EXP(-LN(2)/35)*CK103+(1-EXP(-LN(2)/35))/(LN(2)/35)*CG104*CH104*VLOOKUP('Données projet'!$B$12,'Paramètres'!$A$1:$I$88,3,0)*0.475*44/12</f>
        <v>#N/A</v>
      </c>
      <c r="CL104" s="162" t="str">
        <f>EXP(-LN(2)/25)*CL103+(1-EXP(-LN(2)/25))/(LN(2)/25)*Calculateur!CG104*Calculateur!CI104*VLOOKUP('Données projet'!$B$12,'Paramètres'!$A$1:$I$88,3,0)*0.475*44/12</f>
        <v>#N/A</v>
      </c>
      <c r="CM104" s="162" t="str">
        <f>EXP(-LN(2)/2)*CM103+(1-EXP(-LN(2)/2))/(LN(2)/2)*CG104*CJ104*VLOOKUP('Données projet'!$B$12,'Paramètres'!$A$1:$I$88,3,0)*0.475*44/12</f>
        <v>#N/A</v>
      </c>
      <c r="CN104" s="163" t="str">
        <f t="shared" si="13"/>
        <v>#N/A</v>
      </c>
      <c r="CO104" s="159">
        <f>('Scénario référence'!$F$8+'Scénario référence'!$F$9+'Scénario référence'!$B$17+'Scénario référence'!$B$9+'Scénario référence'!$B$10)*70+IF((45+25*(1-EXP(-0.0175*A104)))&lt;70,'Scénario référence'!$B$16*(45+25*(1-EXP(-0.0175*A104))),70*'Scénario référence'!$B$16)+IF((32+38*(1-EXP(-0.0175*A104)))&lt;70,'Scénario référence'!$B$18*(32+38*(1-EXP(-0.0175*A104))),70*'Scénario référence'!$B$18)</f>
        <v>70</v>
      </c>
      <c r="CP104" s="151">
        <f>IF(A104&gt;30,10,('Scénario référence'!$B$16+'Scénario référence'!$B$17+'Scénario référence'!$B$18+'Scénario référence'!$B$9+'Scénario référence'!$B$10)*A104*10/30+('Scénario référence'!$F$8+'Scénario référence'!$F$9)*10)</f>
        <v>10</v>
      </c>
      <c r="CQ104" s="151" t="str">
        <f>VLOOKUP(A104,'Données projet'!$A$139:$I$159,2,0)</f>
        <v>#N/A</v>
      </c>
      <c r="CR104" s="151" t="str">
        <f>VLOOKUP(A104,'Données projet'!$A$139:$I$159,9,0)</f>
        <v>#N/A</v>
      </c>
      <c r="CS104" s="151" t="str">
        <f t="array" ref="CS104">INDEX(CR:CR,MIN(IF(ISNUMBER(CR104:CR300),ROW(CR104:CR300),"")))</f>
        <v/>
      </c>
      <c r="CT104" s="151">
        <f>IF('Données projet'!$A$140&gt;35,CT103+CS104-DB103,IF(A104&lt;'Données projet'!$A$140,$CQ$205^A104,IF(A104='Données projet'!$A$140,'Données projet'!$B$140,CT103+CS104-DB103)))</f>
        <v>0</v>
      </c>
      <c r="CU104" s="158" t="str">
        <f>CT104*VLOOKUP('Données projet'!$B$13,'Paramètres'!$A$1:$I$88,3,0)*VLOOKUP('Données projet'!$B$13,'Paramètres'!$A$1:$I$88,5,0)</f>
        <v>#N/A</v>
      </c>
      <c r="CV104" s="150" t="str">
        <f t="shared" si="42"/>
        <v>#N/A</v>
      </c>
      <c r="CW104" s="161" t="str">
        <f t="shared" si="14"/>
        <v>#N/A</v>
      </c>
      <c r="CX104" s="153" t="str">
        <f t="shared" si="15"/>
        <v>#N/A</v>
      </c>
      <c r="CY104" s="153" t="str">
        <f>AVERAGE(OFFSET($CX$3,0,0,'Données projet'!$E$13+1,1))-AVERAGE(OFFSET($H$3,0,0,'Données projet'!$E$13+1,1))</f>
        <v>#N/A</v>
      </c>
      <c r="CZ104" s="153" t="str">
        <f t="shared" si="43"/>
        <v>#N/A</v>
      </c>
      <c r="DA104" s="154">
        <f>IF(ISNA(VLOOKUP(A104,'Données projet'!$A$139:$I$159,3,0)),0,VLOOKUP(A104,'Données projet'!$A$139:$I$159,3,0))</f>
        <v>0</v>
      </c>
      <c r="DB104" s="154">
        <f>IF(ISNA(VLOOKUP(A104,'Données projet'!$A$139:$I$159,4,0)),0,VLOOKUP(A104,'Données projet'!$A$139:$I$159,4,0))</f>
        <v>0</v>
      </c>
      <c r="DC104" s="155">
        <f>IF(ISNA(VLOOKUP(A104,'Données projet'!$A$139:$I$159,5,0)),0%,VLOOKUP(A104,'Données projet'!$A$139:$I$159,5,0)*VLOOKUP('Données projet'!$B$13,'Paramètres'!$A$1:$I$88,7,0))</f>
        <v>0</v>
      </c>
      <c r="DD104" s="155">
        <f>IF(ISNA(VLOOKUP(A104,'Données projet'!$A$139:$I$159,6,0)),0%,VLOOKUP(A104,'Données projet'!$A$139:$I$159,6,0)*VLOOKUP('Données projet'!$B$13,'Paramètres'!$A$1:$I$88,7,0))</f>
        <v>0</v>
      </c>
      <c r="DE104" s="155">
        <f>IF(ISNA(VLOOKUP(A104,'Données projet'!$A$139:$I$159,7,0)),0%,VLOOKUP(A104,'Données projet'!$A$139:$I$159,7,0))</f>
        <v>0</v>
      </c>
      <c r="DF104" s="162" t="str">
        <f>EXP(-LN(2)/35)*DF103+(1-EXP(-LN(2)/35))/(LN(2)/35)*DB104*DC104*VLOOKUP('Données projet'!$B$13,'Paramètres'!$A$1:$I$88,3,0)*0.475*44/12</f>
        <v>#N/A</v>
      </c>
      <c r="DG104" s="162" t="str">
        <f>EXP(-LN(2)/25)*DG103+(1-EXP(-LN(2)/25))/(LN(2)/25)*Calculateur!DB104*Calculateur!DD104*VLOOKUP('Données projet'!$B$13,'Paramètres'!$A$1:$I$88,3,0)*0.475*44/12</f>
        <v>#N/A</v>
      </c>
      <c r="DH104" s="162" t="str">
        <f>EXP(-LN(2)/2)*DH103+(1-EXP(-LN(2)/2))/(LN(2)/2)*DB104*DE104*VLOOKUP('Données projet'!$B$13,'Paramètres'!$A$1:$I$88,3,0)*0.475*44/12</f>
        <v>#N/A</v>
      </c>
      <c r="DI104" s="163" t="str">
        <f t="shared" si="16"/>
        <v>#N/A</v>
      </c>
      <c r="DJ104" s="159">
        <f>('Scénario référence'!$F$8+'Scénario référence'!$F$9+'Scénario référence'!$B$17+'Scénario référence'!$B$9+'Scénario référence'!$B$10)*70+IF((45+25*(1-EXP(-0.0175*A104)))&lt;70,'Scénario référence'!$B$16*(45+25*(1-EXP(-0.0175*A104))),70*'Scénario référence'!$B$16)+IF((32+38*(1-EXP(-0.0175*A104)))&lt;70,'Scénario référence'!$B$18*(32+38*(1-EXP(-0.0175*A104))),70*'Scénario référence'!$B$18)</f>
        <v>70</v>
      </c>
      <c r="DK104" s="151">
        <f>IF(A104&gt;30,10,('Scénario référence'!$B$16+'Scénario référence'!$B$17+'Scénario référence'!$B$18+'Scénario référence'!$B$9+'Scénario référence'!$B$10)*A104*10/30+('Scénario référence'!$F$8+'Scénario référence'!$F$9)*10)</f>
        <v>10</v>
      </c>
      <c r="DL104" s="151" t="str">
        <f>VLOOKUP(A104,'Données projet'!$A$165:$I$185,2,0)</f>
        <v>#N/A</v>
      </c>
      <c r="DM104" s="151" t="str">
        <f>VLOOKUP(A104,'Données projet'!$A$165:$I$185,9,0)</f>
        <v>#N/A</v>
      </c>
      <c r="DN104" s="151" t="str">
        <f t="array" ref="DN104">INDEX(DM:DM,MIN(IF(ISNUMBER(DM104:DM300),ROW(DM104:DM300),"")))</f>
        <v/>
      </c>
      <c r="DO104" s="151">
        <f>IF('Données projet'!$A$166&gt;35,DO103+DN104-DW103,IF(A104&lt;'Données projet'!$A$166,$DL$205^A104,IF(A104='Données projet'!$A$166,'Données projet'!$B$166,DO103+DN104-DW103)))</f>
        <v>0</v>
      </c>
      <c r="DP104" s="158" t="str">
        <f>DO104*VLOOKUP('Données projet'!$B$14,'Paramètres'!$A$1:$I$88,3,0)*VLOOKUP('Données projet'!$B$14,'Paramètres'!$A$1:$I$88,5,0)</f>
        <v>#N/A</v>
      </c>
      <c r="DQ104" s="150" t="str">
        <f t="shared" si="44"/>
        <v>#N/A</v>
      </c>
      <c r="DR104" s="161" t="str">
        <f t="shared" si="17"/>
        <v>#N/A</v>
      </c>
      <c r="DS104" s="153" t="str">
        <f t="shared" si="18"/>
        <v>#N/A</v>
      </c>
      <c r="DT104" s="153" t="str">
        <f>AVERAGE(OFFSET($DS$3,0,0,'Données projet'!$E$14+1,1))-AVERAGE(OFFSET($H$3,0,0,'Données projet'!$E$14+1,1))</f>
        <v>#N/A</v>
      </c>
      <c r="DU104" s="153" t="str">
        <f t="shared" si="45"/>
        <v>#N/A</v>
      </c>
      <c r="DV104" s="154">
        <f>IF(ISNA(VLOOKUP(A104,'Données projet'!$A$165:$I$185,3,0)),0,VLOOKUP(A104,'Données projet'!$A$165:$I$185,3,0))</f>
        <v>0</v>
      </c>
      <c r="DW104" s="154">
        <f>IF(ISNA(VLOOKUP(A104,'Données projet'!$A$165:$I$185,4,0)),0,VLOOKUP(A104,'Données projet'!$A$165:$I$185,4,0))</f>
        <v>0</v>
      </c>
      <c r="DX104" s="155">
        <f>IF(ISNA(VLOOKUP(A104,'Données projet'!$A$165:$I$185,5,0)),0%,VLOOKUP(A104,'Données projet'!$A$165:$I$185,5,0)*VLOOKUP('Données projet'!$B$14,'Paramètres'!$A$1:$I$88,7,0))</f>
        <v>0</v>
      </c>
      <c r="DY104" s="155">
        <f>IF(ISNA(VLOOKUP(A104,'Données projet'!$A$165:$I$185,6,0)),0%,VLOOKUP(A104,'Données projet'!$A$165:$I$185,6,0)*VLOOKUP('Données projet'!$B$14,'Paramètres'!$A$1:$I$88,7,0))</f>
        <v>0</v>
      </c>
      <c r="DZ104" s="155">
        <f>IF(ISNA(VLOOKUP(A104,'Données projet'!$A$165:$I$185,7,0)),0%,VLOOKUP(A104,'Données projet'!$A$165:$I$185,7,0))</f>
        <v>0</v>
      </c>
      <c r="EA104" s="162" t="str">
        <f>EXP(-LN(2)/35)*EA103+(1-EXP(-LN(2)/35))/(LN(2)/35)*DW104*DX104*VLOOKUP('Données projet'!$B$14,'Paramètres'!$A$1:$I$88,3,0)*0.475*44/12</f>
        <v>#N/A</v>
      </c>
      <c r="EB104" s="162" t="str">
        <f>EXP(-LN(2)/25)*EB103+(1-EXP(-LN(2)/25))/(LN(2)/25)*Calculateur!DW104*Calculateur!DY104*VLOOKUP('Données projet'!$B$14,'Paramètres'!$A$1:$I$88,3,0)*0.475*44/12</f>
        <v>#N/A</v>
      </c>
      <c r="EC104" s="162" t="str">
        <f>EXP(-LN(2)/2)*EC103+(1-EXP(-LN(2)/2))/(LN(2)/2)*DW104*DZ104*VLOOKUP('Données projet'!$B$14,'Paramètres'!$A$1:$I$88,3,0)*0.475*44/12</f>
        <v>#N/A</v>
      </c>
      <c r="ED104" s="163" t="str">
        <f t="shared" si="19"/>
        <v>#N/A</v>
      </c>
      <c r="EE104" s="159">
        <f>('Scénario référence'!$F$8+'Scénario référence'!$F$9+'Scénario référence'!$B$17+'Scénario référence'!$B$9+'Scénario référence'!$B$10)*70+IF((45+25*(1-EXP(-0.0175*A104)))&lt;70,'Scénario référence'!$B$16*(45+25*(1-EXP(-0.0175*A104))),70*'Scénario référence'!$B$16)+IF((32+38*(1-EXP(-0.0175*A104)))&lt;70,'Scénario référence'!$B$18*(32+38*(1-EXP(-0.0175*A104))),70*'Scénario référence'!$B$18)</f>
        <v>70</v>
      </c>
      <c r="EF104" s="151">
        <f>IF(A104&gt;30,10,('Scénario référence'!$B$16+'Scénario référence'!$B$17+'Scénario référence'!$B$18+'Scénario référence'!$B$9+'Scénario référence'!$B$10)*A104*10/30+('Scénario référence'!$F$8+'Scénario référence'!$F$9)*10)</f>
        <v>10</v>
      </c>
      <c r="EG104" s="151" t="str">
        <f>VLOOKUP(A104,'Données projet'!$A$191:$I$211,2,0)</f>
        <v>#N/A</v>
      </c>
      <c r="EH104" s="151" t="str">
        <f>VLOOKUP(A104,'Données projet'!$A$191:$I$211,9,0)</f>
        <v>#N/A</v>
      </c>
      <c r="EI104" s="151" t="str">
        <f t="array" ref="EI104">INDEX(EH:EH,MIN(IF(ISNUMBER(EH104:EH300),ROW(EH104:EH300),"")))</f>
        <v/>
      </c>
      <c r="EJ104" s="151">
        <f>IF('Données projet'!$A$192&gt;35,EJ103+EI104-ER103,IF(A104&lt;'Données projet'!$A$192,$EG$205^A104,IF(A104='Données projet'!$A$192,'Données projet'!$B$192,EJ103+EI104-ER103)))</f>
        <v>0</v>
      </c>
      <c r="EK104" s="158" t="str">
        <f>EJ104*VLOOKUP('Données projet'!$B$15,'Paramètres'!$A$1:$I$88,3,0)*VLOOKUP('Données projet'!$B$15,'Paramètres'!$A$1:$I$88,5,0)</f>
        <v>#N/A</v>
      </c>
      <c r="EL104" s="150" t="str">
        <f t="shared" si="46"/>
        <v>#N/A</v>
      </c>
      <c r="EM104" s="161" t="str">
        <f t="shared" si="20"/>
        <v>#N/A</v>
      </c>
      <c r="EN104" s="153" t="str">
        <f t="shared" si="21"/>
        <v>#N/A</v>
      </c>
      <c r="EO104" s="153" t="str">
        <f>AVERAGE(OFFSET($EN$3,0,0,'Données projet'!$E$15+1,1))-AVERAGE(OFFSET($H$3,0,0,'Données projet'!$E$15+1,1))</f>
        <v>#N/A</v>
      </c>
      <c r="EP104" s="153" t="str">
        <f t="shared" si="47"/>
        <v>#N/A</v>
      </c>
      <c r="EQ104" s="154">
        <f>IF(ISNA(VLOOKUP(A104,'Données projet'!$A$191:$I$211,3,0)),0,VLOOKUP(A104,'Données projet'!$A$191:$I$211,3,0))</f>
        <v>0</v>
      </c>
      <c r="ER104" s="154">
        <f>IF(ISNA(VLOOKUP(A104,'Données projet'!$A$191:$I$211,4,0)),0,VLOOKUP(A104,'Données projet'!$A$191:$I$211,4,0))</f>
        <v>0</v>
      </c>
      <c r="ES104" s="155">
        <f>IF(ISNA(VLOOKUP(A104,'Données projet'!$A$191:$I$211,5,0)),0%,VLOOKUP(A104,'Données projet'!$A$191:$I$211,5,0)*VLOOKUP('Données projet'!$B$15,'Paramètres'!$A$1:$I$88,7,0))</f>
        <v>0</v>
      </c>
      <c r="ET104" s="155">
        <f>IF(ISNA(VLOOKUP(A104,'Données projet'!$A$191:$I$211,6,0)),0%,VLOOKUP(A104,'Données projet'!$A$191:$I$211,6,0)*VLOOKUP('Données projet'!$B$15,'Paramètres'!$A$1:$I$88,7,0))</f>
        <v>0</v>
      </c>
      <c r="EU104" s="155">
        <f>IF(ISNA(VLOOKUP(A104,'Données projet'!$A$191:$I$211,7,0)),0%,VLOOKUP(A104,'Données projet'!$A$191:$I$211,7,0))</f>
        <v>0</v>
      </c>
      <c r="EV104" s="162" t="str">
        <f>EXP(-LN(2)/35)*EV103+(1-EXP(-LN(2)/35))/(LN(2)/35)*ER104*ES104*VLOOKUP('Données projet'!$B$15,'Paramètres'!$A$1:$I$88,3,0)*0.475*44/12</f>
        <v>#N/A</v>
      </c>
      <c r="EW104" s="162" t="str">
        <f>EXP(-LN(2)/25)*EW103+(1-EXP(-LN(2)/25))/(LN(2)/25)*Calculateur!ER104*Calculateur!ET104*VLOOKUP('Données projet'!$B$15,'Paramètres'!$A$1:$I$88,3,0)*0.475*44/12</f>
        <v>#N/A</v>
      </c>
      <c r="EX104" s="162" t="str">
        <f>EXP(-LN(2)/2)*EX103+(1-EXP(-LN(2)/2))/(LN(2)/2)*ER104*EU104*VLOOKUP('Données projet'!$B$15,'Paramètres'!$A$1:$I$88,3,0)*0.475*44/12</f>
        <v>#N/A</v>
      </c>
      <c r="EY104" s="163" t="str">
        <f t="shared" si="22"/>
        <v>#N/A</v>
      </c>
      <c r="EZ104" s="159">
        <f>('Scénario référence'!$F$8+'Scénario référence'!$F$9+'Scénario référence'!$B$17+'Scénario référence'!$B$9+'Scénario référence'!$B$10)*70+IF((45+25*(1-EXP(-0.0175*A104)))&lt;70,'Scénario référence'!$B$16*(45+25*(1-EXP(-0.0175*A104))),70*'Scénario référence'!$B$16)+IF((32+38*(1-EXP(-0.0175*A104)))&lt;70,'Scénario référence'!$B$18*(32+38*(1-EXP(-0.0175*A104))),70*'Scénario référence'!$B$18)</f>
        <v>70</v>
      </c>
      <c r="FA104" s="151">
        <f>IF(A104&gt;30,10,('Scénario référence'!$B$16+'Scénario référence'!$B$17+'Scénario référence'!$B$18+'Scénario référence'!$B$9+'Scénario référence'!$B$10)*A104*10/30+('Scénario référence'!$F$8+'Scénario référence'!$F$9)*10)</f>
        <v>10</v>
      </c>
      <c r="FB104" s="151" t="str">
        <f>VLOOKUP(A104,'Données projet'!$A$217:$I$237,2,0)</f>
        <v>#N/A</v>
      </c>
      <c r="FC104" s="151" t="str">
        <f>VLOOKUP(A104,'Données projet'!$A$217:$I$237,9,0)</f>
        <v>#N/A</v>
      </c>
      <c r="FD104" s="151" t="str">
        <f t="array" ref="FD104">INDEX(FC:FC,MIN(IF(ISNUMBER(FC104:FC300),ROW(FC104:FC300),"")))</f>
        <v/>
      </c>
      <c r="FE104" s="151">
        <f>IF('Données projet'!$A$218&gt;35,FE103+FD104-FM103,IF(A104&lt;'Données projet'!$A$218,$FB$205^A104,IF(A104='Données projet'!$A$218,'Données projet'!$B$218,FE103+FD104-FM103)))</f>
        <v>0</v>
      </c>
      <c r="FF104" s="158" t="str">
        <f>FE104*VLOOKUP('Données projet'!$B$16,'Paramètres'!$A$1:$I$88,3,0)*VLOOKUP('Données projet'!$B$16,'Paramètres'!$A$1:$I$88,5,0)</f>
        <v>#N/A</v>
      </c>
      <c r="FG104" s="150" t="str">
        <f t="shared" si="48"/>
        <v>#N/A</v>
      </c>
      <c r="FH104" s="161" t="str">
        <f t="shared" si="23"/>
        <v>#N/A</v>
      </c>
      <c r="FI104" s="153" t="str">
        <f t="shared" si="24"/>
        <v>#N/A</v>
      </c>
      <c r="FJ104" s="153" t="str">
        <f>AVERAGE(OFFSET($FI$3,0,0,'Données projet'!$E$16+1,1))-AVERAGE(OFFSET($H$3,0,0,'Données projet'!$E$16+1,1))</f>
        <v>#N/A</v>
      </c>
      <c r="FK104" s="153" t="str">
        <f t="shared" si="49"/>
        <v>#N/A</v>
      </c>
      <c r="FL104" s="154">
        <f>IF(ISNA(VLOOKUP(A104,'Données projet'!$A$217:$I$237,3,0)),0,VLOOKUP(A104,'Données projet'!$A$217:$I$237,3,0))</f>
        <v>0</v>
      </c>
      <c r="FM104" s="154">
        <f>IF(ISNA(VLOOKUP(A104,'Données projet'!$A$217:$I$237,4,0)),0,VLOOKUP(A104,'Données projet'!$A$217:$I$237,4,0))</f>
        <v>0</v>
      </c>
      <c r="FN104" s="155">
        <f>IF(ISNA(VLOOKUP(A104,'Données projet'!$A$217:$I$237,5,0)),0%,VLOOKUP(A104,'Données projet'!$A$217:$I$237,5,0)*VLOOKUP('Données projet'!$B$16,'Paramètres'!$A$1:$I$88,7,0))</f>
        <v>0</v>
      </c>
      <c r="FO104" s="155">
        <f>IF(ISNA(VLOOKUP(A104,'Données projet'!$A$217:$I$237,6,0)),0%,VLOOKUP(A104,'Données projet'!$A$217:$I$237,6,0)*VLOOKUP('Données projet'!$B$16,'Paramètres'!$A$1:$I$88,7,0))</f>
        <v>0</v>
      </c>
      <c r="FP104" s="155">
        <f>IF(ISNA(VLOOKUP(A104,'Données projet'!$A$217:$I$237,7,0)),0%,VLOOKUP(A104,'Données projet'!$A$217:$I$237,7,0))</f>
        <v>0</v>
      </c>
      <c r="FQ104" s="162" t="str">
        <f>EXP(-LN(2)/35)*FQ103+(1-EXP(-LN(2)/35))/(LN(2)/35)*FM104*FN104*VLOOKUP('Données projet'!$B$16,'Paramètres'!$A$1:$I$88,3,0)*0.475*44/12</f>
        <v>#N/A</v>
      </c>
      <c r="FR104" s="162" t="str">
        <f>EXP(-LN(2)/25)*FR103+(1-EXP(-LN(2)/25))/(LN(2)/25)*Calculateur!FM104*Calculateur!FO104*VLOOKUP('Données projet'!$B$16,'Paramètres'!$A$1:$I$88,3,0)*0.475*44/12</f>
        <v>#N/A</v>
      </c>
      <c r="FS104" s="162" t="str">
        <f>EXP(-LN(2)/2)*FS103+(1-EXP(-LN(2)/2))/(LN(2)/2)*FM104*FP104*VLOOKUP('Données projet'!$B$16,'Paramètres'!$A$1:$I$88,3,0)*0.475*44/12</f>
        <v>#N/A</v>
      </c>
      <c r="FT104" s="163" t="str">
        <f t="shared" si="25"/>
        <v>#N/A</v>
      </c>
      <c r="FU104" s="159">
        <f>('Scénario référence'!$F$8+'Scénario référence'!$F$9+'Scénario référence'!$B$17+'Scénario référence'!$B$9+'Scénario référence'!$B$10)*70+IF((45+25*(1-EXP(-0.0175*A104)))&lt;70,'Scénario référence'!$B$16*(45+25*(1-EXP(-0.0175*A104))),70*'Scénario référence'!$B$16)+IF((32+38*(1-EXP(-0.0175*A104)))&lt;70,'Scénario référence'!$B$18*(32+38*(1-EXP(-0.0175*A104))),70*'Scénario référence'!$B$18)</f>
        <v>70</v>
      </c>
      <c r="FV104" s="151">
        <f>IF(A104&gt;30,10,('Scénario référence'!$B$16+'Scénario référence'!$B$17+'Scénario référence'!$B$18+'Scénario référence'!$B$9+'Scénario référence'!$B$10)*A104*10/30+('Scénario référence'!$F$8+'Scénario référence'!$F$9)*10)</f>
        <v>10</v>
      </c>
      <c r="FW104" s="151" t="str">
        <f>VLOOKUP(A104,'Données projet'!$A$243:$I$263,2,0)</f>
        <v>#N/A</v>
      </c>
      <c r="FX104" s="151" t="str">
        <f>VLOOKUP(A104,'Données projet'!$A$243:$I$263,9,0)</f>
        <v>#N/A</v>
      </c>
      <c r="FY104" s="151" t="str">
        <f t="array" ref="FY104">INDEX(FX:FX,MIN(IF(ISNUMBER(FX104:FX300),ROW(FX104:FX300),"")))</f>
        <v/>
      </c>
      <c r="FZ104" s="151">
        <f>IF('Données projet'!$A$244&gt;35,FZ103+FY104-GH103,IF(A104&lt;'Données projet'!$A$244,$FW$205^A104,IF(A104='Données projet'!$A$244,'Données projet'!$B$244,FZ103+FY104-GH103)))</f>
        <v>0</v>
      </c>
      <c r="GA104" s="158" t="str">
        <f>FZ104*VLOOKUP('Données projet'!$B$17,'Paramètres'!$A$1:$I$88,3,0)*VLOOKUP('Données projet'!$B$17,'Paramètres'!$A$1:$I$88,5,0)</f>
        <v>#N/A</v>
      </c>
      <c r="GB104" s="150" t="str">
        <f t="shared" si="50"/>
        <v>#N/A</v>
      </c>
      <c r="GC104" s="161" t="str">
        <f t="shared" si="26"/>
        <v>#N/A</v>
      </c>
      <c r="GD104" s="153" t="str">
        <f t="shared" si="27"/>
        <v>#N/A</v>
      </c>
      <c r="GE104" s="153" t="str">
        <f>AVERAGE(OFFSET($GD$3,0,0,'Données projet'!$E$17+1,1))-AVERAGE(OFFSET($H$3,0,0,'Données projet'!$E$17+1,1))</f>
        <v>#N/A</v>
      </c>
      <c r="GF104" s="153" t="str">
        <f t="shared" si="51"/>
        <v>#N/A</v>
      </c>
      <c r="GG104" s="154">
        <f>IF(ISNA(VLOOKUP(A104,'Données projet'!$A$243:$I$263,3,0)),0,VLOOKUP(A104,'Données projet'!$A$243:$I$263,3,0))</f>
        <v>0</v>
      </c>
      <c r="GH104" s="154">
        <f>IF(ISNA(VLOOKUP(A104,'Données projet'!$A$243:$I$263,4,0)),0,VLOOKUP(A104,'Données projet'!$A$243:$I$263,4,0))</f>
        <v>0</v>
      </c>
      <c r="GI104" s="155">
        <f>IF(ISNA(VLOOKUP(A104,'Données projet'!$A$243:$I$263,5,0)),0%,VLOOKUP(A104,'Données projet'!$A$243:$I$263,5,0)*VLOOKUP('Données projet'!$B$17,'Paramètres'!$A$1:$I$88,7,0))</f>
        <v>0</v>
      </c>
      <c r="GJ104" s="155">
        <f>IF(ISNA(VLOOKUP(A104,'Données projet'!$A$243:$I$263,6,0)),0%,VLOOKUP(A104,'Données projet'!$A$243:$I$263,6,0)*VLOOKUP('Données projet'!$B$17,'Paramètres'!$A$1:$I$88,7,0))</f>
        <v>0</v>
      </c>
      <c r="GK104" s="155">
        <f>IF(ISNA(VLOOKUP(A104,'Données projet'!$A$243:$I$263,7,0)),0%,VLOOKUP(A104,'Données projet'!$A$243:$I$263,7,0))</f>
        <v>0</v>
      </c>
      <c r="GL104" s="162" t="str">
        <f>EXP(-LN(2)/35)*GL103+(1-EXP(-LN(2)/35))/(LN(2)/35)*GH104*GI104*VLOOKUP('Données projet'!$B$17,'Paramètres'!$A$1:$I$88,3,0)*0.475*44/12</f>
        <v>#N/A</v>
      </c>
      <c r="GM104" s="162" t="str">
        <f>EXP(-LN(2)/25)*GM103+(1-EXP(-LN(2)/25))/(LN(2)/25)*Calculateur!GH104*Calculateur!GJ104*VLOOKUP('Données projet'!$B$17,'Paramètres'!$A$1:$I$88,3,0)*0.475*44/12</f>
        <v>#N/A</v>
      </c>
      <c r="GN104" s="162" t="str">
        <f>EXP(-LN(2)/2)*GN103+(1-EXP(-LN(2)/2))/(LN(2)/2)*GH104*GK104*VLOOKUP('Données projet'!$B$17,'Paramètres'!$A$1:$I$88,3,0)*0.475*44/12</f>
        <v>#N/A</v>
      </c>
      <c r="GO104" s="162" t="str">
        <f t="shared" si="28"/>
        <v>#N/A</v>
      </c>
      <c r="GP104" s="159">
        <f>('Scénario référence'!$F$8+'Scénario référence'!$F$9+'Scénario référence'!$B$17+'Scénario référence'!$B$9+'Scénario référence'!$B$10)*70+IF((45+25*(1-EXP(-0.0175*A104)))&lt;70,'Scénario référence'!$B$16*(45+25*(1-EXP(-0.0175*A104))),70*'Scénario référence'!$B$16)+IF((32+38*(1-EXP(-0.0175*A104)))&lt;70,'Scénario référence'!$B$18*(32+38*(1-EXP(-0.0175*A104))),70*'Scénario référence'!$B$18)</f>
        <v>70</v>
      </c>
      <c r="GQ104" s="151">
        <f>IF(A104&gt;30,10,('Scénario référence'!$B$16+'Scénario référence'!$B$17+'Scénario référence'!$B$18+'Scénario référence'!$B$9+'Scénario référence'!$B$10)*A104*10/30+('Scénario référence'!$F$8+'Scénario référence'!$F$9)*10)</f>
        <v>10</v>
      </c>
      <c r="GR104" s="151" t="str">
        <f>VLOOKUP(A104,'Données projet'!$A$269:$I$289,2,0)</f>
        <v>#N/A</v>
      </c>
      <c r="GS104" s="151" t="str">
        <f>VLOOKUP(A104,'Données projet'!$A$269:$I$289,9,0)</f>
        <v>#N/A</v>
      </c>
      <c r="GT104" s="151" t="str">
        <f t="array" ref="GT104">INDEX(GS:GS,MIN(IF(ISNUMBER(GS104:GS300),ROW(GS104:GS300),"")))</f>
        <v/>
      </c>
      <c r="GU104" s="151">
        <f>IF('Données projet'!$A$270&gt;35,GU103+GT104-HC103,IF(A104&lt;'Données projet'!$A$270,$GR$205^A104,IF(A104='Données projet'!$A$270,'Données projet'!$B$270,GU103+GT104-HC103)))</f>
        <v>0</v>
      </c>
      <c r="GV104" s="158" t="str">
        <f>GU104*VLOOKUP('Données projet'!$B$18,'Paramètres'!$A$1:$I$88,3,0)*VLOOKUP('Données projet'!$B$18,'Paramètres'!$A$1:$I$88,5,0)</f>
        <v>#N/A</v>
      </c>
      <c r="GW104" s="150" t="str">
        <f t="shared" si="52"/>
        <v>#N/A</v>
      </c>
      <c r="GX104" s="161" t="str">
        <f t="shared" si="29"/>
        <v>#N/A</v>
      </c>
      <c r="GY104" s="153" t="str">
        <f t="shared" si="30"/>
        <v>#N/A</v>
      </c>
      <c r="GZ104" s="153" t="str">
        <f>AVERAGE(OFFSET($GY$3,0,0,'Données projet'!$E$18+1,1))-AVERAGE(OFFSET($H$3,0,0,'Données projet'!$E$18+1,1))</f>
        <v>#N/A</v>
      </c>
      <c r="HA104" s="153" t="str">
        <f t="shared" si="53"/>
        <v>#N/A</v>
      </c>
      <c r="HB104" s="154">
        <f>IF(ISNA(VLOOKUP(A104,'Données projet'!$A$269:$I$289,3,0)),0,VLOOKUP(A104,'Données projet'!$A$269:$I$289,3,0))</f>
        <v>0</v>
      </c>
      <c r="HC104" s="154">
        <f>IF(ISNA(VLOOKUP(A104,'Données projet'!$A$269:$I$289,4,0)),0,VLOOKUP(A104,'Données projet'!$A$269:$I$289,4,0))</f>
        <v>0</v>
      </c>
      <c r="HD104" s="155">
        <f>IF(ISNA(VLOOKUP(A104,'Données projet'!$A$269:$I$289,5,0)),0%,VLOOKUP(A104,'Données projet'!$A$269:$I$289,5,0)*VLOOKUP('Données projet'!$B$18,'Paramètres'!$A$1:$I$88,7,0))</f>
        <v>0</v>
      </c>
      <c r="HE104" s="155">
        <f>IF(ISNA(VLOOKUP(A104,'Données projet'!$A$269:$I$289,6,0)),0%,VLOOKUP(A104,'Données projet'!$A$269:$I$289,6,0)*VLOOKUP('Données projet'!$B$18,'Paramètres'!$A$1:$I$88,7,0))</f>
        <v>0</v>
      </c>
      <c r="HF104" s="155">
        <f>IF(ISNA(VLOOKUP(A104,'Données projet'!$A$269:$I$289,7,0)),0%,VLOOKUP(A104,'Données projet'!$A$269:$I$289,7,0))</f>
        <v>0</v>
      </c>
      <c r="HG104" s="162" t="str">
        <f>EXP(-LN(2)/35)*HG103+(1-EXP(-LN(2)/35))/(LN(2)/35)*HC104*HD104*VLOOKUP('Données projet'!$B$18,'Paramètres'!$A$1:$I$88,3,0)*0.475*44/12</f>
        <v>#N/A</v>
      </c>
      <c r="HH104" s="162" t="str">
        <f>EXP(-LN(2)/25)*HH103+(1-EXP(-LN(2)/25))/(LN(2)/25)*Calculateur!HC104*Calculateur!HE104*VLOOKUP('Données projet'!$B$18,'Paramètres'!$A$1:$I$88,3,0)*0.475*44/12</f>
        <v>#N/A</v>
      </c>
      <c r="HI104" s="162" t="str">
        <f>EXP(-LN(2)/2)*HI103+(1-EXP(-LN(2)/2))/(LN(2)/2)*HC104*HF104*VLOOKUP('Données projet'!$B$18,'Paramètres'!$A$1:$I$88,3,0)*0.475*44/12</f>
        <v>#N/A</v>
      </c>
      <c r="HJ104" s="163" t="str">
        <f t="shared" si="31"/>
        <v>#N/A</v>
      </c>
    </row>
    <row r="105" ht="15.75" customHeight="1">
      <c r="A105" s="145">
        <f t="shared" si="32"/>
        <v>102</v>
      </c>
      <c r="B105" s="146">
        <f>'Scénario référence'!$B$16*5+'Scénario référence'!$B$17*0+'Scénario référence'!$B$18*5</f>
        <v>0</v>
      </c>
      <c r="C105" s="160">
        <f>Calculateur!C104+'Scénario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05" s="147">
        <f t="shared" si="33"/>
        <v>0</v>
      </c>
      <c r="E105" s="147">
        <f>'Scénario référence'!$B$16*45+('Scénario référence'!$B$17+'Scénario référence'!$F$8+'Scénario référence'!$F$9+'Scénario référence'!$B$10+'Scénario référence'!$B$9)*70+'Scénario référence'!$B$18*32</f>
        <v>70</v>
      </c>
      <c r="F105" s="147">
        <f>IF(OR('Scénario référence'!$F$8&gt;0,'Scénario référence'!$F$9&gt;0),('Scénario référence'!$F$8+'Scénario référence'!$F$9)*10,0)</f>
        <v>0</v>
      </c>
      <c r="G105" s="147">
        <f>'Scénario référence'!$B$8*B105*44/12+'Scénario référence'!$B$9*(C105+D105)/0.475*44/12+'Scénario référence'!$B$10*(C105+D105)/0.475*44/12+'Scénario référence'!$F$8*(C105+D105)/0.475*44/12+'Scénario référence'!$F$9*(C105+D105)/0.475*44/12</f>
        <v>0</v>
      </c>
      <c r="H105" s="148">
        <f t="shared" si="1"/>
        <v>256.6666667</v>
      </c>
      <c r="I105" s="149">
        <f>('Scénario référence'!$F$8+'Scénario référence'!$F$9+'Scénario référence'!$B$17+'Scénario référence'!$B$9+'Scénario référence'!$B$10)*70+IF((45+25*(1-EXP(-0.0175*A105)))&lt;70,'Scénario référence'!$B$16*(45+25*(1-EXP(-0.0175*A105))),70*'Scénario référence'!$B$16)+IF((32+38*(1-EXP(-0.0175*A105)))&lt;70,'Scénario référence'!$B$18*(32+38*(1-EXP(-0.0175*A105))),70*'Scénario référence'!$B$18)</f>
        <v>70</v>
      </c>
      <c r="J105" s="150">
        <f>IF(A105&gt;30,10,('Scénario référence'!$B$16+'Scénario référence'!$B$17+'Scénario référence'!$B$18+'Scénario référence'!$B$9+'Scénario référence'!$B$10)*A105*10/30+('Scénario référence'!$F$8+'Scénario référence'!$F$9)*10)</f>
        <v>10</v>
      </c>
      <c r="K105" s="151" t="str">
        <f>VLOOKUP(A105,'Données projet'!$A$35:$I$55,2,0)</f>
        <v>#N/A</v>
      </c>
      <c r="L105" s="151" t="str">
        <f>VLOOKUP(A105,'Données projet'!$A$35:$I$55,9,0)</f>
        <v>#N/A</v>
      </c>
      <c r="M105" s="150">
        <f t="array" ref="M105">INDEX(L:L,MIN(IF(ISNUMBER(L105:L301),ROW(L105:L301),"")))</f>
        <v>5.4</v>
      </c>
      <c r="N105" s="150">
        <f>IF('Données projet'!$A$36&gt;35,N104+M105-V104,IF(A105&lt;'Données projet'!$A$36,$K$205^A105,IF(A105='Données projet'!$A$36,'Données projet'!$B$36,N104+M105-V104)))</f>
        <v>316.8</v>
      </c>
      <c r="O105" s="150">
        <f>N105*VLOOKUP('Données projet'!$B$9,'Paramètres'!$A$1:$I$88,3,0)*VLOOKUP('Données projet'!$B$9,'Paramètres'!$A$1:$I$88,5,0)</f>
        <v>286.64064</v>
      </c>
      <c r="P105" s="150">
        <f t="shared" si="34"/>
        <v>68.36844683</v>
      </c>
      <c r="Q105" s="161">
        <f t="shared" si="2"/>
        <v>618.3074929</v>
      </c>
      <c r="R105" s="153">
        <f t="shared" si="3"/>
        <v>911.6408262</v>
      </c>
      <c r="S105" s="153">
        <f>AVERAGE(OFFSET($R$3,0,0,'Données projet'!$E$9+1,1))-AVERAGE(OFFSET($H$3,0,0,'Données projet'!$E$9+1,1))</f>
        <v>439.1985427</v>
      </c>
      <c r="T105" s="153">
        <f t="shared" si="35"/>
        <v>278.2174123</v>
      </c>
      <c r="U105" s="154">
        <f>IF(ISNA(VLOOKUP(A105,'Données projet'!$A$35:$I$55,3,0)),0,VLOOKUP(A105,'Données projet'!$A$35:$I$55,3,0))</f>
        <v>0</v>
      </c>
      <c r="V105" s="154">
        <f>IF(ISNA(VLOOKUP(A105,'Données projet'!$A$35:$I$55,4,0)),0,VLOOKUP(A105,'Données projet'!$A$35:$I$55,4,0))</f>
        <v>0</v>
      </c>
      <c r="W105" s="155">
        <f>IF(ISNA(VLOOKUP(A105,'Données projet'!$A$35:$I$55,5,0)),0%,VLOOKUP(A105,'Données projet'!$A$35:$I$55,5,0)*VLOOKUP('Données projet'!$B$9,'Paramètres'!$A$1:$I$88,7,0))</f>
        <v>0</v>
      </c>
      <c r="X105" s="155">
        <f>IF(ISNA(VLOOKUP(A105,'Données projet'!$A$35:$I$55,6,0)),0%,VLOOKUP(A105,'Données projet'!$A$35:$I$55,6,0)*VLOOKUP('Données projet'!$B$9,'Paramètres'!$A$1:$I$88,7,0))</f>
        <v>0</v>
      </c>
      <c r="Y105" s="155">
        <f>IF(ISNA(VLOOKUP(A105,'Données projet'!$A$35:$I$55,7,0)),0%,VLOOKUP(A105,'Données projet'!$A$35:$I$55,7,0))</f>
        <v>0</v>
      </c>
      <c r="Z105" s="162">
        <f>EXP(-LN(2)/35)*Z104+(1-EXP(-LN(2)/35))/(LN(2)/35)*V105*W105*VLOOKUP('Données projet'!$B$9,'Paramètres'!$A$1:$I$88,3,0)*0.475*44/12</f>
        <v>0</v>
      </c>
      <c r="AA105" s="162">
        <f>EXP(-LN(2)/25)*AA104+(1-EXP(-LN(2)/25))/(LN(2)/25)*Calculateur!V105*Calculateur!X105*VLOOKUP('Données projet'!$B$9,'Paramètres'!$A$1:$I$88,3,0)*0.475*44/12</f>
        <v>0.6096013098</v>
      </c>
      <c r="AB105" s="162">
        <f>EXP(-LN(2)/2)*AB104+(1-EXP(-LN(2)/2))/(LN(2)/2)*V105*Y105*VLOOKUP('Données projet'!$B$9,'Paramètres'!$A$1:$I$88,3,0)*0.475*44/12</f>
        <v>0</v>
      </c>
      <c r="AC105" s="163">
        <f t="shared" si="4"/>
        <v>0.6096013098</v>
      </c>
      <c r="AD105" s="150">
        <f>('Scénario référence'!$F$8+'Scénario référence'!$F$9+'Scénario référence'!$B$17+'Scénario référence'!$B$9+'Scénario référence'!$B$10)*70+IF((45+25*(1-EXP(-0.0175*A105)))&lt;70,'Scénario référence'!$B$16*(45+25*(1-EXP(-0.0175*A105))),70*'Scénario référence'!$B$16)+IF((32+38*(1-EXP(-0.0175*A105)))&lt;70,'Scénario référence'!$B$18*(32+38*(1-EXP(-0.0175*A105))),70*'Scénario référence'!$B$18)</f>
        <v>70</v>
      </c>
      <c r="AE105" s="150">
        <f>IF(A105&gt;30,10,('Scénario référence'!$B$16+'Scénario référence'!$B$17+'Scénario référence'!$B$18+'Scénario référence'!$B$9+'Scénario référence'!$B$10)*A105*10/30+('Scénario référence'!$F$8+'Scénario référence'!$F$9)*10)</f>
        <v>10</v>
      </c>
      <c r="AF105" s="151" t="str">
        <f>VLOOKUP(A105,'Données projet'!$A$61:$I$81,2,0)</f>
        <v>#N/A</v>
      </c>
      <c r="AG105" s="151" t="str">
        <f>VLOOKUP(A105,'Données projet'!$A$61:$I$81,9,0)</f>
        <v>#N/A</v>
      </c>
      <c r="AH105" s="151" t="str">
        <f t="array" ref="AH105">INDEX(AG:AG,MIN(IF(ISNUMBER(AG105:AG301),ROW(AG105:AG301),"")))</f>
        <v/>
      </c>
      <c r="AI105" s="150">
        <f>IF('Données projet'!$A$62&gt;35,AI104+AH105-AQ104,IF(A105&lt;'Données projet'!$A$62,$AF$205^A105,IF(A105='Données projet'!$A$62,'Données projet'!$B$62,AI104+AH105-AQ104)))</f>
        <v>369</v>
      </c>
      <c r="AJ105" s="150">
        <f>AI105*VLOOKUP('Données projet'!$B$10,'Paramètres'!$A$1:$I$88,3,0)*VLOOKUP('Données projet'!$B$10,'Paramètres'!$A$1:$I$88,5,0)</f>
        <v>293.5764</v>
      </c>
      <c r="AK105" s="150">
        <f t="shared" si="36"/>
        <v>69.82813851</v>
      </c>
      <c r="AL105" s="161">
        <f t="shared" si="5"/>
        <v>632.9295712</v>
      </c>
      <c r="AM105" s="153">
        <f t="shared" si="6"/>
        <v>926.2629046</v>
      </c>
      <c r="AN105" s="153">
        <f>AVERAGE(OFFSET($AM$3,0,0,'Données projet'!$E$10+1,1))-AVERAGE(OFFSET($H$3,0,0,'Données projet'!$E$10+1,1))</f>
        <v>405.6113614</v>
      </c>
      <c r="AO105" s="153">
        <f t="shared" si="37"/>
        <v>393.0787141</v>
      </c>
      <c r="AP105" s="154">
        <f>IF(ISNA(VLOOKUP(A105,'Données projet'!$A$61:$I$81,3,0)),0,VLOOKUP(A105,'Données projet'!$A$61:$I$81,3,0))</f>
        <v>0</v>
      </c>
      <c r="AQ105" s="154">
        <f>IF(ISNA(VLOOKUP(A105,'Données projet'!$A$61:$I$81,4,0)),0,VLOOKUP(A105,'Données projet'!$A$61:$I$81,4,0))</f>
        <v>0</v>
      </c>
      <c r="AR105" s="155">
        <f>IF(ISNA(VLOOKUP(A105,'Données projet'!$A$61:$I$81,5,0)),0%,VLOOKUP(A105,'Données projet'!$A$61:$I$81,5,0)*VLOOKUP('Données projet'!$B$10,'Paramètres'!$A$1:$I$88,7,0))</f>
        <v>0</v>
      </c>
      <c r="AS105" s="155">
        <f>IF(ISNA(VLOOKUP(A105,'Données projet'!$A$61:$I$81,6,0)),0%,VLOOKUP(A105,'Données projet'!$A$61:$I$81,6,0)*VLOOKUP('Données projet'!$B$10,'Paramètres'!$A$1:$I$88,7,0))</f>
        <v>0</v>
      </c>
      <c r="AT105" s="155">
        <f>IF(ISNA(VLOOKUP(A105,'Données projet'!$A$61:$I$81,7,0)),0%,VLOOKUP(A105,'Données projet'!$A$61:$I$81,7,0))</f>
        <v>0</v>
      </c>
      <c r="AU105" s="162">
        <f>EXP(-LN(2)/35)*AU104+(1-EXP(-LN(2)/35))/(LN(2)/35)*AQ105*AR105*VLOOKUP('Données projet'!$B$10,'Paramètres'!$A$1:$I$88,3,0)*0.475*44/12</f>
        <v>0</v>
      </c>
      <c r="AV105" s="162">
        <f>EXP(-LN(2)/25)*AV104+(1-EXP(-LN(2)/25))/(LN(2)/25)*Calculateur!AQ105*Calculateur!AS105*VLOOKUP('Données projet'!$B$10,'Paramètres'!$A$1:$I$88,3,0)*0.475*44/12</f>
        <v>2.47757469</v>
      </c>
      <c r="AW105" s="162">
        <f>EXP(-LN(2)/2)*AW104+(1-EXP(-LN(2)/2))/(LN(2)/2)*AQ105*AT105*VLOOKUP('Données projet'!$B$10,'Paramètres'!$A$1:$I$88,3,0)*0.475*44/12</f>
        <v>0</v>
      </c>
      <c r="AX105" s="162">
        <f t="shared" si="7"/>
        <v>2.47757469</v>
      </c>
      <c r="AY105" s="157">
        <f>('Scénario référence'!$F$8+'Scénario référence'!$F$9+'Scénario référence'!$B$17+'Scénario référence'!$B$9+'Scénario référence'!$B$10)*70+IF((45+25*(1-EXP(-0.0175*A105)))&lt;70,'Scénario référence'!$B$16*(45+25*(1-EXP(-0.0175*A105))),70*'Scénario référence'!$B$16)+IF((32+38*(1-EXP(-0.0175*A105)))&lt;70,'Scénario référence'!$B$18*(32+38*(1-EXP(-0.0175*A105))),70*'Scénario référence'!$B$18)</f>
        <v>70</v>
      </c>
      <c r="AZ105" s="151">
        <f>IF(A105&gt;30,10,('Scénario référence'!$B$16+'Scénario référence'!$B$17+'Scénario référence'!$B$18+'Scénario référence'!$B$9+'Scénario référence'!$B$10)*A105*10/30+('Scénario référence'!$F$8+'Scénario référence'!$F$9)*10)</f>
        <v>10</v>
      </c>
      <c r="BA105" s="151" t="str">
        <f>VLOOKUP(A105,'Données projet'!$A$87:$I$107,2,0)</f>
        <v>#N/A</v>
      </c>
      <c r="BB105" s="151" t="str">
        <f>VLOOKUP(A105,'Données projet'!$A$87:$I$107,9,0)</f>
        <v>#N/A</v>
      </c>
      <c r="BC105" s="151" t="str">
        <f t="array" ref="BC105">INDEX(BB:BB,MIN(IF(ISNUMBER(BB105:BB301),ROW(BB105:BB301),"")))</f>
        <v/>
      </c>
      <c r="BD105" s="150">
        <f>IF('Données projet'!$A$88&gt;35,BD104+BC105-BL104,IF(A105&lt;'Données projet'!$A$88,$BA$205^A105,IF(A105='Données projet'!$A$88,'Données projet'!$B$88,BD104+BC105-BL104)))</f>
        <v>0</v>
      </c>
      <c r="BE105" s="150">
        <f>BD105*VLOOKUP('Données projet'!$B$11,'Paramètres'!$A$1:$I$88,3,0)*VLOOKUP('Données projet'!$B$11,'Paramètres'!$A$1:$I$88,5,0)</f>
        <v>0</v>
      </c>
      <c r="BF105" s="150" t="str">
        <f t="shared" si="38"/>
        <v>#NUM!</v>
      </c>
      <c r="BG105" s="161" t="str">
        <f t="shared" si="8"/>
        <v>#NUM!</v>
      </c>
      <c r="BH105" s="153" t="str">
        <f t="shared" si="9"/>
        <v>#NUM!</v>
      </c>
      <c r="BI105" s="153">
        <f>AVERAGE(OFFSET($BH$3,0,0,'Données projet'!$E$11+1,1))-AVERAGE(OFFSET($H$3,0,0,'Données projet'!$E$11+1,1))</f>
        <v>0</v>
      </c>
      <c r="BJ105" s="153">
        <f t="shared" si="39"/>
        <v>0</v>
      </c>
      <c r="BK105" s="154">
        <f>IF(ISNA(VLOOKUP(A105,'Données projet'!$A$87:$I$107,3,0)),0,VLOOKUP(A105,'Données projet'!$A$87:$I$107,3,0))</f>
        <v>0</v>
      </c>
      <c r="BL105" s="154">
        <f>IF(ISNA(VLOOKUP(A105,'Données projet'!$A$87:$I$107,4,0)),0,VLOOKUP(A105,'Données projet'!$A$87:$I$107,4,0))</f>
        <v>0</v>
      </c>
      <c r="BM105" s="155">
        <f>IF(ISNA(VLOOKUP(A105,'Données projet'!$A$87:$I$107,5,0)),0%,VLOOKUP(A105,'Données projet'!$A$87:$I$107,5,0)*VLOOKUP('Données projet'!$B$11,'Paramètres'!$A$1:$I$88,7,0))</f>
        <v>0</v>
      </c>
      <c r="BN105" s="155">
        <f>IF(ISNA(VLOOKUP(A105,'Données projet'!$A$87:$I$107,6,0)),0%,VLOOKUP(A105,'Données projet'!$A$87:$I$107,6,0)*VLOOKUP('Données projet'!$B$11,'Paramètres'!$A$1:$I$88,7,0))</f>
        <v>0</v>
      </c>
      <c r="BO105" s="155">
        <f>IF(ISNA(VLOOKUP(A105,'Données projet'!$A$87:$I$107,7,0)),0%,VLOOKUP(A105,'Données projet'!$A$87:$I$107,7,0))</f>
        <v>0</v>
      </c>
      <c r="BP105" s="162">
        <f>EXP(-LN(2)/35)*BP104+(1-EXP(-LN(2)/35))/(LN(2)/35)*BL105*BM105*VLOOKUP('Données projet'!$B$11,'Paramètres'!$A$1:$I$88,3,0)*0.475*44/12</f>
        <v>0</v>
      </c>
      <c r="BQ105" s="162">
        <f>EXP(-LN(2)/25)*BQ104+(1-EXP(-LN(2)/25))/(LN(2)/25)*Calculateur!BL105*Calculateur!BN105*VLOOKUP('Données projet'!$B$11,'Paramètres'!$A$1:$I$88,3,0)*0.475*44/12</f>
        <v>0</v>
      </c>
      <c r="BR105" s="162">
        <f>EXP(-LN(2)/2)*BR104+(1-EXP(-LN(2)/2))/(LN(2)/2)*BL105*BO105*VLOOKUP('Données projet'!$B$11,'Paramètres'!$A$1:$I$88,3,0)*0.475*44/12</f>
        <v>0</v>
      </c>
      <c r="BS105" s="163">
        <f t="shared" si="10"/>
        <v>0</v>
      </c>
      <c r="BT105" s="159">
        <f>('Scénario référence'!$F$8+'Scénario référence'!$F$9+'Scénario référence'!$B$17+'Scénario référence'!$B$9+'Scénario référence'!$B$10)*70+IF((45+25*(1-EXP(-0.0175*A105)))&lt;70,'Scénario référence'!$B$16*(45+25*(1-EXP(-0.0175*A105))),70*'Scénario référence'!$B$16)+IF((32+38*(1-EXP(-0.0175*A105)))&lt;70,'Scénario référence'!$B$18*(32+38*(1-EXP(-0.0175*A105))),70*'Scénario référence'!$B$18)</f>
        <v>70</v>
      </c>
      <c r="BU105" s="151">
        <f>IF(A105&gt;30,10,('Scénario référence'!$B$16+'Scénario référence'!$B$17+'Scénario référence'!$B$18+'Scénario référence'!$B$9+'Scénario référence'!$B$10)*A105*10/30+('Scénario référence'!$F$8+'Scénario référence'!$F$9)*10)</f>
        <v>10</v>
      </c>
      <c r="BV105" s="151" t="str">
        <f>VLOOKUP(A105,'Données projet'!$A$113:$I$133,2,0)</f>
        <v>#N/A</v>
      </c>
      <c r="BW105" s="151" t="str">
        <f>VLOOKUP(A105,'Données projet'!$A$113:$I$133,9,0)</f>
        <v>#N/A</v>
      </c>
      <c r="BX105" s="151" t="str">
        <f t="array" ref="BX105">INDEX(BW:BW,MIN(IF(ISNUMBER(BW105:BW301),ROW(BW105:BW301),"")))</f>
        <v/>
      </c>
      <c r="BY105" s="150">
        <f>IF('Données projet'!$A$114&gt;35,BY104+BX105-CG104,IF(A105&lt;'Données projet'!$A$114,$BV$205^A105,IF(A105='Données projet'!$A$114,'Données projet'!$B$114,BY104+BX105-CG104)))</f>
        <v>0</v>
      </c>
      <c r="BZ105" s="150" t="str">
        <f>BY105*VLOOKUP('Données projet'!$B$12,'Paramètres'!$A$1:$I$88,3,0)*VLOOKUP('Données projet'!$B$12,'Paramètres'!$A$1:$I$88,5,0)</f>
        <v>#N/A</v>
      </c>
      <c r="CA105" s="150" t="str">
        <f t="shared" si="40"/>
        <v>#N/A</v>
      </c>
      <c r="CB105" s="161" t="str">
        <f t="shared" si="11"/>
        <v>#N/A</v>
      </c>
      <c r="CC105" s="153" t="str">
        <f t="shared" si="12"/>
        <v>#N/A</v>
      </c>
      <c r="CD105" s="153" t="str">
        <f>AVERAGE(OFFSET($CC$3,0,0,'Données projet'!$E$12+1,1))-AVERAGE(OFFSET($H$3,0,0,'Données projet'!$E$12+1,1))</f>
        <v>#N/A</v>
      </c>
      <c r="CE105" s="153" t="str">
        <f t="shared" si="41"/>
        <v>#N/A</v>
      </c>
      <c r="CF105" s="154">
        <f>IF(ISNA(VLOOKUP(A105,'Données projet'!$A$113:$I$133,3,0)),0,VLOOKUP(A105,'Données projet'!$A$113:$I$133,3,0))</f>
        <v>0</v>
      </c>
      <c r="CG105" s="154">
        <f>IF(ISNA(VLOOKUP(A105,'Données projet'!$A$113:$I$133,4,0)),0,VLOOKUP(A105,'Données projet'!$A$113:$I$133,4,0))</f>
        <v>0</v>
      </c>
      <c r="CH105" s="155">
        <f>IF(ISNA(VLOOKUP(A105,'Données projet'!$A$113:$I$133,5,0)),0%,VLOOKUP(A105,'Données projet'!$A$113:$I$133,5,0)*VLOOKUP('Données projet'!$B$12,'Paramètres'!$A$1:$I$88,7,0))</f>
        <v>0</v>
      </c>
      <c r="CI105" s="155">
        <f>IF(ISNA(VLOOKUP(A105,'Données projet'!$A$113:$I$133,6,0)),0%,VLOOKUP(A105,'Données projet'!$A$113:$I$133,6,0)*VLOOKUP('Données projet'!$B$12,'Paramètres'!$A$1:$I$88,7,0))</f>
        <v>0</v>
      </c>
      <c r="CJ105" s="155">
        <f>IF(ISNA(VLOOKUP(A105,'Données projet'!$A$113:$I$133,7,0)),0%,VLOOKUP(A105,'Données projet'!$A$113:$I$133,7,0))</f>
        <v>0</v>
      </c>
      <c r="CK105" s="162" t="str">
        <f>EXP(-LN(2)/35)*CK104+(1-EXP(-LN(2)/35))/(LN(2)/35)*CG105*CH105*VLOOKUP('Données projet'!$B$12,'Paramètres'!$A$1:$I$88,3,0)*0.475*44/12</f>
        <v>#N/A</v>
      </c>
      <c r="CL105" s="162" t="str">
        <f>EXP(-LN(2)/25)*CL104+(1-EXP(-LN(2)/25))/(LN(2)/25)*Calculateur!CG105*Calculateur!CI105*VLOOKUP('Données projet'!$B$12,'Paramètres'!$A$1:$I$88,3,0)*0.475*44/12</f>
        <v>#N/A</v>
      </c>
      <c r="CM105" s="162" t="str">
        <f>EXP(-LN(2)/2)*CM104+(1-EXP(-LN(2)/2))/(LN(2)/2)*CG105*CJ105*VLOOKUP('Données projet'!$B$12,'Paramètres'!$A$1:$I$88,3,0)*0.475*44/12</f>
        <v>#N/A</v>
      </c>
      <c r="CN105" s="163" t="str">
        <f t="shared" si="13"/>
        <v>#N/A</v>
      </c>
      <c r="CO105" s="159">
        <f>('Scénario référence'!$F$8+'Scénario référence'!$F$9+'Scénario référence'!$B$17+'Scénario référence'!$B$9+'Scénario référence'!$B$10)*70+IF((45+25*(1-EXP(-0.0175*A105)))&lt;70,'Scénario référence'!$B$16*(45+25*(1-EXP(-0.0175*A105))),70*'Scénario référence'!$B$16)+IF((32+38*(1-EXP(-0.0175*A105)))&lt;70,'Scénario référence'!$B$18*(32+38*(1-EXP(-0.0175*A105))),70*'Scénario référence'!$B$18)</f>
        <v>70</v>
      </c>
      <c r="CP105" s="151">
        <f>IF(A105&gt;30,10,('Scénario référence'!$B$16+'Scénario référence'!$B$17+'Scénario référence'!$B$18+'Scénario référence'!$B$9+'Scénario référence'!$B$10)*A105*10/30+('Scénario référence'!$F$8+'Scénario référence'!$F$9)*10)</f>
        <v>10</v>
      </c>
      <c r="CQ105" s="151" t="str">
        <f>VLOOKUP(A105,'Données projet'!$A$139:$I$159,2,0)</f>
        <v>#N/A</v>
      </c>
      <c r="CR105" s="151" t="str">
        <f>VLOOKUP(A105,'Données projet'!$A$139:$I$159,9,0)</f>
        <v>#N/A</v>
      </c>
      <c r="CS105" s="151" t="str">
        <f t="array" ref="CS105">INDEX(CR:CR,MIN(IF(ISNUMBER(CR105:CR301),ROW(CR105:CR301),"")))</f>
        <v/>
      </c>
      <c r="CT105" s="151">
        <f>IF('Données projet'!$A$140&gt;35,CT104+CS105-DB104,IF(A105&lt;'Données projet'!$A$140,$CQ$205^A105,IF(A105='Données projet'!$A$140,'Données projet'!$B$140,CT104+CS105-DB104)))</f>
        <v>0</v>
      </c>
      <c r="CU105" s="158" t="str">
        <f>CT105*VLOOKUP('Données projet'!$B$13,'Paramètres'!$A$1:$I$88,3,0)*VLOOKUP('Données projet'!$B$13,'Paramètres'!$A$1:$I$88,5,0)</f>
        <v>#N/A</v>
      </c>
      <c r="CV105" s="150" t="str">
        <f t="shared" si="42"/>
        <v>#N/A</v>
      </c>
      <c r="CW105" s="161" t="str">
        <f t="shared" si="14"/>
        <v>#N/A</v>
      </c>
      <c r="CX105" s="153" t="str">
        <f t="shared" si="15"/>
        <v>#N/A</v>
      </c>
      <c r="CY105" s="153" t="str">
        <f>AVERAGE(OFFSET($CX$3,0,0,'Données projet'!$E$13+1,1))-AVERAGE(OFFSET($H$3,0,0,'Données projet'!$E$13+1,1))</f>
        <v>#N/A</v>
      </c>
      <c r="CZ105" s="153" t="str">
        <f t="shared" si="43"/>
        <v>#N/A</v>
      </c>
      <c r="DA105" s="154">
        <f>IF(ISNA(VLOOKUP(A105,'Données projet'!$A$139:$I$159,3,0)),0,VLOOKUP(A105,'Données projet'!$A$139:$I$159,3,0))</f>
        <v>0</v>
      </c>
      <c r="DB105" s="154">
        <f>IF(ISNA(VLOOKUP(A105,'Données projet'!$A$139:$I$159,4,0)),0,VLOOKUP(A105,'Données projet'!$A$139:$I$159,4,0))</f>
        <v>0</v>
      </c>
      <c r="DC105" s="155">
        <f>IF(ISNA(VLOOKUP(A105,'Données projet'!$A$139:$I$159,5,0)),0%,VLOOKUP(A105,'Données projet'!$A$139:$I$159,5,0)*VLOOKUP('Données projet'!$B$13,'Paramètres'!$A$1:$I$88,7,0))</f>
        <v>0</v>
      </c>
      <c r="DD105" s="155">
        <f>IF(ISNA(VLOOKUP(A105,'Données projet'!$A$139:$I$159,6,0)),0%,VLOOKUP(A105,'Données projet'!$A$139:$I$159,6,0)*VLOOKUP('Données projet'!$B$13,'Paramètres'!$A$1:$I$88,7,0))</f>
        <v>0</v>
      </c>
      <c r="DE105" s="155">
        <f>IF(ISNA(VLOOKUP(A105,'Données projet'!$A$139:$I$159,7,0)),0%,VLOOKUP(A105,'Données projet'!$A$139:$I$159,7,0))</f>
        <v>0</v>
      </c>
      <c r="DF105" s="162" t="str">
        <f>EXP(-LN(2)/35)*DF104+(1-EXP(-LN(2)/35))/(LN(2)/35)*DB105*DC105*VLOOKUP('Données projet'!$B$13,'Paramètres'!$A$1:$I$88,3,0)*0.475*44/12</f>
        <v>#N/A</v>
      </c>
      <c r="DG105" s="162" t="str">
        <f>EXP(-LN(2)/25)*DG104+(1-EXP(-LN(2)/25))/(LN(2)/25)*Calculateur!DB105*Calculateur!DD105*VLOOKUP('Données projet'!$B$13,'Paramètres'!$A$1:$I$88,3,0)*0.475*44/12</f>
        <v>#N/A</v>
      </c>
      <c r="DH105" s="162" t="str">
        <f>EXP(-LN(2)/2)*DH104+(1-EXP(-LN(2)/2))/(LN(2)/2)*DB105*DE105*VLOOKUP('Données projet'!$B$13,'Paramètres'!$A$1:$I$88,3,0)*0.475*44/12</f>
        <v>#N/A</v>
      </c>
      <c r="DI105" s="163" t="str">
        <f t="shared" si="16"/>
        <v>#N/A</v>
      </c>
      <c r="DJ105" s="159">
        <f>('Scénario référence'!$F$8+'Scénario référence'!$F$9+'Scénario référence'!$B$17+'Scénario référence'!$B$9+'Scénario référence'!$B$10)*70+IF((45+25*(1-EXP(-0.0175*A105)))&lt;70,'Scénario référence'!$B$16*(45+25*(1-EXP(-0.0175*A105))),70*'Scénario référence'!$B$16)+IF((32+38*(1-EXP(-0.0175*A105)))&lt;70,'Scénario référence'!$B$18*(32+38*(1-EXP(-0.0175*A105))),70*'Scénario référence'!$B$18)</f>
        <v>70</v>
      </c>
      <c r="DK105" s="151">
        <f>IF(A105&gt;30,10,('Scénario référence'!$B$16+'Scénario référence'!$B$17+'Scénario référence'!$B$18+'Scénario référence'!$B$9+'Scénario référence'!$B$10)*A105*10/30+('Scénario référence'!$F$8+'Scénario référence'!$F$9)*10)</f>
        <v>10</v>
      </c>
      <c r="DL105" s="151" t="str">
        <f>VLOOKUP(A105,'Données projet'!$A$165:$I$185,2,0)</f>
        <v>#N/A</v>
      </c>
      <c r="DM105" s="151" t="str">
        <f>VLOOKUP(A105,'Données projet'!$A$165:$I$185,9,0)</f>
        <v>#N/A</v>
      </c>
      <c r="DN105" s="151" t="str">
        <f t="array" ref="DN105">INDEX(DM:DM,MIN(IF(ISNUMBER(DM105:DM301),ROW(DM105:DM301),"")))</f>
        <v/>
      </c>
      <c r="DO105" s="151">
        <f>IF('Données projet'!$A$166&gt;35,DO104+DN105-DW104,IF(A105&lt;'Données projet'!$A$166,$DL$205^A105,IF(A105='Données projet'!$A$166,'Données projet'!$B$166,DO104+DN105-DW104)))</f>
        <v>0</v>
      </c>
      <c r="DP105" s="158" t="str">
        <f>DO105*VLOOKUP('Données projet'!$B$14,'Paramètres'!$A$1:$I$88,3,0)*VLOOKUP('Données projet'!$B$14,'Paramètres'!$A$1:$I$88,5,0)</f>
        <v>#N/A</v>
      </c>
      <c r="DQ105" s="150" t="str">
        <f t="shared" si="44"/>
        <v>#N/A</v>
      </c>
      <c r="DR105" s="161" t="str">
        <f t="shared" si="17"/>
        <v>#N/A</v>
      </c>
      <c r="DS105" s="153" t="str">
        <f t="shared" si="18"/>
        <v>#N/A</v>
      </c>
      <c r="DT105" s="153" t="str">
        <f>AVERAGE(OFFSET($DS$3,0,0,'Données projet'!$E$14+1,1))-AVERAGE(OFFSET($H$3,0,0,'Données projet'!$E$14+1,1))</f>
        <v>#N/A</v>
      </c>
      <c r="DU105" s="153" t="str">
        <f t="shared" si="45"/>
        <v>#N/A</v>
      </c>
      <c r="DV105" s="154">
        <f>IF(ISNA(VLOOKUP(A105,'Données projet'!$A$165:$I$185,3,0)),0,VLOOKUP(A105,'Données projet'!$A$165:$I$185,3,0))</f>
        <v>0</v>
      </c>
      <c r="DW105" s="154">
        <f>IF(ISNA(VLOOKUP(A105,'Données projet'!$A$165:$I$185,4,0)),0,VLOOKUP(A105,'Données projet'!$A$165:$I$185,4,0))</f>
        <v>0</v>
      </c>
      <c r="DX105" s="155">
        <f>IF(ISNA(VLOOKUP(A105,'Données projet'!$A$165:$I$185,5,0)),0%,VLOOKUP(A105,'Données projet'!$A$165:$I$185,5,0)*VLOOKUP('Données projet'!$B$14,'Paramètres'!$A$1:$I$88,7,0))</f>
        <v>0</v>
      </c>
      <c r="DY105" s="155">
        <f>IF(ISNA(VLOOKUP(A105,'Données projet'!$A$165:$I$185,6,0)),0%,VLOOKUP(A105,'Données projet'!$A$165:$I$185,6,0)*VLOOKUP('Données projet'!$B$14,'Paramètres'!$A$1:$I$88,7,0))</f>
        <v>0</v>
      </c>
      <c r="DZ105" s="155">
        <f>IF(ISNA(VLOOKUP(A105,'Données projet'!$A$165:$I$185,7,0)),0%,VLOOKUP(A105,'Données projet'!$A$165:$I$185,7,0))</f>
        <v>0</v>
      </c>
      <c r="EA105" s="162" t="str">
        <f>EXP(-LN(2)/35)*EA104+(1-EXP(-LN(2)/35))/(LN(2)/35)*DW105*DX105*VLOOKUP('Données projet'!$B$14,'Paramètres'!$A$1:$I$88,3,0)*0.475*44/12</f>
        <v>#N/A</v>
      </c>
      <c r="EB105" s="162" t="str">
        <f>EXP(-LN(2)/25)*EB104+(1-EXP(-LN(2)/25))/(LN(2)/25)*Calculateur!DW105*Calculateur!DY105*VLOOKUP('Données projet'!$B$14,'Paramètres'!$A$1:$I$88,3,0)*0.475*44/12</f>
        <v>#N/A</v>
      </c>
      <c r="EC105" s="162" t="str">
        <f>EXP(-LN(2)/2)*EC104+(1-EXP(-LN(2)/2))/(LN(2)/2)*DW105*DZ105*VLOOKUP('Données projet'!$B$14,'Paramètres'!$A$1:$I$88,3,0)*0.475*44/12</f>
        <v>#N/A</v>
      </c>
      <c r="ED105" s="163" t="str">
        <f t="shared" si="19"/>
        <v>#N/A</v>
      </c>
      <c r="EE105" s="159">
        <f>('Scénario référence'!$F$8+'Scénario référence'!$F$9+'Scénario référence'!$B$17+'Scénario référence'!$B$9+'Scénario référence'!$B$10)*70+IF((45+25*(1-EXP(-0.0175*A105)))&lt;70,'Scénario référence'!$B$16*(45+25*(1-EXP(-0.0175*A105))),70*'Scénario référence'!$B$16)+IF((32+38*(1-EXP(-0.0175*A105)))&lt;70,'Scénario référence'!$B$18*(32+38*(1-EXP(-0.0175*A105))),70*'Scénario référence'!$B$18)</f>
        <v>70</v>
      </c>
      <c r="EF105" s="151">
        <f>IF(A105&gt;30,10,('Scénario référence'!$B$16+'Scénario référence'!$B$17+'Scénario référence'!$B$18+'Scénario référence'!$B$9+'Scénario référence'!$B$10)*A105*10/30+('Scénario référence'!$F$8+'Scénario référence'!$F$9)*10)</f>
        <v>10</v>
      </c>
      <c r="EG105" s="151" t="str">
        <f>VLOOKUP(A105,'Données projet'!$A$191:$I$211,2,0)</f>
        <v>#N/A</v>
      </c>
      <c r="EH105" s="151" t="str">
        <f>VLOOKUP(A105,'Données projet'!$A$191:$I$211,9,0)</f>
        <v>#N/A</v>
      </c>
      <c r="EI105" s="151" t="str">
        <f t="array" ref="EI105">INDEX(EH:EH,MIN(IF(ISNUMBER(EH105:EH301),ROW(EH105:EH301),"")))</f>
        <v/>
      </c>
      <c r="EJ105" s="151">
        <f>IF('Données projet'!$A$192&gt;35,EJ104+EI105-ER104,IF(A105&lt;'Données projet'!$A$192,$EG$205^A105,IF(A105='Données projet'!$A$192,'Données projet'!$B$192,EJ104+EI105-ER104)))</f>
        <v>0</v>
      </c>
      <c r="EK105" s="158" t="str">
        <f>EJ105*VLOOKUP('Données projet'!$B$15,'Paramètres'!$A$1:$I$88,3,0)*VLOOKUP('Données projet'!$B$15,'Paramètres'!$A$1:$I$88,5,0)</f>
        <v>#N/A</v>
      </c>
      <c r="EL105" s="150" t="str">
        <f t="shared" si="46"/>
        <v>#N/A</v>
      </c>
      <c r="EM105" s="161" t="str">
        <f t="shared" si="20"/>
        <v>#N/A</v>
      </c>
      <c r="EN105" s="153" t="str">
        <f t="shared" si="21"/>
        <v>#N/A</v>
      </c>
      <c r="EO105" s="153" t="str">
        <f>AVERAGE(OFFSET($EN$3,0,0,'Données projet'!$E$15+1,1))-AVERAGE(OFFSET($H$3,0,0,'Données projet'!$E$15+1,1))</f>
        <v>#N/A</v>
      </c>
      <c r="EP105" s="153" t="str">
        <f t="shared" si="47"/>
        <v>#N/A</v>
      </c>
      <c r="EQ105" s="154">
        <f>IF(ISNA(VLOOKUP(A105,'Données projet'!$A$191:$I$211,3,0)),0,VLOOKUP(A105,'Données projet'!$A$191:$I$211,3,0))</f>
        <v>0</v>
      </c>
      <c r="ER105" s="154">
        <f>IF(ISNA(VLOOKUP(A105,'Données projet'!$A$191:$I$211,4,0)),0,VLOOKUP(A105,'Données projet'!$A$191:$I$211,4,0))</f>
        <v>0</v>
      </c>
      <c r="ES105" s="155">
        <f>IF(ISNA(VLOOKUP(A105,'Données projet'!$A$191:$I$211,5,0)),0%,VLOOKUP(A105,'Données projet'!$A$191:$I$211,5,0)*VLOOKUP('Données projet'!$B$15,'Paramètres'!$A$1:$I$88,7,0))</f>
        <v>0</v>
      </c>
      <c r="ET105" s="155">
        <f>IF(ISNA(VLOOKUP(A105,'Données projet'!$A$191:$I$211,6,0)),0%,VLOOKUP(A105,'Données projet'!$A$191:$I$211,6,0)*VLOOKUP('Données projet'!$B$15,'Paramètres'!$A$1:$I$88,7,0))</f>
        <v>0</v>
      </c>
      <c r="EU105" s="155">
        <f>IF(ISNA(VLOOKUP(A105,'Données projet'!$A$191:$I$211,7,0)),0%,VLOOKUP(A105,'Données projet'!$A$191:$I$211,7,0))</f>
        <v>0</v>
      </c>
      <c r="EV105" s="162" t="str">
        <f>EXP(-LN(2)/35)*EV104+(1-EXP(-LN(2)/35))/(LN(2)/35)*ER105*ES105*VLOOKUP('Données projet'!$B$15,'Paramètres'!$A$1:$I$88,3,0)*0.475*44/12</f>
        <v>#N/A</v>
      </c>
      <c r="EW105" s="162" t="str">
        <f>EXP(-LN(2)/25)*EW104+(1-EXP(-LN(2)/25))/(LN(2)/25)*Calculateur!ER105*Calculateur!ET105*VLOOKUP('Données projet'!$B$15,'Paramètres'!$A$1:$I$88,3,0)*0.475*44/12</f>
        <v>#N/A</v>
      </c>
      <c r="EX105" s="162" t="str">
        <f>EXP(-LN(2)/2)*EX104+(1-EXP(-LN(2)/2))/(LN(2)/2)*ER105*EU105*VLOOKUP('Données projet'!$B$15,'Paramètres'!$A$1:$I$88,3,0)*0.475*44/12</f>
        <v>#N/A</v>
      </c>
      <c r="EY105" s="163" t="str">
        <f t="shared" si="22"/>
        <v>#N/A</v>
      </c>
      <c r="EZ105" s="159">
        <f>('Scénario référence'!$F$8+'Scénario référence'!$F$9+'Scénario référence'!$B$17+'Scénario référence'!$B$9+'Scénario référence'!$B$10)*70+IF((45+25*(1-EXP(-0.0175*A105)))&lt;70,'Scénario référence'!$B$16*(45+25*(1-EXP(-0.0175*A105))),70*'Scénario référence'!$B$16)+IF((32+38*(1-EXP(-0.0175*A105)))&lt;70,'Scénario référence'!$B$18*(32+38*(1-EXP(-0.0175*A105))),70*'Scénario référence'!$B$18)</f>
        <v>70</v>
      </c>
      <c r="FA105" s="151">
        <f>IF(A105&gt;30,10,('Scénario référence'!$B$16+'Scénario référence'!$B$17+'Scénario référence'!$B$18+'Scénario référence'!$B$9+'Scénario référence'!$B$10)*A105*10/30+('Scénario référence'!$F$8+'Scénario référence'!$F$9)*10)</f>
        <v>10</v>
      </c>
      <c r="FB105" s="151" t="str">
        <f>VLOOKUP(A105,'Données projet'!$A$217:$I$237,2,0)</f>
        <v>#N/A</v>
      </c>
      <c r="FC105" s="151" t="str">
        <f>VLOOKUP(A105,'Données projet'!$A$217:$I$237,9,0)</f>
        <v>#N/A</v>
      </c>
      <c r="FD105" s="151" t="str">
        <f t="array" ref="FD105">INDEX(FC:FC,MIN(IF(ISNUMBER(FC105:FC301),ROW(FC105:FC301),"")))</f>
        <v/>
      </c>
      <c r="FE105" s="151">
        <f>IF('Données projet'!$A$218&gt;35,FE104+FD105-FM104,IF(A105&lt;'Données projet'!$A$218,$FB$205^A105,IF(A105='Données projet'!$A$218,'Données projet'!$B$218,FE104+FD105-FM104)))</f>
        <v>0</v>
      </c>
      <c r="FF105" s="158" t="str">
        <f>FE105*VLOOKUP('Données projet'!$B$16,'Paramètres'!$A$1:$I$88,3,0)*VLOOKUP('Données projet'!$B$16,'Paramètres'!$A$1:$I$88,5,0)</f>
        <v>#N/A</v>
      </c>
      <c r="FG105" s="150" t="str">
        <f t="shared" si="48"/>
        <v>#N/A</v>
      </c>
      <c r="FH105" s="161" t="str">
        <f t="shared" si="23"/>
        <v>#N/A</v>
      </c>
      <c r="FI105" s="153" t="str">
        <f t="shared" si="24"/>
        <v>#N/A</v>
      </c>
      <c r="FJ105" s="153" t="str">
        <f>AVERAGE(OFFSET($FI$3,0,0,'Données projet'!$E$16+1,1))-AVERAGE(OFFSET($H$3,0,0,'Données projet'!$E$16+1,1))</f>
        <v>#N/A</v>
      </c>
      <c r="FK105" s="153" t="str">
        <f t="shared" si="49"/>
        <v>#N/A</v>
      </c>
      <c r="FL105" s="154">
        <f>IF(ISNA(VLOOKUP(A105,'Données projet'!$A$217:$I$237,3,0)),0,VLOOKUP(A105,'Données projet'!$A$217:$I$237,3,0))</f>
        <v>0</v>
      </c>
      <c r="FM105" s="154">
        <f>IF(ISNA(VLOOKUP(A105,'Données projet'!$A$217:$I$237,4,0)),0,VLOOKUP(A105,'Données projet'!$A$217:$I$237,4,0))</f>
        <v>0</v>
      </c>
      <c r="FN105" s="155">
        <f>IF(ISNA(VLOOKUP(A105,'Données projet'!$A$217:$I$237,5,0)),0%,VLOOKUP(A105,'Données projet'!$A$217:$I$237,5,0)*VLOOKUP('Données projet'!$B$16,'Paramètres'!$A$1:$I$88,7,0))</f>
        <v>0</v>
      </c>
      <c r="FO105" s="155">
        <f>IF(ISNA(VLOOKUP(A105,'Données projet'!$A$217:$I$237,6,0)),0%,VLOOKUP(A105,'Données projet'!$A$217:$I$237,6,0)*VLOOKUP('Données projet'!$B$16,'Paramètres'!$A$1:$I$88,7,0))</f>
        <v>0</v>
      </c>
      <c r="FP105" s="155">
        <f>IF(ISNA(VLOOKUP(A105,'Données projet'!$A$217:$I$237,7,0)),0%,VLOOKUP(A105,'Données projet'!$A$217:$I$237,7,0))</f>
        <v>0</v>
      </c>
      <c r="FQ105" s="162" t="str">
        <f>EXP(-LN(2)/35)*FQ104+(1-EXP(-LN(2)/35))/(LN(2)/35)*FM105*FN105*VLOOKUP('Données projet'!$B$16,'Paramètres'!$A$1:$I$88,3,0)*0.475*44/12</f>
        <v>#N/A</v>
      </c>
      <c r="FR105" s="162" t="str">
        <f>EXP(-LN(2)/25)*FR104+(1-EXP(-LN(2)/25))/(LN(2)/25)*Calculateur!FM105*Calculateur!FO105*VLOOKUP('Données projet'!$B$16,'Paramètres'!$A$1:$I$88,3,0)*0.475*44/12</f>
        <v>#N/A</v>
      </c>
      <c r="FS105" s="162" t="str">
        <f>EXP(-LN(2)/2)*FS104+(1-EXP(-LN(2)/2))/(LN(2)/2)*FM105*FP105*VLOOKUP('Données projet'!$B$16,'Paramètres'!$A$1:$I$88,3,0)*0.475*44/12</f>
        <v>#N/A</v>
      </c>
      <c r="FT105" s="163" t="str">
        <f t="shared" si="25"/>
        <v>#N/A</v>
      </c>
      <c r="FU105" s="159">
        <f>('Scénario référence'!$F$8+'Scénario référence'!$F$9+'Scénario référence'!$B$17+'Scénario référence'!$B$9+'Scénario référence'!$B$10)*70+IF((45+25*(1-EXP(-0.0175*A105)))&lt;70,'Scénario référence'!$B$16*(45+25*(1-EXP(-0.0175*A105))),70*'Scénario référence'!$B$16)+IF((32+38*(1-EXP(-0.0175*A105)))&lt;70,'Scénario référence'!$B$18*(32+38*(1-EXP(-0.0175*A105))),70*'Scénario référence'!$B$18)</f>
        <v>70</v>
      </c>
      <c r="FV105" s="151">
        <f>IF(A105&gt;30,10,('Scénario référence'!$B$16+'Scénario référence'!$B$17+'Scénario référence'!$B$18+'Scénario référence'!$B$9+'Scénario référence'!$B$10)*A105*10/30+('Scénario référence'!$F$8+'Scénario référence'!$F$9)*10)</f>
        <v>10</v>
      </c>
      <c r="FW105" s="151" t="str">
        <f>VLOOKUP(A105,'Données projet'!$A$243:$I$263,2,0)</f>
        <v>#N/A</v>
      </c>
      <c r="FX105" s="151" t="str">
        <f>VLOOKUP(A105,'Données projet'!$A$243:$I$263,9,0)</f>
        <v>#N/A</v>
      </c>
      <c r="FY105" s="151" t="str">
        <f t="array" ref="FY105">INDEX(FX:FX,MIN(IF(ISNUMBER(FX105:FX301),ROW(FX105:FX301),"")))</f>
        <v/>
      </c>
      <c r="FZ105" s="151">
        <f>IF('Données projet'!$A$244&gt;35,FZ104+FY105-GH104,IF(A105&lt;'Données projet'!$A$244,$FW$205^A105,IF(A105='Données projet'!$A$244,'Données projet'!$B$244,FZ104+FY105-GH104)))</f>
        <v>0</v>
      </c>
      <c r="GA105" s="158" t="str">
        <f>FZ105*VLOOKUP('Données projet'!$B$17,'Paramètres'!$A$1:$I$88,3,0)*VLOOKUP('Données projet'!$B$17,'Paramètres'!$A$1:$I$88,5,0)</f>
        <v>#N/A</v>
      </c>
      <c r="GB105" s="150" t="str">
        <f t="shared" si="50"/>
        <v>#N/A</v>
      </c>
      <c r="GC105" s="161" t="str">
        <f t="shared" si="26"/>
        <v>#N/A</v>
      </c>
      <c r="GD105" s="153" t="str">
        <f t="shared" si="27"/>
        <v>#N/A</v>
      </c>
      <c r="GE105" s="153" t="str">
        <f>AVERAGE(OFFSET($GD$3,0,0,'Données projet'!$E$17+1,1))-AVERAGE(OFFSET($H$3,0,0,'Données projet'!$E$17+1,1))</f>
        <v>#N/A</v>
      </c>
      <c r="GF105" s="153" t="str">
        <f t="shared" si="51"/>
        <v>#N/A</v>
      </c>
      <c r="GG105" s="154">
        <f>IF(ISNA(VLOOKUP(A105,'Données projet'!$A$243:$I$263,3,0)),0,VLOOKUP(A105,'Données projet'!$A$243:$I$263,3,0))</f>
        <v>0</v>
      </c>
      <c r="GH105" s="154">
        <f>IF(ISNA(VLOOKUP(A105,'Données projet'!$A$243:$I$263,4,0)),0,VLOOKUP(A105,'Données projet'!$A$243:$I$263,4,0))</f>
        <v>0</v>
      </c>
      <c r="GI105" s="155">
        <f>IF(ISNA(VLOOKUP(A105,'Données projet'!$A$243:$I$263,5,0)),0%,VLOOKUP(A105,'Données projet'!$A$243:$I$263,5,0)*VLOOKUP('Données projet'!$B$17,'Paramètres'!$A$1:$I$88,7,0))</f>
        <v>0</v>
      </c>
      <c r="GJ105" s="155">
        <f>IF(ISNA(VLOOKUP(A105,'Données projet'!$A$243:$I$263,6,0)),0%,VLOOKUP(A105,'Données projet'!$A$243:$I$263,6,0)*VLOOKUP('Données projet'!$B$17,'Paramètres'!$A$1:$I$88,7,0))</f>
        <v>0</v>
      </c>
      <c r="GK105" s="155">
        <f>IF(ISNA(VLOOKUP(A105,'Données projet'!$A$243:$I$263,7,0)),0%,VLOOKUP(A105,'Données projet'!$A$243:$I$263,7,0))</f>
        <v>0</v>
      </c>
      <c r="GL105" s="162" t="str">
        <f>EXP(-LN(2)/35)*GL104+(1-EXP(-LN(2)/35))/(LN(2)/35)*GH105*GI105*VLOOKUP('Données projet'!$B$17,'Paramètres'!$A$1:$I$88,3,0)*0.475*44/12</f>
        <v>#N/A</v>
      </c>
      <c r="GM105" s="162" t="str">
        <f>EXP(-LN(2)/25)*GM104+(1-EXP(-LN(2)/25))/(LN(2)/25)*Calculateur!GH105*Calculateur!GJ105*VLOOKUP('Données projet'!$B$17,'Paramètres'!$A$1:$I$88,3,0)*0.475*44/12</f>
        <v>#N/A</v>
      </c>
      <c r="GN105" s="162" t="str">
        <f>EXP(-LN(2)/2)*GN104+(1-EXP(-LN(2)/2))/(LN(2)/2)*GH105*GK105*VLOOKUP('Données projet'!$B$17,'Paramètres'!$A$1:$I$88,3,0)*0.475*44/12</f>
        <v>#N/A</v>
      </c>
      <c r="GO105" s="162" t="str">
        <f t="shared" si="28"/>
        <v>#N/A</v>
      </c>
      <c r="GP105" s="159">
        <f>('Scénario référence'!$F$8+'Scénario référence'!$F$9+'Scénario référence'!$B$17+'Scénario référence'!$B$9+'Scénario référence'!$B$10)*70+IF((45+25*(1-EXP(-0.0175*A105)))&lt;70,'Scénario référence'!$B$16*(45+25*(1-EXP(-0.0175*A105))),70*'Scénario référence'!$B$16)+IF((32+38*(1-EXP(-0.0175*A105)))&lt;70,'Scénario référence'!$B$18*(32+38*(1-EXP(-0.0175*A105))),70*'Scénario référence'!$B$18)</f>
        <v>70</v>
      </c>
      <c r="GQ105" s="151">
        <f>IF(A105&gt;30,10,('Scénario référence'!$B$16+'Scénario référence'!$B$17+'Scénario référence'!$B$18+'Scénario référence'!$B$9+'Scénario référence'!$B$10)*A105*10/30+('Scénario référence'!$F$8+'Scénario référence'!$F$9)*10)</f>
        <v>10</v>
      </c>
      <c r="GR105" s="151" t="str">
        <f>VLOOKUP(A105,'Données projet'!$A$269:$I$289,2,0)</f>
        <v>#N/A</v>
      </c>
      <c r="GS105" s="151" t="str">
        <f>VLOOKUP(A105,'Données projet'!$A$269:$I$289,9,0)</f>
        <v>#N/A</v>
      </c>
      <c r="GT105" s="151" t="str">
        <f t="array" ref="GT105">INDEX(GS:GS,MIN(IF(ISNUMBER(GS105:GS301),ROW(GS105:GS301),"")))</f>
        <v/>
      </c>
      <c r="GU105" s="151">
        <f>IF('Données projet'!$A$270&gt;35,GU104+GT105-HC104,IF(A105&lt;'Données projet'!$A$270,$GR$205^A105,IF(A105='Données projet'!$A$270,'Données projet'!$B$270,GU104+GT105-HC104)))</f>
        <v>0</v>
      </c>
      <c r="GV105" s="158" t="str">
        <f>GU105*VLOOKUP('Données projet'!$B$18,'Paramètres'!$A$1:$I$88,3,0)*VLOOKUP('Données projet'!$B$18,'Paramètres'!$A$1:$I$88,5,0)</f>
        <v>#N/A</v>
      </c>
      <c r="GW105" s="150" t="str">
        <f t="shared" si="52"/>
        <v>#N/A</v>
      </c>
      <c r="GX105" s="161" t="str">
        <f t="shared" si="29"/>
        <v>#N/A</v>
      </c>
      <c r="GY105" s="153" t="str">
        <f t="shared" si="30"/>
        <v>#N/A</v>
      </c>
      <c r="GZ105" s="153" t="str">
        <f>AVERAGE(OFFSET($GY$3,0,0,'Données projet'!$E$18+1,1))-AVERAGE(OFFSET($H$3,0,0,'Données projet'!$E$18+1,1))</f>
        <v>#N/A</v>
      </c>
      <c r="HA105" s="153" t="str">
        <f t="shared" si="53"/>
        <v>#N/A</v>
      </c>
      <c r="HB105" s="154">
        <f>IF(ISNA(VLOOKUP(A105,'Données projet'!$A$269:$I$289,3,0)),0,VLOOKUP(A105,'Données projet'!$A$269:$I$289,3,0))</f>
        <v>0</v>
      </c>
      <c r="HC105" s="154">
        <f>IF(ISNA(VLOOKUP(A105,'Données projet'!$A$269:$I$289,4,0)),0,VLOOKUP(A105,'Données projet'!$A$269:$I$289,4,0))</f>
        <v>0</v>
      </c>
      <c r="HD105" s="155">
        <f>IF(ISNA(VLOOKUP(A105,'Données projet'!$A$269:$I$289,5,0)),0%,VLOOKUP(A105,'Données projet'!$A$269:$I$289,5,0)*VLOOKUP('Données projet'!$B$18,'Paramètres'!$A$1:$I$88,7,0))</f>
        <v>0</v>
      </c>
      <c r="HE105" s="155">
        <f>IF(ISNA(VLOOKUP(A105,'Données projet'!$A$269:$I$289,6,0)),0%,VLOOKUP(A105,'Données projet'!$A$269:$I$289,6,0)*VLOOKUP('Données projet'!$B$18,'Paramètres'!$A$1:$I$88,7,0))</f>
        <v>0</v>
      </c>
      <c r="HF105" s="155">
        <f>IF(ISNA(VLOOKUP(A105,'Données projet'!$A$269:$I$289,7,0)),0%,VLOOKUP(A105,'Données projet'!$A$269:$I$289,7,0))</f>
        <v>0</v>
      </c>
      <c r="HG105" s="162" t="str">
        <f>EXP(-LN(2)/35)*HG104+(1-EXP(-LN(2)/35))/(LN(2)/35)*HC105*HD105*VLOOKUP('Données projet'!$B$18,'Paramètres'!$A$1:$I$88,3,0)*0.475*44/12</f>
        <v>#N/A</v>
      </c>
      <c r="HH105" s="162" t="str">
        <f>EXP(-LN(2)/25)*HH104+(1-EXP(-LN(2)/25))/(LN(2)/25)*Calculateur!HC105*Calculateur!HE105*VLOOKUP('Données projet'!$B$18,'Paramètres'!$A$1:$I$88,3,0)*0.475*44/12</f>
        <v>#N/A</v>
      </c>
      <c r="HI105" s="162" t="str">
        <f>EXP(-LN(2)/2)*HI104+(1-EXP(-LN(2)/2))/(LN(2)/2)*HC105*HF105*VLOOKUP('Données projet'!$B$18,'Paramètres'!$A$1:$I$88,3,0)*0.475*44/12</f>
        <v>#N/A</v>
      </c>
      <c r="HJ105" s="163" t="str">
        <f t="shared" si="31"/>
        <v>#N/A</v>
      </c>
    </row>
    <row r="106" ht="15.75" customHeight="1">
      <c r="A106" s="145">
        <f t="shared" si="32"/>
        <v>103</v>
      </c>
      <c r="B106" s="146">
        <f>'Scénario référence'!$B$16*5+'Scénario référence'!$B$17*0+'Scénario référence'!$B$18*5</f>
        <v>0</v>
      </c>
      <c r="C106" s="160">
        <f>Calculateur!C105+'Scénario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06" s="147">
        <f t="shared" si="33"/>
        <v>0</v>
      </c>
      <c r="E106" s="147">
        <f>'Scénario référence'!$B$16*45+('Scénario référence'!$B$17+'Scénario référence'!$F$8+'Scénario référence'!$F$9+'Scénario référence'!$B$10+'Scénario référence'!$B$9)*70+'Scénario référence'!$B$18*32</f>
        <v>70</v>
      </c>
      <c r="F106" s="147">
        <f>IF(OR('Scénario référence'!$F$8&gt;0,'Scénario référence'!$F$9&gt;0),('Scénario référence'!$F$8+'Scénario référence'!$F$9)*10,0)</f>
        <v>0</v>
      </c>
      <c r="G106" s="147">
        <f>'Scénario référence'!$B$8*B106*44/12+'Scénario référence'!$B$9*(C106+D106)/0.475*44/12+'Scénario référence'!$B$10*(C106+D106)/0.475*44/12+'Scénario référence'!$F$8*(C106+D106)/0.475*44/12+'Scénario référence'!$F$9*(C106+D106)/0.475*44/12</f>
        <v>0</v>
      </c>
      <c r="H106" s="148">
        <f t="shared" si="1"/>
        <v>256.6666667</v>
      </c>
      <c r="I106" s="149">
        <f>('Scénario référence'!$F$8+'Scénario référence'!$F$9+'Scénario référence'!$B$17+'Scénario référence'!$B$9+'Scénario référence'!$B$10)*70+IF((45+25*(1-EXP(-0.0175*A106)))&lt;70,'Scénario référence'!$B$16*(45+25*(1-EXP(-0.0175*A106))),70*'Scénario référence'!$B$16)+IF((32+38*(1-EXP(-0.0175*A106)))&lt;70,'Scénario référence'!$B$18*(32+38*(1-EXP(-0.0175*A106))),70*'Scénario référence'!$B$18)</f>
        <v>70</v>
      </c>
      <c r="J106" s="150">
        <f>IF(A106&gt;30,10,('Scénario référence'!$B$16+'Scénario référence'!$B$17+'Scénario référence'!$B$18+'Scénario référence'!$B$9+'Scénario référence'!$B$10)*A106*10/30+('Scénario référence'!$F$8+'Scénario référence'!$F$9)*10)</f>
        <v>10</v>
      </c>
      <c r="K106" s="151" t="str">
        <f>VLOOKUP(A106,'Données projet'!$A$35:$I$55,2,0)</f>
        <v>#N/A</v>
      </c>
      <c r="L106" s="151" t="str">
        <f>VLOOKUP(A106,'Données projet'!$A$35:$I$55,9,0)</f>
        <v>#N/A</v>
      </c>
      <c r="M106" s="150">
        <f t="array" ref="M106">INDEX(L:L,MIN(IF(ISNUMBER(L106:L302),ROW(L106:L302),"")))</f>
        <v>5.4</v>
      </c>
      <c r="N106" s="150">
        <f>IF('Données projet'!$A$36&gt;35,N105+M106-V105,IF(A106&lt;'Données projet'!$A$36,$K$205^A106,IF(A106='Données projet'!$A$36,'Données projet'!$B$36,N105+M106-V105)))</f>
        <v>322.2</v>
      </c>
      <c r="O106" s="150">
        <f>N106*VLOOKUP('Données projet'!$B$9,'Paramètres'!$A$1:$I$88,3,0)*VLOOKUP('Données projet'!$B$9,'Paramètres'!$A$1:$I$88,5,0)</f>
        <v>291.52656</v>
      </c>
      <c r="P106" s="150">
        <f t="shared" si="34"/>
        <v>69.39715376</v>
      </c>
      <c r="Q106" s="161">
        <f t="shared" si="2"/>
        <v>628.6088015</v>
      </c>
      <c r="R106" s="153">
        <f t="shared" si="3"/>
        <v>921.9421348</v>
      </c>
      <c r="S106" s="153">
        <f>AVERAGE(OFFSET($R$3,0,0,'Données projet'!$E$9+1,1))-AVERAGE(OFFSET($H$3,0,0,'Données projet'!$E$9+1,1))</f>
        <v>439.1985427</v>
      </c>
      <c r="T106" s="153">
        <f t="shared" si="35"/>
        <v>278.2174123</v>
      </c>
      <c r="U106" s="154">
        <f>IF(ISNA(VLOOKUP(A106,'Données projet'!$A$35:$I$55,3,0)),0,VLOOKUP(A106,'Données projet'!$A$35:$I$55,3,0))</f>
        <v>0</v>
      </c>
      <c r="V106" s="154">
        <f>IF(ISNA(VLOOKUP(A106,'Données projet'!$A$35:$I$55,4,0)),0,VLOOKUP(A106,'Données projet'!$A$35:$I$55,4,0))</f>
        <v>0</v>
      </c>
      <c r="W106" s="155">
        <f>IF(ISNA(VLOOKUP(A106,'Données projet'!$A$35:$I$55,5,0)),0%,VLOOKUP(A106,'Données projet'!$A$35:$I$55,5,0)*VLOOKUP('Données projet'!$B$9,'Paramètres'!$A$1:$I$88,7,0))</f>
        <v>0</v>
      </c>
      <c r="X106" s="155">
        <f>IF(ISNA(VLOOKUP(A106,'Données projet'!$A$35:$I$55,6,0)),0%,VLOOKUP(A106,'Données projet'!$A$35:$I$55,6,0)*VLOOKUP('Données projet'!$B$9,'Paramètres'!$A$1:$I$88,7,0))</f>
        <v>0</v>
      </c>
      <c r="Y106" s="155">
        <f>IF(ISNA(VLOOKUP(A106,'Données projet'!$A$35:$I$55,7,0)),0%,VLOOKUP(A106,'Données projet'!$A$35:$I$55,7,0))</f>
        <v>0</v>
      </c>
      <c r="Z106" s="162">
        <f>EXP(-LN(2)/35)*Z105+(1-EXP(-LN(2)/35))/(LN(2)/35)*V106*W106*VLOOKUP('Données projet'!$B$9,'Paramètres'!$A$1:$I$88,3,0)*0.475*44/12</f>
        <v>0</v>
      </c>
      <c r="AA106" s="162">
        <f>EXP(-LN(2)/25)*AA105+(1-EXP(-LN(2)/25))/(LN(2)/25)*Calculateur!V106*Calculateur!X106*VLOOKUP('Données projet'!$B$9,'Paramètres'!$A$1:$I$88,3,0)*0.475*44/12</f>
        <v>0.5929317299</v>
      </c>
      <c r="AB106" s="162">
        <f>EXP(-LN(2)/2)*AB105+(1-EXP(-LN(2)/2))/(LN(2)/2)*V106*Y106*VLOOKUP('Données projet'!$B$9,'Paramètres'!$A$1:$I$88,3,0)*0.475*44/12</f>
        <v>0</v>
      </c>
      <c r="AC106" s="163">
        <f t="shared" si="4"/>
        <v>0.5929317299</v>
      </c>
      <c r="AD106" s="150">
        <f>('Scénario référence'!$F$8+'Scénario référence'!$F$9+'Scénario référence'!$B$17+'Scénario référence'!$B$9+'Scénario référence'!$B$10)*70+IF((45+25*(1-EXP(-0.0175*A106)))&lt;70,'Scénario référence'!$B$16*(45+25*(1-EXP(-0.0175*A106))),70*'Scénario référence'!$B$16)+IF((32+38*(1-EXP(-0.0175*A106)))&lt;70,'Scénario référence'!$B$18*(32+38*(1-EXP(-0.0175*A106))),70*'Scénario référence'!$B$18)</f>
        <v>70</v>
      </c>
      <c r="AE106" s="150">
        <f>IF(A106&gt;30,10,('Scénario référence'!$B$16+'Scénario référence'!$B$17+'Scénario référence'!$B$18+'Scénario référence'!$B$9+'Scénario référence'!$B$10)*A106*10/30+('Scénario référence'!$F$8+'Scénario référence'!$F$9)*10)</f>
        <v>10</v>
      </c>
      <c r="AF106" s="151" t="str">
        <f>VLOOKUP(A106,'Données projet'!$A$61:$I$81,2,0)</f>
        <v>#N/A</v>
      </c>
      <c r="AG106" s="151" t="str">
        <f>VLOOKUP(A106,'Données projet'!$A$61:$I$81,9,0)</f>
        <v>#N/A</v>
      </c>
      <c r="AH106" s="151" t="str">
        <f t="array" ref="AH106">INDEX(AG:AG,MIN(IF(ISNUMBER(AG106:AG302),ROW(AG106:AG302),"")))</f>
        <v/>
      </c>
      <c r="AI106" s="150">
        <f>IF('Données projet'!$A$62&gt;35,AI105+AH106-AQ105,IF(A106&lt;'Données projet'!$A$62,$AF$205^A106,IF(A106='Données projet'!$A$62,'Données projet'!$B$62,AI105+AH106-AQ105)))</f>
        <v>369</v>
      </c>
      <c r="AJ106" s="150">
        <f>AI106*VLOOKUP('Données projet'!$B$10,'Paramètres'!$A$1:$I$88,3,0)*VLOOKUP('Données projet'!$B$10,'Paramètres'!$A$1:$I$88,5,0)</f>
        <v>293.5764</v>
      </c>
      <c r="AK106" s="150">
        <f t="shared" si="36"/>
        <v>69.82813851</v>
      </c>
      <c r="AL106" s="161">
        <f t="shared" si="5"/>
        <v>632.9295712</v>
      </c>
      <c r="AM106" s="153">
        <f t="shared" si="6"/>
        <v>926.2629046</v>
      </c>
      <c r="AN106" s="153">
        <f>AVERAGE(OFFSET($AM$3,0,0,'Données projet'!$E$10+1,1))-AVERAGE(OFFSET($H$3,0,0,'Données projet'!$E$10+1,1))</f>
        <v>405.6113614</v>
      </c>
      <c r="AO106" s="153">
        <f t="shared" si="37"/>
        <v>393.0787141</v>
      </c>
      <c r="AP106" s="154">
        <f>IF(ISNA(VLOOKUP(A106,'Données projet'!$A$61:$I$81,3,0)),0,VLOOKUP(A106,'Données projet'!$A$61:$I$81,3,0))</f>
        <v>0</v>
      </c>
      <c r="AQ106" s="154">
        <f>IF(ISNA(VLOOKUP(A106,'Données projet'!$A$61:$I$81,4,0)),0,VLOOKUP(A106,'Données projet'!$A$61:$I$81,4,0))</f>
        <v>0</v>
      </c>
      <c r="AR106" s="155">
        <f>IF(ISNA(VLOOKUP(A106,'Données projet'!$A$61:$I$81,5,0)),0%,VLOOKUP(A106,'Données projet'!$A$61:$I$81,5,0)*VLOOKUP('Données projet'!$B$10,'Paramètres'!$A$1:$I$88,7,0))</f>
        <v>0</v>
      </c>
      <c r="AS106" s="155">
        <f>IF(ISNA(VLOOKUP(A106,'Données projet'!$A$61:$I$81,6,0)),0%,VLOOKUP(A106,'Données projet'!$A$61:$I$81,6,0)*VLOOKUP('Données projet'!$B$10,'Paramètres'!$A$1:$I$88,7,0))</f>
        <v>0</v>
      </c>
      <c r="AT106" s="155">
        <f>IF(ISNA(VLOOKUP(A106,'Données projet'!$A$61:$I$81,7,0)),0%,VLOOKUP(A106,'Données projet'!$A$61:$I$81,7,0))</f>
        <v>0</v>
      </c>
      <c r="AU106" s="162">
        <f>EXP(-LN(2)/35)*AU105+(1-EXP(-LN(2)/35))/(LN(2)/35)*AQ106*AR106*VLOOKUP('Données projet'!$B$10,'Paramètres'!$A$1:$I$88,3,0)*0.475*44/12</f>
        <v>0</v>
      </c>
      <c r="AV106" s="162">
        <f>EXP(-LN(2)/25)*AV105+(1-EXP(-LN(2)/25))/(LN(2)/25)*Calculateur!AQ106*Calculateur!AS106*VLOOKUP('Données projet'!$B$10,'Paramètres'!$A$1:$I$88,3,0)*0.475*44/12</f>
        <v>2.40982528</v>
      </c>
      <c r="AW106" s="162">
        <f>EXP(-LN(2)/2)*AW105+(1-EXP(-LN(2)/2))/(LN(2)/2)*AQ106*AT106*VLOOKUP('Données projet'!$B$10,'Paramètres'!$A$1:$I$88,3,0)*0.475*44/12</f>
        <v>0</v>
      </c>
      <c r="AX106" s="162">
        <f t="shared" si="7"/>
        <v>2.40982528</v>
      </c>
      <c r="AY106" s="157">
        <f>('Scénario référence'!$F$8+'Scénario référence'!$F$9+'Scénario référence'!$B$17+'Scénario référence'!$B$9+'Scénario référence'!$B$10)*70+IF((45+25*(1-EXP(-0.0175*A106)))&lt;70,'Scénario référence'!$B$16*(45+25*(1-EXP(-0.0175*A106))),70*'Scénario référence'!$B$16)+IF((32+38*(1-EXP(-0.0175*A106)))&lt;70,'Scénario référence'!$B$18*(32+38*(1-EXP(-0.0175*A106))),70*'Scénario référence'!$B$18)</f>
        <v>70</v>
      </c>
      <c r="AZ106" s="151">
        <f>IF(A106&gt;30,10,('Scénario référence'!$B$16+'Scénario référence'!$B$17+'Scénario référence'!$B$18+'Scénario référence'!$B$9+'Scénario référence'!$B$10)*A106*10/30+('Scénario référence'!$F$8+'Scénario référence'!$F$9)*10)</f>
        <v>10</v>
      </c>
      <c r="BA106" s="151" t="str">
        <f>VLOOKUP(A106,'Données projet'!$A$87:$I$107,2,0)</f>
        <v>#N/A</v>
      </c>
      <c r="BB106" s="151" t="str">
        <f>VLOOKUP(A106,'Données projet'!$A$87:$I$107,9,0)</f>
        <v>#N/A</v>
      </c>
      <c r="BC106" s="151" t="str">
        <f t="array" ref="BC106">INDEX(BB:BB,MIN(IF(ISNUMBER(BB106:BB302),ROW(BB106:BB302),"")))</f>
        <v/>
      </c>
      <c r="BD106" s="150">
        <f>IF('Données projet'!$A$88&gt;35,BD105+BC106-BL105,IF(A106&lt;'Données projet'!$A$88,$BA$205^A106,IF(A106='Données projet'!$A$88,'Données projet'!$B$88,BD105+BC106-BL105)))</f>
        <v>0</v>
      </c>
      <c r="BE106" s="150">
        <f>BD106*VLOOKUP('Données projet'!$B$11,'Paramètres'!$A$1:$I$88,3,0)*VLOOKUP('Données projet'!$B$11,'Paramètres'!$A$1:$I$88,5,0)</f>
        <v>0</v>
      </c>
      <c r="BF106" s="150" t="str">
        <f t="shared" si="38"/>
        <v>#NUM!</v>
      </c>
      <c r="BG106" s="161" t="str">
        <f t="shared" si="8"/>
        <v>#NUM!</v>
      </c>
      <c r="BH106" s="153" t="str">
        <f t="shared" si="9"/>
        <v>#NUM!</v>
      </c>
      <c r="BI106" s="153">
        <f>AVERAGE(OFFSET($BH$3,0,0,'Données projet'!$E$11+1,1))-AVERAGE(OFFSET($H$3,0,0,'Données projet'!$E$11+1,1))</f>
        <v>0</v>
      </c>
      <c r="BJ106" s="153">
        <f t="shared" si="39"/>
        <v>0</v>
      </c>
      <c r="BK106" s="154">
        <f>IF(ISNA(VLOOKUP(A106,'Données projet'!$A$87:$I$107,3,0)),0,VLOOKUP(A106,'Données projet'!$A$87:$I$107,3,0))</f>
        <v>0</v>
      </c>
      <c r="BL106" s="154">
        <f>IF(ISNA(VLOOKUP(A106,'Données projet'!$A$87:$I$107,4,0)),0,VLOOKUP(A106,'Données projet'!$A$87:$I$107,4,0))</f>
        <v>0</v>
      </c>
      <c r="BM106" s="155">
        <f>IF(ISNA(VLOOKUP(A106,'Données projet'!$A$87:$I$107,5,0)),0%,VLOOKUP(A106,'Données projet'!$A$87:$I$107,5,0)*VLOOKUP('Données projet'!$B$11,'Paramètres'!$A$1:$I$88,7,0))</f>
        <v>0</v>
      </c>
      <c r="BN106" s="155">
        <f>IF(ISNA(VLOOKUP(A106,'Données projet'!$A$87:$I$107,6,0)),0%,VLOOKUP(A106,'Données projet'!$A$87:$I$107,6,0)*VLOOKUP('Données projet'!$B$11,'Paramètres'!$A$1:$I$88,7,0))</f>
        <v>0</v>
      </c>
      <c r="BO106" s="155">
        <f>IF(ISNA(VLOOKUP(A106,'Données projet'!$A$87:$I$107,7,0)),0%,VLOOKUP(A106,'Données projet'!$A$87:$I$107,7,0))</f>
        <v>0</v>
      </c>
      <c r="BP106" s="162">
        <f>EXP(-LN(2)/35)*BP105+(1-EXP(-LN(2)/35))/(LN(2)/35)*BL106*BM106*VLOOKUP('Données projet'!$B$11,'Paramètres'!$A$1:$I$88,3,0)*0.475*44/12</f>
        <v>0</v>
      </c>
      <c r="BQ106" s="162">
        <f>EXP(-LN(2)/25)*BQ105+(1-EXP(-LN(2)/25))/(LN(2)/25)*Calculateur!BL106*Calculateur!BN106*VLOOKUP('Données projet'!$B$11,'Paramètres'!$A$1:$I$88,3,0)*0.475*44/12</f>
        <v>0</v>
      </c>
      <c r="BR106" s="162">
        <f>EXP(-LN(2)/2)*BR105+(1-EXP(-LN(2)/2))/(LN(2)/2)*BL106*BO106*VLOOKUP('Données projet'!$B$11,'Paramètres'!$A$1:$I$88,3,0)*0.475*44/12</f>
        <v>0</v>
      </c>
      <c r="BS106" s="163">
        <f t="shared" si="10"/>
        <v>0</v>
      </c>
      <c r="BT106" s="159">
        <f>('Scénario référence'!$F$8+'Scénario référence'!$F$9+'Scénario référence'!$B$17+'Scénario référence'!$B$9+'Scénario référence'!$B$10)*70+IF((45+25*(1-EXP(-0.0175*A106)))&lt;70,'Scénario référence'!$B$16*(45+25*(1-EXP(-0.0175*A106))),70*'Scénario référence'!$B$16)+IF((32+38*(1-EXP(-0.0175*A106)))&lt;70,'Scénario référence'!$B$18*(32+38*(1-EXP(-0.0175*A106))),70*'Scénario référence'!$B$18)</f>
        <v>70</v>
      </c>
      <c r="BU106" s="151">
        <f>IF(A106&gt;30,10,('Scénario référence'!$B$16+'Scénario référence'!$B$17+'Scénario référence'!$B$18+'Scénario référence'!$B$9+'Scénario référence'!$B$10)*A106*10/30+('Scénario référence'!$F$8+'Scénario référence'!$F$9)*10)</f>
        <v>10</v>
      </c>
      <c r="BV106" s="151" t="str">
        <f>VLOOKUP(A106,'Données projet'!$A$113:$I$133,2,0)</f>
        <v>#N/A</v>
      </c>
      <c r="BW106" s="151" t="str">
        <f>VLOOKUP(A106,'Données projet'!$A$113:$I$133,9,0)</f>
        <v>#N/A</v>
      </c>
      <c r="BX106" s="151" t="str">
        <f t="array" ref="BX106">INDEX(BW:BW,MIN(IF(ISNUMBER(BW106:BW302),ROW(BW106:BW302),"")))</f>
        <v/>
      </c>
      <c r="BY106" s="150">
        <f>IF('Données projet'!$A$114&gt;35,BY105+BX106-CG105,IF(A106&lt;'Données projet'!$A$114,$BV$205^A106,IF(A106='Données projet'!$A$114,'Données projet'!$B$114,BY105+BX106-CG105)))</f>
        <v>0</v>
      </c>
      <c r="BZ106" s="150" t="str">
        <f>BY106*VLOOKUP('Données projet'!$B$12,'Paramètres'!$A$1:$I$88,3,0)*VLOOKUP('Données projet'!$B$12,'Paramètres'!$A$1:$I$88,5,0)</f>
        <v>#N/A</v>
      </c>
      <c r="CA106" s="150" t="str">
        <f t="shared" si="40"/>
        <v>#N/A</v>
      </c>
      <c r="CB106" s="161" t="str">
        <f t="shared" si="11"/>
        <v>#N/A</v>
      </c>
      <c r="CC106" s="153" t="str">
        <f t="shared" si="12"/>
        <v>#N/A</v>
      </c>
      <c r="CD106" s="153" t="str">
        <f>AVERAGE(OFFSET($CC$3,0,0,'Données projet'!$E$12+1,1))-AVERAGE(OFFSET($H$3,0,0,'Données projet'!$E$12+1,1))</f>
        <v>#N/A</v>
      </c>
      <c r="CE106" s="153" t="str">
        <f t="shared" si="41"/>
        <v>#N/A</v>
      </c>
      <c r="CF106" s="154">
        <f>IF(ISNA(VLOOKUP(A106,'Données projet'!$A$113:$I$133,3,0)),0,VLOOKUP(A106,'Données projet'!$A$113:$I$133,3,0))</f>
        <v>0</v>
      </c>
      <c r="CG106" s="154">
        <f>IF(ISNA(VLOOKUP(A106,'Données projet'!$A$113:$I$133,4,0)),0,VLOOKUP(A106,'Données projet'!$A$113:$I$133,4,0))</f>
        <v>0</v>
      </c>
      <c r="CH106" s="155">
        <f>IF(ISNA(VLOOKUP(A106,'Données projet'!$A$113:$I$133,5,0)),0%,VLOOKUP(A106,'Données projet'!$A$113:$I$133,5,0)*VLOOKUP('Données projet'!$B$12,'Paramètres'!$A$1:$I$88,7,0))</f>
        <v>0</v>
      </c>
      <c r="CI106" s="155">
        <f>IF(ISNA(VLOOKUP(A106,'Données projet'!$A$113:$I$133,6,0)),0%,VLOOKUP(A106,'Données projet'!$A$113:$I$133,6,0)*VLOOKUP('Données projet'!$B$12,'Paramètres'!$A$1:$I$88,7,0))</f>
        <v>0</v>
      </c>
      <c r="CJ106" s="155">
        <f>IF(ISNA(VLOOKUP(A106,'Données projet'!$A$113:$I$133,7,0)),0%,VLOOKUP(A106,'Données projet'!$A$113:$I$133,7,0))</f>
        <v>0</v>
      </c>
      <c r="CK106" s="162" t="str">
        <f>EXP(-LN(2)/35)*CK105+(1-EXP(-LN(2)/35))/(LN(2)/35)*CG106*CH106*VLOOKUP('Données projet'!$B$12,'Paramètres'!$A$1:$I$88,3,0)*0.475*44/12</f>
        <v>#N/A</v>
      </c>
      <c r="CL106" s="162" t="str">
        <f>EXP(-LN(2)/25)*CL105+(1-EXP(-LN(2)/25))/(LN(2)/25)*Calculateur!CG106*Calculateur!CI106*VLOOKUP('Données projet'!$B$12,'Paramètres'!$A$1:$I$88,3,0)*0.475*44/12</f>
        <v>#N/A</v>
      </c>
      <c r="CM106" s="162" t="str">
        <f>EXP(-LN(2)/2)*CM105+(1-EXP(-LN(2)/2))/(LN(2)/2)*CG106*CJ106*VLOOKUP('Données projet'!$B$12,'Paramètres'!$A$1:$I$88,3,0)*0.475*44/12</f>
        <v>#N/A</v>
      </c>
      <c r="CN106" s="163" t="str">
        <f t="shared" si="13"/>
        <v>#N/A</v>
      </c>
      <c r="CO106" s="159">
        <f>('Scénario référence'!$F$8+'Scénario référence'!$F$9+'Scénario référence'!$B$17+'Scénario référence'!$B$9+'Scénario référence'!$B$10)*70+IF((45+25*(1-EXP(-0.0175*A106)))&lt;70,'Scénario référence'!$B$16*(45+25*(1-EXP(-0.0175*A106))),70*'Scénario référence'!$B$16)+IF((32+38*(1-EXP(-0.0175*A106)))&lt;70,'Scénario référence'!$B$18*(32+38*(1-EXP(-0.0175*A106))),70*'Scénario référence'!$B$18)</f>
        <v>70</v>
      </c>
      <c r="CP106" s="151">
        <f>IF(A106&gt;30,10,('Scénario référence'!$B$16+'Scénario référence'!$B$17+'Scénario référence'!$B$18+'Scénario référence'!$B$9+'Scénario référence'!$B$10)*A106*10/30+('Scénario référence'!$F$8+'Scénario référence'!$F$9)*10)</f>
        <v>10</v>
      </c>
      <c r="CQ106" s="151" t="str">
        <f>VLOOKUP(A106,'Données projet'!$A$139:$I$159,2,0)</f>
        <v>#N/A</v>
      </c>
      <c r="CR106" s="151" t="str">
        <f>VLOOKUP(A106,'Données projet'!$A$139:$I$159,9,0)</f>
        <v>#N/A</v>
      </c>
      <c r="CS106" s="151" t="str">
        <f t="array" ref="CS106">INDEX(CR:CR,MIN(IF(ISNUMBER(CR106:CR302),ROW(CR106:CR302),"")))</f>
        <v/>
      </c>
      <c r="CT106" s="151">
        <f>IF('Données projet'!$A$140&gt;35,CT105+CS106-DB105,IF(A106&lt;'Données projet'!$A$140,$CQ$205^A106,IF(A106='Données projet'!$A$140,'Données projet'!$B$140,CT105+CS106-DB105)))</f>
        <v>0</v>
      </c>
      <c r="CU106" s="158" t="str">
        <f>CT106*VLOOKUP('Données projet'!$B$13,'Paramètres'!$A$1:$I$88,3,0)*VLOOKUP('Données projet'!$B$13,'Paramètres'!$A$1:$I$88,5,0)</f>
        <v>#N/A</v>
      </c>
      <c r="CV106" s="150" t="str">
        <f t="shared" si="42"/>
        <v>#N/A</v>
      </c>
      <c r="CW106" s="161" t="str">
        <f t="shared" si="14"/>
        <v>#N/A</v>
      </c>
      <c r="CX106" s="153" t="str">
        <f t="shared" si="15"/>
        <v>#N/A</v>
      </c>
      <c r="CY106" s="153" t="str">
        <f>AVERAGE(OFFSET($CX$3,0,0,'Données projet'!$E$13+1,1))-AVERAGE(OFFSET($H$3,0,0,'Données projet'!$E$13+1,1))</f>
        <v>#N/A</v>
      </c>
      <c r="CZ106" s="153" t="str">
        <f t="shared" si="43"/>
        <v>#N/A</v>
      </c>
      <c r="DA106" s="154">
        <f>IF(ISNA(VLOOKUP(A106,'Données projet'!$A$139:$I$159,3,0)),0,VLOOKUP(A106,'Données projet'!$A$139:$I$159,3,0))</f>
        <v>0</v>
      </c>
      <c r="DB106" s="154">
        <f>IF(ISNA(VLOOKUP(A106,'Données projet'!$A$139:$I$159,4,0)),0,VLOOKUP(A106,'Données projet'!$A$139:$I$159,4,0))</f>
        <v>0</v>
      </c>
      <c r="DC106" s="155">
        <f>IF(ISNA(VLOOKUP(A106,'Données projet'!$A$139:$I$159,5,0)),0%,VLOOKUP(A106,'Données projet'!$A$139:$I$159,5,0)*VLOOKUP('Données projet'!$B$13,'Paramètres'!$A$1:$I$88,7,0))</f>
        <v>0</v>
      </c>
      <c r="DD106" s="155">
        <f>IF(ISNA(VLOOKUP(A106,'Données projet'!$A$139:$I$159,6,0)),0%,VLOOKUP(A106,'Données projet'!$A$139:$I$159,6,0)*VLOOKUP('Données projet'!$B$13,'Paramètres'!$A$1:$I$88,7,0))</f>
        <v>0</v>
      </c>
      <c r="DE106" s="155">
        <f>IF(ISNA(VLOOKUP(A106,'Données projet'!$A$139:$I$159,7,0)),0%,VLOOKUP(A106,'Données projet'!$A$139:$I$159,7,0))</f>
        <v>0</v>
      </c>
      <c r="DF106" s="162" t="str">
        <f>EXP(-LN(2)/35)*DF105+(1-EXP(-LN(2)/35))/(LN(2)/35)*DB106*DC106*VLOOKUP('Données projet'!$B$13,'Paramètres'!$A$1:$I$88,3,0)*0.475*44/12</f>
        <v>#N/A</v>
      </c>
      <c r="DG106" s="162" t="str">
        <f>EXP(-LN(2)/25)*DG105+(1-EXP(-LN(2)/25))/(LN(2)/25)*Calculateur!DB106*Calculateur!DD106*VLOOKUP('Données projet'!$B$13,'Paramètres'!$A$1:$I$88,3,0)*0.475*44/12</f>
        <v>#N/A</v>
      </c>
      <c r="DH106" s="162" t="str">
        <f>EXP(-LN(2)/2)*DH105+(1-EXP(-LN(2)/2))/(LN(2)/2)*DB106*DE106*VLOOKUP('Données projet'!$B$13,'Paramètres'!$A$1:$I$88,3,0)*0.475*44/12</f>
        <v>#N/A</v>
      </c>
      <c r="DI106" s="163" t="str">
        <f t="shared" si="16"/>
        <v>#N/A</v>
      </c>
      <c r="DJ106" s="159">
        <f>('Scénario référence'!$F$8+'Scénario référence'!$F$9+'Scénario référence'!$B$17+'Scénario référence'!$B$9+'Scénario référence'!$B$10)*70+IF((45+25*(1-EXP(-0.0175*A106)))&lt;70,'Scénario référence'!$B$16*(45+25*(1-EXP(-0.0175*A106))),70*'Scénario référence'!$B$16)+IF((32+38*(1-EXP(-0.0175*A106)))&lt;70,'Scénario référence'!$B$18*(32+38*(1-EXP(-0.0175*A106))),70*'Scénario référence'!$B$18)</f>
        <v>70</v>
      </c>
      <c r="DK106" s="151">
        <f>IF(A106&gt;30,10,('Scénario référence'!$B$16+'Scénario référence'!$B$17+'Scénario référence'!$B$18+'Scénario référence'!$B$9+'Scénario référence'!$B$10)*A106*10/30+('Scénario référence'!$F$8+'Scénario référence'!$F$9)*10)</f>
        <v>10</v>
      </c>
      <c r="DL106" s="151" t="str">
        <f>VLOOKUP(A106,'Données projet'!$A$165:$I$185,2,0)</f>
        <v>#N/A</v>
      </c>
      <c r="DM106" s="151" t="str">
        <f>VLOOKUP(A106,'Données projet'!$A$165:$I$185,9,0)</f>
        <v>#N/A</v>
      </c>
      <c r="DN106" s="151" t="str">
        <f t="array" ref="DN106">INDEX(DM:DM,MIN(IF(ISNUMBER(DM106:DM302),ROW(DM106:DM302),"")))</f>
        <v/>
      </c>
      <c r="DO106" s="151">
        <f>IF('Données projet'!$A$166&gt;35,DO105+DN106-DW105,IF(A106&lt;'Données projet'!$A$166,$DL$205^A106,IF(A106='Données projet'!$A$166,'Données projet'!$B$166,DO105+DN106-DW105)))</f>
        <v>0</v>
      </c>
      <c r="DP106" s="158" t="str">
        <f>DO106*VLOOKUP('Données projet'!$B$14,'Paramètres'!$A$1:$I$88,3,0)*VLOOKUP('Données projet'!$B$14,'Paramètres'!$A$1:$I$88,5,0)</f>
        <v>#N/A</v>
      </c>
      <c r="DQ106" s="150" t="str">
        <f t="shared" si="44"/>
        <v>#N/A</v>
      </c>
      <c r="DR106" s="161" t="str">
        <f t="shared" si="17"/>
        <v>#N/A</v>
      </c>
      <c r="DS106" s="153" t="str">
        <f t="shared" si="18"/>
        <v>#N/A</v>
      </c>
      <c r="DT106" s="153" t="str">
        <f>AVERAGE(OFFSET($DS$3,0,0,'Données projet'!$E$14+1,1))-AVERAGE(OFFSET($H$3,0,0,'Données projet'!$E$14+1,1))</f>
        <v>#N/A</v>
      </c>
      <c r="DU106" s="153" t="str">
        <f t="shared" si="45"/>
        <v>#N/A</v>
      </c>
      <c r="DV106" s="154">
        <f>IF(ISNA(VLOOKUP(A106,'Données projet'!$A$165:$I$185,3,0)),0,VLOOKUP(A106,'Données projet'!$A$165:$I$185,3,0))</f>
        <v>0</v>
      </c>
      <c r="DW106" s="154">
        <f>IF(ISNA(VLOOKUP(A106,'Données projet'!$A$165:$I$185,4,0)),0,VLOOKUP(A106,'Données projet'!$A$165:$I$185,4,0))</f>
        <v>0</v>
      </c>
      <c r="DX106" s="155">
        <f>IF(ISNA(VLOOKUP(A106,'Données projet'!$A$165:$I$185,5,0)),0%,VLOOKUP(A106,'Données projet'!$A$165:$I$185,5,0)*VLOOKUP('Données projet'!$B$14,'Paramètres'!$A$1:$I$88,7,0))</f>
        <v>0</v>
      </c>
      <c r="DY106" s="155">
        <f>IF(ISNA(VLOOKUP(A106,'Données projet'!$A$165:$I$185,6,0)),0%,VLOOKUP(A106,'Données projet'!$A$165:$I$185,6,0)*VLOOKUP('Données projet'!$B$14,'Paramètres'!$A$1:$I$88,7,0))</f>
        <v>0</v>
      </c>
      <c r="DZ106" s="155">
        <f>IF(ISNA(VLOOKUP(A106,'Données projet'!$A$165:$I$185,7,0)),0%,VLOOKUP(A106,'Données projet'!$A$165:$I$185,7,0))</f>
        <v>0</v>
      </c>
      <c r="EA106" s="162" t="str">
        <f>EXP(-LN(2)/35)*EA105+(1-EXP(-LN(2)/35))/(LN(2)/35)*DW106*DX106*VLOOKUP('Données projet'!$B$14,'Paramètres'!$A$1:$I$88,3,0)*0.475*44/12</f>
        <v>#N/A</v>
      </c>
      <c r="EB106" s="162" t="str">
        <f>EXP(-LN(2)/25)*EB105+(1-EXP(-LN(2)/25))/(LN(2)/25)*Calculateur!DW106*Calculateur!DY106*VLOOKUP('Données projet'!$B$14,'Paramètres'!$A$1:$I$88,3,0)*0.475*44/12</f>
        <v>#N/A</v>
      </c>
      <c r="EC106" s="162" t="str">
        <f>EXP(-LN(2)/2)*EC105+(1-EXP(-LN(2)/2))/(LN(2)/2)*DW106*DZ106*VLOOKUP('Données projet'!$B$14,'Paramètres'!$A$1:$I$88,3,0)*0.475*44/12</f>
        <v>#N/A</v>
      </c>
      <c r="ED106" s="163" t="str">
        <f t="shared" si="19"/>
        <v>#N/A</v>
      </c>
      <c r="EE106" s="159">
        <f>('Scénario référence'!$F$8+'Scénario référence'!$F$9+'Scénario référence'!$B$17+'Scénario référence'!$B$9+'Scénario référence'!$B$10)*70+IF((45+25*(1-EXP(-0.0175*A106)))&lt;70,'Scénario référence'!$B$16*(45+25*(1-EXP(-0.0175*A106))),70*'Scénario référence'!$B$16)+IF((32+38*(1-EXP(-0.0175*A106)))&lt;70,'Scénario référence'!$B$18*(32+38*(1-EXP(-0.0175*A106))),70*'Scénario référence'!$B$18)</f>
        <v>70</v>
      </c>
      <c r="EF106" s="151">
        <f>IF(A106&gt;30,10,('Scénario référence'!$B$16+'Scénario référence'!$B$17+'Scénario référence'!$B$18+'Scénario référence'!$B$9+'Scénario référence'!$B$10)*A106*10/30+('Scénario référence'!$F$8+'Scénario référence'!$F$9)*10)</f>
        <v>10</v>
      </c>
      <c r="EG106" s="151" t="str">
        <f>VLOOKUP(A106,'Données projet'!$A$191:$I$211,2,0)</f>
        <v>#N/A</v>
      </c>
      <c r="EH106" s="151" t="str">
        <f>VLOOKUP(A106,'Données projet'!$A$191:$I$211,9,0)</f>
        <v>#N/A</v>
      </c>
      <c r="EI106" s="151" t="str">
        <f t="array" ref="EI106">INDEX(EH:EH,MIN(IF(ISNUMBER(EH106:EH302),ROW(EH106:EH302),"")))</f>
        <v/>
      </c>
      <c r="EJ106" s="151">
        <f>IF('Données projet'!$A$192&gt;35,EJ105+EI106-ER105,IF(A106&lt;'Données projet'!$A$192,$EG$205^A106,IF(A106='Données projet'!$A$192,'Données projet'!$B$192,EJ105+EI106-ER105)))</f>
        <v>0</v>
      </c>
      <c r="EK106" s="158" t="str">
        <f>EJ106*VLOOKUP('Données projet'!$B$15,'Paramètres'!$A$1:$I$88,3,0)*VLOOKUP('Données projet'!$B$15,'Paramètres'!$A$1:$I$88,5,0)</f>
        <v>#N/A</v>
      </c>
      <c r="EL106" s="150" t="str">
        <f t="shared" si="46"/>
        <v>#N/A</v>
      </c>
      <c r="EM106" s="161" t="str">
        <f t="shared" si="20"/>
        <v>#N/A</v>
      </c>
      <c r="EN106" s="153" t="str">
        <f t="shared" si="21"/>
        <v>#N/A</v>
      </c>
      <c r="EO106" s="153" t="str">
        <f>AVERAGE(OFFSET($EN$3,0,0,'Données projet'!$E$15+1,1))-AVERAGE(OFFSET($H$3,0,0,'Données projet'!$E$15+1,1))</f>
        <v>#N/A</v>
      </c>
      <c r="EP106" s="153" t="str">
        <f t="shared" si="47"/>
        <v>#N/A</v>
      </c>
      <c r="EQ106" s="154">
        <f>IF(ISNA(VLOOKUP(A106,'Données projet'!$A$191:$I$211,3,0)),0,VLOOKUP(A106,'Données projet'!$A$191:$I$211,3,0))</f>
        <v>0</v>
      </c>
      <c r="ER106" s="154">
        <f>IF(ISNA(VLOOKUP(A106,'Données projet'!$A$191:$I$211,4,0)),0,VLOOKUP(A106,'Données projet'!$A$191:$I$211,4,0))</f>
        <v>0</v>
      </c>
      <c r="ES106" s="155">
        <f>IF(ISNA(VLOOKUP(A106,'Données projet'!$A$191:$I$211,5,0)),0%,VLOOKUP(A106,'Données projet'!$A$191:$I$211,5,0)*VLOOKUP('Données projet'!$B$15,'Paramètres'!$A$1:$I$88,7,0))</f>
        <v>0</v>
      </c>
      <c r="ET106" s="155">
        <f>IF(ISNA(VLOOKUP(A106,'Données projet'!$A$191:$I$211,6,0)),0%,VLOOKUP(A106,'Données projet'!$A$191:$I$211,6,0)*VLOOKUP('Données projet'!$B$15,'Paramètres'!$A$1:$I$88,7,0))</f>
        <v>0</v>
      </c>
      <c r="EU106" s="155">
        <f>IF(ISNA(VLOOKUP(A106,'Données projet'!$A$191:$I$211,7,0)),0%,VLOOKUP(A106,'Données projet'!$A$191:$I$211,7,0))</f>
        <v>0</v>
      </c>
      <c r="EV106" s="162" t="str">
        <f>EXP(-LN(2)/35)*EV105+(1-EXP(-LN(2)/35))/(LN(2)/35)*ER106*ES106*VLOOKUP('Données projet'!$B$15,'Paramètres'!$A$1:$I$88,3,0)*0.475*44/12</f>
        <v>#N/A</v>
      </c>
      <c r="EW106" s="162" t="str">
        <f>EXP(-LN(2)/25)*EW105+(1-EXP(-LN(2)/25))/(LN(2)/25)*Calculateur!ER106*Calculateur!ET106*VLOOKUP('Données projet'!$B$15,'Paramètres'!$A$1:$I$88,3,0)*0.475*44/12</f>
        <v>#N/A</v>
      </c>
      <c r="EX106" s="162" t="str">
        <f>EXP(-LN(2)/2)*EX105+(1-EXP(-LN(2)/2))/(LN(2)/2)*ER106*EU106*VLOOKUP('Données projet'!$B$15,'Paramètres'!$A$1:$I$88,3,0)*0.475*44/12</f>
        <v>#N/A</v>
      </c>
      <c r="EY106" s="163" t="str">
        <f t="shared" si="22"/>
        <v>#N/A</v>
      </c>
      <c r="EZ106" s="159">
        <f>('Scénario référence'!$F$8+'Scénario référence'!$F$9+'Scénario référence'!$B$17+'Scénario référence'!$B$9+'Scénario référence'!$B$10)*70+IF((45+25*(1-EXP(-0.0175*A106)))&lt;70,'Scénario référence'!$B$16*(45+25*(1-EXP(-0.0175*A106))),70*'Scénario référence'!$B$16)+IF((32+38*(1-EXP(-0.0175*A106)))&lt;70,'Scénario référence'!$B$18*(32+38*(1-EXP(-0.0175*A106))),70*'Scénario référence'!$B$18)</f>
        <v>70</v>
      </c>
      <c r="FA106" s="151">
        <f>IF(A106&gt;30,10,('Scénario référence'!$B$16+'Scénario référence'!$B$17+'Scénario référence'!$B$18+'Scénario référence'!$B$9+'Scénario référence'!$B$10)*A106*10/30+('Scénario référence'!$F$8+'Scénario référence'!$F$9)*10)</f>
        <v>10</v>
      </c>
      <c r="FB106" s="151" t="str">
        <f>VLOOKUP(A106,'Données projet'!$A$217:$I$237,2,0)</f>
        <v>#N/A</v>
      </c>
      <c r="FC106" s="151" t="str">
        <f>VLOOKUP(A106,'Données projet'!$A$217:$I$237,9,0)</f>
        <v>#N/A</v>
      </c>
      <c r="FD106" s="151" t="str">
        <f t="array" ref="FD106">INDEX(FC:FC,MIN(IF(ISNUMBER(FC106:FC302),ROW(FC106:FC302),"")))</f>
        <v/>
      </c>
      <c r="FE106" s="151">
        <f>IF('Données projet'!$A$218&gt;35,FE105+FD106-FM105,IF(A106&lt;'Données projet'!$A$218,$FB$205^A106,IF(A106='Données projet'!$A$218,'Données projet'!$B$218,FE105+FD106-FM105)))</f>
        <v>0</v>
      </c>
      <c r="FF106" s="158" t="str">
        <f>FE106*VLOOKUP('Données projet'!$B$16,'Paramètres'!$A$1:$I$88,3,0)*VLOOKUP('Données projet'!$B$16,'Paramètres'!$A$1:$I$88,5,0)</f>
        <v>#N/A</v>
      </c>
      <c r="FG106" s="150" t="str">
        <f t="shared" si="48"/>
        <v>#N/A</v>
      </c>
      <c r="FH106" s="161" t="str">
        <f t="shared" si="23"/>
        <v>#N/A</v>
      </c>
      <c r="FI106" s="153" t="str">
        <f t="shared" si="24"/>
        <v>#N/A</v>
      </c>
      <c r="FJ106" s="153" t="str">
        <f>AVERAGE(OFFSET($FI$3,0,0,'Données projet'!$E$16+1,1))-AVERAGE(OFFSET($H$3,0,0,'Données projet'!$E$16+1,1))</f>
        <v>#N/A</v>
      </c>
      <c r="FK106" s="153" t="str">
        <f t="shared" si="49"/>
        <v>#N/A</v>
      </c>
      <c r="FL106" s="154">
        <f>IF(ISNA(VLOOKUP(A106,'Données projet'!$A$217:$I$237,3,0)),0,VLOOKUP(A106,'Données projet'!$A$217:$I$237,3,0))</f>
        <v>0</v>
      </c>
      <c r="FM106" s="154">
        <f>IF(ISNA(VLOOKUP(A106,'Données projet'!$A$217:$I$237,4,0)),0,VLOOKUP(A106,'Données projet'!$A$217:$I$237,4,0))</f>
        <v>0</v>
      </c>
      <c r="FN106" s="155">
        <f>IF(ISNA(VLOOKUP(A106,'Données projet'!$A$217:$I$237,5,0)),0%,VLOOKUP(A106,'Données projet'!$A$217:$I$237,5,0)*VLOOKUP('Données projet'!$B$16,'Paramètres'!$A$1:$I$88,7,0))</f>
        <v>0</v>
      </c>
      <c r="FO106" s="155">
        <f>IF(ISNA(VLOOKUP(A106,'Données projet'!$A$217:$I$237,6,0)),0%,VLOOKUP(A106,'Données projet'!$A$217:$I$237,6,0)*VLOOKUP('Données projet'!$B$16,'Paramètres'!$A$1:$I$88,7,0))</f>
        <v>0</v>
      </c>
      <c r="FP106" s="155">
        <f>IF(ISNA(VLOOKUP(A106,'Données projet'!$A$217:$I$237,7,0)),0%,VLOOKUP(A106,'Données projet'!$A$217:$I$237,7,0))</f>
        <v>0</v>
      </c>
      <c r="FQ106" s="162" t="str">
        <f>EXP(-LN(2)/35)*FQ105+(1-EXP(-LN(2)/35))/(LN(2)/35)*FM106*FN106*VLOOKUP('Données projet'!$B$16,'Paramètres'!$A$1:$I$88,3,0)*0.475*44/12</f>
        <v>#N/A</v>
      </c>
      <c r="FR106" s="162" t="str">
        <f>EXP(-LN(2)/25)*FR105+(1-EXP(-LN(2)/25))/(LN(2)/25)*Calculateur!FM106*Calculateur!FO106*VLOOKUP('Données projet'!$B$16,'Paramètres'!$A$1:$I$88,3,0)*0.475*44/12</f>
        <v>#N/A</v>
      </c>
      <c r="FS106" s="162" t="str">
        <f>EXP(-LN(2)/2)*FS105+(1-EXP(-LN(2)/2))/(LN(2)/2)*FM106*FP106*VLOOKUP('Données projet'!$B$16,'Paramètres'!$A$1:$I$88,3,0)*0.475*44/12</f>
        <v>#N/A</v>
      </c>
      <c r="FT106" s="163" t="str">
        <f t="shared" si="25"/>
        <v>#N/A</v>
      </c>
      <c r="FU106" s="159">
        <f>('Scénario référence'!$F$8+'Scénario référence'!$F$9+'Scénario référence'!$B$17+'Scénario référence'!$B$9+'Scénario référence'!$B$10)*70+IF((45+25*(1-EXP(-0.0175*A106)))&lt;70,'Scénario référence'!$B$16*(45+25*(1-EXP(-0.0175*A106))),70*'Scénario référence'!$B$16)+IF((32+38*(1-EXP(-0.0175*A106)))&lt;70,'Scénario référence'!$B$18*(32+38*(1-EXP(-0.0175*A106))),70*'Scénario référence'!$B$18)</f>
        <v>70</v>
      </c>
      <c r="FV106" s="151">
        <f>IF(A106&gt;30,10,('Scénario référence'!$B$16+'Scénario référence'!$B$17+'Scénario référence'!$B$18+'Scénario référence'!$B$9+'Scénario référence'!$B$10)*A106*10/30+('Scénario référence'!$F$8+'Scénario référence'!$F$9)*10)</f>
        <v>10</v>
      </c>
      <c r="FW106" s="151" t="str">
        <f>VLOOKUP(A106,'Données projet'!$A$243:$I$263,2,0)</f>
        <v>#N/A</v>
      </c>
      <c r="FX106" s="151" t="str">
        <f>VLOOKUP(A106,'Données projet'!$A$243:$I$263,9,0)</f>
        <v>#N/A</v>
      </c>
      <c r="FY106" s="151" t="str">
        <f t="array" ref="FY106">INDEX(FX:FX,MIN(IF(ISNUMBER(FX106:FX302),ROW(FX106:FX302),"")))</f>
        <v/>
      </c>
      <c r="FZ106" s="151">
        <f>IF('Données projet'!$A$244&gt;35,FZ105+FY106-GH105,IF(A106&lt;'Données projet'!$A$244,$FW$205^A106,IF(A106='Données projet'!$A$244,'Données projet'!$B$244,FZ105+FY106-GH105)))</f>
        <v>0</v>
      </c>
      <c r="GA106" s="158" t="str">
        <f>FZ106*VLOOKUP('Données projet'!$B$17,'Paramètres'!$A$1:$I$88,3,0)*VLOOKUP('Données projet'!$B$17,'Paramètres'!$A$1:$I$88,5,0)</f>
        <v>#N/A</v>
      </c>
      <c r="GB106" s="150" t="str">
        <f t="shared" si="50"/>
        <v>#N/A</v>
      </c>
      <c r="GC106" s="161" t="str">
        <f t="shared" si="26"/>
        <v>#N/A</v>
      </c>
      <c r="GD106" s="153" t="str">
        <f t="shared" si="27"/>
        <v>#N/A</v>
      </c>
      <c r="GE106" s="153" t="str">
        <f>AVERAGE(OFFSET($GD$3,0,0,'Données projet'!$E$17+1,1))-AVERAGE(OFFSET($H$3,0,0,'Données projet'!$E$17+1,1))</f>
        <v>#N/A</v>
      </c>
      <c r="GF106" s="153" t="str">
        <f t="shared" si="51"/>
        <v>#N/A</v>
      </c>
      <c r="GG106" s="154">
        <f>IF(ISNA(VLOOKUP(A106,'Données projet'!$A$243:$I$263,3,0)),0,VLOOKUP(A106,'Données projet'!$A$243:$I$263,3,0))</f>
        <v>0</v>
      </c>
      <c r="GH106" s="154">
        <f>IF(ISNA(VLOOKUP(A106,'Données projet'!$A$243:$I$263,4,0)),0,VLOOKUP(A106,'Données projet'!$A$243:$I$263,4,0))</f>
        <v>0</v>
      </c>
      <c r="GI106" s="155">
        <f>IF(ISNA(VLOOKUP(A106,'Données projet'!$A$243:$I$263,5,0)),0%,VLOOKUP(A106,'Données projet'!$A$243:$I$263,5,0)*VLOOKUP('Données projet'!$B$17,'Paramètres'!$A$1:$I$88,7,0))</f>
        <v>0</v>
      </c>
      <c r="GJ106" s="155">
        <f>IF(ISNA(VLOOKUP(A106,'Données projet'!$A$243:$I$263,6,0)),0%,VLOOKUP(A106,'Données projet'!$A$243:$I$263,6,0)*VLOOKUP('Données projet'!$B$17,'Paramètres'!$A$1:$I$88,7,0))</f>
        <v>0</v>
      </c>
      <c r="GK106" s="155">
        <f>IF(ISNA(VLOOKUP(A106,'Données projet'!$A$243:$I$263,7,0)),0%,VLOOKUP(A106,'Données projet'!$A$243:$I$263,7,0))</f>
        <v>0</v>
      </c>
      <c r="GL106" s="162" t="str">
        <f>EXP(-LN(2)/35)*GL105+(1-EXP(-LN(2)/35))/(LN(2)/35)*GH106*GI106*VLOOKUP('Données projet'!$B$17,'Paramètres'!$A$1:$I$88,3,0)*0.475*44/12</f>
        <v>#N/A</v>
      </c>
      <c r="GM106" s="162" t="str">
        <f>EXP(-LN(2)/25)*GM105+(1-EXP(-LN(2)/25))/(LN(2)/25)*Calculateur!GH106*Calculateur!GJ106*VLOOKUP('Données projet'!$B$17,'Paramètres'!$A$1:$I$88,3,0)*0.475*44/12</f>
        <v>#N/A</v>
      </c>
      <c r="GN106" s="162" t="str">
        <f>EXP(-LN(2)/2)*GN105+(1-EXP(-LN(2)/2))/(LN(2)/2)*GH106*GK106*VLOOKUP('Données projet'!$B$17,'Paramètres'!$A$1:$I$88,3,0)*0.475*44/12</f>
        <v>#N/A</v>
      </c>
      <c r="GO106" s="162" t="str">
        <f t="shared" si="28"/>
        <v>#N/A</v>
      </c>
      <c r="GP106" s="159">
        <f>('Scénario référence'!$F$8+'Scénario référence'!$F$9+'Scénario référence'!$B$17+'Scénario référence'!$B$9+'Scénario référence'!$B$10)*70+IF((45+25*(1-EXP(-0.0175*A106)))&lt;70,'Scénario référence'!$B$16*(45+25*(1-EXP(-0.0175*A106))),70*'Scénario référence'!$B$16)+IF((32+38*(1-EXP(-0.0175*A106)))&lt;70,'Scénario référence'!$B$18*(32+38*(1-EXP(-0.0175*A106))),70*'Scénario référence'!$B$18)</f>
        <v>70</v>
      </c>
      <c r="GQ106" s="151">
        <f>IF(A106&gt;30,10,('Scénario référence'!$B$16+'Scénario référence'!$B$17+'Scénario référence'!$B$18+'Scénario référence'!$B$9+'Scénario référence'!$B$10)*A106*10/30+('Scénario référence'!$F$8+'Scénario référence'!$F$9)*10)</f>
        <v>10</v>
      </c>
      <c r="GR106" s="151" t="str">
        <f>VLOOKUP(A106,'Données projet'!$A$269:$I$289,2,0)</f>
        <v>#N/A</v>
      </c>
      <c r="GS106" s="151" t="str">
        <f>VLOOKUP(A106,'Données projet'!$A$269:$I$289,9,0)</f>
        <v>#N/A</v>
      </c>
      <c r="GT106" s="151" t="str">
        <f t="array" ref="GT106">INDEX(GS:GS,MIN(IF(ISNUMBER(GS106:GS302),ROW(GS106:GS302),"")))</f>
        <v/>
      </c>
      <c r="GU106" s="151">
        <f>IF('Données projet'!$A$270&gt;35,GU105+GT106-HC105,IF(A106&lt;'Données projet'!$A$270,$GR$205^A106,IF(A106='Données projet'!$A$270,'Données projet'!$B$270,GU105+GT106-HC105)))</f>
        <v>0</v>
      </c>
      <c r="GV106" s="158" t="str">
        <f>GU106*VLOOKUP('Données projet'!$B$18,'Paramètres'!$A$1:$I$88,3,0)*VLOOKUP('Données projet'!$B$18,'Paramètres'!$A$1:$I$88,5,0)</f>
        <v>#N/A</v>
      </c>
      <c r="GW106" s="150" t="str">
        <f t="shared" si="52"/>
        <v>#N/A</v>
      </c>
      <c r="GX106" s="161" t="str">
        <f t="shared" si="29"/>
        <v>#N/A</v>
      </c>
      <c r="GY106" s="153" t="str">
        <f t="shared" si="30"/>
        <v>#N/A</v>
      </c>
      <c r="GZ106" s="153" t="str">
        <f>AVERAGE(OFFSET($GY$3,0,0,'Données projet'!$E$18+1,1))-AVERAGE(OFFSET($H$3,0,0,'Données projet'!$E$18+1,1))</f>
        <v>#N/A</v>
      </c>
      <c r="HA106" s="153" t="str">
        <f t="shared" si="53"/>
        <v>#N/A</v>
      </c>
      <c r="HB106" s="154">
        <f>IF(ISNA(VLOOKUP(A106,'Données projet'!$A$269:$I$289,3,0)),0,VLOOKUP(A106,'Données projet'!$A$269:$I$289,3,0))</f>
        <v>0</v>
      </c>
      <c r="HC106" s="154">
        <f>IF(ISNA(VLOOKUP(A106,'Données projet'!$A$269:$I$289,4,0)),0,VLOOKUP(A106,'Données projet'!$A$269:$I$289,4,0))</f>
        <v>0</v>
      </c>
      <c r="HD106" s="155">
        <f>IF(ISNA(VLOOKUP(A106,'Données projet'!$A$269:$I$289,5,0)),0%,VLOOKUP(A106,'Données projet'!$A$269:$I$289,5,0)*VLOOKUP('Données projet'!$B$18,'Paramètres'!$A$1:$I$88,7,0))</f>
        <v>0</v>
      </c>
      <c r="HE106" s="155">
        <f>IF(ISNA(VLOOKUP(A106,'Données projet'!$A$269:$I$289,6,0)),0%,VLOOKUP(A106,'Données projet'!$A$269:$I$289,6,0)*VLOOKUP('Données projet'!$B$18,'Paramètres'!$A$1:$I$88,7,0))</f>
        <v>0</v>
      </c>
      <c r="HF106" s="155">
        <f>IF(ISNA(VLOOKUP(A106,'Données projet'!$A$269:$I$289,7,0)),0%,VLOOKUP(A106,'Données projet'!$A$269:$I$289,7,0))</f>
        <v>0</v>
      </c>
      <c r="HG106" s="162" t="str">
        <f>EXP(-LN(2)/35)*HG105+(1-EXP(-LN(2)/35))/(LN(2)/35)*HC106*HD106*VLOOKUP('Données projet'!$B$18,'Paramètres'!$A$1:$I$88,3,0)*0.475*44/12</f>
        <v>#N/A</v>
      </c>
      <c r="HH106" s="162" t="str">
        <f>EXP(-LN(2)/25)*HH105+(1-EXP(-LN(2)/25))/(LN(2)/25)*Calculateur!HC106*Calculateur!HE106*VLOOKUP('Données projet'!$B$18,'Paramètres'!$A$1:$I$88,3,0)*0.475*44/12</f>
        <v>#N/A</v>
      </c>
      <c r="HI106" s="162" t="str">
        <f>EXP(-LN(2)/2)*HI105+(1-EXP(-LN(2)/2))/(LN(2)/2)*HC106*HF106*VLOOKUP('Données projet'!$B$18,'Paramètres'!$A$1:$I$88,3,0)*0.475*44/12</f>
        <v>#N/A</v>
      </c>
      <c r="HJ106" s="163" t="str">
        <f t="shared" si="31"/>
        <v>#N/A</v>
      </c>
    </row>
    <row r="107" ht="15.75" customHeight="1">
      <c r="A107" s="145">
        <f t="shared" si="32"/>
        <v>104</v>
      </c>
      <c r="B107" s="146">
        <f>'Scénario référence'!$B$16*5+'Scénario référence'!$B$17*0+'Scénario référence'!$B$18*5</f>
        <v>0</v>
      </c>
      <c r="C107" s="160">
        <f>Calculateur!C106+'Scénario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07" s="147">
        <f t="shared" si="33"/>
        <v>0</v>
      </c>
      <c r="E107" s="147">
        <f>'Scénario référence'!$B$16*45+('Scénario référence'!$B$17+'Scénario référence'!$F$8+'Scénario référence'!$F$9+'Scénario référence'!$B$10+'Scénario référence'!$B$9)*70+'Scénario référence'!$B$18*32</f>
        <v>70</v>
      </c>
      <c r="F107" s="147">
        <f>IF(OR('Scénario référence'!$F$8&gt;0,'Scénario référence'!$F$9&gt;0),('Scénario référence'!$F$8+'Scénario référence'!$F$9)*10,0)</f>
        <v>0</v>
      </c>
      <c r="G107" s="147">
        <f>'Scénario référence'!$B$8*B107*44/12+'Scénario référence'!$B$9*(C107+D107)/0.475*44/12+'Scénario référence'!$B$10*(C107+D107)/0.475*44/12+'Scénario référence'!$F$8*(C107+D107)/0.475*44/12+'Scénario référence'!$F$9*(C107+D107)/0.475*44/12</f>
        <v>0</v>
      </c>
      <c r="H107" s="148">
        <f t="shared" si="1"/>
        <v>256.6666667</v>
      </c>
      <c r="I107" s="149">
        <f>('Scénario référence'!$F$8+'Scénario référence'!$F$9+'Scénario référence'!$B$17+'Scénario référence'!$B$9+'Scénario référence'!$B$10)*70+IF((45+25*(1-EXP(-0.0175*A107)))&lt;70,'Scénario référence'!$B$16*(45+25*(1-EXP(-0.0175*A107))),70*'Scénario référence'!$B$16)+IF((32+38*(1-EXP(-0.0175*A107)))&lt;70,'Scénario référence'!$B$18*(32+38*(1-EXP(-0.0175*A107))),70*'Scénario référence'!$B$18)</f>
        <v>70</v>
      </c>
      <c r="J107" s="150">
        <f>IF(A107&gt;30,10,('Scénario référence'!$B$16+'Scénario référence'!$B$17+'Scénario référence'!$B$18+'Scénario référence'!$B$9+'Scénario référence'!$B$10)*A107*10/30+('Scénario référence'!$F$8+'Scénario référence'!$F$9)*10)</f>
        <v>10</v>
      </c>
      <c r="K107" s="151" t="str">
        <f>VLOOKUP(A107,'Données projet'!$A$35:$I$55,2,0)</f>
        <v>#N/A</v>
      </c>
      <c r="L107" s="151" t="str">
        <f>VLOOKUP(A107,'Données projet'!$A$35:$I$55,9,0)</f>
        <v>#N/A</v>
      </c>
      <c r="M107" s="150">
        <f t="array" ref="M107">INDEX(L:L,MIN(IF(ISNUMBER(L107:L303),ROW(L107:L303),"")))</f>
        <v>5.4</v>
      </c>
      <c r="N107" s="150">
        <f>IF('Données projet'!$A$36&gt;35,N106+M107-V106,IF(A107&lt;'Données projet'!$A$36,$K$205^A107,IF(A107='Données projet'!$A$36,'Données projet'!$B$36,N106+M107-V106)))</f>
        <v>327.6</v>
      </c>
      <c r="O107" s="150">
        <f>N107*VLOOKUP('Données projet'!$B$9,'Paramètres'!$A$1:$I$88,3,0)*VLOOKUP('Données projet'!$B$9,'Paramètres'!$A$1:$I$88,5,0)</f>
        <v>296.41248</v>
      </c>
      <c r="P107" s="150">
        <f t="shared" si="34"/>
        <v>70.42385571</v>
      </c>
      <c r="Q107" s="161">
        <f t="shared" si="2"/>
        <v>638.906618</v>
      </c>
      <c r="R107" s="153">
        <f t="shared" si="3"/>
        <v>932.2399514</v>
      </c>
      <c r="S107" s="153">
        <f>AVERAGE(OFFSET($R$3,0,0,'Données projet'!$E$9+1,1))-AVERAGE(OFFSET($H$3,0,0,'Données projet'!$E$9+1,1))</f>
        <v>439.1985427</v>
      </c>
      <c r="T107" s="153">
        <f t="shared" si="35"/>
        <v>278.2174123</v>
      </c>
      <c r="U107" s="154">
        <f>IF(ISNA(VLOOKUP(A107,'Données projet'!$A$35:$I$55,3,0)),0,VLOOKUP(A107,'Données projet'!$A$35:$I$55,3,0))</f>
        <v>0</v>
      </c>
      <c r="V107" s="154">
        <f>IF(ISNA(VLOOKUP(A107,'Données projet'!$A$35:$I$55,4,0)),0,VLOOKUP(A107,'Données projet'!$A$35:$I$55,4,0))</f>
        <v>0</v>
      </c>
      <c r="W107" s="155">
        <f>IF(ISNA(VLOOKUP(A107,'Données projet'!$A$35:$I$55,5,0)),0%,VLOOKUP(A107,'Données projet'!$A$35:$I$55,5,0)*VLOOKUP('Données projet'!$B$9,'Paramètres'!$A$1:$I$88,7,0))</f>
        <v>0</v>
      </c>
      <c r="X107" s="155">
        <f>IF(ISNA(VLOOKUP(A107,'Données projet'!$A$35:$I$55,6,0)),0%,VLOOKUP(A107,'Données projet'!$A$35:$I$55,6,0)*VLOOKUP('Données projet'!$B$9,'Paramètres'!$A$1:$I$88,7,0))</f>
        <v>0</v>
      </c>
      <c r="Y107" s="155">
        <f>IF(ISNA(VLOOKUP(A107,'Données projet'!$A$35:$I$55,7,0)),0%,VLOOKUP(A107,'Données projet'!$A$35:$I$55,7,0))</f>
        <v>0</v>
      </c>
      <c r="Z107" s="162">
        <f>EXP(-LN(2)/35)*Z106+(1-EXP(-LN(2)/35))/(LN(2)/35)*V107*W107*VLOOKUP('Données projet'!$B$9,'Paramètres'!$A$1:$I$88,3,0)*0.475*44/12</f>
        <v>0</v>
      </c>
      <c r="AA107" s="162">
        <f>EXP(-LN(2)/25)*AA106+(1-EXP(-LN(2)/25))/(LN(2)/25)*Calculateur!V107*Calculateur!X107*VLOOKUP('Données projet'!$B$9,'Paramètres'!$A$1:$I$88,3,0)*0.475*44/12</f>
        <v>0.5767179806</v>
      </c>
      <c r="AB107" s="162">
        <f>EXP(-LN(2)/2)*AB106+(1-EXP(-LN(2)/2))/(LN(2)/2)*V107*Y107*VLOOKUP('Données projet'!$B$9,'Paramètres'!$A$1:$I$88,3,0)*0.475*44/12</f>
        <v>0</v>
      </c>
      <c r="AC107" s="163">
        <f t="shared" si="4"/>
        <v>0.5767179806</v>
      </c>
      <c r="AD107" s="150">
        <f>('Scénario référence'!$F$8+'Scénario référence'!$F$9+'Scénario référence'!$B$17+'Scénario référence'!$B$9+'Scénario référence'!$B$10)*70+IF((45+25*(1-EXP(-0.0175*A107)))&lt;70,'Scénario référence'!$B$16*(45+25*(1-EXP(-0.0175*A107))),70*'Scénario référence'!$B$16)+IF((32+38*(1-EXP(-0.0175*A107)))&lt;70,'Scénario référence'!$B$18*(32+38*(1-EXP(-0.0175*A107))),70*'Scénario référence'!$B$18)</f>
        <v>70</v>
      </c>
      <c r="AE107" s="150">
        <f>IF(A107&gt;30,10,('Scénario référence'!$B$16+'Scénario référence'!$B$17+'Scénario référence'!$B$18+'Scénario référence'!$B$9+'Scénario référence'!$B$10)*A107*10/30+('Scénario référence'!$F$8+'Scénario référence'!$F$9)*10)</f>
        <v>10</v>
      </c>
      <c r="AF107" s="151" t="str">
        <f>VLOOKUP(A107,'Données projet'!$A$61:$I$81,2,0)</f>
        <v>#N/A</v>
      </c>
      <c r="AG107" s="151" t="str">
        <f>VLOOKUP(A107,'Données projet'!$A$61:$I$81,9,0)</f>
        <v>#N/A</v>
      </c>
      <c r="AH107" s="151" t="str">
        <f t="array" ref="AH107">INDEX(AG:AG,MIN(IF(ISNUMBER(AG107:AG303),ROW(AG107:AG303),"")))</f>
        <v/>
      </c>
      <c r="AI107" s="150">
        <f>IF('Données projet'!$A$62&gt;35,AI106+AH107-AQ106,IF(A107&lt;'Données projet'!$A$62,$AF$205^A107,IF(A107='Données projet'!$A$62,'Données projet'!$B$62,AI106+AH107-AQ106)))</f>
        <v>369</v>
      </c>
      <c r="AJ107" s="150">
        <f>AI107*VLOOKUP('Données projet'!$B$10,'Paramètres'!$A$1:$I$88,3,0)*VLOOKUP('Données projet'!$B$10,'Paramètres'!$A$1:$I$88,5,0)</f>
        <v>293.5764</v>
      </c>
      <c r="AK107" s="150">
        <f t="shared" si="36"/>
        <v>69.82813851</v>
      </c>
      <c r="AL107" s="161">
        <f t="shared" si="5"/>
        <v>632.9295712</v>
      </c>
      <c r="AM107" s="153">
        <f t="shared" si="6"/>
        <v>926.2629046</v>
      </c>
      <c r="AN107" s="153">
        <f>AVERAGE(OFFSET($AM$3,0,0,'Données projet'!$E$10+1,1))-AVERAGE(OFFSET($H$3,0,0,'Données projet'!$E$10+1,1))</f>
        <v>405.6113614</v>
      </c>
      <c r="AO107" s="153">
        <f t="shared" si="37"/>
        <v>393.0787141</v>
      </c>
      <c r="AP107" s="154">
        <f>IF(ISNA(VLOOKUP(A107,'Données projet'!$A$61:$I$81,3,0)),0,VLOOKUP(A107,'Données projet'!$A$61:$I$81,3,0))</f>
        <v>0</v>
      </c>
      <c r="AQ107" s="154">
        <f>IF(ISNA(VLOOKUP(A107,'Données projet'!$A$61:$I$81,4,0)),0,VLOOKUP(A107,'Données projet'!$A$61:$I$81,4,0))</f>
        <v>0</v>
      </c>
      <c r="AR107" s="155">
        <f>IF(ISNA(VLOOKUP(A107,'Données projet'!$A$61:$I$81,5,0)),0%,VLOOKUP(A107,'Données projet'!$A$61:$I$81,5,0)*VLOOKUP('Données projet'!$B$10,'Paramètres'!$A$1:$I$88,7,0))</f>
        <v>0</v>
      </c>
      <c r="AS107" s="155">
        <f>IF(ISNA(VLOOKUP(A107,'Données projet'!$A$61:$I$81,6,0)),0%,VLOOKUP(A107,'Données projet'!$A$61:$I$81,6,0)*VLOOKUP('Données projet'!$B$10,'Paramètres'!$A$1:$I$88,7,0))</f>
        <v>0</v>
      </c>
      <c r="AT107" s="155">
        <f>IF(ISNA(VLOOKUP(A107,'Données projet'!$A$61:$I$81,7,0)),0%,VLOOKUP(A107,'Données projet'!$A$61:$I$81,7,0))</f>
        <v>0</v>
      </c>
      <c r="AU107" s="162">
        <f>EXP(-LN(2)/35)*AU106+(1-EXP(-LN(2)/35))/(LN(2)/35)*AQ107*AR107*VLOOKUP('Données projet'!$B$10,'Paramètres'!$A$1:$I$88,3,0)*0.475*44/12</f>
        <v>0</v>
      </c>
      <c r="AV107" s="162">
        <f>EXP(-LN(2)/25)*AV106+(1-EXP(-LN(2)/25))/(LN(2)/25)*Calculateur!AQ107*Calculateur!AS107*VLOOKUP('Données projet'!$B$10,'Paramètres'!$A$1:$I$88,3,0)*0.475*44/12</f>
        <v>2.343928481</v>
      </c>
      <c r="AW107" s="162">
        <f>EXP(-LN(2)/2)*AW106+(1-EXP(-LN(2)/2))/(LN(2)/2)*AQ107*AT107*VLOOKUP('Données projet'!$B$10,'Paramètres'!$A$1:$I$88,3,0)*0.475*44/12</f>
        <v>0</v>
      </c>
      <c r="AX107" s="162">
        <f t="shared" si="7"/>
        <v>2.343928481</v>
      </c>
      <c r="AY107" s="157">
        <f>('Scénario référence'!$F$8+'Scénario référence'!$F$9+'Scénario référence'!$B$17+'Scénario référence'!$B$9+'Scénario référence'!$B$10)*70+IF((45+25*(1-EXP(-0.0175*A107)))&lt;70,'Scénario référence'!$B$16*(45+25*(1-EXP(-0.0175*A107))),70*'Scénario référence'!$B$16)+IF((32+38*(1-EXP(-0.0175*A107)))&lt;70,'Scénario référence'!$B$18*(32+38*(1-EXP(-0.0175*A107))),70*'Scénario référence'!$B$18)</f>
        <v>70</v>
      </c>
      <c r="AZ107" s="151">
        <f>IF(A107&gt;30,10,('Scénario référence'!$B$16+'Scénario référence'!$B$17+'Scénario référence'!$B$18+'Scénario référence'!$B$9+'Scénario référence'!$B$10)*A107*10/30+('Scénario référence'!$F$8+'Scénario référence'!$F$9)*10)</f>
        <v>10</v>
      </c>
      <c r="BA107" s="151" t="str">
        <f>VLOOKUP(A107,'Données projet'!$A$87:$I$107,2,0)</f>
        <v>#N/A</v>
      </c>
      <c r="BB107" s="151" t="str">
        <f>VLOOKUP(A107,'Données projet'!$A$87:$I$107,9,0)</f>
        <v>#N/A</v>
      </c>
      <c r="BC107" s="151" t="str">
        <f t="array" ref="BC107">INDEX(BB:BB,MIN(IF(ISNUMBER(BB107:BB303),ROW(BB107:BB303),"")))</f>
        <v/>
      </c>
      <c r="BD107" s="150">
        <f>IF('Données projet'!$A$88&gt;35,BD106+BC107-BL106,IF(A107&lt;'Données projet'!$A$88,$BA$205^A107,IF(A107='Données projet'!$A$88,'Données projet'!$B$88,BD106+BC107-BL106)))</f>
        <v>0</v>
      </c>
      <c r="BE107" s="150">
        <f>BD107*VLOOKUP('Données projet'!$B$11,'Paramètres'!$A$1:$I$88,3,0)*VLOOKUP('Données projet'!$B$11,'Paramètres'!$A$1:$I$88,5,0)</f>
        <v>0</v>
      </c>
      <c r="BF107" s="150" t="str">
        <f t="shared" si="38"/>
        <v>#NUM!</v>
      </c>
      <c r="BG107" s="161" t="str">
        <f t="shared" si="8"/>
        <v>#NUM!</v>
      </c>
      <c r="BH107" s="153" t="str">
        <f t="shared" si="9"/>
        <v>#NUM!</v>
      </c>
      <c r="BI107" s="153">
        <f>AVERAGE(OFFSET($BH$3,0,0,'Données projet'!$E$11+1,1))-AVERAGE(OFFSET($H$3,0,0,'Données projet'!$E$11+1,1))</f>
        <v>0</v>
      </c>
      <c r="BJ107" s="153">
        <f t="shared" si="39"/>
        <v>0</v>
      </c>
      <c r="BK107" s="154">
        <f>IF(ISNA(VLOOKUP(A107,'Données projet'!$A$87:$I$107,3,0)),0,VLOOKUP(A107,'Données projet'!$A$87:$I$107,3,0))</f>
        <v>0</v>
      </c>
      <c r="BL107" s="154">
        <f>IF(ISNA(VLOOKUP(A107,'Données projet'!$A$87:$I$107,4,0)),0,VLOOKUP(A107,'Données projet'!$A$87:$I$107,4,0))</f>
        <v>0</v>
      </c>
      <c r="BM107" s="155">
        <f>IF(ISNA(VLOOKUP(A107,'Données projet'!$A$87:$I$107,5,0)),0%,VLOOKUP(A107,'Données projet'!$A$87:$I$107,5,0)*VLOOKUP('Données projet'!$B$11,'Paramètres'!$A$1:$I$88,7,0))</f>
        <v>0</v>
      </c>
      <c r="BN107" s="155">
        <f>IF(ISNA(VLOOKUP(A107,'Données projet'!$A$87:$I$107,6,0)),0%,VLOOKUP(A107,'Données projet'!$A$87:$I$107,6,0)*VLOOKUP('Données projet'!$B$11,'Paramètres'!$A$1:$I$88,7,0))</f>
        <v>0</v>
      </c>
      <c r="BO107" s="155">
        <f>IF(ISNA(VLOOKUP(A107,'Données projet'!$A$87:$I$107,7,0)),0%,VLOOKUP(A107,'Données projet'!$A$87:$I$107,7,0))</f>
        <v>0</v>
      </c>
      <c r="BP107" s="162">
        <f>EXP(-LN(2)/35)*BP106+(1-EXP(-LN(2)/35))/(LN(2)/35)*BL107*BM107*VLOOKUP('Données projet'!$B$11,'Paramètres'!$A$1:$I$88,3,0)*0.475*44/12</f>
        <v>0</v>
      </c>
      <c r="BQ107" s="162">
        <f>EXP(-LN(2)/25)*BQ106+(1-EXP(-LN(2)/25))/(LN(2)/25)*Calculateur!BL107*Calculateur!BN107*VLOOKUP('Données projet'!$B$11,'Paramètres'!$A$1:$I$88,3,0)*0.475*44/12</f>
        <v>0</v>
      </c>
      <c r="BR107" s="162">
        <f>EXP(-LN(2)/2)*BR106+(1-EXP(-LN(2)/2))/(LN(2)/2)*BL107*BO107*VLOOKUP('Données projet'!$B$11,'Paramètres'!$A$1:$I$88,3,0)*0.475*44/12</f>
        <v>0</v>
      </c>
      <c r="BS107" s="163">
        <f t="shared" si="10"/>
        <v>0</v>
      </c>
      <c r="BT107" s="159">
        <f>('Scénario référence'!$F$8+'Scénario référence'!$F$9+'Scénario référence'!$B$17+'Scénario référence'!$B$9+'Scénario référence'!$B$10)*70+IF((45+25*(1-EXP(-0.0175*A107)))&lt;70,'Scénario référence'!$B$16*(45+25*(1-EXP(-0.0175*A107))),70*'Scénario référence'!$B$16)+IF((32+38*(1-EXP(-0.0175*A107)))&lt;70,'Scénario référence'!$B$18*(32+38*(1-EXP(-0.0175*A107))),70*'Scénario référence'!$B$18)</f>
        <v>70</v>
      </c>
      <c r="BU107" s="151">
        <f>IF(A107&gt;30,10,('Scénario référence'!$B$16+'Scénario référence'!$B$17+'Scénario référence'!$B$18+'Scénario référence'!$B$9+'Scénario référence'!$B$10)*A107*10/30+('Scénario référence'!$F$8+'Scénario référence'!$F$9)*10)</f>
        <v>10</v>
      </c>
      <c r="BV107" s="151" t="str">
        <f>VLOOKUP(A107,'Données projet'!$A$113:$I$133,2,0)</f>
        <v>#N/A</v>
      </c>
      <c r="BW107" s="151" t="str">
        <f>VLOOKUP(A107,'Données projet'!$A$113:$I$133,9,0)</f>
        <v>#N/A</v>
      </c>
      <c r="BX107" s="151" t="str">
        <f t="array" ref="BX107">INDEX(BW:BW,MIN(IF(ISNUMBER(BW107:BW303),ROW(BW107:BW303),"")))</f>
        <v/>
      </c>
      <c r="BY107" s="150">
        <f>IF('Données projet'!$A$114&gt;35,BY106+BX107-CG106,IF(A107&lt;'Données projet'!$A$114,$BV$205^A107,IF(A107='Données projet'!$A$114,'Données projet'!$B$114,BY106+BX107-CG106)))</f>
        <v>0</v>
      </c>
      <c r="BZ107" s="150" t="str">
        <f>BY107*VLOOKUP('Données projet'!$B$12,'Paramètres'!$A$1:$I$88,3,0)*VLOOKUP('Données projet'!$B$12,'Paramètres'!$A$1:$I$88,5,0)</f>
        <v>#N/A</v>
      </c>
      <c r="CA107" s="150" t="str">
        <f t="shared" si="40"/>
        <v>#N/A</v>
      </c>
      <c r="CB107" s="161" t="str">
        <f t="shared" si="11"/>
        <v>#N/A</v>
      </c>
      <c r="CC107" s="153" t="str">
        <f t="shared" si="12"/>
        <v>#N/A</v>
      </c>
      <c r="CD107" s="153" t="str">
        <f>AVERAGE(OFFSET($CC$3,0,0,'Données projet'!$E$12+1,1))-AVERAGE(OFFSET($H$3,0,0,'Données projet'!$E$12+1,1))</f>
        <v>#N/A</v>
      </c>
      <c r="CE107" s="153" t="str">
        <f t="shared" si="41"/>
        <v>#N/A</v>
      </c>
      <c r="CF107" s="154">
        <f>IF(ISNA(VLOOKUP(A107,'Données projet'!$A$113:$I$133,3,0)),0,VLOOKUP(A107,'Données projet'!$A$113:$I$133,3,0))</f>
        <v>0</v>
      </c>
      <c r="CG107" s="154">
        <f>IF(ISNA(VLOOKUP(A107,'Données projet'!$A$113:$I$133,4,0)),0,VLOOKUP(A107,'Données projet'!$A$113:$I$133,4,0))</f>
        <v>0</v>
      </c>
      <c r="CH107" s="155">
        <f>IF(ISNA(VLOOKUP(A107,'Données projet'!$A$113:$I$133,5,0)),0%,VLOOKUP(A107,'Données projet'!$A$113:$I$133,5,0)*VLOOKUP('Données projet'!$B$12,'Paramètres'!$A$1:$I$88,7,0))</f>
        <v>0</v>
      </c>
      <c r="CI107" s="155">
        <f>IF(ISNA(VLOOKUP(A107,'Données projet'!$A$113:$I$133,6,0)),0%,VLOOKUP(A107,'Données projet'!$A$113:$I$133,6,0)*VLOOKUP('Données projet'!$B$12,'Paramètres'!$A$1:$I$88,7,0))</f>
        <v>0</v>
      </c>
      <c r="CJ107" s="155">
        <f>IF(ISNA(VLOOKUP(A107,'Données projet'!$A$113:$I$133,7,0)),0%,VLOOKUP(A107,'Données projet'!$A$113:$I$133,7,0))</f>
        <v>0</v>
      </c>
      <c r="CK107" s="162" t="str">
        <f>EXP(-LN(2)/35)*CK106+(1-EXP(-LN(2)/35))/(LN(2)/35)*CG107*CH107*VLOOKUP('Données projet'!$B$12,'Paramètres'!$A$1:$I$88,3,0)*0.475*44/12</f>
        <v>#N/A</v>
      </c>
      <c r="CL107" s="162" t="str">
        <f>EXP(-LN(2)/25)*CL106+(1-EXP(-LN(2)/25))/(LN(2)/25)*Calculateur!CG107*Calculateur!CI107*VLOOKUP('Données projet'!$B$12,'Paramètres'!$A$1:$I$88,3,0)*0.475*44/12</f>
        <v>#N/A</v>
      </c>
      <c r="CM107" s="162" t="str">
        <f>EXP(-LN(2)/2)*CM106+(1-EXP(-LN(2)/2))/(LN(2)/2)*CG107*CJ107*VLOOKUP('Données projet'!$B$12,'Paramètres'!$A$1:$I$88,3,0)*0.475*44/12</f>
        <v>#N/A</v>
      </c>
      <c r="CN107" s="163" t="str">
        <f t="shared" si="13"/>
        <v>#N/A</v>
      </c>
      <c r="CO107" s="159">
        <f>('Scénario référence'!$F$8+'Scénario référence'!$F$9+'Scénario référence'!$B$17+'Scénario référence'!$B$9+'Scénario référence'!$B$10)*70+IF((45+25*(1-EXP(-0.0175*A107)))&lt;70,'Scénario référence'!$B$16*(45+25*(1-EXP(-0.0175*A107))),70*'Scénario référence'!$B$16)+IF((32+38*(1-EXP(-0.0175*A107)))&lt;70,'Scénario référence'!$B$18*(32+38*(1-EXP(-0.0175*A107))),70*'Scénario référence'!$B$18)</f>
        <v>70</v>
      </c>
      <c r="CP107" s="151">
        <f>IF(A107&gt;30,10,('Scénario référence'!$B$16+'Scénario référence'!$B$17+'Scénario référence'!$B$18+'Scénario référence'!$B$9+'Scénario référence'!$B$10)*A107*10/30+('Scénario référence'!$F$8+'Scénario référence'!$F$9)*10)</f>
        <v>10</v>
      </c>
      <c r="CQ107" s="151" t="str">
        <f>VLOOKUP(A107,'Données projet'!$A$139:$I$159,2,0)</f>
        <v>#N/A</v>
      </c>
      <c r="CR107" s="151" t="str">
        <f>VLOOKUP(A107,'Données projet'!$A$139:$I$159,9,0)</f>
        <v>#N/A</v>
      </c>
      <c r="CS107" s="151" t="str">
        <f t="array" ref="CS107">INDEX(CR:CR,MIN(IF(ISNUMBER(CR107:CR303),ROW(CR107:CR303),"")))</f>
        <v/>
      </c>
      <c r="CT107" s="151">
        <f>IF('Données projet'!$A$140&gt;35,CT106+CS107-DB106,IF(A107&lt;'Données projet'!$A$140,$CQ$205^A107,IF(A107='Données projet'!$A$140,'Données projet'!$B$140,CT106+CS107-DB106)))</f>
        <v>0</v>
      </c>
      <c r="CU107" s="158" t="str">
        <f>CT107*VLOOKUP('Données projet'!$B$13,'Paramètres'!$A$1:$I$88,3,0)*VLOOKUP('Données projet'!$B$13,'Paramètres'!$A$1:$I$88,5,0)</f>
        <v>#N/A</v>
      </c>
      <c r="CV107" s="150" t="str">
        <f t="shared" si="42"/>
        <v>#N/A</v>
      </c>
      <c r="CW107" s="161" t="str">
        <f t="shared" si="14"/>
        <v>#N/A</v>
      </c>
      <c r="CX107" s="153" t="str">
        <f t="shared" si="15"/>
        <v>#N/A</v>
      </c>
      <c r="CY107" s="153" t="str">
        <f>AVERAGE(OFFSET($CX$3,0,0,'Données projet'!$E$13+1,1))-AVERAGE(OFFSET($H$3,0,0,'Données projet'!$E$13+1,1))</f>
        <v>#N/A</v>
      </c>
      <c r="CZ107" s="153" t="str">
        <f t="shared" si="43"/>
        <v>#N/A</v>
      </c>
      <c r="DA107" s="154">
        <f>IF(ISNA(VLOOKUP(A107,'Données projet'!$A$139:$I$159,3,0)),0,VLOOKUP(A107,'Données projet'!$A$139:$I$159,3,0))</f>
        <v>0</v>
      </c>
      <c r="DB107" s="154">
        <f>IF(ISNA(VLOOKUP(A107,'Données projet'!$A$139:$I$159,4,0)),0,VLOOKUP(A107,'Données projet'!$A$139:$I$159,4,0))</f>
        <v>0</v>
      </c>
      <c r="DC107" s="155">
        <f>IF(ISNA(VLOOKUP(A107,'Données projet'!$A$139:$I$159,5,0)),0%,VLOOKUP(A107,'Données projet'!$A$139:$I$159,5,0)*VLOOKUP('Données projet'!$B$13,'Paramètres'!$A$1:$I$88,7,0))</f>
        <v>0</v>
      </c>
      <c r="DD107" s="155">
        <f>IF(ISNA(VLOOKUP(A107,'Données projet'!$A$139:$I$159,6,0)),0%,VLOOKUP(A107,'Données projet'!$A$139:$I$159,6,0)*VLOOKUP('Données projet'!$B$13,'Paramètres'!$A$1:$I$88,7,0))</f>
        <v>0</v>
      </c>
      <c r="DE107" s="155">
        <f>IF(ISNA(VLOOKUP(A107,'Données projet'!$A$139:$I$159,7,0)),0%,VLOOKUP(A107,'Données projet'!$A$139:$I$159,7,0))</f>
        <v>0</v>
      </c>
      <c r="DF107" s="162" t="str">
        <f>EXP(-LN(2)/35)*DF106+(1-EXP(-LN(2)/35))/(LN(2)/35)*DB107*DC107*VLOOKUP('Données projet'!$B$13,'Paramètres'!$A$1:$I$88,3,0)*0.475*44/12</f>
        <v>#N/A</v>
      </c>
      <c r="DG107" s="162" t="str">
        <f>EXP(-LN(2)/25)*DG106+(1-EXP(-LN(2)/25))/(LN(2)/25)*Calculateur!DB107*Calculateur!DD107*VLOOKUP('Données projet'!$B$13,'Paramètres'!$A$1:$I$88,3,0)*0.475*44/12</f>
        <v>#N/A</v>
      </c>
      <c r="DH107" s="162" t="str">
        <f>EXP(-LN(2)/2)*DH106+(1-EXP(-LN(2)/2))/(LN(2)/2)*DB107*DE107*VLOOKUP('Données projet'!$B$13,'Paramètres'!$A$1:$I$88,3,0)*0.475*44/12</f>
        <v>#N/A</v>
      </c>
      <c r="DI107" s="163" t="str">
        <f t="shared" si="16"/>
        <v>#N/A</v>
      </c>
      <c r="DJ107" s="159">
        <f>('Scénario référence'!$F$8+'Scénario référence'!$F$9+'Scénario référence'!$B$17+'Scénario référence'!$B$9+'Scénario référence'!$B$10)*70+IF((45+25*(1-EXP(-0.0175*A107)))&lt;70,'Scénario référence'!$B$16*(45+25*(1-EXP(-0.0175*A107))),70*'Scénario référence'!$B$16)+IF((32+38*(1-EXP(-0.0175*A107)))&lt;70,'Scénario référence'!$B$18*(32+38*(1-EXP(-0.0175*A107))),70*'Scénario référence'!$B$18)</f>
        <v>70</v>
      </c>
      <c r="DK107" s="151">
        <f>IF(A107&gt;30,10,('Scénario référence'!$B$16+'Scénario référence'!$B$17+'Scénario référence'!$B$18+'Scénario référence'!$B$9+'Scénario référence'!$B$10)*A107*10/30+('Scénario référence'!$F$8+'Scénario référence'!$F$9)*10)</f>
        <v>10</v>
      </c>
      <c r="DL107" s="151" t="str">
        <f>VLOOKUP(A107,'Données projet'!$A$165:$I$185,2,0)</f>
        <v>#N/A</v>
      </c>
      <c r="DM107" s="151" t="str">
        <f>VLOOKUP(A107,'Données projet'!$A$165:$I$185,9,0)</f>
        <v>#N/A</v>
      </c>
      <c r="DN107" s="151" t="str">
        <f t="array" ref="DN107">INDEX(DM:DM,MIN(IF(ISNUMBER(DM107:DM303),ROW(DM107:DM303),"")))</f>
        <v/>
      </c>
      <c r="DO107" s="151">
        <f>IF('Données projet'!$A$166&gt;35,DO106+DN107-DW106,IF(A107&lt;'Données projet'!$A$166,$DL$205^A107,IF(A107='Données projet'!$A$166,'Données projet'!$B$166,DO106+DN107-DW106)))</f>
        <v>0</v>
      </c>
      <c r="DP107" s="158" t="str">
        <f>DO107*VLOOKUP('Données projet'!$B$14,'Paramètres'!$A$1:$I$88,3,0)*VLOOKUP('Données projet'!$B$14,'Paramètres'!$A$1:$I$88,5,0)</f>
        <v>#N/A</v>
      </c>
      <c r="DQ107" s="150" t="str">
        <f t="shared" si="44"/>
        <v>#N/A</v>
      </c>
      <c r="DR107" s="161" t="str">
        <f t="shared" si="17"/>
        <v>#N/A</v>
      </c>
      <c r="DS107" s="153" t="str">
        <f t="shared" si="18"/>
        <v>#N/A</v>
      </c>
      <c r="DT107" s="153" t="str">
        <f>AVERAGE(OFFSET($DS$3,0,0,'Données projet'!$E$14+1,1))-AVERAGE(OFFSET($H$3,0,0,'Données projet'!$E$14+1,1))</f>
        <v>#N/A</v>
      </c>
      <c r="DU107" s="153" t="str">
        <f t="shared" si="45"/>
        <v>#N/A</v>
      </c>
      <c r="DV107" s="154">
        <f>IF(ISNA(VLOOKUP(A107,'Données projet'!$A$165:$I$185,3,0)),0,VLOOKUP(A107,'Données projet'!$A$165:$I$185,3,0))</f>
        <v>0</v>
      </c>
      <c r="DW107" s="154">
        <f>IF(ISNA(VLOOKUP(A107,'Données projet'!$A$165:$I$185,4,0)),0,VLOOKUP(A107,'Données projet'!$A$165:$I$185,4,0))</f>
        <v>0</v>
      </c>
      <c r="DX107" s="155">
        <f>IF(ISNA(VLOOKUP(A107,'Données projet'!$A$165:$I$185,5,0)),0%,VLOOKUP(A107,'Données projet'!$A$165:$I$185,5,0)*VLOOKUP('Données projet'!$B$14,'Paramètres'!$A$1:$I$88,7,0))</f>
        <v>0</v>
      </c>
      <c r="DY107" s="155">
        <f>IF(ISNA(VLOOKUP(A107,'Données projet'!$A$165:$I$185,6,0)),0%,VLOOKUP(A107,'Données projet'!$A$165:$I$185,6,0)*VLOOKUP('Données projet'!$B$14,'Paramètres'!$A$1:$I$88,7,0))</f>
        <v>0</v>
      </c>
      <c r="DZ107" s="155">
        <f>IF(ISNA(VLOOKUP(A107,'Données projet'!$A$165:$I$185,7,0)),0%,VLOOKUP(A107,'Données projet'!$A$165:$I$185,7,0))</f>
        <v>0</v>
      </c>
      <c r="EA107" s="162" t="str">
        <f>EXP(-LN(2)/35)*EA106+(1-EXP(-LN(2)/35))/(LN(2)/35)*DW107*DX107*VLOOKUP('Données projet'!$B$14,'Paramètres'!$A$1:$I$88,3,0)*0.475*44/12</f>
        <v>#N/A</v>
      </c>
      <c r="EB107" s="162" t="str">
        <f>EXP(-LN(2)/25)*EB106+(1-EXP(-LN(2)/25))/(LN(2)/25)*Calculateur!DW107*Calculateur!DY107*VLOOKUP('Données projet'!$B$14,'Paramètres'!$A$1:$I$88,3,0)*0.475*44/12</f>
        <v>#N/A</v>
      </c>
      <c r="EC107" s="162" t="str">
        <f>EXP(-LN(2)/2)*EC106+(1-EXP(-LN(2)/2))/(LN(2)/2)*DW107*DZ107*VLOOKUP('Données projet'!$B$14,'Paramètres'!$A$1:$I$88,3,0)*0.475*44/12</f>
        <v>#N/A</v>
      </c>
      <c r="ED107" s="163" t="str">
        <f t="shared" si="19"/>
        <v>#N/A</v>
      </c>
      <c r="EE107" s="159">
        <f>('Scénario référence'!$F$8+'Scénario référence'!$F$9+'Scénario référence'!$B$17+'Scénario référence'!$B$9+'Scénario référence'!$B$10)*70+IF((45+25*(1-EXP(-0.0175*A107)))&lt;70,'Scénario référence'!$B$16*(45+25*(1-EXP(-0.0175*A107))),70*'Scénario référence'!$B$16)+IF((32+38*(1-EXP(-0.0175*A107)))&lt;70,'Scénario référence'!$B$18*(32+38*(1-EXP(-0.0175*A107))),70*'Scénario référence'!$B$18)</f>
        <v>70</v>
      </c>
      <c r="EF107" s="151">
        <f>IF(A107&gt;30,10,('Scénario référence'!$B$16+'Scénario référence'!$B$17+'Scénario référence'!$B$18+'Scénario référence'!$B$9+'Scénario référence'!$B$10)*A107*10/30+('Scénario référence'!$F$8+'Scénario référence'!$F$9)*10)</f>
        <v>10</v>
      </c>
      <c r="EG107" s="151" t="str">
        <f>VLOOKUP(A107,'Données projet'!$A$191:$I$211,2,0)</f>
        <v>#N/A</v>
      </c>
      <c r="EH107" s="151" t="str">
        <f>VLOOKUP(A107,'Données projet'!$A$191:$I$211,9,0)</f>
        <v>#N/A</v>
      </c>
      <c r="EI107" s="151" t="str">
        <f t="array" ref="EI107">INDEX(EH:EH,MIN(IF(ISNUMBER(EH107:EH303),ROW(EH107:EH303),"")))</f>
        <v/>
      </c>
      <c r="EJ107" s="151">
        <f>IF('Données projet'!$A$192&gt;35,EJ106+EI107-ER106,IF(A107&lt;'Données projet'!$A$192,$EG$205^A107,IF(A107='Données projet'!$A$192,'Données projet'!$B$192,EJ106+EI107-ER106)))</f>
        <v>0</v>
      </c>
      <c r="EK107" s="158" t="str">
        <f>EJ107*VLOOKUP('Données projet'!$B$15,'Paramètres'!$A$1:$I$88,3,0)*VLOOKUP('Données projet'!$B$15,'Paramètres'!$A$1:$I$88,5,0)</f>
        <v>#N/A</v>
      </c>
      <c r="EL107" s="150" t="str">
        <f t="shared" si="46"/>
        <v>#N/A</v>
      </c>
      <c r="EM107" s="161" t="str">
        <f t="shared" si="20"/>
        <v>#N/A</v>
      </c>
      <c r="EN107" s="153" t="str">
        <f t="shared" si="21"/>
        <v>#N/A</v>
      </c>
      <c r="EO107" s="153" t="str">
        <f>AVERAGE(OFFSET($EN$3,0,0,'Données projet'!$E$15+1,1))-AVERAGE(OFFSET($H$3,0,0,'Données projet'!$E$15+1,1))</f>
        <v>#N/A</v>
      </c>
      <c r="EP107" s="153" t="str">
        <f t="shared" si="47"/>
        <v>#N/A</v>
      </c>
      <c r="EQ107" s="154">
        <f>IF(ISNA(VLOOKUP(A107,'Données projet'!$A$191:$I$211,3,0)),0,VLOOKUP(A107,'Données projet'!$A$191:$I$211,3,0))</f>
        <v>0</v>
      </c>
      <c r="ER107" s="154">
        <f>IF(ISNA(VLOOKUP(A107,'Données projet'!$A$191:$I$211,4,0)),0,VLOOKUP(A107,'Données projet'!$A$191:$I$211,4,0))</f>
        <v>0</v>
      </c>
      <c r="ES107" s="155">
        <f>IF(ISNA(VLOOKUP(A107,'Données projet'!$A$191:$I$211,5,0)),0%,VLOOKUP(A107,'Données projet'!$A$191:$I$211,5,0)*VLOOKUP('Données projet'!$B$15,'Paramètres'!$A$1:$I$88,7,0))</f>
        <v>0</v>
      </c>
      <c r="ET107" s="155">
        <f>IF(ISNA(VLOOKUP(A107,'Données projet'!$A$191:$I$211,6,0)),0%,VLOOKUP(A107,'Données projet'!$A$191:$I$211,6,0)*VLOOKUP('Données projet'!$B$15,'Paramètres'!$A$1:$I$88,7,0))</f>
        <v>0</v>
      </c>
      <c r="EU107" s="155">
        <f>IF(ISNA(VLOOKUP(A107,'Données projet'!$A$191:$I$211,7,0)),0%,VLOOKUP(A107,'Données projet'!$A$191:$I$211,7,0))</f>
        <v>0</v>
      </c>
      <c r="EV107" s="162" t="str">
        <f>EXP(-LN(2)/35)*EV106+(1-EXP(-LN(2)/35))/(LN(2)/35)*ER107*ES107*VLOOKUP('Données projet'!$B$15,'Paramètres'!$A$1:$I$88,3,0)*0.475*44/12</f>
        <v>#N/A</v>
      </c>
      <c r="EW107" s="162" t="str">
        <f>EXP(-LN(2)/25)*EW106+(1-EXP(-LN(2)/25))/(LN(2)/25)*Calculateur!ER107*Calculateur!ET107*VLOOKUP('Données projet'!$B$15,'Paramètres'!$A$1:$I$88,3,0)*0.475*44/12</f>
        <v>#N/A</v>
      </c>
      <c r="EX107" s="162" t="str">
        <f>EXP(-LN(2)/2)*EX106+(1-EXP(-LN(2)/2))/(LN(2)/2)*ER107*EU107*VLOOKUP('Données projet'!$B$15,'Paramètres'!$A$1:$I$88,3,0)*0.475*44/12</f>
        <v>#N/A</v>
      </c>
      <c r="EY107" s="163" t="str">
        <f t="shared" si="22"/>
        <v>#N/A</v>
      </c>
      <c r="EZ107" s="159">
        <f>('Scénario référence'!$F$8+'Scénario référence'!$F$9+'Scénario référence'!$B$17+'Scénario référence'!$B$9+'Scénario référence'!$B$10)*70+IF((45+25*(1-EXP(-0.0175*A107)))&lt;70,'Scénario référence'!$B$16*(45+25*(1-EXP(-0.0175*A107))),70*'Scénario référence'!$B$16)+IF((32+38*(1-EXP(-0.0175*A107)))&lt;70,'Scénario référence'!$B$18*(32+38*(1-EXP(-0.0175*A107))),70*'Scénario référence'!$B$18)</f>
        <v>70</v>
      </c>
      <c r="FA107" s="151">
        <f>IF(A107&gt;30,10,('Scénario référence'!$B$16+'Scénario référence'!$B$17+'Scénario référence'!$B$18+'Scénario référence'!$B$9+'Scénario référence'!$B$10)*A107*10/30+('Scénario référence'!$F$8+'Scénario référence'!$F$9)*10)</f>
        <v>10</v>
      </c>
      <c r="FB107" s="151" t="str">
        <f>VLOOKUP(A107,'Données projet'!$A$217:$I$237,2,0)</f>
        <v>#N/A</v>
      </c>
      <c r="FC107" s="151" t="str">
        <f>VLOOKUP(A107,'Données projet'!$A$217:$I$237,9,0)</f>
        <v>#N/A</v>
      </c>
      <c r="FD107" s="151" t="str">
        <f t="array" ref="FD107">INDEX(FC:FC,MIN(IF(ISNUMBER(FC107:FC303),ROW(FC107:FC303),"")))</f>
        <v/>
      </c>
      <c r="FE107" s="151">
        <f>IF('Données projet'!$A$218&gt;35,FE106+FD107-FM106,IF(A107&lt;'Données projet'!$A$218,$FB$205^A107,IF(A107='Données projet'!$A$218,'Données projet'!$B$218,FE106+FD107-FM106)))</f>
        <v>0</v>
      </c>
      <c r="FF107" s="158" t="str">
        <f>FE107*VLOOKUP('Données projet'!$B$16,'Paramètres'!$A$1:$I$88,3,0)*VLOOKUP('Données projet'!$B$16,'Paramètres'!$A$1:$I$88,5,0)</f>
        <v>#N/A</v>
      </c>
      <c r="FG107" s="150" t="str">
        <f t="shared" si="48"/>
        <v>#N/A</v>
      </c>
      <c r="FH107" s="161" t="str">
        <f t="shared" si="23"/>
        <v>#N/A</v>
      </c>
      <c r="FI107" s="153" t="str">
        <f t="shared" si="24"/>
        <v>#N/A</v>
      </c>
      <c r="FJ107" s="153" t="str">
        <f>AVERAGE(OFFSET($FI$3,0,0,'Données projet'!$E$16+1,1))-AVERAGE(OFFSET($H$3,0,0,'Données projet'!$E$16+1,1))</f>
        <v>#N/A</v>
      </c>
      <c r="FK107" s="153" t="str">
        <f t="shared" si="49"/>
        <v>#N/A</v>
      </c>
      <c r="FL107" s="154">
        <f>IF(ISNA(VLOOKUP(A107,'Données projet'!$A$217:$I$237,3,0)),0,VLOOKUP(A107,'Données projet'!$A$217:$I$237,3,0))</f>
        <v>0</v>
      </c>
      <c r="FM107" s="154">
        <f>IF(ISNA(VLOOKUP(A107,'Données projet'!$A$217:$I$237,4,0)),0,VLOOKUP(A107,'Données projet'!$A$217:$I$237,4,0))</f>
        <v>0</v>
      </c>
      <c r="FN107" s="155">
        <f>IF(ISNA(VLOOKUP(A107,'Données projet'!$A$217:$I$237,5,0)),0%,VLOOKUP(A107,'Données projet'!$A$217:$I$237,5,0)*VLOOKUP('Données projet'!$B$16,'Paramètres'!$A$1:$I$88,7,0))</f>
        <v>0</v>
      </c>
      <c r="FO107" s="155">
        <f>IF(ISNA(VLOOKUP(A107,'Données projet'!$A$217:$I$237,6,0)),0%,VLOOKUP(A107,'Données projet'!$A$217:$I$237,6,0)*VLOOKUP('Données projet'!$B$16,'Paramètres'!$A$1:$I$88,7,0))</f>
        <v>0</v>
      </c>
      <c r="FP107" s="155">
        <f>IF(ISNA(VLOOKUP(A107,'Données projet'!$A$217:$I$237,7,0)),0%,VLOOKUP(A107,'Données projet'!$A$217:$I$237,7,0))</f>
        <v>0</v>
      </c>
      <c r="FQ107" s="162" t="str">
        <f>EXP(-LN(2)/35)*FQ106+(1-EXP(-LN(2)/35))/(LN(2)/35)*FM107*FN107*VLOOKUP('Données projet'!$B$16,'Paramètres'!$A$1:$I$88,3,0)*0.475*44/12</f>
        <v>#N/A</v>
      </c>
      <c r="FR107" s="162" t="str">
        <f>EXP(-LN(2)/25)*FR106+(1-EXP(-LN(2)/25))/(LN(2)/25)*Calculateur!FM107*Calculateur!FO107*VLOOKUP('Données projet'!$B$16,'Paramètres'!$A$1:$I$88,3,0)*0.475*44/12</f>
        <v>#N/A</v>
      </c>
      <c r="FS107" s="162" t="str">
        <f>EXP(-LN(2)/2)*FS106+(1-EXP(-LN(2)/2))/(LN(2)/2)*FM107*FP107*VLOOKUP('Données projet'!$B$16,'Paramètres'!$A$1:$I$88,3,0)*0.475*44/12</f>
        <v>#N/A</v>
      </c>
      <c r="FT107" s="163" t="str">
        <f t="shared" si="25"/>
        <v>#N/A</v>
      </c>
      <c r="FU107" s="159">
        <f>('Scénario référence'!$F$8+'Scénario référence'!$F$9+'Scénario référence'!$B$17+'Scénario référence'!$B$9+'Scénario référence'!$B$10)*70+IF((45+25*(1-EXP(-0.0175*A107)))&lt;70,'Scénario référence'!$B$16*(45+25*(1-EXP(-0.0175*A107))),70*'Scénario référence'!$B$16)+IF((32+38*(1-EXP(-0.0175*A107)))&lt;70,'Scénario référence'!$B$18*(32+38*(1-EXP(-0.0175*A107))),70*'Scénario référence'!$B$18)</f>
        <v>70</v>
      </c>
      <c r="FV107" s="151">
        <f>IF(A107&gt;30,10,('Scénario référence'!$B$16+'Scénario référence'!$B$17+'Scénario référence'!$B$18+'Scénario référence'!$B$9+'Scénario référence'!$B$10)*A107*10/30+('Scénario référence'!$F$8+'Scénario référence'!$F$9)*10)</f>
        <v>10</v>
      </c>
      <c r="FW107" s="151" t="str">
        <f>VLOOKUP(A107,'Données projet'!$A$243:$I$263,2,0)</f>
        <v>#N/A</v>
      </c>
      <c r="FX107" s="151" t="str">
        <f>VLOOKUP(A107,'Données projet'!$A$243:$I$263,9,0)</f>
        <v>#N/A</v>
      </c>
      <c r="FY107" s="151" t="str">
        <f t="array" ref="FY107">INDEX(FX:FX,MIN(IF(ISNUMBER(FX107:FX303),ROW(FX107:FX303),"")))</f>
        <v/>
      </c>
      <c r="FZ107" s="151">
        <f>IF('Données projet'!$A$244&gt;35,FZ106+FY107-GH106,IF(A107&lt;'Données projet'!$A$244,$FW$205^A107,IF(A107='Données projet'!$A$244,'Données projet'!$B$244,FZ106+FY107-GH106)))</f>
        <v>0</v>
      </c>
      <c r="GA107" s="158" t="str">
        <f>FZ107*VLOOKUP('Données projet'!$B$17,'Paramètres'!$A$1:$I$88,3,0)*VLOOKUP('Données projet'!$B$17,'Paramètres'!$A$1:$I$88,5,0)</f>
        <v>#N/A</v>
      </c>
      <c r="GB107" s="150" t="str">
        <f t="shared" si="50"/>
        <v>#N/A</v>
      </c>
      <c r="GC107" s="161" t="str">
        <f t="shared" si="26"/>
        <v>#N/A</v>
      </c>
      <c r="GD107" s="153" t="str">
        <f t="shared" si="27"/>
        <v>#N/A</v>
      </c>
      <c r="GE107" s="153" t="str">
        <f>AVERAGE(OFFSET($GD$3,0,0,'Données projet'!$E$17+1,1))-AVERAGE(OFFSET($H$3,0,0,'Données projet'!$E$17+1,1))</f>
        <v>#N/A</v>
      </c>
      <c r="GF107" s="153" t="str">
        <f t="shared" si="51"/>
        <v>#N/A</v>
      </c>
      <c r="GG107" s="154">
        <f>IF(ISNA(VLOOKUP(A107,'Données projet'!$A$243:$I$263,3,0)),0,VLOOKUP(A107,'Données projet'!$A$243:$I$263,3,0))</f>
        <v>0</v>
      </c>
      <c r="GH107" s="154">
        <f>IF(ISNA(VLOOKUP(A107,'Données projet'!$A$243:$I$263,4,0)),0,VLOOKUP(A107,'Données projet'!$A$243:$I$263,4,0))</f>
        <v>0</v>
      </c>
      <c r="GI107" s="155">
        <f>IF(ISNA(VLOOKUP(A107,'Données projet'!$A$243:$I$263,5,0)),0%,VLOOKUP(A107,'Données projet'!$A$243:$I$263,5,0)*VLOOKUP('Données projet'!$B$17,'Paramètres'!$A$1:$I$88,7,0))</f>
        <v>0</v>
      </c>
      <c r="GJ107" s="155">
        <f>IF(ISNA(VLOOKUP(A107,'Données projet'!$A$243:$I$263,6,0)),0%,VLOOKUP(A107,'Données projet'!$A$243:$I$263,6,0)*VLOOKUP('Données projet'!$B$17,'Paramètres'!$A$1:$I$88,7,0))</f>
        <v>0</v>
      </c>
      <c r="GK107" s="155">
        <f>IF(ISNA(VLOOKUP(A107,'Données projet'!$A$243:$I$263,7,0)),0%,VLOOKUP(A107,'Données projet'!$A$243:$I$263,7,0))</f>
        <v>0</v>
      </c>
      <c r="GL107" s="162" t="str">
        <f>EXP(-LN(2)/35)*GL106+(1-EXP(-LN(2)/35))/(LN(2)/35)*GH107*GI107*VLOOKUP('Données projet'!$B$17,'Paramètres'!$A$1:$I$88,3,0)*0.475*44/12</f>
        <v>#N/A</v>
      </c>
      <c r="GM107" s="162" t="str">
        <f>EXP(-LN(2)/25)*GM106+(1-EXP(-LN(2)/25))/(LN(2)/25)*Calculateur!GH107*Calculateur!GJ107*VLOOKUP('Données projet'!$B$17,'Paramètres'!$A$1:$I$88,3,0)*0.475*44/12</f>
        <v>#N/A</v>
      </c>
      <c r="GN107" s="162" t="str">
        <f>EXP(-LN(2)/2)*GN106+(1-EXP(-LN(2)/2))/(LN(2)/2)*GH107*GK107*VLOOKUP('Données projet'!$B$17,'Paramètres'!$A$1:$I$88,3,0)*0.475*44/12</f>
        <v>#N/A</v>
      </c>
      <c r="GO107" s="162" t="str">
        <f t="shared" si="28"/>
        <v>#N/A</v>
      </c>
      <c r="GP107" s="159">
        <f>('Scénario référence'!$F$8+'Scénario référence'!$F$9+'Scénario référence'!$B$17+'Scénario référence'!$B$9+'Scénario référence'!$B$10)*70+IF((45+25*(1-EXP(-0.0175*A107)))&lt;70,'Scénario référence'!$B$16*(45+25*(1-EXP(-0.0175*A107))),70*'Scénario référence'!$B$16)+IF((32+38*(1-EXP(-0.0175*A107)))&lt;70,'Scénario référence'!$B$18*(32+38*(1-EXP(-0.0175*A107))),70*'Scénario référence'!$B$18)</f>
        <v>70</v>
      </c>
      <c r="GQ107" s="151">
        <f>IF(A107&gt;30,10,('Scénario référence'!$B$16+'Scénario référence'!$B$17+'Scénario référence'!$B$18+'Scénario référence'!$B$9+'Scénario référence'!$B$10)*A107*10/30+('Scénario référence'!$F$8+'Scénario référence'!$F$9)*10)</f>
        <v>10</v>
      </c>
      <c r="GR107" s="151" t="str">
        <f>VLOOKUP(A107,'Données projet'!$A$269:$I$289,2,0)</f>
        <v>#N/A</v>
      </c>
      <c r="GS107" s="151" t="str">
        <f>VLOOKUP(A107,'Données projet'!$A$269:$I$289,9,0)</f>
        <v>#N/A</v>
      </c>
      <c r="GT107" s="151" t="str">
        <f t="array" ref="GT107">INDEX(GS:GS,MIN(IF(ISNUMBER(GS107:GS303),ROW(GS107:GS303),"")))</f>
        <v/>
      </c>
      <c r="GU107" s="151">
        <f>IF('Données projet'!$A$270&gt;35,GU106+GT107-HC106,IF(A107&lt;'Données projet'!$A$270,$GR$205^A107,IF(A107='Données projet'!$A$270,'Données projet'!$B$270,GU106+GT107-HC106)))</f>
        <v>0</v>
      </c>
      <c r="GV107" s="158" t="str">
        <f>GU107*VLOOKUP('Données projet'!$B$18,'Paramètres'!$A$1:$I$88,3,0)*VLOOKUP('Données projet'!$B$18,'Paramètres'!$A$1:$I$88,5,0)</f>
        <v>#N/A</v>
      </c>
      <c r="GW107" s="150" t="str">
        <f t="shared" si="52"/>
        <v>#N/A</v>
      </c>
      <c r="GX107" s="161" t="str">
        <f t="shared" si="29"/>
        <v>#N/A</v>
      </c>
      <c r="GY107" s="153" t="str">
        <f t="shared" si="30"/>
        <v>#N/A</v>
      </c>
      <c r="GZ107" s="153" t="str">
        <f>AVERAGE(OFFSET($GY$3,0,0,'Données projet'!$E$18+1,1))-AVERAGE(OFFSET($H$3,0,0,'Données projet'!$E$18+1,1))</f>
        <v>#N/A</v>
      </c>
      <c r="HA107" s="153" t="str">
        <f t="shared" si="53"/>
        <v>#N/A</v>
      </c>
      <c r="HB107" s="154">
        <f>IF(ISNA(VLOOKUP(A107,'Données projet'!$A$269:$I$289,3,0)),0,VLOOKUP(A107,'Données projet'!$A$269:$I$289,3,0))</f>
        <v>0</v>
      </c>
      <c r="HC107" s="154">
        <f>IF(ISNA(VLOOKUP(A107,'Données projet'!$A$269:$I$289,4,0)),0,VLOOKUP(A107,'Données projet'!$A$269:$I$289,4,0))</f>
        <v>0</v>
      </c>
      <c r="HD107" s="155">
        <f>IF(ISNA(VLOOKUP(A107,'Données projet'!$A$269:$I$289,5,0)),0%,VLOOKUP(A107,'Données projet'!$A$269:$I$289,5,0)*VLOOKUP('Données projet'!$B$18,'Paramètres'!$A$1:$I$88,7,0))</f>
        <v>0</v>
      </c>
      <c r="HE107" s="155">
        <f>IF(ISNA(VLOOKUP(A107,'Données projet'!$A$269:$I$289,6,0)),0%,VLOOKUP(A107,'Données projet'!$A$269:$I$289,6,0)*VLOOKUP('Données projet'!$B$18,'Paramètres'!$A$1:$I$88,7,0))</f>
        <v>0</v>
      </c>
      <c r="HF107" s="155">
        <f>IF(ISNA(VLOOKUP(A107,'Données projet'!$A$269:$I$289,7,0)),0%,VLOOKUP(A107,'Données projet'!$A$269:$I$289,7,0))</f>
        <v>0</v>
      </c>
      <c r="HG107" s="162" t="str">
        <f>EXP(-LN(2)/35)*HG106+(1-EXP(-LN(2)/35))/(LN(2)/35)*HC107*HD107*VLOOKUP('Données projet'!$B$18,'Paramètres'!$A$1:$I$88,3,0)*0.475*44/12</f>
        <v>#N/A</v>
      </c>
      <c r="HH107" s="162" t="str">
        <f>EXP(-LN(2)/25)*HH106+(1-EXP(-LN(2)/25))/(LN(2)/25)*Calculateur!HC107*Calculateur!HE107*VLOOKUP('Données projet'!$B$18,'Paramètres'!$A$1:$I$88,3,0)*0.475*44/12</f>
        <v>#N/A</v>
      </c>
      <c r="HI107" s="162" t="str">
        <f>EXP(-LN(2)/2)*HI106+(1-EXP(-LN(2)/2))/(LN(2)/2)*HC107*HF107*VLOOKUP('Données projet'!$B$18,'Paramètres'!$A$1:$I$88,3,0)*0.475*44/12</f>
        <v>#N/A</v>
      </c>
      <c r="HJ107" s="163" t="str">
        <f t="shared" si="31"/>
        <v>#N/A</v>
      </c>
    </row>
    <row r="108" ht="15.75" customHeight="1">
      <c r="A108" s="145">
        <f t="shared" si="32"/>
        <v>105</v>
      </c>
      <c r="B108" s="146">
        <f>'Scénario référence'!$B$16*5+'Scénario référence'!$B$17*0+'Scénario référence'!$B$18*5</f>
        <v>0</v>
      </c>
      <c r="C108" s="160">
        <f>Calculateur!C107+'Scénario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08" s="147">
        <f t="shared" si="33"/>
        <v>0</v>
      </c>
      <c r="E108" s="147">
        <f>'Scénario référence'!$B$16*45+('Scénario référence'!$B$17+'Scénario référence'!$F$8+'Scénario référence'!$F$9+'Scénario référence'!$B$10+'Scénario référence'!$B$9)*70+'Scénario référence'!$B$18*32</f>
        <v>70</v>
      </c>
      <c r="F108" s="147">
        <f>IF(OR('Scénario référence'!$F$8&gt;0,'Scénario référence'!$F$9&gt;0),('Scénario référence'!$F$8+'Scénario référence'!$F$9)*10,0)</f>
        <v>0</v>
      </c>
      <c r="G108" s="147">
        <f>'Scénario référence'!$B$8*B108*44/12+'Scénario référence'!$B$9*(C108+D108)/0.475*44/12+'Scénario référence'!$B$10*(C108+D108)/0.475*44/12+'Scénario référence'!$F$8*(C108+D108)/0.475*44/12+'Scénario référence'!$F$9*(C108+D108)/0.475*44/12</f>
        <v>0</v>
      </c>
      <c r="H108" s="148">
        <f t="shared" si="1"/>
        <v>256.6666667</v>
      </c>
      <c r="I108" s="149">
        <f>('Scénario référence'!$F$8+'Scénario référence'!$F$9+'Scénario référence'!$B$17+'Scénario référence'!$B$9+'Scénario référence'!$B$10)*70+IF((45+25*(1-EXP(-0.0175*A108)))&lt;70,'Scénario référence'!$B$16*(45+25*(1-EXP(-0.0175*A108))),70*'Scénario référence'!$B$16)+IF((32+38*(1-EXP(-0.0175*A108)))&lt;70,'Scénario référence'!$B$18*(32+38*(1-EXP(-0.0175*A108))),70*'Scénario référence'!$B$18)</f>
        <v>70</v>
      </c>
      <c r="J108" s="150">
        <f>IF(A108&gt;30,10,('Scénario référence'!$B$16+'Scénario référence'!$B$17+'Scénario référence'!$B$18+'Scénario référence'!$B$9+'Scénario référence'!$B$10)*A108*10/30+('Scénario référence'!$F$8+'Scénario référence'!$F$9)*10)</f>
        <v>10</v>
      </c>
      <c r="K108" s="165">
        <f>VLOOKUP(A108,'Données projet'!$A$35:$I$55,2,0)</f>
        <v>333</v>
      </c>
      <c r="L108" s="151">
        <f>VLOOKUP(A108,'Données projet'!$A$35:$I$55,9,0)</f>
        <v>5.4</v>
      </c>
      <c r="M108" s="150">
        <f t="array" ref="M108">INDEX(L:L,MIN(IF(ISNUMBER(L108:L304),ROW(L108:L304),"")))</f>
        <v>5.4</v>
      </c>
      <c r="N108" s="150">
        <f>IF('Données projet'!$A$36&gt;35,N107+M108-V107,IF(A108&lt;'Données projet'!$A$36,$K$205^A108,IF(A108='Données projet'!$A$36,'Données projet'!$B$36,N107+M108-V107)))</f>
        <v>333</v>
      </c>
      <c r="O108" s="150">
        <f>N108*VLOOKUP('Données projet'!$B$9,'Paramètres'!$A$1:$I$88,3,0)*VLOOKUP('Données projet'!$B$9,'Paramètres'!$A$1:$I$88,5,0)</f>
        <v>301.2984</v>
      </c>
      <c r="P108" s="150">
        <f t="shared" si="34"/>
        <v>71.44858953</v>
      </c>
      <c r="Q108" s="161">
        <f t="shared" si="2"/>
        <v>649.2010068</v>
      </c>
      <c r="R108" s="153">
        <f t="shared" si="3"/>
        <v>942.5343401</v>
      </c>
      <c r="S108" s="153">
        <f>AVERAGE(OFFSET($R$3,0,0,'Données projet'!$E$9+1,1))-AVERAGE(OFFSET($H$3,0,0,'Données projet'!$E$9+1,1))</f>
        <v>439.1985427</v>
      </c>
      <c r="T108" s="153">
        <f t="shared" si="35"/>
        <v>278.2174123</v>
      </c>
      <c r="U108" s="154">
        <f>IF(ISNA(VLOOKUP(A108,'Données projet'!$A$35:$I$55,3,0)),0,VLOOKUP(A108,'Données projet'!$A$35:$I$55,3,0))</f>
        <v>18</v>
      </c>
      <c r="V108" s="164">
        <f>IF(ISNA(VLOOKUP(A108,'Données projet'!$A$35:$I$55,4,0)),0,VLOOKUP(A108,'Données projet'!$A$35:$I$55,4,0))</f>
        <v>26</v>
      </c>
      <c r="W108" s="155">
        <f>IF(ISNA(VLOOKUP(A108,'Données projet'!$A$35:$I$55,5,0)),0%,VLOOKUP(A108,'Données projet'!$A$35:$I$55,5,0)*VLOOKUP('Données projet'!$B$9,'Paramètres'!$A$1:$I$88,7,0))</f>
        <v>0</v>
      </c>
      <c r="X108" s="155">
        <f>IF(ISNA(VLOOKUP(A108,'Données projet'!$A$35:$I$55,6,0)),0%,VLOOKUP(A108,'Données projet'!$A$35:$I$55,6,0)*VLOOKUP('Données projet'!$B$9,'Paramètres'!$A$1:$I$88,7,0))</f>
        <v>0</v>
      </c>
      <c r="Y108" s="155" t="str">
        <f>IF(ISNA(VLOOKUP(A108,'Données projet'!$A$35:$I$55,7,0)),0%,VLOOKUP(A108,'Données projet'!$A$35:$I$55,7,0))</f>
        <v/>
      </c>
      <c r="Z108" s="162">
        <f>EXP(-LN(2)/35)*Z107+(1-EXP(-LN(2)/35))/(LN(2)/35)*V108*W108*VLOOKUP('Données projet'!$B$9,'Paramètres'!$A$1:$I$88,3,0)*0.475*44/12</f>
        <v>0</v>
      </c>
      <c r="AA108" s="162">
        <f>EXP(-LN(2)/25)*AA107+(1-EXP(-LN(2)/25))/(LN(2)/25)*Calculateur!V108*Calculateur!X108*VLOOKUP('Données projet'!$B$9,'Paramètres'!$A$1:$I$88,3,0)*0.475*44/12</f>
        <v>0.5609475971</v>
      </c>
      <c r="AB108" s="162">
        <f>EXP(-LN(2)/2)*AB107+(1-EXP(-LN(2)/2))/(LN(2)/2)*V108*Y108*VLOOKUP('Données projet'!$B$9,'Paramètres'!$A$1:$I$88,3,0)*0.475*44/12</f>
        <v>0</v>
      </c>
      <c r="AC108" s="163">
        <f t="shared" si="4"/>
        <v>0.5609475971</v>
      </c>
      <c r="AD108" s="150">
        <f>('Scénario référence'!$F$8+'Scénario référence'!$F$9+'Scénario référence'!$B$17+'Scénario référence'!$B$9+'Scénario référence'!$B$10)*70+IF((45+25*(1-EXP(-0.0175*A108)))&lt;70,'Scénario référence'!$B$16*(45+25*(1-EXP(-0.0175*A108))),70*'Scénario référence'!$B$16)+IF((32+38*(1-EXP(-0.0175*A108)))&lt;70,'Scénario référence'!$B$18*(32+38*(1-EXP(-0.0175*A108))),70*'Scénario référence'!$B$18)</f>
        <v>70</v>
      </c>
      <c r="AE108" s="150">
        <f>IF(A108&gt;30,10,('Scénario référence'!$B$16+'Scénario référence'!$B$17+'Scénario référence'!$B$18+'Scénario référence'!$B$9+'Scénario référence'!$B$10)*A108*10/30+('Scénario référence'!$F$8+'Scénario référence'!$F$9)*10)</f>
        <v>10</v>
      </c>
      <c r="AF108" s="151" t="str">
        <f>VLOOKUP(A108,'Données projet'!$A$61:$I$81,2,0)</f>
        <v>#N/A</v>
      </c>
      <c r="AG108" s="151" t="str">
        <f>VLOOKUP(A108,'Données projet'!$A$61:$I$81,9,0)</f>
        <v>#N/A</v>
      </c>
      <c r="AH108" s="151" t="str">
        <f t="array" ref="AH108">INDEX(AG:AG,MIN(IF(ISNUMBER(AG108:AG304),ROW(AG108:AG304),"")))</f>
        <v/>
      </c>
      <c r="AI108" s="150">
        <f>IF('Données projet'!$A$62&gt;35,AI107+AH108-AQ107,IF(A108&lt;'Données projet'!$A$62,$AF$205^A108,IF(A108='Données projet'!$A$62,'Données projet'!$B$62,AI107+AH108-AQ107)))</f>
        <v>369</v>
      </c>
      <c r="AJ108" s="150">
        <f>AI108*VLOOKUP('Données projet'!$B$10,'Paramètres'!$A$1:$I$88,3,0)*VLOOKUP('Données projet'!$B$10,'Paramètres'!$A$1:$I$88,5,0)</f>
        <v>293.5764</v>
      </c>
      <c r="AK108" s="150">
        <f t="shared" si="36"/>
        <v>69.82813851</v>
      </c>
      <c r="AL108" s="161">
        <f t="shared" si="5"/>
        <v>632.9295712</v>
      </c>
      <c r="AM108" s="153">
        <f t="shared" si="6"/>
        <v>926.2629046</v>
      </c>
      <c r="AN108" s="153">
        <f>AVERAGE(OFFSET($AM$3,0,0,'Données projet'!$E$10+1,1))-AVERAGE(OFFSET($H$3,0,0,'Données projet'!$E$10+1,1))</f>
        <v>405.6113614</v>
      </c>
      <c r="AO108" s="153">
        <f t="shared" si="37"/>
        <v>393.0787141</v>
      </c>
      <c r="AP108" s="154">
        <f>IF(ISNA(VLOOKUP(A108,'Données projet'!$A$61:$I$81,3,0)),0,VLOOKUP(A108,'Données projet'!$A$61:$I$81,3,0))</f>
        <v>0</v>
      </c>
      <c r="AQ108" s="154">
        <f>IF(ISNA(VLOOKUP(A108,'Données projet'!$A$61:$I$81,4,0)),0,VLOOKUP(A108,'Données projet'!$A$61:$I$81,4,0))</f>
        <v>0</v>
      </c>
      <c r="AR108" s="155">
        <f>IF(ISNA(VLOOKUP(A108,'Données projet'!$A$61:$I$81,5,0)),0%,VLOOKUP(A108,'Données projet'!$A$61:$I$81,5,0)*VLOOKUP('Données projet'!$B$10,'Paramètres'!$A$1:$I$88,7,0))</f>
        <v>0</v>
      </c>
      <c r="AS108" s="155">
        <f>IF(ISNA(VLOOKUP(A108,'Données projet'!$A$61:$I$81,6,0)),0%,VLOOKUP(A108,'Données projet'!$A$61:$I$81,6,0)*VLOOKUP('Données projet'!$B$10,'Paramètres'!$A$1:$I$88,7,0))</f>
        <v>0</v>
      </c>
      <c r="AT108" s="155">
        <f>IF(ISNA(VLOOKUP(A108,'Données projet'!$A$61:$I$81,7,0)),0%,VLOOKUP(A108,'Données projet'!$A$61:$I$81,7,0))</f>
        <v>0</v>
      </c>
      <c r="AU108" s="162">
        <f>EXP(-LN(2)/35)*AU107+(1-EXP(-LN(2)/35))/(LN(2)/35)*AQ108*AR108*VLOOKUP('Données projet'!$B$10,'Paramètres'!$A$1:$I$88,3,0)*0.475*44/12</f>
        <v>0</v>
      </c>
      <c r="AV108" s="162">
        <f>EXP(-LN(2)/25)*AV107+(1-EXP(-LN(2)/25))/(LN(2)/25)*Calculateur!AQ108*Calculateur!AS108*VLOOKUP('Données projet'!$B$10,'Paramètres'!$A$1:$I$88,3,0)*0.475*44/12</f>
        <v>2.279833633</v>
      </c>
      <c r="AW108" s="162">
        <f>EXP(-LN(2)/2)*AW107+(1-EXP(-LN(2)/2))/(LN(2)/2)*AQ108*AT108*VLOOKUP('Données projet'!$B$10,'Paramètres'!$A$1:$I$88,3,0)*0.475*44/12</f>
        <v>0</v>
      </c>
      <c r="AX108" s="162">
        <f t="shared" si="7"/>
        <v>2.279833633</v>
      </c>
      <c r="AY108" s="157">
        <f>('Scénario référence'!$F$8+'Scénario référence'!$F$9+'Scénario référence'!$B$17+'Scénario référence'!$B$9+'Scénario référence'!$B$10)*70+IF((45+25*(1-EXP(-0.0175*A108)))&lt;70,'Scénario référence'!$B$16*(45+25*(1-EXP(-0.0175*A108))),70*'Scénario référence'!$B$16)+IF((32+38*(1-EXP(-0.0175*A108)))&lt;70,'Scénario référence'!$B$18*(32+38*(1-EXP(-0.0175*A108))),70*'Scénario référence'!$B$18)</f>
        <v>70</v>
      </c>
      <c r="AZ108" s="151">
        <f>IF(A108&gt;30,10,('Scénario référence'!$B$16+'Scénario référence'!$B$17+'Scénario référence'!$B$18+'Scénario référence'!$B$9+'Scénario référence'!$B$10)*A108*10/30+('Scénario référence'!$F$8+'Scénario référence'!$F$9)*10)</f>
        <v>10</v>
      </c>
      <c r="BA108" s="151" t="str">
        <f>VLOOKUP(A108,'Données projet'!$A$87:$I$107,2,0)</f>
        <v>#N/A</v>
      </c>
      <c r="BB108" s="151" t="str">
        <f>VLOOKUP(A108,'Données projet'!$A$87:$I$107,9,0)</f>
        <v>#N/A</v>
      </c>
      <c r="BC108" s="151" t="str">
        <f t="array" ref="BC108">INDEX(BB:BB,MIN(IF(ISNUMBER(BB108:BB304),ROW(BB108:BB304),"")))</f>
        <v/>
      </c>
      <c r="BD108" s="150">
        <f>IF('Données projet'!$A$88&gt;35,BD107+BC108-BL107,IF(A108&lt;'Données projet'!$A$88,$BA$205^A108,IF(A108='Données projet'!$A$88,'Données projet'!$B$88,BD107+BC108-BL107)))</f>
        <v>0</v>
      </c>
      <c r="BE108" s="150">
        <f>BD108*VLOOKUP('Données projet'!$B$11,'Paramètres'!$A$1:$I$88,3,0)*VLOOKUP('Données projet'!$B$11,'Paramètres'!$A$1:$I$88,5,0)</f>
        <v>0</v>
      </c>
      <c r="BF108" s="150" t="str">
        <f t="shared" si="38"/>
        <v>#NUM!</v>
      </c>
      <c r="BG108" s="161" t="str">
        <f t="shared" si="8"/>
        <v>#NUM!</v>
      </c>
      <c r="BH108" s="153" t="str">
        <f t="shared" si="9"/>
        <v>#NUM!</v>
      </c>
      <c r="BI108" s="153">
        <f>AVERAGE(OFFSET($BH$3,0,0,'Données projet'!$E$11+1,1))-AVERAGE(OFFSET($H$3,0,0,'Données projet'!$E$11+1,1))</f>
        <v>0</v>
      </c>
      <c r="BJ108" s="153">
        <f t="shared" si="39"/>
        <v>0</v>
      </c>
      <c r="BK108" s="154">
        <f>IF(ISNA(VLOOKUP(A108,'Données projet'!$A$87:$I$107,3,0)),0,VLOOKUP(A108,'Données projet'!$A$87:$I$107,3,0))</f>
        <v>0</v>
      </c>
      <c r="BL108" s="154">
        <f>IF(ISNA(VLOOKUP(A108,'Données projet'!$A$87:$I$107,4,0)),0,VLOOKUP(A108,'Données projet'!$A$87:$I$107,4,0))</f>
        <v>0</v>
      </c>
      <c r="BM108" s="155">
        <f>IF(ISNA(VLOOKUP(A108,'Données projet'!$A$87:$I$107,5,0)),0%,VLOOKUP(A108,'Données projet'!$A$87:$I$107,5,0)*VLOOKUP('Données projet'!$B$11,'Paramètres'!$A$1:$I$88,7,0))</f>
        <v>0</v>
      </c>
      <c r="BN108" s="155">
        <f>IF(ISNA(VLOOKUP(A108,'Données projet'!$A$87:$I$107,6,0)),0%,VLOOKUP(A108,'Données projet'!$A$87:$I$107,6,0)*VLOOKUP('Données projet'!$B$11,'Paramètres'!$A$1:$I$88,7,0))</f>
        <v>0</v>
      </c>
      <c r="BO108" s="155">
        <f>IF(ISNA(VLOOKUP(A108,'Données projet'!$A$87:$I$107,7,0)),0%,VLOOKUP(A108,'Données projet'!$A$87:$I$107,7,0))</f>
        <v>0</v>
      </c>
      <c r="BP108" s="162">
        <f>EXP(-LN(2)/35)*BP107+(1-EXP(-LN(2)/35))/(LN(2)/35)*BL108*BM108*VLOOKUP('Données projet'!$B$11,'Paramètres'!$A$1:$I$88,3,0)*0.475*44/12</f>
        <v>0</v>
      </c>
      <c r="BQ108" s="162">
        <f>EXP(-LN(2)/25)*BQ107+(1-EXP(-LN(2)/25))/(LN(2)/25)*Calculateur!BL108*Calculateur!BN108*VLOOKUP('Données projet'!$B$11,'Paramètres'!$A$1:$I$88,3,0)*0.475*44/12</f>
        <v>0</v>
      </c>
      <c r="BR108" s="162">
        <f>EXP(-LN(2)/2)*BR107+(1-EXP(-LN(2)/2))/(LN(2)/2)*BL108*BO108*VLOOKUP('Données projet'!$B$11,'Paramètres'!$A$1:$I$88,3,0)*0.475*44/12</f>
        <v>0</v>
      </c>
      <c r="BS108" s="163">
        <f t="shared" si="10"/>
        <v>0</v>
      </c>
      <c r="BT108" s="159">
        <f>('Scénario référence'!$F$8+'Scénario référence'!$F$9+'Scénario référence'!$B$17+'Scénario référence'!$B$9+'Scénario référence'!$B$10)*70+IF((45+25*(1-EXP(-0.0175*A108)))&lt;70,'Scénario référence'!$B$16*(45+25*(1-EXP(-0.0175*A108))),70*'Scénario référence'!$B$16)+IF((32+38*(1-EXP(-0.0175*A108)))&lt;70,'Scénario référence'!$B$18*(32+38*(1-EXP(-0.0175*A108))),70*'Scénario référence'!$B$18)</f>
        <v>70</v>
      </c>
      <c r="BU108" s="151">
        <f>IF(A108&gt;30,10,('Scénario référence'!$B$16+'Scénario référence'!$B$17+'Scénario référence'!$B$18+'Scénario référence'!$B$9+'Scénario référence'!$B$10)*A108*10/30+('Scénario référence'!$F$8+'Scénario référence'!$F$9)*10)</f>
        <v>10</v>
      </c>
      <c r="BV108" s="151" t="str">
        <f>VLOOKUP(A108,'Données projet'!$A$113:$I$133,2,0)</f>
        <v>#N/A</v>
      </c>
      <c r="BW108" s="151" t="str">
        <f>VLOOKUP(A108,'Données projet'!$A$113:$I$133,9,0)</f>
        <v>#N/A</v>
      </c>
      <c r="BX108" s="151" t="str">
        <f t="array" ref="BX108">INDEX(BW:BW,MIN(IF(ISNUMBER(BW108:BW304),ROW(BW108:BW304),"")))</f>
        <v/>
      </c>
      <c r="BY108" s="150">
        <f>IF('Données projet'!$A$114&gt;35,BY107+BX108-CG107,IF(A108&lt;'Données projet'!$A$114,$BV$205^A108,IF(A108='Données projet'!$A$114,'Données projet'!$B$114,BY107+BX108-CG107)))</f>
        <v>0</v>
      </c>
      <c r="BZ108" s="150" t="str">
        <f>BY108*VLOOKUP('Données projet'!$B$12,'Paramètres'!$A$1:$I$88,3,0)*VLOOKUP('Données projet'!$B$12,'Paramètres'!$A$1:$I$88,5,0)</f>
        <v>#N/A</v>
      </c>
      <c r="CA108" s="150" t="str">
        <f t="shared" si="40"/>
        <v>#N/A</v>
      </c>
      <c r="CB108" s="161" t="str">
        <f t="shared" si="11"/>
        <v>#N/A</v>
      </c>
      <c r="CC108" s="153" t="str">
        <f t="shared" si="12"/>
        <v>#N/A</v>
      </c>
      <c r="CD108" s="153" t="str">
        <f>AVERAGE(OFFSET($CC$3,0,0,'Données projet'!$E$12+1,1))-AVERAGE(OFFSET($H$3,0,0,'Données projet'!$E$12+1,1))</f>
        <v>#N/A</v>
      </c>
      <c r="CE108" s="153" t="str">
        <f t="shared" si="41"/>
        <v>#N/A</v>
      </c>
      <c r="CF108" s="154">
        <f>IF(ISNA(VLOOKUP(A108,'Données projet'!$A$113:$I$133,3,0)),0,VLOOKUP(A108,'Données projet'!$A$113:$I$133,3,0))</f>
        <v>0</v>
      </c>
      <c r="CG108" s="154">
        <f>IF(ISNA(VLOOKUP(A108,'Données projet'!$A$113:$I$133,4,0)),0,VLOOKUP(A108,'Données projet'!$A$113:$I$133,4,0))</f>
        <v>0</v>
      </c>
      <c r="CH108" s="155">
        <f>IF(ISNA(VLOOKUP(A108,'Données projet'!$A$113:$I$133,5,0)),0%,VLOOKUP(A108,'Données projet'!$A$113:$I$133,5,0)*VLOOKUP('Données projet'!$B$12,'Paramètres'!$A$1:$I$88,7,0))</f>
        <v>0</v>
      </c>
      <c r="CI108" s="155">
        <f>IF(ISNA(VLOOKUP(A108,'Données projet'!$A$113:$I$133,6,0)),0%,VLOOKUP(A108,'Données projet'!$A$113:$I$133,6,0)*VLOOKUP('Données projet'!$B$12,'Paramètres'!$A$1:$I$88,7,0))</f>
        <v>0</v>
      </c>
      <c r="CJ108" s="155">
        <f>IF(ISNA(VLOOKUP(A108,'Données projet'!$A$113:$I$133,7,0)),0%,VLOOKUP(A108,'Données projet'!$A$113:$I$133,7,0))</f>
        <v>0</v>
      </c>
      <c r="CK108" s="162" t="str">
        <f>EXP(-LN(2)/35)*CK107+(1-EXP(-LN(2)/35))/(LN(2)/35)*CG108*CH108*VLOOKUP('Données projet'!$B$12,'Paramètres'!$A$1:$I$88,3,0)*0.475*44/12</f>
        <v>#N/A</v>
      </c>
      <c r="CL108" s="162" t="str">
        <f>EXP(-LN(2)/25)*CL107+(1-EXP(-LN(2)/25))/(LN(2)/25)*Calculateur!CG108*Calculateur!CI108*VLOOKUP('Données projet'!$B$12,'Paramètres'!$A$1:$I$88,3,0)*0.475*44/12</f>
        <v>#N/A</v>
      </c>
      <c r="CM108" s="162" t="str">
        <f>EXP(-LN(2)/2)*CM107+(1-EXP(-LN(2)/2))/(LN(2)/2)*CG108*CJ108*VLOOKUP('Données projet'!$B$12,'Paramètres'!$A$1:$I$88,3,0)*0.475*44/12</f>
        <v>#N/A</v>
      </c>
      <c r="CN108" s="163" t="str">
        <f t="shared" si="13"/>
        <v>#N/A</v>
      </c>
      <c r="CO108" s="159">
        <f>('Scénario référence'!$F$8+'Scénario référence'!$F$9+'Scénario référence'!$B$17+'Scénario référence'!$B$9+'Scénario référence'!$B$10)*70+IF((45+25*(1-EXP(-0.0175*A108)))&lt;70,'Scénario référence'!$B$16*(45+25*(1-EXP(-0.0175*A108))),70*'Scénario référence'!$B$16)+IF((32+38*(1-EXP(-0.0175*A108)))&lt;70,'Scénario référence'!$B$18*(32+38*(1-EXP(-0.0175*A108))),70*'Scénario référence'!$B$18)</f>
        <v>70</v>
      </c>
      <c r="CP108" s="151">
        <f>IF(A108&gt;30,10,('Scénario référence'!$B$16+'Scénario référence'!$B$17+'Scénario référence'!$B$18+'Scénario référence'!$B$9+'Scénario référence'!$B$10)*A108*10/30+('Scénario référence'!$F$8+'Scénario référence'!$F$9)*10)</f>
        <v>10</v>
      </c>
      <c r="CQ108" s="151" t="str">
        <f>VLOOKUP(A108,'Données projet'!$A$139:$I$159,2,0)</f>
        <v>#N/A</v>
      </c>
      <c r="CR108" s="151" t="str">
        <f>VLOOKUP(A108,'Données projet'!$A$139:$I$159,9,0)</f>
        <v>#N/A</v>
      </c>
      <c r="CS108" s="151" t="str">
        <f t="array" ref="CS108">INDEX(CR:CR,MIN(IF(ISNUMBER(CR108:CR304),ROW(CR108:CR304),"")))</f>
        <v/>
      </c>
      <c r="CT108" s="151">
        <f>IF('Données projet'!$A$140&gt;35,CT107+CS108-DB107,IF(A108&lt;'Données projet'!$A$140,$CQ$205^A108,IF(A108='Données projet'!$A$140,'Données projet'!$B$140,CT107+CS108-DB107)))</f>
        <v>0</v>
      </c>
      <c r="CU108" s="158" t="str">
        <f>CT108*VLOOKUP('Données projet'!$B$13,'Paramètres'!$A$1:$I$88,3,0)*VLOOKUP('Données projet'!$B$13,'Paramètres'!$A$1:$I$88,5,0)</f>
        <v>#N/A</v>
      </c>
      <c r="CV108" s="150" t="str">
        <f t="shared" si="42"/>
        <v>#N/A</v>
      </c>
      <c r="CW108" s="161" t="str">
        <f t="shared" si="14"/>
        <v>#N/A</v>
      </c>
      <c r="CX108" s="153" t="str">
        <f t="shared" si="15"/>
        <v>#N/A</v>
      </c>
      <c r="CY108" s="153" t="str">
        <f>AVERAGE(OFFSET($CX$3,0,0,'Données projet'!$E$13+1,1))-AVERAGE(OFFSET($H$3,0,0,'Données projet'!$E$13+1,1))</f>
        <v>#N/A</v>
      </c>
      <c r="CZ108" s="153" t="str">
        <f t="shared" si="43"/>
        <v>#N/A</v>
      </c>
      <c r="DA108" s="154">
        <f>IF(ISNA(VLOOKUP(A108,'Données projet'!$A$139:$I$159,3,0)),0,VLOOKUP(A108,'Données projet'!$A$139:$I$159,3,0))</f>
        <v>0</v>
      </c>
      <c r="DB108" s="154">
        <f>IF(ISNA(VLOOKUP(A108,'Données projet'!$A$139:$I$159,4,0)),0,VLOOKUP(A108,'Données projet'!$A$139:$I$159,4,0))</f>
        <v>0</v>
      </c>
      <c r="DC108" s="155">
        <f>IF(ISNA(VLOOKUP(A108,'Données projet'!$A$139:$I$159,5,0)),0%,VLOOKUP(A108,'Données projet'!$A$139:$I$159,5,0)*VLOOKUP('Données projet'!$B$13,'Paramètres'!$A$1:$I$88,7,0))</f>
        <v>0</v>
      </c>
      <c r="DD108" s="155">
        <f>IF(ISNA(VLOOKUP(A108,'Données projet'!$A$139:$I$159,6,0)),0%,VLOOKUP(A108,'Données projet'!$A$139:$I$159,6,0)*VLOOKUP('Données projet'!$B$13,'Paramètres'!$A$1:$I$88,7,0))</f>
        <v>0</v>
      </c>
      <c r="DE108" s="155">
        <f>IF(ISNA(VLOOKUP(A108,'Données projet'!$A$139:$I$159,7,0)),0%,VLOOKUP(A108,'Données projet'!$A$139:$I$159,7,0))</f>
        <v>0</v>
      </c>
      <c r="DF108" s="162" t="str">
        <f>EXP(-LN(2)/35)*DF107+(1-EXP(-LN(2)/35))/(LN(2)/35)*DB108*DC108*VLOOKUP('Données projet'!$B$13,'Paramètres'!$A$1:$I$88,3,0)*0.475*44/12</f>
        <v>#N/A</v>
      </c>
      <c r="DG108" s="162" t="str">
        <f>EXP(-LN(2)/25)*DG107+(1-EXP(-LN(2)/25))/(LN(2)/25)*Calculateur!DB108*Calculateur!DD108*VLOOKUP('Données projet'!$B$13,'Paramètres'!$A$1:$I$88,3,0)*0.475*44/12</f>
        <v>#N/A</v>
      </c>
      <c r="DH108" s="162" t="str">
        <f>EXP(-LN(2)/2)*DH107+(1-EXP(-LN(2)/2))/(LN(2)/2)*DB108*DE108*VLOOKUP('Données projet'!$B$13,'Paramètres'!$A$1:$I$88,3,0)*0.475*44/12</f>
        <v>#N/A</v>
      </c>
      <c r="DI108" s="163" t="str">
        <f t="shared" si="16"/>
        <v>#N/A</v>
      </c>
      <c r="DJ108" s="159">
        <f>('Scénario référence'!$F$8+'Scénario référence'!$F$9+'Scénario référence'!$B$17+'Scénario référence'!$B$9+'Scénario référence'!$B$10)*70+IF((45+25*(1-EXP(-0.0175*A108)))&lt;70,'Scénario référence'!$B$16*(45+25*(1-EXP(-0.0175*A108))),70*'Scénario référence'!$B$16)+IF((32+38*(1-EXP(-0.0175*A108)))&lt;70,'Scénario référence'!$B$18*(32+38*(1-EXP(-0.0175*A108))),70*'Scénario référence'!$B$18)</f>
        <v>70</v>
      </c>
      <c r="DK108" s="151">
        <f>IF(A108&gt;30,10,('Scénario référence'!$B$16+'Scénario référence'!$B$17+'Scénario référence'!$B$18+'Scénario référence'!$B$9+'Scénario référence'!$B$10)*A108*10/30+('Scénario référence'!$F$8+'Scénario référence'!$F$9)*10)</f>
        <v>10</v>
      </c>
      <c r="DL108" s="151" t="str">
        <f>VLOOKUP(A108,'Données projet'!$A$165:$I$185,2,0)</f>
        <v>#N/A</v>
      </c>
      <c r="DM108" s="151" t="str">
        <f>VLOOKUP(A108,'Données projet'!$A$165:$I$185,9,0)</f>
        <v>#N/A</v>
      </c>
      <c r="DN108" s="151" t="str">
        <f t="array" ref="DN108">INDEX(DM:DM,MIN(IF(ISNUMBER(DM108:DM304),ROW(DM108:DM304),"")))</f>
        <v/>
      </c>
      <c r="DO108" s="151">
        <f>IF('Données projet'!$A$166&gt;35,DO107+DN108-DW107,IF(A108&lt;'Données projet'!$A$166,$DL$205^A108,IF(A108='Données projet'!$A$166,'Données projet'!$B$166,DO107+DN108-DW107)))</f>
        <v>0</v>
      </c>
      <c r="DP108" s="158" t="str">
        <f>DO108*VLOOKUP('Données projet'!$B$14,'Paramètres'!$A$1:$I$88,3,0)*VLOOKUP('Données projet'!$B$14,'Paramètres'!$A$1:$I$88,5,0)</f>
        <v>#N/A</v>
      </c>
      <c r="DQ108" s="150" t="str">
        <f t="shared" si="44"/>
        <v>#N/A</v>
      </c>
      <c r="DR108" s="161" t="str">
        <f t="shared" si="17"/>
        <v>#N/A</v>
      </c>
      <c r="DS108" s="153" t="str">
        <f t="shared" si="18"/>
        <v>#N/A</v>
      </c>
      <c r="DT108" s="153" t="str">
        <f>AVERAGE(OFFSET($DS$3,0,0,'Données projet'!$E$14+1,1))-AVERAGE(OFFSET($H$3,0,0,'Données projet'!$E$14+1,1))</f>
        <v>#N/A</v>
      </c>
      <c r="DU108" s="153" t="str">
        <f t="shared" si="45"/>
        <v>#N/A</v>
      </c>
      <c r="DV108" s="154">
        <f>IF(ISNA(VLOOKUP(A108,'Données projet'!$A$165:$I$185,3,0)),0,VLOOKUP(A108,'Données projet'!$A$165:$I$185,3,0))</f>
        <v>0</v>
      </c>
      <c r="DW108" s="154">
        <f>IF(ISNA(VLOOKUP(A108,'Données projet'!$A$165:$I$185,4,0)),0,VLOOKUP(A108,'Données projet'!$A$165:$I$185,4,0))</f>
        <v>0</v>
      </c>
      <c r="DX108" s="155">
        <f>IF(ISNA(VLOOKUP(A108,'Données projet'!$A$165:$I$185,5,0)),0%,VLOOKUP(A108,'Données projet'!$A$165:$I$185,5,0)*VLOOKUP('Données projet'!$B$14,'Paramètres'!$A$1:$I$88,7,0))</f>
        <v>0</v>
      </c>
      <c r="DY108" s="155">
        <f>IF(ISNA(VLOOKUP(A108,'Données projet'!$A$165:$I$185,6,0)),0%,VLOOKUP(A108,'Données projet'!$A$165:$I$185,6,0)*VLOOKUP('Données projet'!$B$14,'Paramètres'!$A$1:$I$88,7,0))</f>
        <v>0</v>
      </c>
      <c r="DZ108" s="155">
        <f>IF(ISNA(VLOOKUP(A108,'Données projet'!$A$165:$I$185,7,0)),0%,VLOOKUP(A108,'Données projet'!$A$165:$I$185,7,0))</f>
        <v>0</v>
      </c>
      <c r="EA108" s="162" t="str">
        <f>EXP(-LN(2)/35)*EA107+(1-EXP(-LN(2)/35))/(LN(2)/35)*DW108*DX108*VLOOKUP('Données projet'!$B$14,'Paramètres'!$A$1:$I$88,3,0)*0.475*44/12</f>
        <v>#N/A</v>
      </c>
      <c r="EB108" s="162" t="str">
        <f>EXP(-LN(2)/25)*EB107+(1-EXP(-LN(2)/25))/(LN(2)/25)*Calculateur!DW108*Calculateur!DY108*VLOOKUP('Données projet'!$B$14,'Paramètres'!$A$1:$I$88,3,0)*0.475*44/12</f>
        <v>#N/A</v>
      </c>
      <c r="EC108" s="162" t="str">
        <f>EXP(-LN(2)/2)*EC107+(1-EXP(-LN(2)/2))/(LN(2)/2)*DW108*DZ108*VLOOKUP('Données projet'!$B$14,'Paramètres'!$A$1:$I$88,3,0)*0.475*44/12</f>
        <v>#N/A</v>
      </c>
      <c r="ED108" s="163" t="str">
        <f t="shared" si="19"/>
        <v>#N/A</v>
      </c>
      <c r="EE108" s="159">
        <f>('Scénario référence'!$F$8+'Scénario référence'!$F$9+'Scénario référence'!$B$17+'Scénario référence'!$B$9+'Scénario référence'!$B$10)*70+IF((45+25*(1-EXP(-0.0175*A108)))&lt;70,'Scénario référence'!$B$16*(45+25*(1-EXP(-0.0175*A108))),70*'Scénario référence'!$B$16)+IF((32+38*(1-EXP(-0.0175*A108)))&lt;70,'Scénario référence'!$B$18*(32+38*(1-EXP(-0.0175*A108))),70*'Scénario référence'!$B$18)</f>
        <v>70</v>
      </c>
      <c r="EF108" s="151">
        <f>IF(A108&gt;30,10,('Scénario référence'!$B$16+'Scénario référence'!$B$17+'Scénario référence'!$B$18+'Scénario référence'!$B$9+'Scénario référence'!$B$10)*A108*10/30+('Scénario référence'!$F$8+'Scénario référence'!$F$9)*10)</f>
        <v>10</v>
      </c>
      <c r="EG108" s="151" t="str">
        <f>VLOOKUP(A108,'Données projet'!$A$191:$I$211,2,0)</f>
        <v>#N/A</v>
      </c>
      <c r="EH108" s="151" t="str">
        <f>VLOOKUP(A108,'Données projet'!$A$191:$I$211,9,0)</f>
        <v>#N/A</v>
      </c>
      <c r="EI108" s="151" t="str">
        <f t="array" ref="EI108">INDEX(EH:EH,MIN(IF(ISNUMBER(EH108:EH304),ROW(EH108:EH304),"")))</f>
        <v/>
      </c>
      <c r="EJ108" s="151">
        <f>IF('Données projet'!$A$192&gt;35,EJ107+EI108-ER107,IF(A108&lt;'Données projet'!$A$192,$EG$205^A108,IF(A108='Données projet'!$A$192,'Données projet'!$B$192,EJ107+EI108-ER107)))</f>
        <v>0</v>
      </c>
      <c r="EK108" s="158" t="str">
        <f>EJ108*VLOOKUP('Données projet'!$B$15,'Paramètres'!$A$1:$I$88,3,0)*VLOOKUP('Données projet'!$B$15,'Paramètres'!$A$1:$I$88,5,0)</f>
        <v>#N/A</v>
      </c>
      <c r="EL108" s="150" t="str">
        <f t="shared" si="46"/>
        <v>#N/A</v>
      </c>
      <c r="EM108" s="161" t="str">
        <f t="shared" si="20"/>
        <v>#N/A</v>
      </c>
      <c r="EN108" s="153" t="str">
        <f t="shared" si="21"/>
        <v>#N/A</v>
      </c>
      <c r="EO108" s="153" t="str">
        <f>AVERAGE(OFFSET($EN$3,0,0,'Données projet'!$E$15+1,1))-AVERAGE(OFFSET($H$3,0,0,'Données projet'!$E$15+1,1))</f>
        <v>#N/A</v>
      </c>
      <c r="EP108" s="153" t="str">
        <f t="shared" si="47"/>
        <v>#N/A</v>
      </c>
      <c r="EQ108" s="154">
        <f>IF(ISNA(VLOOKUP(A108,'Données projet'!$A$191:$I$211,3,0)),0,VLOOKUP(A108,'Données projet'!$A$191:$I$211,3,0))</f>
        <v>0</v>
      </c>
      <c r="ER108" s="154">
        <f>IF(ISNA(VLOOKUP(A108,'Données projet'!$A$191:$I$211,4,0)),0,VLOOKUP(A108,'Données projet'!$A$191:$I$211,4,0))</f>
        <v>0</v>
      </c>
      <c r="ES108" s="155">
        <f>IF(ISNA(VLOOKUP(A108,'Données projet'!$A$191:$I$211,5,0)),0%,VLOOKUP(A108,'Données projet'!$A$191:$I$211,5,0)*VLOOKUP('Données projet'!$B$15,'Paramètres'!$A$1:$I$88,7,0))</f>
        <v>0</v>
      </c>
      <c r="ET108" s="155">
        <f>IF(ISNA(VLOOKUP(A108,'Données projet'!$A$191:$I$211,6,0)),0%,VLOOKUP(A108,'Données projet'!$A$191:$I$211,6,0)*VLOOKUP('Données projet'!$B$15,'Paramètres'!$A$1:$I$88,7,0))</f>
        <v>0</v>
      </c>
      <c r="EU108" s="155">
        <f>IF(ISNA(VLOOKUP(A108,'Données projet'!$A$191:$I$211,7,0)),0%,VLOOKUP(A108,'Données projet'!$A$191:$I$211,7,0))</f>
        <v>0</v>
      </c>
      <c r="EV108" s="162" t="str">
        <f>EXP(-LN(2)/35)*EV107+(1-EXP(-LN(2)/35))/(LN(2)/35)*ER108*ES108*VLOOKUP('Données projet'!$B$15,'Paramètres'!$A$1:$I$88,3,0)*0.475*44/12</f>
        <v>#N/A</v>
      </c>
      <c r="EW108" s="162" t="str">
        <f>EXP(-LN(2)/25)*EW107+(1-EXP(-LN(2)/25))/(LN(2)/25)*Calculateur!ER108*Calculateur!ET108*VLOOKUP('Données projet'!$B$15,'Paramètres'!$A$1:$I$88,3,0)*0.475*44/12</f>
        <v>#N/A</v>
      </c>
      <c r="EX108" s="162" t="str">
        <f>EXP(-LN(2)/2)*EX107+(1-EXP(-LN(2)/2))/(LN(2)/2)*ER108*EU108*VLOOKUP('Données projet'!$B$15,'Paramètres'!$A$1:$I$88,3,0)*0.475*44/12</f>
        <v>#N/A</v>
      </c>
      <c r="EY108" s="163" t="str">
        <f t="shared" si="22"/>
        <v>#N/A</v>
      </c>
      <c r="EZ108" s="159">
        <f>('Scénario référence'!$F$8+'Scénario référence'!$F$9+'Scénario référence'!$B$17+'Scénario référence'!$B$9+'Scénario référence'!$B$10)*70+IF((45+25*(1-EXP(-0.0175*A108)))&lt;70,'Scénario référence'!$B$16*(45+25*(1-EXP(-0.0175*A108))),70*'Scénario référence'!$B$16)+IF((32+38*(1-EXP(-0.0175*A108)))&lt;70,'Scénario référence'!$B$18*(32+38*(1-EXP(-0.0175*A108))),70*'Scénario référence'!$B$18)</f>
        <v>70</v>
      </c>
      <c r="FA108" s="151">
        <f>IF(A108&gt;30,10,('Scénario référence'!$B$16+'Scénario référence'!$B$17+'Scénario référence'!$B$18+'Scénario référence'!$B$9+'Scénario référence'!$B$10)*A108*10/30+('Scénario référence'!$F$8+'Scénario référence'!$F$9)*10)</f>
        <v>10</v>
      </c>
      <c r="FB108" s="151" t="str">
        <f>VLOOKUP(A108,'Données projet'!$A$217:$I$237,2,0)</f>
        <v>#N/A</v>
      </c>
      <c r="FC108" s="151" t="str">
        <f>VLOOKUP(A108,'Données projet'!$A$217:$I$237,9,0)</f>
        <v>#N/A</v>
      </c>
      <c r="FD108" s="151" t="str">
        <f t="array" ref="FD108">INDEX(FC:FC,MIN(IF(ISNUMBER(FC108:FC304),ROW(FC108:FC304),"")))</f>
        <v/>
      </c>
      <c r="FE108" s="151">
        <f>IF('Données projet'!$A$218&gt;35,FE107+FD108-FM107,IF(A108&lt;'Données projet'!$A$218,$FB$205^A108,IF(A108='Données projet'!$A$218,'Données projet'!$B$218,FE107+FD108-FM107)))</f>
        <v>0</v>
      </c>
      <c r="FF108" s="158" t="str">
        <f>FE108*VLOOKUP('Données projet'!$B$16,'Paramètres'!$A$1:$I$88,3,0)*VLOOKUP('Données projet'!$B$16,'Paramètres'!$A$1:$I$88,5,0)</f>
        <v>#N/A</v>
      </c>
      <c r="FG108" s="150" t="str">
        <f t="shared" si="48"/>
        <v>#N/A</v>
      </c>
      <c r="FH108" s="161" t="str">
        <f t="shared" si="23"/>
        <v>#N/A</v>
      </c>
      <c r="FI108" s="153" t="str">
        <f t="shared" si="24"/>
        <v>#N/A</v>
      </c>
      <c r="FJ108" s="153" t="str">
        <f>AVERAGE(OFFSET($FI$3,0,0,'Données projet'!$E$16+1,1))-AVERAGE(OFFSET($H$3,0,0,'Données projet'!$E$16+1,1))</f>
        <v>#N/A</v>
      </c>
      <c r="FK108" s="153" t="str">
        <f t="shared" si="49"/>
        <v>#N/A</v>
      </c>
      <c r="FL108" s="154">
        <f>IF(ISNA(VLOOKUP(A108,'Données projet'!$A$217:$I$237,3,0)),0,VLOOKUP(A108,'Données projet'!$A$217:$I$237,3,0))</f>
        <v>0</v>
      </c>
      <c r="FM108" s="154">
        <f>IF(ISNA(VLOOKUP(A108,'Données projet'!$A$217:$I$237,4,0)),0,VLOOKUP(A108,'Données projet'!$A$217:$I$237,4,0))</f>
        <v>0</v>
      </c>
      <c r="FN108" s="155">
        <f>IF(ISNA(VLOOKUP(A108,'Données projet'!$A$217:$I$237,5,0)),0%,VLOOKUP(A108,'Données projet'!$A$217:$I$237,5,0)*VLOOKUP('Données projet'!$B$16,'Paramètres'!$A$1:$I$88,7,0))</f>
        <v>0</v>
      </c>
      <c r="FO108" s="155">
        <f>IF(ISNA(VLOOKUP(A108,'Données projet'!$A$217:$I$237,6,0)),0%,VLOOKUP(A108,'Données projet'!$A$217:$I$237,6,0)*VLOOKUP('Données projet'!$B$16,'Paramètres'!$A$1:$I$88,7,0))</f>
        <v>0</v>
      </c>
      <c r="FP108" s="155">
        <f>IF(ISNA(VLOOKUP(A108,'Données projet'!$A$217:$I$237,7,0)),0%,VLOOKUP(A108,'Données projet'!$A$217:$I$237,7,0))</f>
        <v>0</v>
      </c>
      <c r="FQ108" s="162" t="str">
        <f>EXP(-LN(2)/35)*FQ107+(1-EXP(-LN(2)/35))/(LN(2)/35)*FM108*FN108*VLOOKUP('Données projet'!$B$16,'Paramètres'!$A$1:$I$88,3,0)*0.475*44/12</f>
        <v>#N/A</v>
      </c>
      <c r="FR108" s="162" t="str">
        <f>EXP(-LN(2)/25)*FR107+(1-EXP(-LN(2)/25))/(LN(2)/25)*Calculateur!FM108*Calculateur!FO108*VLOOKUP('Données projet'!$B$16,'Paramètres'!$A$1:$I$88,3,0)*0.475*44/12</f>
        <v>#N/A</v>
      </c>
      <c r="FS108" s="162" t="str">
        <f>EXP(-LN(2)/2)*FS107+(1-EXP(-LN(2)/2))/(LN(2)/2)*FM108*FP108*VLOOKUP('Données projet'!$B$16,'Paramètres'!$A$1:$I$88,3,0)*0.475*44/12</f>
        <v>#N/A</v>
      </c>
      <c r="FT108" s="163" t="str">
        <f t="shared" si="25"/>
        <v>#N/A</v>
      </c>
      <c r="FU108" s="159">
        <f>('Scénario référence'!$F$8+'Scénario référence'!$F$9+'Scénario référence'!$B$17+'Scénario référence'!$B$9+'Scénario référence'!$B$10)*70+IF((45+25*(1-EXP(-0.0175*A108)))&lt;70,'Scénario référence'!$B$16*(45+25*(1-EXP(-0.0175*A108))),70*'Scénario référence'!$B$16)+IF((32+38*(1-EXP(-0.0175*A108)))&lt;70,'Scénario référence'!$B$18*(32+38*(1-EXP(-0.0175*A108))),70*'Scénario référence'!$B$18)</f>
        <v>70</v>
      </c>
      <c r="FV108" s="151">
        <f>IF(A108&gt;30,10,('Scénario référence'!$B$16+'Scénario référence'!$B$17+'Scénario référence'!$B$18+'Scénario référence'!$B$9+'Scénario référence'!$B$10)*A108*10/30+('Scénario référence'!$F$8+'Scénario référence'!$F$9)*10)</f>
        <v>10</v>
      </c>
      <c r="FW108" s="151" t="str">
        <f>VLOOKUP(A108,'Données projet'!$A$243:$I$263,2,0)</f>
        <v>#N/A</v>
      </c>
      <c r="FX108" s="151" t="str">
        <f>VLOOKUP(A108,'Données projet'!$A$243:$I$263,9,0)</f>
        <v>#N/A</v>
      </c>
      <c r="FY108" s="151" t="str">
        <f t="array" ref="FY108">INDEX(FX:FX,MIN(IF(ISNUMBER(FX108:FX304),ROW(FX108:FX304),"")))</f>
        <v/>
      </c>
      <c r="FZ108" s="151">
        <f>IF('Données projet'!$A$244&gt;35,FZ107+FY108-GH107,IF(A108&lt;'Données projet'!$A$244,$FW$205^A108,IF(A108='Données projet'!$A$244,'Données projet'!$B$244,FZ107+FY108-GH107)))</f>
        <v>0</v>
      </c>
      <c r="GA108" s="158" t="str">
        <f>FZ108*VLOOKUP('Données projet'!$B$17,'Paramètres'!$A$1:$I$88,3,0)*VLOOKUP('Données projet'!$B$17,'Paramètres'!$A$1:$I$88,5,0)</f>
        <v>#N/A</v>
      </c>
      <c r="GB108" s="150" t="str">
        <f t="shared" si="50"/>
        <v>#N/A</v>
      </c>
      <c r="GC108" s="161" t="str">
        <f t="shared" si="26"/>
        <v>#N/A</v>
      </c>
      <c r="GD108" s="153" t="str">
        <f t="shared" si="27"/>
        <v>#N/A</v>
      </c>
      <c r="GE108" s="153" t="str">
        <f>AVERAGE(OFFSET($GD$3,0,0,'Données projet'!$E$17+1,1))-AVERAGE(OFFSET($H$3,0,0,'Données projet'!$E$17+1,1))</f>
        <v>#N/A</v>
      </c>
      <c r="GF108" s="153" t="str">
        <f t="shared" si="51"/>
        <v>#N/A</v>
      </c>
      <c r="GG108" s="154">
        <f>IF(ISNA(VLOOKUP(A108,'Données projet'!$A$243:$I$263,3,0)),0,VLOOKUP(A108,'Données projet'!$A$243:$I$263,3,0))</f>
        <v>0</v>
      </c>
      <c r="GH108" s="154">
        <f>IF(ISNA(VLOOKUP(A108,'Données projet'!$A$243:$I$263,4,0)),0,VLOOKUP(A108,'Données projet'!$A$243:$I$263,4,0))</f>
        <v>0</v>
      </c>
      <c r="GI108" s="155">
        <f>IF(ISNA(VLOOKUP(A108,'Données projet'!$A$243:$I$263,5,0)),0%,VLOOKUP(A108,'Données projet'!$A$243:$I$263,5,0)*VLOOKUP('Données projet'!$B$17,'Paramètres'!$A$1:$I$88,7,0))</f>
        <v>0</v>
      </c>
      <c r="GJ108" s="155">
        <f>IF(ISNA(VLOOKUP(A108,'Données projet'!$A$243:$I$263,6,0)),0%,VLOOKUP(A108,'Données projet'!$A$243:$I$263,6,0)*VLOOKUP('Données projet'!$B$17,'Paramètres'!$A$1:$I$88,7,0))</f>
        <v>0</v>
      </c>
      <c r="GK108" s="155">
        <f>IF(ISNA(VLOOKUP(A108,'Données projet'!$A$243:$I$263,7,0)),0%,VLOOKUP(A108,'Données projet'!$A$243:$I$263,7,0))</f>
        <v>0</v>
      </c>
      <c r="GL108" s="162" t="str">
        <f>EXP(-LN(2)/35)*GL107+(1-EXP(-LN(2)/35))/(LN(2)/35)*GH108*GI108*VLOOKUP('Données projet'!$B$17,'Paramètres'!$A$1:$I$88,3,0)*0.475*44/12</f>
        <v>#N/A</v>
      </c>
      <c r="GM108" s="162" t="str">
        <f>EXP(-LN(2)/25)*GM107+(1-EXP(-LN(2)/25))/(LN(2)/25)*Calculateur!GH108*Calculateur!GJ108*VLOOKUP('Données projet'!$B$17,'Paramètres'!$A$1:$I$88,3,0)*0.475*44/12</f>
        <v>#N/A</v>
      </c>
      <c r="GN108" s="162" t="str">
        <f>EXP(-LN(2)/2)*GN107+(1-EXP(-LN(2)/2))/(LN(2)/2)*GH108*GK108*VLOOKUP('Données projet'!$B$17,'Paramètres'!$A$1:$I$88,3,0)*0.475*44/12</f>
        <v>#N/A</v>
      </c>
      <c r="GO108" s="162" t="str">
        <f t="shared" si="28"/>
        <v>#N/A</v>
      </c>
      <c r="GP108" s="159">
        <f>('Scénario référence'!$F$8+'Scénario référence'!$F$9+'Scénario référence'!$B$17+'Scénario référence'!$B$9+'Scénario référence'!$B$10)*70+IF((45+25*(1-EXP(-0.0175*A108)))&lt;70,'Scénario référence'!$B$16*(45+25*(1-EXP(-0.0175*A108))),70*'Scénario référence'!$B$16)+IF((32+38*(1-EXP(-0.0175*A108)))&lt;70,'Scénario référence'!$B$18*(32+38*(1-EXP(-0.0175*A108))),70*'Scénario référence'!$B$18)</f>
        <v>70</v>
      </c>
      <c r="GQ108" s="151">
        <f>IF(A108&gt;30,10,('Scénario référence'!$B$16+'Scénario référence'!$B$17+'Scénario référence'!$B$18+'Scénario référence'!$B$9+'Scénario référence'!$B$10)*A108*10/30+('Scénario référence'!$F$8+'Scénario référence'!$F$9)*10)</f>
        <v>10</v>
      </c>
      <c r="GR108" s="151" t="str">
        <f>VLOOKUP(A108,'Données projet'!$A$269:$I$289,2,0)</f>
        <v>#N/A</v>
      </c>
      <c r="GS108" s="151" t="str">
        <f>VLOOKUP(A108,'Données projet'!$A$269:$I$289,9,0)</f>
        <v>#N/A</v>
      </c>
      <c r="GT108" s="151" t="str">
        <f t="array" ref="GT108">INDEX(GS:GS,MIN(IF(ISNUMBER(GS108:GS304),ROW(GS108:GS304),"")))</f>
        <v/>
      </c>
      <c r="GU108" s="151">
        <f>IF('Données projet'!$A$270&gt;35,GU107+GT108-HC107,IF(A108&lt;'Données projet'!$A$270,$GR$205^A108,IF(A108='Données projet'!$A$270,'Données projet'!$B$270,GU107+GT108-HC107)))</f>
        <v>0</v>
      </c>
      <c r="GV108" s="158" t="str">
        <f>GU108*VLOOKUP('Données projet'!$B$18,'Paramètres'!$A$1:$I$88,3,0)*VLOOKUP('Données projet'!$B$18,'Paramètres'!$A$1:$I$88,5,0)</f>
        <v>#N/A</v>
      </c>
      <c r="GW108" s="150" t="str">
        <f t="shared" si="52"/>
        <v>#N/A</v>
      </c>
      <c r="GX108" s="161" t="str">
        <f t="shared" si="29"/>
        <v>#N/A</v>
      </c>
      <c r="GY108" s="153" t="str">
        <f t="shared" si="30"/>
        <v>#N/A</v>
      </c>
      <c r="GZ108" s="153" t="str">
        <f>AVERAGE(OFFSET($GY$3,0,0,'Données projet'!$E$18+1,1))-AVERAGE(OFFSET($H$3,0,0,'Données projet'!$E$18+1,1))</f>
        <v>#N/A</v>
      </c>
      <c r="HA108" s="153" t="str">
        <f t="shared" si="53"/>
        <v>#N/A</v>
      </c>
      <c r="HB108" s="154">
        <f>IF(ISNA(VLOOKUP(A108,'Données projet'!$A$269:$I$289,3,0)),0,VLOOKUP(A108,'Données projet'!$A$269:$I$289,3,0))</f>
        <v>0</v>
      </c>
      <c r="HC108" s="154">
        <f>IF(ISNA(VLOOKUP(A108,'Données projet'!$A$269:$I$289,4,0)),0,VLOOKUP(A108,'Données projet'!$A$269:$I$289,4,0))</f>
        <v>0</v>
      </c>
      <c r="HD108" s="155">
        <f>IF(ISNA(VLOOKUP(A108,'Données projet'!$A$269:$I$289,5,0)),0%,VLOOKUP(A108,'Données projet'!$A$269:$I$289,5,0)*VLOOKUP('Données projet'!$B$18,'Paramètres'!$A$1:$I$88,7,0))</f>
        <v>0</v>
      </c>
      <c r="HE108" s="155">
        <f>IF(ISNA(VLOOKUP(A108,'Données projet'!$A$269:$I$289,6,0)),0%,VLOOKUP(A108,'Données projet'!$A$269:$I$289,6,0)*VLOOKUP('Données projet'!$B$18,'Paramètres'!$A$1:$I$88,7,0))</f>
        <v>0</v>
      </c>
      <c r="HF108" s="155">
        <f>IF(ISNA(VLOOKUP(A108,'Données projet'!$A$269:$I$289,7,0)),0%,VLOOKUP(A108,'Données projet'!$A$269:$I$289,7,0))</f>
        <v>0</v>
      </c>
      <c r="HG108" s="162" t="str">
        <f>EXP(-LN(2)/35)*HG107+(1-EXP(-LN(2)/35))/(LN(2)/35)*HC108*HD108*VLOOKUP('Données projet'!$B$18,'Paramètres'!$A$1:$I$88,3,0)*0.475*44/12</f>
        <v>#N/A</v>
      </c>
      <c r="HH108" s="162" t="str">
        <f>EXP(-LN(2)/25)*HH107+(1-EXP(-LN(2)/25))/(LN(2)/25)*Calculateur!HC108*Calculateur!HE108*VLOOKUP('Données projet'!$B$18,'Paramètres'!$A$1:$I$88,3,0)*0.475*44/12</f>
        <v>#N/A</v>
      </c>
      <c r="HI108" s="162" t="str">
        <f>EXP(-LN(2)/2)*HI107+(1-EXP(-LN(2)/2))/(LN(2)/2)*HC108*HF108*VLOOKUP('Données projet'!$B$18,'Paramètres'!$A$1:$I$88,3,0)*0.475*44/12</f>
        <v>#N/A</v>
      </c>
      <c r="HJ108" s="163" t="str">
        <f t="shared" si="31"/>
        <v>#N/A</v>
      </c>
    </row>
    <row r="109" ht="15.75" customHeight="1">
      <c r="A109" s="145">
        <f t="shared" si="32"/>
        <v>106</v>
      </c>
      <c r="B109" s="146">
        <f>'Scénario référence'!$B$16*5+'Scénario référence'!$B$17*0+'Scénario référence'!$B$18*5</f>
        <v>0</v>
      </c>
      <c r="C109" s="160">
        <f>Calculateur!C108+'Scénario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09" s="147">
        <f t="shared" si="33"/>
        <v>0</v>
      </c>
      <c r="E109" s="147">
        <f>'Scénario référence'!$B$16*45+('Scénario référence'!$B$17+'Scénario référence'!$F$8+'Scénario référence'!$F$9+'Scénario référence'!$B$10+'Scénario référence'!$B$9)*70+'Scénario référence'!$B$18*32</f>
        <v>70</v>
      </c>
      <c r="F109" s="147">
        <f>IF(OR('Scénario référence'!$F$8&gt;0,'Scénario référence'!$F$9&gt;0),('Scénario référence'!$F$8+'Scénario référence'!$F$9)*10,0)</f>
        <v>0</v>
      </c>
      <c r="G109" s="147">
        <f>'Scénario référence'!$B$8*B109*44/12+'Scénario référence'!$B$9*(C109+D109)/0.475*44/12+'Scénario référence'!$B$10*(C109+D109)/0.475*44/12+'Scénario référence'!$F$8*(C109+D109)/0.475*44/12+'Scénario référence'!$F$9*(C109+D109)/0.475*44/12</f>
        <v>0</v>
      </c>
      <c r="H109" s="148">
        <f t="shared" si="1"/>
        <v>256.6666667</v>
      </c>
      <c r="I109" s="149">
        <f>('Scénario référence'!$F$8+'Scénario référence'!$F$9+'Scénario référence'!$B$17+'Scénario référence'!$B$9+'Scénario référence'!$B$10)*70+IF((45+25*(1-EXP(-0.0175*A109)))&lt;70,'Scénario référence'!$B$16*(45+25*(1-EXP(-0.0175*A109))),70*'Scénario référence'!$B$16)+IF((32+38*(1-EXP(-0.0175*A109)))&lt;70,'Scénario référence'!$B$18*(32+38*(1-EXP(-0.0175*A109))),70*'Scénario référence'!$B$18)</f>
        <v>70</v>
      </c>
      <c r="J109" s="150">
        <f>IF(A109&gt;30,10,('Scénario référence'!$B$16+'Scénario référence'!$B$17+'Scénario référence'!$B$18+'Scénario référence'!$B$9+'Scénario référence'!$B$10)*A109*10/30+('Scénario référence'!$F$8+'Scénario référence'!$F$9)*10)</f>
        <v>10</v>
      </c>
      <c r="K109" s="151" t="str">
        <f>VLOOKUP(A109,'Données projet'!$A$35:$I$55,2,0)</f>
        <v>#N/A</v>
      </c>
      <c r="L109" s="151" t="str">
        <f>VLOOKUP(A109,'Données projet'!$A$35:$I$55,9,0)</f>
        <v>#N/A</v>
      </c>
      <c r="M109" s="150">
        <f t="array" ref="M109">INDEX(L:L,MIN(IF(ISNUMBER(L109:L305),ROW(L109:L305),"")))</f>
        <v>5</v>
      </c>
      <c r="N109" s="150">
        <f>IF('Données projet'!$A$36&gt;35,N108+M109-V108,IF(A109&lt;'Données projet'!$A$36,$K$205^A109,IF(A109='Données projet'!$A$36,'Données projet'!$B$36,N108+M109-V108)))</f>
        <v>312</v>
      </c>
      <c r="O109" s="150">
        <f>N109*VLOOKUP('Données projet'!$B$9,'Paramètres'!$A$1:$I$88,3,0)*VLOOKUP('Données projet'!$B$9,'Paramètres'!$A$1:$I$88,5,0)</f>
        <v>282.2976</v>
      </c>
      <c r="P109" s="150">
        <f t="shared" si="34"/>
        <v>67.45232663</v>
      </c>
      <c r="Q109" s="161">
        <f t="shared" si="2"/>
        <v>609.1477889</v>
      </c>
      <c r="R109" s="153">
        <f t="shared" si="3"/>
        <v>902.4811222</v>
      </c>
      <c r="S109" s="153">
        <f>AVERAGE(OFFSET($R$3,0,0,'Données projet'!$E$9+1,1))-AVERAGE(OFFSET($H$3,0,0,'Données projet'!$E$9+1,1))</f>
        <v>439.1985427</v>
      </c>
      <c r="T109" s="153">
        <f t="shared" si="35"/>
        <v>278.2174123</v>
      </c>
      <c r="U109" s="154">
        <f>IF(ISNA(VLOOKUP(A109,'Données projet'!$A$35:$I$55,3,0)),0,VLOOKUP(A109,'Données projet'!$A$35:$I$55,3,0))</f>
        <v>0</v>
      </c>
      <c r="V109" s="154">
        <f>IF(ISNA(VLOOKUP(A109,'Données projet'!$A$35:$I$55,4,0)),0,VLOOKUP(A109,'Données projet'!$A$35:$I$55,4,0))</f>
        <v>0</v>
      </c>
      <c r="W109" s="155">
        <f>IF(ISNA(VLOOKUP(A109,'Données projet'!$A$35:$I$55,5,0)),0%,VLOOKUP(A109,'Données projet'!$A$35:$I$55,5,0)*VLOOKUP('Données projet'!$B$9,'Paramètres'!$A$1:$I$88,7,0))</f>
        <v>0</v>
      </c>
      <c r="X109" s="155">
        <f>IF(ISNA(VLOOKUP(A109,'Données projet'!$A$35:$I$55,6,0)),0%,VLOOKUP(A109,'Données projet'!$A$35:$I$55,6,0)*VLOOKUP('Données projet'!$B$9,'Paramètres'!$A$1:$I$88,7,0))</f>
        <v>0</v>
      </c>
      <c r="Y109" s="155">
        <f>IF(ISNA(VLOOKUP(A109,'Données projet'!$A$35:$I$55,7,0)),0%,VLOOKUP(A109,'Données projet'!$A$35:$I$55,7,0))</f>
        <v>0</v>
      </c>
      <c r="Z109" s="162">
        <f>EXP(-LN(2)/35)*Z108+(1-EXP(-LN(2)/35))/(LN(2)/35)*V109*W109*VLOOKUP('Données projet'!$B$9,'Paramètres'!$A$1:$I$88,3,0)*0.475*44/12</f>
        <v>0</v>
      </c>
      <c r="AA109" s="162">
        <f>EXP(-LN(2)/25)*AA108+(1-EXP(-LN(2)/25))/(LN(2)/25)*Calculateur!V109*Calculateur!X109*VLOOKUP('Données projet'!$B$9,'Paramètres'!$A$1:$I$88,3,0)*0.475*44/12</f>
        <v>0.5456084555</v>
      </c>
      <c r="AB109" s="162">
        <f>EXP(-LN(2)/2)*AB108+(1-EXP(-LN(2)/2))/(LN(2)/2)*V109*Y109*VLOOKUP('Données projet'!$B$9,'Paramètres'!$A$1:$I$88,3,0)*0.475*44/12</f>
        <v>0</v>
      </c>
      <c r="AC109" s="163">
        <f t="shared" si="4"/>
        <v>0.5456084555</v>
      </c>
      <c r="AD109" s="150">
        <f>('Scénario référence'!$F$8+'Scénario référence'!$F$9+'Scénario référence'!$B$17+'Scénario référence'!$B$9+'Scénario référence'!$B$10)*70+IF((45+25*(1-EXP(-0.0175*A109)))&lt;70,'Scénario référence'!$B$16*(45+25*(1-EXP(-0.0175*A109))),70*'Scénario référence'!$B$16)+IF((32+38*(1-EXP(-0.0175*A109)))&lt;70,'Scénario référence'!$B$18*(32+38*(1-EXP(-0.0175*A109))),70*'Scénario référence'!$B$18)</f>
        <v>70</v>
      </c>
      <c r="AE109" s="150">
        <f>IF(A109&gt;30,10,('Scénario référence'!$B$16+'Scénario référence'!$B$17+'Scénario référence'!$B$18+'Scénario référence'!$B$9+'Scénario référence'!$B$10)*A109*10/30+('Scénario référence'!$F$8+'Scénario référence'!$F$9)*10)</f>
        <v>10</v>
      </c>
      <c r="AF109" s="151" t="str">
        <f>VLOOKUP(A109,'Données projet'!$A$61:$I$81,2,0)</f>
        <v>#N/A</v>
      </c>
      <c r="AG109" s="151" t="str">
        <f>VLOOKUP(A109,'Données projet'!$A$61:$I$81,9,0)</f>
        <v>#N/A</v>
      </c>
      <c r="AH109" s="151" t="str">
        <f t="array" ref="AH109">INDEX(AG:AG,MIN(IF(ISNUMBER(AG109:AG305),ROW(AG109:AG305),"")))</f>
        <v/>
      </c>
      <c r="AI109" s="150">
        <f>IF('Données projet'!$A$62&gt;35,AI108+AH109-AQ108,IF(A109&lt;'Données projet'!$A$62,$AF$205^A109,IF(A109='Données projet'!$A$62,'Données projet'!$B$62,AI108+AH109-AQ108)))</f>
        <v>369</v>
      </c>
      <c r="AJ109" s="150">
        <f>AI109*VLOOKUP('Données projet'!$B$10,'Paramètres'!$A$1:$I$88,3,0)*VLOOKUP('Données projet'!$B$10,'Paramètres'!$A$1:$I$88,5,0)</f>
        <v>293.5764</v>
      </c>
      <c r="AK109" s="150">
        <f t="shared" si="36"/>
        <v>69.82813851</v>
      </c>
      <c r="AL109" s="161">
        <f t="shared" si="5"/>
        <v>632.9295712</v>
      </c>
      <c r="AM109" s="153">
        <f t="shared" si="6"/>
        <v>926.2629046</v>
      </c>
      <c r="AN109" s="153">
        <f>AVERAGE(OFFSET($AM$3,0,0,'Données projet'!$E$10+1,1))-AVERAGE(OFFSET($H$3,0,0,'Données projet'!$E$10+1,1))</f>
        <v>405.6113614</v>
      </c>
      <c r="AO109" s="153">
        <f t="shared" si="37"/>
        <v>393.0787141</v>
      </c>
      <c r="AP109" s="154">
        <f>IF(ISNA(VLOOKUP(A109,'Données projet'!$A$61:$I$81,3,0)),0,VLOOKUP(A109,'Données projet'!$A$61:$I$81,3,0))</f>
        <v>0</v>
      </c>
      <c r="AQ109" s="154">
        <f>IF(ISNA(VLOOKUP(A109,'Données projet'!$A$61:$I$81,4,0)),0,VLOOKUP(A109,'Données projet'!$A$61:$I$81,4,0))</f>
        <v>0</v>
      </c>
      <c r="AR109" s="155">
        <f>IF(ISNA(VLOOKUP(A109,'Données projet'!$A$61:$I$81,5,0)),0%,VLOOKUP(A109,'Données projet'!$A$61:$I$81,5,0)*VLOOKUP('Données projet'!$B$10,'Paramètres'!$A$1:$I$88,7,0))</f>
        <v>0</v>
      </c>
      <c r="AS109" s="155">
        <f>IF(ISNA(VLOOKUP(A109,'Données projet'!$A$61:$I$81,6,0)),0%,VLOOKUP(A109,'Données projet'!$A$61:$I$81,6,0)*VLOOKUP('Données projet'!$B$10,'Paramètres'!$A$1:$I$88,7,0))</f>
        <v>0</v>
      </c>
      <c r="AT109" s="155">
        <f>IF(ISNA(VLOOKUP(A109,'Données projet'!$A$61:$I$81,7,0)),0%,VLOOKUP(A109,'Données projet'!$A$61:$I$81,7,0))</f>
        <v>0</v>
      </c>
      <c r="AU109" s="162">
        <f>EXP(-LN(2)/35)*AU108+(1-EXP(-LN(2)/35))/(LN(2)/35)*AQ109*AR109*VLOOKUP('Données projet'!$B$10,'Paramètres'!$A$1:$I$88,3,0)*0.475*44/12</f>
        <v>0</v>
      </c>
      <c r="AV109" s="162">
        <f>EXP(-LN(2)/25)*AV108+(1-EXP(-LN(2)/25))/(LN(2)/25)*Calculateur!AQ109*Calculateur!AS109*VLOOKUP('Données projet'!$B$10,'Paramètres'!$A$1:$I$88,3,0)*0.475*44/12</f>
        <v>2.217491462</v>
      </c>
      <c r="AW109" s="162">
        <f>EXP(-LN(2)/2)*AW108+(1-EXP(-LN(2)/2))/(LN(2)/2)*AQ109*AT109*VLOOKUP('Données projet'!$B$10,'Paramètres'!$A$1:$I$88,3,0)*0.475*44/12</f>
        <v>0</v>
      </c>
      <c r="AX109" s="162">
        <f t="shared" si="7"/>
        <v>2.217491462</v>
      </c>
      <c r="AY109" s="157">
        <f>('Scénario référence'!$F$8+'Scénario référence'!$F$9+'Scénario référence'!$B$17+'Scénario référence'!$B$9+'Scénario référence'!$B$10)*70+IF((45+25*(1-EXP(-0.0175*A109)))&lt;70,'Scénario référence'!$B$16*(45+25*(1-EXP(-0.0175*A109))),70*'Scénario référence'!$B$16)+IF((32+38*(1-EXP(-0.0175*A109)))&lt;70,'Scénario référence'!$B$18*(32+38*(1-EXP(-0.0175*A109))),70*'Scénario référence'!$B$18)</f>
        <v>70</v>
      </c>
      <c r="AZ109" s="151">
        <f>IF(A109&gt;30,10,('Scénario référence'!$B$16+'Scénario référence'!$B$17+'Scénario référence'!$B$18+'Scénario référence'!$B$9+'Scénario référence'!$B$10)*A109*10/30+('Scénario référence'!$F$8+'Scénario référence'!$F$9)*10)</f>
        <v>10</v>
      </c>
      <c r="BA109" s="151" t="str">
        <f>VLOOKUP(A109,'Données projet'!$A$87:$I$107,2,0)</f>
        <v>#N/A</v>
      </c>
      <c r="BB109" s="151" t="str">
        <f>VLOOKUP(A109,'Données projet'!$A$87:$I$107,9,0)</f>
        <v>#N/A</v>
      </c>
      <c r="BC109" s="151" t="str">
        <f t="array" ref="BC109">INDEX(BB:BB,MIN(IF(ISNUMBER(BB109:BB305),ROW(BB109:BB305),"")))</f>
        <v/>
      </c>
      <c r="BD109" s="150">
        <f>IF('Données projet'!$A$88&gt;35,BD108+BC109-BL108,IF(A109&lt;'Données projet'!$A$88,$BA$205^A109,IF(A109='Données projet'!$A$88,'Données projet'!$B$88,BD108+BC109-BL108)))</f>
        <v>0</v>
      </c>
      <c r="BE109" s="150">
        <f>BD109*VLOOKUP('Données projet'!$B$11,'Paramètres'!$A$1:$I$88,3,0)*VLOOKUP('Données projet'!$B$11,'Paramètres'!$A$1:$I$88,5,0)</f>
        <v>0</v>
      </c>
      <c r="BF109" s="150" t="str">
        <f t="shared" si="38"/>
        <v>#NUM!</v>
      </c>
      <c r="BG109" s="161" t="str">
        <f t="shared" si="8"/>
        <v>#NUM!</v>
      </c>
      <c r="BH109" s="153" t="str">
        <f t="shared" si="9"/>
        <v>#NUM!</v>
      </c>
      <c r="BI109" s="153">
        <f>AVERAGE(OFFSET($BH$3,0,0,'Données projet'!$E$11+1,1))-AVERAGE(OFFSET($H$3,0,0,'Données projet'!$E$11+1,1))</f>
        <v>0</v>
      </c>
      <c r="BJ109" s="153">
        <f t="shared" si="39"/>
        <v>0</v>
      </c>
      <c r="BK109" s="154">
        <f>IF(ISNA(VLOOKUP(A109,'Données projet'!$A$87:$I$107,3,0)),0,VLOOKUP(A109,'Données projet'!$A$87:$I$107,3,0))</f>
        <v>0</v>
      </c>
      <c r="BL109" s="154">
        <f>IF(ISNA(VLOOKUP(A109,'Données projet'!$A$87:$I$107,4,0)),0,VLOOKUP(A109,'Données projet'!$A$87:$I$107,4,0))</f>
        <v>0</v>
      </c>
      <c r="BM109" s="155">
        <f>IF(ISNA(VLOOKUP(A109,'Données projet'!$A$87:$I$107,5,0)),0%,VLOOKUP(A109,'Données projet'!$A$87:$I$107,5,0)*VLOOKUP('Données projet'!$B$11,'Paramètres'!$A$1:$I$88,7,0))</f>
        <v>0</v>
      </c>
      <c r="BN109" s="155">
        <f>IF(ISNA(VLOOKUP(A109,'Données projet'!$A$87:$I$107,6,0)),0%,VLOOKUP(A109,'Données projet'!$A$87:$I$107,6,0)*VLOOKUP('Données projet'!$B$11,'Paramètres'!$A$1:$I$88,7,0))</f>
        <v>0</v>
      </c>
      <c r="BO109" s="155">
        <f>IF(ISNA(VLOOKUP(A109,'Données projet'!$A$87:$I$107,7,0)),0%,VLOOKUP(A109,'Données projet'!$A$87:$I$107,7,0))</f>
        <v>0</v>
      </c>
      <c r="BP109" s="162">
        <f>EXP(-LN(2)/35)*BP108+(1-EXP(-LN(2)/35))/(LN(2)/35)*BL109*BM109*VLOOKUP('Données projet'!$B$11,'Paramètres'!$A$1:$I$88,3,0)*0.475*44/12</f>
        <v>0</v>
      </c>
      <c r="BQ109" s="162">
        <f>EXP(-LN(2)/25)*BQ108+(1-EXP(-LN(2)/25))/(LN(2)/25)*Calculateur!BL109*Calculateur!BN109*VLOOKUP('Données projet'!$B$11,'Paramètres'!$A$1:$I$88,3,0)*0.475*44/12</f>
        <v>0</v>
      </c>
      <c r="BR109" s="162">
        <f>EXP(-LN(2)/2)*BR108+(1-EXP(-LN(2)/2))/(LN(2)/2)*BL109*BO109*VLOOKUP('Données projet'!$B$11,'Paramètres'!$A$1:$I$88,3,0)*0.475*44/12</f>
        <v>0</v>
      </c>
      <c r="BS109" s="163">
        <f t="shared" si="10"/>
        <v>0</v>
      </c>
      <c r="BT109" s="159">
        <f>('Scénario référence'!$F$8+'Scénario référence'!$F$9+'Scénario référence'!$B$17+'Scénario référence'!$B$9+'Scénario référence'!$B$10)*70+IF((45+25*(1-EXP(-0.0175*A109)))&lt;70,'Scénario référence'!$B$16*(45+25*(1-EXP(-0.0175*A109))),70*'Scénario référence'!$B$16)+IF((32+38*(1-EXP(-0.0175*A109)))&lt;70,'Scénario référence'!$B$18*(32+38*(1-EXP(-0.0175*A109))),70*'Scénario référence'!$B$18)</f>
        <v>70</v>
      </c>
      <c r="BU109" s="151">
        <f>IF(A109&gt;30,10,('Scénario référence'!$B$16+'Scénario référence'!$B$17+'Scénario référence'!$B$18+'Scénario référence'!$B$9+'Scénario référence'!$B$10)*A109*10/30+('Scénario référence'!$F$8+'Scénario référence'!$F$9)*10)</f>
        <v>10</v>
      </c>
      <c r="BV109" s="151" t="str">
        <f>VLOOKUP(A109,'Données projet'!$A$113:$I$133,2,0)</f>
        <v>#N/A</v>
      </c>
      <c r="BW109" s="151" t="str">
        <f>VLOOKUP(A109,'Données projet'!$A$113:$I$133,9,0)</f>
        <v>#N/A</v>
      </c>
      <c r="BX109" s="151" t="str">
        <f t="array" ref="BX109">INDEX(BW:BW,MIN(IF(ISNUMBER(BW109:BW305),ROW(BW109:BW305),"")))</f>
        <v/>
      </c>
      <c r="BY109" s="150">
        <f>IF('Données projet'!$A$114&gt;35,BY108+BX109-CG108,IF(A109&lt;'Données projet'!$A$114,$BV$205^A109,IF(A109='Données projet'!$A$114,'Données projet'!$B$114,BY108+BX109-CG108)))</f>
        <v>0</v>
      </c>
      <c r="BZ109" s="150" t="str">
        <f>BY109*VLOOKUP('Données projet'!$B$12,'Paramètres'!$A$1:$I$88,3,0)*VLOOKUP('Données projet'!$B$12,'Paramètres'!$A$1:$I$88,5,0)</f>
        <v>#N/A</v>
      </c>
      <c r="CA109" s="150" t="str">
        <f t="shared" si="40"/>
        <v>#N/A</v>
      </c>
      <c r="CB109" s="161" t="str">
        <f t="shared" si="11"/>
        <v>#N/A</v>
      </c>
      <c r="CC109" s="153" t="str">
        <f t="shared" si="12"/>
        <v>#N/A</v>
      </c>
      <c r="CD109" s="153" t="str">
        <f>AVERAGE(OFFSET($CC$3,0,0,'Données projet'!$E$12+1,1))-AVERAGE(OFFSET($H$3,0,0,'Données projet'!$E$12+1,1))</f>
        <v>#N/A</v>
      </c>
      <c r="CE109" s="153" t="str">
        <f t="shared" si="41"/>
        <v>#N/A</v>
      </c>
      <c r="CF109" s="154">
        <f>IF(ISNA(VLOOKUP(A109,'Données projet'!$A$113:$I$133,3,0)),0,VLOOKUP(A109,'Données projet'!$A$113:$I$133,3,0))</f>
        <v>0</v>
      </c>
      <c r="CG109" s="154">
        <f>IF(ISNA(VLOOKUP(A109,'Données projet'!$A$113:$I$133,4,0)),0,VLOOKUP(A109,'Données projet'!$A$113:$I$133,4,0))</f>
        <v>0</v>
      </c>
      <c r="CH109" s="155">
        <f>IF(ISNA(VLOOKUP(A109,'Données projet'!$A$113:$I$133,5,0)),0%,VLOOKUP(A109,'Données projet'!$A$113:$I$133,5,0)*VLOOKUP('Données projet'!$B$12,'Paramètres'!$A$1:$I$88,7,0))</f>
        <v>0</v>
      </c>
      <c r="CI109" s="155">
        <f>IF(ISNA(VLOOKUP(A109,'Données projet'!$A$113:$I$133,6,0)),0%,VLOOKUP(A109,'Données projet'!$A$113:$I$133,6,0)*VLOOKUP('Données projet'!$B$12,'Paramètres'!$A$1:$I$88,7,0))</f>
        <v>0</v>
      </c>
      <c r="CJ109" s="155">
        <f>IF(ISNA(VLOOKUP(A109,'Données projet'!$A$113:$I$133,7,0)),0%,VLOOKUP(A109,'Données projet'!$A$113:$I$133,7,0))</f>
        <v>0</v>
      </c>
      <c r="CK109" s="162" t="str">
        <f>EXP(-LN(2)/35)*CK108+(1-EXP(-LN(2)/35))/(LN(2)/35)*CG109*CH109*VLOOKUP('Données projet'!$B$12,'Paramètres'!$A$1:$I$88,3,0)*0.475*44/12</f>
        <v>#N/A</v>
      </c>
      <c r="CL109" s="162" t="str">
        <f>EXP(-LN(2)/25)*CL108+(1-EXP(-LN(2)/25))/(LN(2)/25)*Calculateur!CG109*Calculateur!CI109*VLOOKUP('Données projet'!$B$12,'Paramètres'!$A$1:$I$88,3,0)*0.475*44/12</f>
        <v>#N/A</v>
      </c>
      <c r="CM109" s="162" t="str">
        <f>EXP(-LN(2)/2)*CM108+(1-EXP(-LN(2)/2))/(LN(2)/2)*CG109*CJ109*VLOOKUP('Données projet'!$B$12,'Paramètres'!$A$1:$I$88,3,0)*0.475*44/12</f>
        <v>#N/A</v>
      </c>
      <c r="CN109" s="163" t="str">
        <f t="shared" si="13"/>
        <v>#N/A</v>
      </c>
      <c r="CO109" s="159">
        <f>('Scénario référence'!$F$8+'Scénario référence'!$F$9+'Scénario référence'!$B$17+'Scénario référence'!$B$9+'Scénario référence'!$B$10)*70+IF((45+25*(1-EXP(-0.0175*A109)))&lt;70,'Scénario référence'!$B$16*(45+25*(1-EXP(-0.0175*A109))),70*'Scénario référence'!$B$16)+IF((32+38*(1-EXP(-0.0175*A109)))&lt;70,'Scénario référence'!$B$18*(32+38*(1-EXP(-0.0175*A109))),70*'Scénario référence'!$B$18)</f>
        <v>70</v>
      </c>
      <c r="CP109" s="151">
        <f>IF(A109&gt;30,10,('Scénario référence'!$B$16+'Scénario référence'!$B$17+'Scénario référence'!$B$18+'Scénario référence'!$B$9+'Scénario référence'!$B$10)*A109*10/30+('Scénario référence'!$F$8+'Scénario référence'!$F$9)*10)</f>
        <v>10</v>
      </c>
      <c r="CQ109" s="151" t="str">
        <f>VLOOKUP(A109,'Données projet'!$A$139:$I$159,2,0)</f>
        <v>#N/A</v>
      </c>
      <c r="CR109" s="151" t="str">
        <f>VLOOKUP(A109,'Données projet'!$A$139:$I$159,9,0)</f>
        <v>#N/A</v>
      </c>
      <c r="CS109" s="151" t="str">
        <f t="array" ref="CS109">INDEX(CR:CR,MIN(IF(ISNUMBER(CR109:CR305),ROW(CR109:CR305),"")))</f>
        <v/>
      </c>
      <c r="CT109" s="151">
        <f>IF('Données projet'!$A$140&gt;35,CT108+CS109-DB108,IF(A109&lt;'Données projet'!$A$140,$CQ$205^A109,IF(A109='Données projet'!$A$140,'Données projet'!$B$140,CT108+CS109-DB108)))</f>
        <v>0</v>
      </c>
      <c r="CU109" s="158" t="str">
        <f>CT109*VLOOKUP('Données projet'!$B$13,'Paramètres'!$A$1:$I$88,3,0)*VLOOKUP('Données projet'!$B$13,'Paramètres'!$A$1:$I$88,5,0)</f>
        <v>#N/A</v>
      </c>
      <c r="CV109" s="150" t="str">
        <f t="shared" si="42"/>
        <v>#N/A</v>
      </c>
      <c r="CW109" s="161" t="str">
        <f t="shared" si="14"/>
        <v>#N/A</v>
      </c>
      <c r="CX109" s="153" t="str">
        <f t="shared" si="15"/>
        <v>#N/A</v>
      </c>
      <c r="CY109" s="153" t="str">
        <f>AVERAGE(OFFSET($CX$3,0,0,'Données projet'!$E$13+1,1))-AVERAGE(OFFSET($H$3,0,0,'Données projet'!$E$13+1,1))</f>
        <v>#N/A</v>
      </c>
      <c r="CZ109" s="153" t="str">
        <f t="shared" si="43"/>
        <v>#N/A</v>
      </c>
      <c r="DA109" s="154">
        <f>IF(ISNA(VLOOKUP(A109,'Données projet'!$A$139:$I$159,3,0)),0,VLOOKUP(A109,'Données projet'!$A$139:$I$159,3,0))</f>
        <v>0</v>
      </c>
      <c r="DB109" s="154">
        <f>IF(ISNA(VLOOKUP(A109,'Données projet'!$A$139:$I$159,4,0)),0,VLOOKUP(A109,'Données projet'!$A$139:$I$159,4,0))</f>
        <v>0</v>
      </c>
      <c r="DC109" s="155">
        <f>IF(ISNA(VLOOKUP(A109,'Données projet'!$A$139:$I$159,5,0)),0%,VLOOKUP(A109,'Données projet'!$A$139:$I$159,5,0)*VLOOKUP('Données projet'!$B$13,'Paramètres'!$A$1:$I$88,7,0))</f>
        <v>0</v>
      </c>
      <c r="DD109" s="155">
        <f>IF(ISNA(VLOOKUP(A109,'Données projet'!$A$139:$I$159,6,0)),0%,VLOOKUP(A109,'Données projet'!$A$139:$I$159,6,0)*VLOOKUP('Données projet'!$B$13,'Paramètres'!$A$1:$I$88,7,0))</f>
        <v>0</v>
      </c>
      <c r="DE109" s="155">
        <f>IF(ISNA(VLOOKUP(A109,'Données projet'!$A$139:$I$159,7,0)),0%,VLOOKUP(A109,'Données projet'!$A$139:$I$159,7,0))</f>
        <v>0</v>
      </c>
      <c r="DF109" s="162" t="str">
        <f>EXP(-LN(2)/35)*DF108+(1-EXP(-LN(2)/35))/(LN(2)/35)*DB109*DC109*VLOOKUP('Données projet'!$B$13,'Paramètres'!$A$1:$I$88,3,0)*0.475*44/12</f>
        <v>#N/A</v>
      </c>
      <c r="DG109" s="162" t="str">
        <f>EXP(-LN(2)/25)*DG108+(1-EXP(-LN(2)/25))/(LN(2)/25)*Calculateur!DB109*Calculateur!DD109*VLOOKUP('Données projet'!$B$13,'Paramètres'!$A$1:$I$88,3,0)*0.475*44/12</f>
        <v>#N/A</v>
      </c>
      <c r="DH109" s="162" t="str">
        <f>EXP(-LN(2)/2)*DH108+(1-EXP(-LN(2)/2))/(LN(2)/2)*DB109*DE109*VLOOKUP('Données projet'!$B$13,'Paramètres'!$A$1:$I$88,3,0)*0.475*44/12</f>
        <v>#N/A</v>
      </c>
      <c r="DI109" s="163" t="str">
        <f t="shared" si="16"/>
        <v>#N/A</v>
      </c>
      <c r="DJ109" s="159">
        <f>('Scénario référence'!$F$8+'Scénario référence'!$F$9+'Scénario référence'!$B$17+'Scénario référence'!$B$9+'Scénario référence'!$B$10)*70+IF((45+25*(1-EXP(-0.0175*A109)))&lt;70,'Scénario référence'!$B$16*(45+25*(1-EXP(-0.0175*A109))),70*'Scénario référence'!$B$16)+IF((32+38*(1-EXP(-0.0175*A109)))&lt;70,'Scénario référence'!$B$18*(32+38*(1-EXP(-0.0175*A109))),70*'Scénario référence'!$B$18)</f>
        <v>70</v>
      </c>
      <c r="DK109" s="151">
        <f>IF(A109&gt;30,10,('Scénario référence'!$B$16+'Scénario référence'!$B$17+'Scénario référence'!$B$18+'Scénario référence'!$B$9+'Scénario référence'!$B$10)*A109*10/30+('Scénario référence'!$F$8+'Scénario référence'!$F$9)*10)</f>
        <v>10</v>
      </c>
      <c r="DL109" s="151" t="str">
        <f>VLOOKUP(A109,'Données projet'!$A$165:$I$185,2,0)</f>
        <v>#N/A</v>
      </c>
      <c r="DM109" s="151" t="str">
        <f>VLOOKUP(A109,'Données projet'!$A$165:$I$185,9,0)</f>
        <v>#N/A</v>
      </c>
      <c r="DN109" s="151" t="str">
        <f t="array" ref="DN109">INDEX(DM:DM,MIN(IF(ISNUMBER(DM109:DM305),ROW(DM109:DM305),"")))</f>
        <v/>
      </c>
      <c r="DO109" s="151">
        <f>IF('Données projet'!$A$166&gt;35,DO108+DN109-DW108,IF(A109&lt;'Données projet'!$A$166,$DL$205^A109,IF(A109='Données projet'!$A$166,'Données projet'!$B$166,DO108+DN109-DW108)))</f>
        <v>0</v>
      </c>
      <c r="DP109" s="158" t="str">
        <f>DO109*VLOOKUP('Données projet'!$B$14,'Paramètres'!$A$1:$I$88,3,0)*VLOOKUP('Données projet'!$B$14,'Paramètres'!$A$1:$I$88,5,0)</f>
        <v>#N/A</v>
      </c>
      <c r="DQ109" s="150" t="str">
        <f t="shared" si="44"/>
        <v>#N/A</v>
      </c>
      <c r="DR109" s="161" t="str">
        <f t="shared" si="17"/>
        <v>#N/A</v>
      </c>
      <c r="DS109" s="153" t="str">
        <f t="shared" si="18"/>
        <v>#N/A</v>
      </c>
      <c r="DT109" s="153" t="str">
        <f>AVERAGE(OFFSET($DS$3,0,0,'Données projet'!$E$14+1,1))-AVERAGE(OFFSET($H$3,0,0,'Données projet'!$E$14+1,1))</f>
        <v>#N/A</v>
      </c>
      <c r="DU109" s="153" t="str">
        <f t="shared" si="45"/>
        <v>#N/A</v>
      </c>
      <c r="DV109" s="154">
        <f>IF(ISNA(VLOOKUP(A109,'Données projet'!$A$165:$I$185,3,0)),0,VLOOKUP(A109,'Données projet'!$A$165:$I$185,3,0))</f>
        <v>0</v>
      </c>
      <c r="DW109" s="154">
        <f>IF(ISNA(VLOOKUP(A109,'Données projet'!$A$165:$I$185,4,0)),0,VLOOKUP(A109,'Données projet'!$A$165:$I$185,4,0))</f>
        <v>0</v>
      </c>
      <c r="DX109" s="155">
        <f>IF(ISNA(VLOOKUP(A109,'Données projet'!$A$165:$I$185,5,0)),0%,VLOOKUP(A109,'Données projet'!$A$165:$I$185,5,0)*VLOOKUP('Données projet'!$B$14,'Paramètres'!$A$1:$I$88,7,0))</f>
        <v>0</v>
      </c>
      <c r="DY109" s="155">
        <f>IF(ISNA(VLOOKUP(A109,'Données projet'!$A$165:$I$185,6,0)),0%,VLOOKUP(A109,'Données projet'!$A$165:$I$185,6,0)*VLOOKUP('Données projet'!$B$14,'Paramètres'!$A$1:$I$88,7,0))</f>
        <v>0</v>
      </c>
      <c r="DZ109" s="155">
        <f>IF(ISNA(VLOOKUP(A109,'Données projet'!$A$165:$I$185,7,0)),0%,VLOOKUP(A109,'Données projet'!$A$165:$I$185,7,0))</f>
        <v>0</v>
      </c>
      <c r="EA109" s="162" t="str">
        <f>EXP(-LN(2)/35)*EA108+(1-EXP(-LN(2)/35))/(LN(2)/35)*DW109*DX109*VLOOKUP('Données projet'!$B$14,'Paramètres'!$A$1:$I$88,3,0)*0.475*44/12</f>
        <v>#N/A</v>
      </c>
      <c r="EB109" s="162" t="str">
        <f>EXP(-LN(2)/25)*EB108+(1-EXP(-LN(2)/25))/(LN(2)/25)*Calculateur!DW109*Calculateur!DY109*VLOOKUP('Données projet'!$B$14,'Paramètres'!$A$1:$I$88,3,0)*0.475*44/12</f>
        <v>#N/A</v>
      </c>
      <c r="EC109" s="162" t="str">
        <f>EXP(-LN(2)/2)*EC108+(1-EXP(-LN(2)/2))/(LN(2)/2)*DW109*DZ109*VLOOKUP('Données projet'!$B$14,'Paramètres'!$A$1:$I$88,3,0)*0.475*44/12</f>
        <v>#N/A</v>
      </c>
      <c r="ED109" s="163" t="str">
        <f t="shared" si="19"/>
        <v>#N/A</v>
      </c>
      <c r="EE109" s="159">
        <f>('Scénario référence'!$F$8+'Scénario référence'!$F$9+'Scénario référence'!$B$17+'Scénario référence'!$B$9+'Scénario référence'!$B$10)*70+IF((45+25*(1-EXP(-0.0175*A109)))&lt;70,'Scénario référence'!$B$16*(45+25*(1-EXP(-0.0175*A109))),70*'Scénario référence'!$B$16)+IF((32+38*(1-EXP(-0.0175*A109)))&lt;70,'Scénario référence'!$B$18*(32+38*(1-EXP(-0.0175*A109))),70*'Scénario référence'!$B$18)</f>
        <v>70</v>
      </c>
      <c r="EF109" s="151">
        <f>IF(A109&gt;30,10,('Scénario référence'!$B$16+'Scénario référence'!$B$17+'Scénario référence'!$B$18+'Scénario référence'!$B$9+'Scénario référence'!$B$10)*A109*10/30+('Scénario référence'!$F$8+'Scénario référence'!$F$9)*10)</f>
        <v>10</v>
      </c>
      <c r="EG109" s="151" t="str">
        <f>VLOOKUP(A109,'Données projet'!$A$191:$I$211,2,0)</f>
        <v>#N/A</v>
      </c>
      <c r="EH109" s="151" t="str">
        <f>VLOOKUP(A109,'Données projet'!$A$191:$I$211,9,0)</f>
        <v>#N/A</v>
      </c>
      <c r="EI109" s="151" t="str">
        <f t="array" ref="EI109">INDEX(EH:EH,MIN(IF(ISNUMBER(EH109:EH305),ROW(EH109:EH305),"")))</f>
        <v/>
      </c>
      <c r="EJ109" s="151">
        <f>IF('Données projet'!$A$192&gt;35,EJ108+EI109-ER108,IF(A109&lt;'Données projet'!$A$192,$EG$205^A109,IF(A109='Données projet'!$A$192,'Données projet'!$B$192,EJ108+EI109-ER108)))</f>
        <v>0</v>
      </c>
      <c r="EK109" s="158" t="str">
        <f>EJ109*VLOOKUP('Données projet'!$B$15,'Paramètres'!$A$1:$I$88,3,0)*VLOOKUP('Données projet'!$B$15,'Paramètres'!$A$1:$I$88,5,0)</f>
        <v>#N/A</v>
      </c>
      <c r="EL109" s="150" t="str">
        <f t="shared" si="46"/>
        <v>#N/A</v>
      </c>
      <c r="EM109" s="161" t="str">
        <f t="shared" si="20"/>
        <v>#N/A</v>
      </c>
      <c r="EN109" s="153" t="str">
        <f t="shared" si="21"/>
        <v>#N/A</v>
      </c>
      <c r="EO109" s="153" t="str">
        <f>AVERAGE(OFFSET($EN$3,0,0,'Données projet'!$E$15+1,1))-AVERAGE(OFFSET($H$3,0,0,'Données projet'!$E$15+1,1))</f>
        <v>#N/A</v>
      </c>
      <c r="EP109" s="153" t="str">
        <f t="shared" si="47"/>
        <v>#N/A</v>
      </c>
      <c r="EQ109" s="154">
        <f>IF(ISNA(VLOOKUP(A109,'Données projet'!$A$191:$I$211,3,0)),0,VLOOKUP(A109,'Données projet'!$A$191:$I$211,3,0))</f>
        <v>0</v>
      </c>
      <c r="ER109" s="154">
        <f>IF(ISNA(VLOOKUP(A109,'Données projet'!$A$191:$I$211,4,0)),0,VLOOKUP(A109,'Données projet'!$A$191:$I$211,4,0))</f>
        <v>0</v>
      </c>
      <c r="ES109" s="155">
        <f>IF(ISNA(VLOOKUP(A109,'Données projet'!$A$191:$I$211,5,0)),0%,VLOOKUP(A109,'Données projet'!$A$191:$I$211,5,0)*VLOOKUP('Données projet'!$B$15,'Paramètres'!$A$1:$I$88,7,0))</f>
        <v>0</v>
      </c>
      <c r="ET109" s="155">
        <f>IF(ISNA(VLOOKUP(A109,'Données projet'!$A$191:$I$211,6,0)),0%,VLOOKUP(A109,'Données projet'!$A$191:$I$211,6,0)*VLOOKUP('Données projet'!$B$15,'Paramètres'!$A$1:$I$88,7,0))</f>
        <v>0</v>
      </c>
      <c r="EU109" s="155">
        <f>IF(ISNA(VLOOKUP(A109,'Données projet'!$A$191:$I$211,7,0)),0%,VLOOKUP(A109,'Données projet'!$A$191:$I$211,7,0))</f>
        <v>0</v>
      </c>
      <c r="EV109" s="162" t="str">
        <f>EXP(-LN(2)/35)*EV108+(1-EXP(-LN(2)/35))/(LN(2)/35)*ER109*ES109*VLOOKUP('Données projet'!$B$15,'Paramètres'!$A$1:$I$88,3,0)*0.475*44/12</f>
        <v>#N/A</v>
      </c>
      <c r="EW109" s="162" t="str">
        <f>EXP(-LN(2)/25)*EW108+(1-EXP(-LN(2)/25))/(LN(2)/25)*Calculateur!ER109*Calculateur!ET109*VLOOKUP('Données projet'!$B$15,'Paramètres'!$A$1:$I$88,3,0)*0.475*44/12</f>
        <v>#N/A</v>
      </c>
      <c r="EX109" s="162" t="str">
        <f>EXP(-LN(2)/2)*EX108+(1-EXP(-LN(2)/2))/(LN(2)/2)*ER109*EU109*VLOOKUP('Données projet'!$B$15,'Paramètres'!$A$1:$I$88,3,0)*0.475*44/12</f>
        <v>#N/A</v>
      </c>
      <c r="EY109" s="163" t="str">
        <f t="shared" si="22"/>
        <v>#N/A</v>
      </c>
      <c r="EZ109" s="159">
        <f>('Scénario référence'!$F$8+'Scénario référence'!$F$9+'Scénario référence'!$B$17+'Scénario référence'!$B$9+'Scénario référence'!$B$10)*70+IF((45+25*(1-EXP(-0.0175*A109)))&lt;70,'Scénario référence'!$B$16*(45+25*(1-EXP(-0.0175*A109))),70*'Scénario référence'!$B$16)+IF((32+38*(1-EXP(-0.0175*A109)))&lt;70,'Scénario référence'!$B$18*(32+38*(1-EXP(-0.0175*A109))),70*'Scénario référence'!$B$18)</f>
        <v>70</v>
      </c>
      <c r="FA109" s="151">
        <f>IF(A109&gt;30,10,('Scénario référence'!$B$16+'Scénario référence'!$B$17+'Scénario référence'!$B$18+'Scénario référence'!$B$9+'Scénario référence'!$B$10)*A109*10/30+('Scénario référence'!$F$8+'Scénario référence'!$F$9)*10)</f>
        <v>10</v>
      </c>
      <c r="FB109" s="151" t="str">
        <f>VLOOKUP(A109,'Données projet'!$A$217:$I$237,2,0)</f>
        <v>#N/A</v>
      </c>
      <c r="FC109" s="151" t="str">
        <f>VLOOKUP(A109,'Données projet'!$A$217:$I$237,9,0)</f>
        <v>#N/A</v>
      </c>
      <c r="FD109" s="151" t="str">
        <f t="array" ref="FD109">INDEX(FC:FC,MIN(IF(ISNUMBER(FC109:FC305),ROW(FC109:FC305),"")))</f>
        <v/>
      </c>
      <c r="FE109" s="151">
        <f>IF('Données projet'!$A$218&gt;35,FE108+FD109-FM108,IF(A109&lt;'Données projet'!$A$218,$FB$205^A109,IF(A109='Données projet'!$A$218,'Données projet'!$B$218,FE108+FD109-FM108)))</f>
        <v>0</v>
      </c>
      <c r="FF109" s="158" t="str">
        <f>FE109*VLOOKUP('Données projet'!$B$16,'Paramètres'!$A$1:$I$88,3,0)*VLOOKUP('Données projet'!$B$16,'Paramètres'!$A$1:$I$88,5,0)</f>
        <v>#N/A</v>
      </c>
      <c r="FG109" s="150" t="str">
        <f t="shared" si="48"/>
        <v>#N/A</v>
      </c>
      <c r="FH109" s="161" t="str">
        <f t="shared" si="23"/>
        <v>#N/A</v>
      </c>
      <c r="FI109" s="153" t="str">
        <f t="shared" si="24"/>
        <v>#N/A</v>
      </c>
      <c r="FJ109" s="153" t="str">
        <f>AVERAGE(OFFSET($FI$3,0,0,'Données projet'!$E$16+1,1))-AVERAGE(OFFSET($H$3,0,0,'Données projet'!$E$16+1,1))</f>
        <v>#N/A</v>
      </c>
      <c r="FK109" s="153" t="str">
        <f t="shared" si="49"/>
        <v>#N/A</v>
      </c>
      <c r="FL109" s="154">
        <f>IF(ISNA(VLOOKUP(A109,'Données projet'!$A$217:$I$237,3,0)),0,VLOOKUP(A109,'Données projet'!$A$217:$I$237,3,0))</f>
        <v>0</v>
      </c>
      <c r="FM109" s="154">
        <f>IF(ISNA(VLOOKUP(A109,'Données projet'!$A$217:$I$237,4,0)),0,VLOOKUP(A109,'Données projet'!$A$217:$I$237,4,0))</f>
        <v>0</v>
      </c>
      <c r="FN109" s="155">
        <f>IF(ISNA(VLOOKUP(A109,'Données projet'!$A$217:$I$237,5,0)),0%,VLOOKUP(A109,'Données projet'!$A$217:$I$237,5,0)*VLOOKUP('Données projet'!$B$16,'Paramètres'!$A$1:$I$88,7,0))</f>
        <v>0</v>
      </c>
      <c r="FO109" s="155">
        <f>IF(ISNA(VLOOKUP(A109,'Données projet'!$A$217:$I$237,6,0)),0%,VLOOKUP(A109,'Données projet'!$A$217:$I$237,6,0)*VLOOKUP('Données projet'!$B$16,'Paramètres'!$A$1:$I$88,7,0))</f>
        <v>0</v>
      </c>
      <c r="FP109" s="155">
        <f>IF(ISNA(VLOOKUP(A109,'Données projet'!$A$217:$I$237,7,0)),0%,VLOOKUP(A109,'Données projet'!$A$217:$I$237,7,0))</f>
        <v>0</v>
      </c>
      <c r="FQ109" s="162" t="str">
        <f>EXP(-LN(2)/35)*FQ108+(1-EXP(-LN(2)/35))/(LN(2)/35)*FM109*FN109*VLOOKUP('Données projet'!$B$16,'Paramètres'!$A$1:$I$88,3,0)*0.475*44/12</f>
        <v>#N/A</v>
      </c>
      <c r="FR109" s="162" t="str">
        <f>EXP(-LN(2)/25)*FR108+(1-EXP(-LN(2)/25))/(LN(2)/25)*Calculateur!FM109*Calculateur!FO109*VLOOKUP('Données projet'!$B$16,'Paramètres'!$A$1:$I$88,3,0)*0.475*44/12</f>
        <v>#N/A</v>
      </c>
      <c r="FS109" s="162" t="str">
        <f>EXP(-LN(2)/2)*FS108+(1-EXP(-LN(2)/2))/(LN(2)/2)*FM109*FP109*VLOOKUP('Données projet'!$B$16,'Paramètres'!$A$1:$I$88,3,0)*0.475*44/12</f>
        <v>#N/A</v>
      </c>
      <c r="FT109" s="163" t="str">
        <f t="shared" si="25"/>
        <v>#N/A</v>
      </c>
      <c r="FU109" s="159">
        <f>('Scénario référence'!$F$8+'Scénario référence'!$F$9+'Scénario référence'!$B$17+'Scénario référence'!$B$9+'Scénario référence'!$B$10)*70+IF((45+25*(1-EXP(-0.0175*A109)))&lt;70,'Scénario référence'!$B$16*(45+25*(1-EXP(-0.0175*A109))),70*'Scénario référence'!$B$16)+IF((32+38*(1-EXP(-0.0175*A109)))&lt;70,'Scénario référence'!$B$18*(32+38*(1-EXP(-0.0175*A109))),70*'Scénario référence'!$B$18)</f>
        <v>70</v>
      </c>
      <c r="FV109" s="151">
        <f>IF(A109&gt;30,10,('Scénario référence'!$B$16+'Scénario référence'!$B$17+'Scénario référence'!$B$18+'Scénario référence'!$B$9+'Scénario référence'!$B$10)*A109*10/30+('Scénario référence'!$F$8+'Scénario référence'!$F$9)*10)</f>
        <v>10</v>
      </c>
      <c r="FW109" s="151" t="str">
        <f>VLOOKUP(A109,'Données projet'!$A$243:$I$263,2,0)</f>
        <v>#N/A</v>
      </c>
      <c r="FX109" s="151" t="str">
        <f>VLOOKUP(A109,'Données projet'!$A$243:$I$263,9,0)</f>
        <v>#N/A</v>
      </c>
      <c r="FY109" s="151" t="str">
        <f t="array" ref="FY109">INDEX(FX:FX,MIN(IF(ISNUMBER(FX109:FX305),ROW(FX109:FX305),"")))</f>
        <v/>
      </c>
      <c r="FZ109" s="151">
        <f>IF('Données projet'!$A$244&gt;35,FZ108+FY109-GH108,IF(A109&lt;'Données projet'!$A$244,$FW$205^A109,IF(A109='Données projet'!$A$244,'Données projet'!$B$244,FZ108+FY109-GH108)))</f>
        <v>0</v>
      </c>
      <c r="GA109" s="158" t="str">
        <f>FZ109*VLOOKUP('Données projet'!$B$17,'Paramètres'!$A$1:$I$88,3,0)*VLOOKUP('Données projet'!$B$17,'Paramètres'!$A$1:$I$88,5,0)</f>
        <v>#N/A</v>
      </c>
      <c r="GB109" s="150" t="str">
        <f t="shared" si="50"/>
        <v>#N/A</v>
      </c>
      <c r="GC109" s="161" t="str">
        <f t="shared" si="26"/>
        <v>#N/A</v>
      </c>
      <c r="GD109" s="153" t="str">
        <f t="shared" si="27"/>
        <v>#N/A</v>
      </c>
      <c r="GE109" s="153" t="str">
        <f>AVERAGE(OFFSET($GD$3,0,0,'Données projet'!$E$17+1,1))-AVERAGE(OFFSET($H$3,0,0,'Données projet'!$E$17+1,1))</f>
        <v>#N/A</v>
      </c>
      <c r="GF109" s="153" t="str">
        <f t="shared" si="51"/>
        <v>#N/A</v>
      </c>
      <c r="GG109" s="154">
        <f>IF(ISNA(VLOOKUP(A109,'Données projet'!$A$243:$I$263,3,0)),0,VLOOKUP(A109,'Données projet'!$A$243:$I$263,3,0))</f>
        <v>0</v>
      </c>
      <c r="GH109" s="154">
        <f>IF(ISNA(VLOOKUP(A109,'Données projet'!$A$243:$I$263,4,0)),0,VLOOKUP(A109,'Données projet'!$A$243:$I$263,4,0))</f>
        <v>0</v>
      </c>
      <c r="GI109" s="155">
        <f>IF(ISNA(VLOOKUP(A109,'Données projet'!$A$243:$I$263,5,0)),0%,VLOOKUP(A109,'Données projet'!$A$243:$I$263,5,0)*VLOOKUP('Données projet'!$B$17,'Paramètres'!$A$1:$I$88,7,0))</f>
        <v>0</v>
      </c>
      <c r="GJ109" s="155">
        <f>IF(ISNA(VLOOKUP(A109,'Données projet'!$A$243:$I$263,6,0)),0%,VLOOKUP(A109,'Données projet'!$A$243:$I$263,6,0)*VLOOKUP('Données projet'!$B$17,'Paramètres'!$A$1:$I$88,7,0))</f>
        <v>0</v>
      </c>
      <c r="GK109" s="155">
        <f>IF(ISNA(VLOOKUP(A109,'Données projet'!$A$243:$I$263,7,0)),0%,VLOOKUP(A109,'Données projet'!$A$243:$I$263,7,0))</f>
        <v>0</v>
      </c>
      <c r="GL109" s="162" t="str">
        <f>EXP(-LN(2)/35)*GL108+(1-EXP(-LN(2)/35))/(LN(2)/35)*GH109*GI109*VLOOKUP('Données projet'!$B$17,'Paramètres'!$A$1:$I$88,3,0)*0.475*44/12</f>
        <v>#N/A</v>
      </c>
      <c r="GM109" s="162" t="str">
        <f>EXP(-LN(2)/25)*GM108+(1-EXP(-LN(2)/25))/(LN(2)/25)*Calculateur!GH109*Calculateur!GJ109*VLOOKUP('Données projet'!$B$17,'Paramètres'!$A$1:$I$88,3,0)*0.475*44/12</f>
        <v>#N/A</v>
      </c>
      <c r="GN109" s="162" t="str">
        <f>EXP(-LN(2)/2)*GN108+(1-EXP(-LN(2)/2))/(LN(2)/2)*GH109*GK109*VLOOKUP('Données projet'!$B$17,'Paramètres'!$A$1:$I$88,3,0)*0.475*44/12</f>
        <v>#N/A</v>
      </c>
      <c r="GO109" s="162" t="str">
        <f t="shared" si="28"/>
        <v>#N/A</v>
      </c>
      <c r="GP109" s="159">
        <f>('Scénario référence'!$F$8+'Scénario référence'!$F$9+'Scénario référence'!$B$17+'Scénario référence'!$B$9+'Scénario référence'!$B$10)*70+IF((45+25*(1-EXP(-0.0175*A109)))&lt;70,'Scénario référence'!$B$16*(45+25*(1-EXP(-0.0175*A109))),70*'Scénario référence'!$B$16)+IF((32+38*(1-EXP(-0.0175*A109)))&lt;70,'Scénario référence'!$B$18*(32+38*(1-EXP(-0.0175*A109))),70*'Scénario référence'!$B$18)</f>
        <v>70</v>
      </c>
      <c r="GQ109" s="151">
        <f>IF(A109&gt;30,10,('Scénario référence'!$B$16+'Scénario référence'!$B$17+'Scénario référence'!$B$18+'Scénario référence'!$B$9+'Scénario référence'!$B$10)*A109*10/30+('Scénario référence'!$F$8+'Scénario référence'!$F$9)*10)</f>
        <v>10</v>
      </c>
      <c r="GR109" s="151" t="str">
        <f>VLOOKUP(A109,'Données projet'!$A$269:$I$289,2,0)</f>
        <v>#N/A</v>
      </c>
      <c r="GS109" s="151" t="str">
        <f>VLOOKUP(A109,'Données projet'!$A$269:$I$289,9,0)</f>
        <v>#N/A</v>
      </c>
      <c r="GT109" s="151" t="str">
        <f t="array" ref="GT109">INDEX(GS:GS,MIN(IF(ISNUMBER(GS109:GS305),ROW(GS109:GS305),"")))</f>
        <v/>
      </c>
      <c r="GU109" s="151">
        <f>IF('Données projet'!$A$270&gt;35,GU108+GT109-HC108,IF(A109&lt;'Données projet'!$A$270,$GR$205^A109,IF(A109='Données projet'!$A$270,'Données projet'!$B$270,GU108+GT109-HC108)))</f>
        <v>0</v>
      </c>
      <c r="GV109" s="158" t="str">
        <f>GU109*VLOOKUP('Données projet'!$B$18,'Paramètres'!$A$1:$I$88,3,0)*VLOOKUP('Données projet'!$B$18,'Paramètres'!$A$1:$I$88,5,0)</f>
        <v>#N/A</v>
      </c>
      <c r="GW109" s="150" t="str">
        <f t="shared" si="52"/>
        <v>#N/A</v>
      </c>
      <c r="GX109" s="161" t="str">
        <f t="shared" si="29"/>
        <v>#N/A</v>
      </c>
      <c r="GY109" s="153" t="str">
        <f t="shared" si="30"/>
        <v>#N/A</v>
      </c>
      <c r="GZ109" s="153" t="str">
        <f>AVERAGE(OFFSET($GY$3,0,0,'Données projet'!$E$18+1,1))-AVERAGE(OFFSET($H$3,0,0,'Données projet'!$E$18+1,1))</f>
        <v>#N/A</v>
      </c>
      <c r="HA109" s="153" t="str">
        <f t="shared" si="53"/>
        <v>#N/A</v>
      </c>
      <c r="HB109" s="154">
        <f>IF(ISNA(VLOOKUP(A109,'Données projet'!$A$269:$I$289,3,0)),0,VLOOKUP(A109,'Données projet'!$A$269:$I$289,3,0))</f>
        <v>0</v>
      </c>
      <c r="HC109" s="154">
        <f>IF(ISNA(VLOOKUP(A109,'Données projet'!$A$269:$I$289,4,0)),0,VLOOKUP(A109,'Données projet'!$A$269:$I$289,4,0))</f>
        <v>0</v>
      </c>
      <c r="HD109" s="155">
        <f>IF(ISNA(VLOOKUP(A109,'Données projet'!$A$269:$I$289,5,0)),0%,VLOOKUP(A109,'Données projet'!$A$269:$I$289,5,0)*VLOOKUP('Données projet'!$B$18,'Paramètres'!$A$1:$I$88,7,0))</f>
        <v>0</v>
      </c>
      <c r="HE109" s="155">
        <f>IF(ISNA(VLOOKUP(A109,'Données projet'!$A$269:$I$289,6,0)),0%,VLOOKUP(A109,'Données projet'!$A$269:$I$289,6,0)*VLOOKUP('Données projet'!$B$18,'Paramètres'!$A$1:$I$88,7,0))</f>
        <v>0</v>
      </c>
      <c r="HF109" s="155">
        <f>IF(ISNA(VLOOKUP(A109,'Données projet'!$A$269:$I$289,7,0)),0%,VLOOKUP(A109,'Données projet'!$A$269:$I$289,7,0))</f>
        <v>0</v>
      </c>
      <c r="HG109" s="162" t="str">
        <f>EXP(-LN(2)/35)*HG108+(1-EXP(-LN(2)/35))/(LN(2)/35)*HC109*HD109*VLOOKUP('Données projet'!$B$18,'Paramètres'!$A$1:$I$88,3,0)*0.475*44/12</f>
        <v>#N/A</v>
      </c>
      <c r="HH109" s="162" t="str">
        <f>EXP(-LN(2)/25)*HH108+(1-EXP(-LN(2)/25))/(LN(2)/25)*Calculateur!HC109*Calculateur!HE109*VLOOKUP('Données projet'!$B$18,'Paramètres'!$A$1:$I$88,3,0)*0.475*44/12</f>
        <v>#N/A</v>
      </c>
      <c r="HI109" s="162" t="str">
        <f>EXP(-LN(2)/2)*HI108+(1-EXP(-LN(2)/2))/(LN(2)/2)*HC109*HF109*VLOOKUP('Données projet'!$B$18,'Paramètres'!$A$1:$I$88,3,0)*0.475*44/12</f>
        <v>#N/A</v>
      </c>
      <c r="HJ109" s="163" t="str">
        <f t="shared" si="31"/>
        <v>#N/A</v>
      </c>
    </row>
    <row r="110" ht="15.75" customHeight="1">
      <c r="A110" s="145">
        <f t="shared" si="32"/>
        <v>107</v>
      </c>
      <c r="B110" s="146">
        <f>'Scénario référence'!$B$16*5+'Scénario référence'!$B$17*0+'Scénario référence'!$B$18*5</f>
        <v>0</v>
      </c>
      <c r="C110" s="160">
        <f>Calculateur!C109+'Scénario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10" s="147">
        <f t="shared" si="33"/>
        <v>0</v>
      </c>
      <c r="E110" s="147">
        <f>'Scénario référence'!$B$16*45+('Scénario référence'!$B$17+'Scénario référence'!$F$8+'Scénario référence'!$F$9+'Scénario référence'!$B$10+'Scénario référence'!$B$9)*70+'Scénario référence'!$B$18*32</f>
        <v>70</v>
      </c>
      <c r="F110" s="147">
        <f>IF(OR('Scénario référence'!$F$8&gt;0,'Scénario référence'!$F$9&gt;0),('Scénario référence'!$F$8+'Scénario référence'!$F$9)*10,0)</f>
        <v>0</v>
      </c>
      <c r="G110" s="147">
        <f>'Scénario référence'!$B$8*B110*44/12+'Scénario référence'!$B$9*(C110+D110)/0.475*44/12+'Scénario référence'!$B$10*(C110+D110)/0.475*44/12+'Scénario référence'!$F$8*(C110+D110)/0.475*44/12+'Scénario référence'!$F$9*(C110+D110)/0.475*44/12</f>
        <v>0</v>
      </c>
      <c r="H110" s="148">
        <f t="shared" si="1"/>
        <v>256.6666667</v>
      </c>
      <c r="I110" s="149">
        <f>('Scénario référence'!$F$8+'Scénario référence'!$F$9+'Scénario référence'!$B$17+'Scénario référence'!$B$9+'Scénario référence'!$B$10)*70+IF((45+25*(1-EXP(-0.0175*A110)))&lt;70,'Scénario référence'!$B$16*(45+25*(1-EXP(-0.0175*A110))),70*'Scénario référence'!$B$16)+IF((32+38*(1-EXP(-0.0175*A110)))&lt;70,'Scénario référence'!$B$18*(32+38*(1-EXP(-0.0175*A110))),70*'Scénario référence'!$B$18)</f>
        <v>70</v>
      </c>
      <c r="J110" s="150">
        <f>IF(A110&gt;30,10,('Scénario référence'!$B$16+'Scénario référence'!$B$17+'Scénario référence'!$B$18+'Scénario référence'!$B$9+'Scénario référence'!$B$10)*A110*10/30+('Scénario référence'!$F$8+'Scénario référence'!$F$9)*10)</f>
        <v>10</v>
      </c>
      <c r="K110" s="151" t="str">
        <f>VLOOKUP(A110,'Données projet'!$A$35:$I$55,2,0)</f>
        <v>#N/A</v>
      </c>
      <c r="L110" s="151" t="str">
        <f>VLOOKUP(A110,'Données projet'!$A$35:$I$55,9,0)</f>
        <v>#N/A</v>
      </c>
      <c r="M110" s="150">
        <f t="array" ref="M110">INDEX(L:L,MIN(IF(ISNUMBER(L110:L306),ROW(L110:L306),"")))</f>
        <v>5</v>
      </c>
      <c r="N110" s="150">
        <f>IF('Données projet'!$A$36&gt;35,N109+M110-V109,IF(A110&lt;'Données projet'!$A$36,$K$205^A110,IF(A110='Données projet'!$A$36,'Données projet'!$B$36,N109+M110-V109)))</f>
        <v>317</v>
      </c>
      <c r="O110" s="150">
        <f>N110*VLOOKUP('Données projet'!$B$9,'Paramètres'!$A$1:$I$88,3,0)*VLOOKUP('Données projet'!$B$9,'Paramètres'!$A$1:$I$88,5,0)</f>
        <v>286.8216</v>
      </c>
      <c r="P110" s="150">
        <f t="shared" si="34"/>
        <v>68.40658328</v>
      </c>
      <c r="Q110" s="161">
        <f t="shared" si="2"/>
        <v>618.6890859</v>
      </c>
      <c r="R110" s="153">
        <f t="shared" si="3"/>
        <v>912.0224192</v>
      </c>
      <c r="S110" s="153">
        <f>AVERAGE(OFFSET($R$3,0,0,'Données projet'!$E$9+1,1))-AVERAGE(OFFSET($H$3,0,0,'Données projet'!$E$9+1,1))</f>
        <v>439.1985427</v>
      </c>
      <c r="T110" s="153">
        <f t="shared" si="35"/>
        <v>278.2174123</v>
      </c>
      <c r="U110" s="154">
        <f>IF(ISNA(VLOOKUP(A110,'Données projet'!$A$35:$I$55,3,0)),0,VLOOKUP(A110,'Données projet'!$A$35:$I$55,3,0))</f>
        <v>0</v>
      </c>
      <c r="V110" s="154">
        <f>IF(ISNA(VLOOKUP(A110,'Données projet'!$A$35:$I$55,4,0)),0,VLOOKUP(A110,'Données projet'!$A$35:$I$55,4,0))</f>
        <v>0</v>
      </c>
      <c r="W110" s="155">
        <f>IF(ISNA(VLOOKUP(A110,'Données projet'!$A$35:$I$55,5,0)),0%,VLOOKUP(A110,'Données projet'!$A$35:$I$55,5,0)*VLOOKUP('Données projet'!$B$9,'Paramètres'!$A$1:$I$88,7,0))</f>
        <v>0</v>
      </c>
      <c r="X110" s="155">
        <f>IF(ISNA(VLOOKUP(A110,'Données projet'!$A$35:$I$55,6,0)),0%,VLOOKUP(A110,'Données projet'!$A$35:$I$55,6,0)*VLOOKUP('Données projet'!$B$9,'Paramètres'!$A$1:$I$88,7,0))</f>
        <v>0</v>
      </c>
      <c r="Y110" s="155">
        <f>IF(ISNA(VLOOKUP(A110,'Données projet'!$A$35:$I$55,7,0)),0%,VLOOKUP(A110,'Données projet'!$A$35:$I$55,7,0))</f>
        <v>0</v>
      </c>
      <c r="Z110" s="162">
        <f>EXP(-LN(2)/35)*Z109+(1-EXP(-LN(2)/35))/(LN(2)/35)*V110*W110*VLOOKUP('Données projet'!$B$9,'Paramètres'!$A$1:$I$88,3,0)*0.475*44/12</f>
        <v>0</v>
      </c>
      <c r="AA110" s="162">
        <f>EXP(-LN(2)/25)*AA109+(1-EXP(-LN(2)/25))/(LN(2)/25)*Calculateur!V110*Calculateur!X110*VLOOKUP('Données projet'!$B$9,'Paramètres'!$A$1:$I$88,3,0)*0.475*44/12</f>
        <v>0.5306887636</v>
      </c>
      <c r="AB110" s="162">
        <f>EXP(-LN(2)/2)*AB109+(1-EXP(-LN(2)/2))/(LN(2)/2)*V110*Y110*VLOOKUP('Données projet'!$B$9,'Paramètres'!$A$1:$I$88,3,0)*0.475*44/12</f>
        <v>0</v>
      </c>
      <c r="AC110" s="163">
        <f t="shared" si="4"/>
        <v>0.5306887636</v>
      </c>
      <c r="AD110" s="150">
        <f>('Scénario référence'!$F$8+'Scénario référence'!$F$9+'Scénario référence'!$B$17+'Scénario référence'!$B$9+'Scénario référence'!$B$10)*70+IF((45+25*(1-EXP(-0.0175*A110)))&lt;70,'Scénario référence'!$B$16*(45+25*(1-EXP(-0.0175*A110))),70*'Scénario référence'!$B$16)+IF((32+38*(1-EXP(-0.0175*A110)))&lt;70,'Scénario référence'!$B$18*(32+38*(1-EXP(-0.0175*A110))),70*'Scénario référence'!$B$18)</f>
        <v>70</v>
      </c>
      <c r="AE110" s="150">
        <f>IF(A110&gt;30,10,('Scénario référence'!$B$16+'Scénario référence'!$B$17+'Scénario référence'!$B$18+'Scénario référence'!$B$9+'Scénario référence'!$B$10)*A110*10/30+('Scénario référence'!$F$8+'Scénario référence'!$F$9)*10)</f>
        <v>10</v>
      </c>
      <c r="AF110" s="151" t="str">
        <f>VLOOKUP(A110,'Données projet'!$A$61:$I$81,2,0)</f>
        <v>#N/A</v>
      </c>
      <c r="AG110" s="151" t="str">
        <f>VLOOKUP(A110,'Données projet'!$A$61:$I$81,9,0)</f>
        <v>#N/A</v>
      </c>
      <c r="AH110" s="151" t="str">
        <f t="array" ref="AH110">INDEX(AG:AG,MIN(IF(ISNUMBER(AG110:AG306),ROW(AG110:AG306),"")))</f>
        <v/>
      </c>
      <c r="AI110" s="150">
        <f>IF('Données projet'!$A$62&gt;35,AI109+AH110-AQ109,IF(A110&lt;'Données projet'!$A$62,$AF$205^A110,IF(A110='Données projet'!$A$62,'Données projet'!$B$62,AI109+AH110-AQ109)))</f>
        <v>369</v>
      </c>
      <c r="AJ110" s="150">
        <f>AI110*VLOOKUP('Données projet'!$B$10,'Paramètres'!$A$1:$I$88,3,0)*VLOOKUP('Données projet'!$B$10,'Paramètres'!$A$1:$I$88,5,0)</f>
        <v>293.5764</v>
      </c>
      <c r="AK110" s="150">
        <f t="shared" si="36"/>
        <v>69.82813851</v>
      </c>
      <c r="AL110" s="161">
        <f t="shared" si="5"/>
        <v>632.9295712</v>
      </c>
      <c r="AM110" s="153">
        <f t="shared" si="6"/>
        <v>926.2629046</v>
      </c>
      <c r="AN110" s="153">
        <f>AVERAGE(OFFSET($AM$3,0,0,'Données projet'!$E$10+1,1))-AVERAGE(OFFSET($H$3,0,0,'Données projet'!$E$10+1,1))</f>
        <v>405.6113614</v>
      </c>
      <c r="AO110" s="153">
        <f t="shared" si="37"/>
        <v>393.0787141</v>
      </c>
      <c r="AP110" s="154">
        <f>IF(ISNA(VLOOKUP(A110,'Données projet'!$A$61:$I$81,3,0)),0,VLOOKUP(A110,'Données projet'!$A$61:$I$81,3,0))</f>
        <v>0</v>
      </c>
      <c r="AQ110" s="154">
        <f>IF(ISNA(VLOOKUP(A110,'Données projet'!$A$61:$I$81,4,0)),0,VLOOKUP(A110,'Données projet'!$A$61:$I$81,4,0))</f>
        <v>0</v>
      </c>
      <c r="AR110" s="155">
        <f>IF(ISNA(VLOOKUP(A110,'Données projet'!$A$61:$I$81,5,0)),0%,VLOOKUP(A110,'Données projet'!$A$61:$I$81,5,0)*VLOOKUP('Données projet'!$B$10,'Paramètres'!$A$1:$I$88,7,0))</f>
        <v>0</v>
      </c>
      <c r="AS110" s="155">
        <f>IF(ISNA(VLOOKUP(A110,'Données projet'!$A$61:$I$81,6,0)),0%,VLOOKUP(A110,'Données projet'!$A$61:$I$81,6,0)*VLOOKUP('Données projet'!$B$10,'Paramètres'!$A$1:$I$88,7,0))</f>
        <v>0</v>
      </c>
      <c r="AT110" s="155">
        <f>IF(ISNA(VLOOKUP(A110,'Données projet'!$A$61:$I$81,7,0)),0%,VLOOKUP(A110,'Données projet'!$A$61:$I$81,7,0))</f>
        <v>0</v>
      </c>
      <c r="AU110" s="162">
        <f>EXP(-LN(2)/35)*AU109+(1-EXP(-LN(2)/35))/(LN(2)/35)*AQ110*AR110*VLOOKUP('Données projet'!$B$10,'Paramètres'!$A$1:$I$88,3,0)*0.475*44/12</f>
        <v>0</v>
      </c>
      <c r="AV110" s="162">
        <f>EXP(-LN(2)/25)*AV109+(1-EXP(-LN(2)/25))/(LN(2)/25)*Calculateur!AQ110*Calculateur!AS110*VLOOKUP('Données projet'!$B$10,'Paramètres'!$A$1:$I$88,3,0)*0.475*44/12</f>
        <v>2.156854042</v>
      </c>
      <c r="AW110" s="162">
        <f>EXP(-LN(2)/2)*AW109+(1-EXP(-LN(2)/2))/(LN(2)/2)*AQ110*AT110*VLOOKUP('Données projet'!$B$10,'Paramètres'!$A$1:$I$88,3,0)*0.475*44/12</f>
        <v>0</v>
      </c>
      <c r="AX110" s="162">
        <f t="shared" si="7"/>
        <v>2.156854042</v>
      </c>
      <c r="AY110" s="157">
        <f>('Scénario référence'!$F$8+'Scénario référence'!$F$9+'Scénario référence'!$B$17+'Scénario référence'!$B$9+'Scénario référence'!$B$10)*70+IF((45+25*(1-EXP(-0.0175*A110)))&lt;70,'Scénario référence'!$B$16*(45+25*(1-EXP(-0.0175*A110))),70*'Scénario référence'!$B$16)+IF((32+38*(1-EXP(-0.0175*A110)))&lt;70,'Scénario référence'!$B$18*(32+38*(1-EXP(-0.0175*A110))),70*'Scénario référence'!$B$18)</f>
        <v>70</v>
      </c>
      <c r="AZ110" s="151">
        <f>IF(A110&gt;30,10,('Scénario référence'!$B$16+'Scénario référence'!$B$17+'Scénario référence'!$B$18+'Scénario référence'!$B$9+'Scénario référence'!$B$10)*A110*10/30+('Scénario référence'!$F$8+'Scénario référence'!$F$9)*10)</f>
        <v>10</v>
      </c>
      <c r="BA110" s="151" t="str">
        <f>VLOOKUP(A110,'Données projet'!$A$87:$I$107,2,0)</f>
        <v>#N/A</v>
      </c>
      <c r="BB110" s="151" t="str">
        <f>VLOOKUP(A110,'Données projet'!$A$87:$I$107,9,0)</f>
        <v>#N/A</v>
      </c>
      <c r="BC110" s="151" t="str">
        <f t="array" ref="BC110">INDEX(BB:BB,MIN(IF(ISNUMBER(BB110:BB306),ROW(BB110:BB306),"")))</f>
        <v/>
      </c>
      <c r="BD110" s="150">
        <f>IF('Données projet'!$A$88&gt;35,BD109+BC110-BL109,IF(A110&lt;'Données projet'!$A$88,$BA$205^A110,IF(A110='Données projet'!$A$88,'Données projet'!$B$88,BD109+BC110-BL109)))</f>
        <v>0</v>
      </c>
      <c r="BE110" s="150">
        <f>BD110*VLOOKUP('Données projet'!$B$11,'Paramètres'!$A$1:$I$88,3,0)*VLOOKUP('Données projet'!$B$11,'Paramètres'!$A$1:$I$88,5,0)</f>
        <v>0</v>
      </c>
      <c r="BF110" s="150" t="str">
        <f t="shared" si="38"/>
        <v>#NUM!</v>
      </c>
      <c r="BG110" s="161" t="str">
        <f t="shared" si="8"/>
        <v>#NUM!</v>
      </c>
      <c r="BH110" s="153" t="str">
        <f t="shared" si="9"/>
        <v>#NUM!</v>
      </c>
      <c r="BI110" s="153">
        <f>AVERAGE(OFFSET($BH$3,0,0,'Données projet'!$E$11+1,1))-AVERAGE(OFFSET($H$3,0,0,'Données projet'!$E$11+1,1))</f>
        <v>0</v>
      </c>
      <c r="BJ110" s="153">
        <f t="shared" si="39"/>
        <v>0</v>
      </c>
      <c r="BK110" s="154">
        <f>IF(ISNA(VLOOKUP(A110,'Données projet'!$A$87:$I$107,3,0)),0,VLOOKUP(A110,'Données projet'!$A$87:$I$107,3,0))</f>
        <v>0</v>
      </c>
      <c r="BL110" s="154">
        <f>IF(ISNA(VLOOKUP(A110,'Données projet'!$A$87:$I$107,4,0)),0,VLOOKUP(A110,'Données projet'!$A$87:$I$107,4,0))</f>
        <v>0</v>
      </c>
      <c r="BM110" s="155">
        <f>IF(ISNA(VLOOKUP(A110,'Données projet'!$A$87:$I$107,5,0)),0%,VLOOKUP(A110,'Données projet'!$A$87:$I$107,5,0)*VLOOKUP('Données projet'!$B$11,'Paramètres'!$A$1:$I$88,7,0))</f>
        <v>0</v>
      </c>
      <c r="BN110" s="155">
        <f>IF(ISNA(VLOOKUP(A110,'Données projet'!$A$87:$I$107,6,0)),0%,VLOOKUP(A110,'Données projet'!$A$87:$I$107,6,0)*VLOOKUP('Données projet'!$B$11,'Paramètres'!$A$1:$I$88,7,0))</f>
        <v>0</v>
      </c>
      <c r="BO110" s="155">
        <f>IF(ISNA(VLOOKUP(A110,'Données projet'!$A$87:$I$107,7,0)),0%,VLOOKUP(A110,'Données projet'!$A$87:$I$107,7,0))</f>
        <v>0</v>
      </c>
      <c r="BP110" s="162">
        <f>EXP(-LN(2)/35)*BP109+(1-EXP(-LN(2)/35))/(LN(2)/35)*BL110*BM110*VLOOKUP('Données projet'!$B$11,'Paramètres'!$A$1:$I$88,3,0)*0.475*44/12</f>
        <v>0</v>
      </c>
      <c r="BQ110" s="162">
        <f>EXP(-LN(2)/25)*BQ109+(1-EXP(-LN(2)/25))/(LN(2)/25)*Calculateur!BL110*Calculateur!BN110*VLOOKUP('Données projet'!$B$11,'Paramètres'!$A$1:$I$88,3,0)*0.475*44/12</f>
        <v>0</v>
      </c>
      <c r="BR110" s="162">
        <f>EXP(-LN(2)/2)*BR109+(1-EXP(-LN(2)/2))/(LN(2)/2)*BL110*BO110*VLOOKUP('Données projet'!$B$11,'Paramètres'!$A$1:$I$88,3,0)*0.475*44/12</f>
        <v>0</v>
      </c>
      <c r="BS110" s="163">
        <f t="shared" si="10"/>
        <v>0</v>
      </c>
      <c r="BT110" s="159">
        <f>('Scénario référence'!$F$8+'Scénario référence'!$F$9+'Scénario référence'!$B$17+'Scénario référence'!$B$9+'Scénario référence'!$B$10)*70+IF((45+25*(1-EXP(-0.0175*A110)))&lt;70,'Scénario référence'!$B$16*(45+25*(1-EXP(-0.0175*A110))),70*'Scénario référence'!$B$16)+IF((32+38*(1-EXP(-0.0175*A110)))&lt;70,'Scénario référence'!$B$18*(32+38*(1-EXP(-0.0175*A110))),70*'Scénario référence'!$B$18)</f>
        <v>70</v>
      </c>
      <c r="BU110" s="151">
        <f>IF(A110&gt;30,10,('Scénario référence'!$B$16+'Scénario référence'!$B$17+'Scénario référence'!$B$18+'Scénario référence'!$B$9+'Scénario référence'!$B$10)*A110*10/30+('Scénario référence'!$F$8+'Scénario référence'!$F$9)*10)</f>
        <v>10</v>
      </c>
      <c r="BV110" s="151" t="str">
        <f>VLOOKUP(A110,'Données projet'!$A$113:$I$133,2,0)</f>
        <v>#N/A</v>
      </c>
      <c r="BW110" s="151" t="str">
        <f>VLOOKUP(A110,'Données projet'!$A$113:$I$133,9,0)</f>
        <v>#N/A</v>
      </c>
      <c r="BX110" s="151" t="str">
        <f t="array" ref="BX110">INDEX(BW:BW,MIN(IF(ISNUMBER(BW110:BW306),ROW(BW110:BW306),"")))</f>
        <v/>
      </c>
      <c r="BY110" s="150">
        <f>IF('Données projet'!$A$114&gt;35,BY109+BX110-CG109,IF(A110&lt;'Données projet'!$A$114,$BV$205^A110,IF(A110='Données projet'!$A$114,'Données projet'!$B$114,BY109+BX110-CG109)))</f>
        <v>0</v>
      </c>
      <c r="BZ110" s="150" t="str">
        <f>BY110*VLOOKUP('Données projet'!$B$12,'Paramètres'!$A$1:$I$88,3,0)*VLOOKUP('Données projet'!$B$12,'Paramètres'!$A$1:$I$88,5,0)</f>
        <v>#N/A</v>
      </c>
      <c r="CA110" s="150" t="str">
        <f t="shared" si="40"/>
        <v>#N/A</v>
      </c>
      <c r="CB110" s="161" t="str">
        <f t="shared" si="11"/>
        <v>#N/A</v>
      </c>
      <c r="CC110" s="153" t="str">
        <f t="shared" si="12"/>
        <v>#N/A</v>
      </c>
      <c r="CD110" s="153" t="str">
        <f>AVERAGE(OFFSET($CC$3,0,0,'Données projet'!$E$12+1,1))-AVERAGE(OFFSET($H$3,0,0,'Données projet'!$E$12+1,1))</f>
        <v>#N/A</v>
      </c>
      <c r="CE110" s="153" t="str">
        <f t="shared" si="41"/>
        <v>#N/A</v>
      </c>
      <c r="CF110" s="154">
        <f>IF(ISNA(VLOOKUP(A110,'Données projet'!$A$113:$I$133,3,0)),0,VLOOKUP(A110,'Données projet'!$A$113:$I$133,3,0))</f>
        <v>0</v>
      </c>
      <c r="CG110" s="154">
        <f>IF(ISNA(VLOOKUP(A110,'Données projet'!$A$113:$I$133,4,0)),0,VLOOKUP(A110,'Données projet'!$A$113:$I$133,4,0))</f>
        <v>0</v>
      </c>
      <c r="CH110" s="155">
        <f>IF(ISNA(VLOOKUP(A110,'Données projet'!$A$113:$I$133,5,0)),0%,VLOOKUP(A110,'Données projet'!$A$113:$I$133,5,0)*VLOOKUP('Données projet'!$B$12,'Paramètres'!$A$1:$I$88,7,0))</f>
        <v>0</v>
      </c>
      <c r="CI110" s="155">
        <f>IF(ISNA(VLOOKUP(A110,'Données projet'!$A$113:$I$133,6,0)),0%,VLOOKUP(A110,'Données projet'!$A$113:$I$133,6,0)*VLOOKUP('Données projet'!$B$12,'Paramètres'!$A$1:$I$88,7,0))</f>
        <v>0</v>
      </c>
      <c r="CJ110" s="155">
        <f>IF(ISNA(VLOOKUP(A110,'Données projet'!$A$113:$I$133,7,0)),0%,VLOOKUP(A110,'Données projet'!$A$113:$I$133,7,0))</f>
        <v>0</v>
      </c>
      <c r="CK110" s="162" t="str">
        <f>EXP(-LN(2)/35)*CK109+(1-EXP(-LN(2)/35))/(LN(2)/35)*CG110*CH110*VLOOKUP('Données projet'!$B$12,'Paramètres'!$A$1:$I$88,3,0)*0.475*44/12</f>
        <v>#N/A</v>
      </c>
      <c r="CL110" s="162" t="str">
        <f>EXP(-LN(2)/25)*CL109+(1-EXP(-LN(2)/25))/(LN(2)/25)*Calculateur!CG110*Calculateur!CI110*VLOOKUP('Données projet'!$B$12,'Paramètres'!$A$1:$I$88,3,0)*0.475*44/12</f>
        <v>#N/A</v>
      </c>
      <c r="CM110" s="162" t="str">
        <f>EXP(-LN(2)/2)*CM109+(1-EXP(-LN(2)/2))/(LN(2)/2)*CG110*CJ110*VLOOKUP('Données projet'!$B$12,'Paramètres'!$A$1:$I$88,3,0)*0.475*44/12</f>
        <v>#N/A</v>
      </c>
      <c r="CN110" s="163" t="str">
        <f t="shared" si="13"/>
        <v>#N/A</v>
      </c>
      <c r="CO110" s="159">
        <f>('Scénario référence'!$F$8+'Scénario référence'!$F$9+'Scénario référence'!$B$17+'Scénario référence'!$B$9+'Scénario référence'!$B$10)*70+IF((45+25*(1-EXP(-0.0175*A110)))&lt;70,'Scénario référence'!$B$16*(45+25*(1-EXP(-0.0175*A110))),70*'Scénario référence'!$B$16)+IF((32+38*(1-EXP(-0.0175*A110)))&lt;70,'Scénario référence'!$B$18*(32+38*(1-EXP(-0.0175*A110))),70*'Scénario référence'!$B$18)</f>
        <v>70</v>
      </c>
      <c r="CP110" s="151">
        <f>IF(A110&gt;30,10,('Scénario référence'!$B$16+'Scénario référence'!$B$17+'Scénario référence'!$B$18+'Scénario référence'!$B$9+'Scénario référence'!$B$10)*A110*10/30+('Scénario référence'!$F$8+'Scénario référence'!$F$9)*10)</f>
        <v>10</v>
      </c>
      <c r="CQ110" s="151" t="str">
        <f>VLOOKUP(A110,'Données projet'!$A$139:$I$159,2,0)</f>
        <v>#N/A</v>
      </c>
      <c r="CR110" s="151" t="str">
        <f>VLOOKUP(A110,'Données projet'!$A$139:$I$159,9,0)</f>
        <v>#N/A</v>
      </c>
      <c r="CS110" s="151" t="str">
        <f t="array" ref="CS110">INDEX(CR:CR,MIN(IF(ISNUMBER(CR110:CR306),ROW(CR110:CR306),"")))</f>
        <v/>
      </c>
      <c r="CT110" s="151">
        <f>IF('Données projet'!$A$140&gt;35,CT109+CS110-DB109,IF(A110&lt;'Données projet'!$A$140,$CQ$205^A110,IF(A110='Données projet'!$A$140,'Données projet'!$B$140,CT109+CS110-DB109)))</f>
        <v>0</v>
      </c>
      <c r="CU110" s="158" t="str">
        <f>CT110*VLOOKUP('Données projet'!$B$13,'Paramètres'!$A$1:$I$88,3,0)*VLOOKUP('Données projet'!$B$13,'Paramètres'!$A$1:$I$88,5,0)</f>
        <v>#N/A</v>
      </c>
      <c r="CV110" s="150" t="str">
        <f t="shared" si="42"/>
        <v>#N/A</v>
      </c>
      <c r="CW110" s="161" t="str">
        <f t="shared" si="14"/>
        <v>#N/A</v>
      </c>
      <c r="CX110" s="153" t="str">
        <f t="shared" si="15"/>
        <v>#N/A</v>
      </c>
      <c r="CY110" s="153" t="str">
        <f>AVERAGE(OFFSET($CX$3,0,0,'Données projet'!$E$13+1,1))-AVERAGE(OFFSET($H$3,0,0,'Données projet'!$E$13+1,1))</f>
        <v>#N/A</v>
      </c>
      <c r="CZ110" s="153" t="str">
        <f t="shared" si="43"/>
        <v>#N/A</v>
      </c>
      <c r="DA110" s="154">
        <f>IF(ISNA(VLOOKUP(A110,'Données projet'!$A$139:$I$159,3,0)),0,VLOOKUP(A110,'Données projet'!$A$139:$I$159,3,0))</f>
        <v>0</v>
      </c>
      <c r="DB110" s="154">
        <f>IF(ISNA(VLOOKUP(A110,'Données projet'!$A$139:$I$159,4,0)),0,VLOOKUP(A110,'Données projet'!$A$139:$I$159,4,0))</f>
        <v>0</v>
      </c>
      <c r="DC110" s="155">
        <f>IF(ISNA(VLOOKUP(A110,'Données projet'!$A$139:$I$159,5,0)),0%,VLOOKUP(A110,'Données projet'!$A$139:$I$159,5,0)*VLOOKUP('Données projet'!$B$13,'Paramètres'!$A$1:$I$88,7,0))</f>
        <v>0</v>
      </c>
      <c r="DD110" s="155">
        <f>IF(ISNA(VLOOKUP(A110,'Données projet'!$A$139:$I$159,6,0)),0%,VLOOKUP(A110,'Données projet'!$A$139:$I$159,6,0)*VLOOKUP('Données projet'!$B$13,'Paramètres'!$A$1:$I$88,7,0))</f>
        <v>0</v>
      </c>
      <c r="DE110" s="155">
        <f>IF(ISNA(VLOOKUP(A110,'Données projet'!$A$139:$I$159,7,0)),0%,VLOOKUP(A110,'Données projet'!$A$139:$I$159,7,0))</f>
        <v>0</v>
      </c>
      <c r="DF110" s="162" t="str">
        <f>EXP(-LN(2)/35)*DF109+(1-EXP(-LN(2)/35))/(LN(2)/35)*DB110*DC110*VLOOKUP('Données projet'!$B$13,'Paramètres'!$A$1:$I$88,3,0)*0.475*44/12</f>
        <v>#N/A</v>
      </c>
      <c r="DG110" s="162" t="str">
        <f>EXP(-LN(2)/25)*DG109+(1-EXP(-LN(2)/25))/(LN(2)/25)*Calculateur!DB110*Calculateur!DD110*VLOOKUP('Données projet'!$B$13,'Paramètres'!$A$1:$I$88,3,0)*0.475*44/12</f>
        <v>#N/A</v>
      </c>
      <c r="DH110" s="162" t="str">
        <f>EXP(-LN(2)/2)*DH109+(1-EXP(-LN(2)/2))/(LN(2)/2)*DB110*DE110*VLOOKUP('Données projet'!$B$13,'Paramètres'!$A$1:$I$88,3,0)*0.475*44/12</f>
        <v>#N/A</v>
      </c>
      <c r="DI110" s="163" t="str">
        <f t="shared" si="16"/>
        <v>#N/A</v>
      </c>
      <c r="DJ110" s="159">
        <f>('Scénario référence'!$F$8+'Scénario référence'!$F$9+'Scénario référence'!$B$17+'Scénario référence'!$B$9+'Scénario référence'!$B$10)*70+IF((45+25*(1-EXP(-0.0175*A110)))&lt;70,'Scénario référence'!$B$16*(45+25*(1-EXP(-0.0175*A110))),70*'Scénario référence'!$B$16)+IF((32+38*(1-EXP(-0.0175*A110)))&lt;70,'Scénario référence'!$B$18*(32+38*(1-EXP(-0.0175*A110))),70*'Scénario référence'!$B$18)</f>
        <v>70</v>
      </c>
      <c r="DK110" s="151">
        <f>IF(A110&gt;30,10,('Scénario référence'!$B$16+'Scénario référence'!$B$17+'Scénario référence'!$B$18+'Scénario référence'!$B$9+'Scénario référence'!$B$10)*A110*10/30+('Scénario référence'!$F$8+'Scénario référence'!$F$9)*10)</f>
        <v>10</v>
      </c>
      <c r="DL110" s="151" t="str">
        <f>VLOOKUP(A110,'Données projet'!$A$165:$I$185,2,0)</f>
        <v>#N/A</v>
      </c>
      <c r="DM110" s="151" t="str">
        <f>VLOOKUP(A110,'Données projet'!$A$165:$I$185,9,0)</f>
        <v>#N/A</v>
      </c>
      <c r="DN110" s="151" t="str">
        <f t="array" ref="DN110">INDEX(DM:DM,MIN(IF(ISNUMBER(DM110:DM306),ROW(DM110:DM306),"")))</f>
        <v/>
      </c>
      <c r="DO110" s="151">
        <f>IF('Données projet'!$A$166&gt;35,DO109+DN110-DW109,IF(A110&lt;'Données projet'!$A$166,$DL$205^A110,IF(A110='Données projet'!$A$166,'Données projet'!$B$166,DO109+DN110-DW109)))</f>
        <v>0</v>
      </c>
      <c r="DP110" s="158" t="str">
        <f>DO110*VLOOKUP('Données projet'!$B$14,'Paramètres'!$A$1:$I$88,3,0)*VLOOKUP('Données projet'!$B$14,'Paramètres'!$A$1:$I$88,5,0)</f>
        <v>#N/A</v>
      </c>
      <c r="DQ110" s="150" t="str">
        <f t="shared" si="44"/>
        <v>#N/A</v>
      </c>
      <c r="DR110" s="161" t="str">
        <f t="shared" si="17"/>
        <v>#N/A</v>
      </c>
      <c r="DS110" s="153" t="str">
        <f t="shared" si="18"/>
        <v>#N/A</v>
      </c>
      <c r="DT110" s="153" t="str">
        <f>AVERAGE(OFFSET($DS$3,0,0,'Données projet'!$E$14+1,1))-AVERAGE(OFFSET($H$3,0,0,'Données projet'!$E$14+1,1))</f>
        <v>#N/A</v>
      </c>
      <c r="DU110" s="153" t="str">
        <f t="shared" si="45"/>
        <v>#N/A</v>
      </c>
      <c r="DV110" s="154">
        <f>IF(ISNA(VLOOKUP(A110,'Données projet'!$A$165:$I$185,3,0)),0,VLOOKUP(A110,'Données projet'!$A$165:$I$185,3,0))</f>
        <v>0</v>
      </c>
      <c r="DW110" s="154">
        <f>IF(ISNA(VLOOKUP(A110,'Données projet'!$A$165:$I$185,4,0)),0,VLOOKUP(A110,'Données projet'!$A$165:$I$185,4,0))</f>
        <v>0</v>
      </c>
      <c r="DX110" s="155">
        <f>IF(ISNA(VLOOKUP(A110,'Données projet'!$A$165:$I$185,5,0)),0%,VLOOKUP(A110,'Données projet'!$A$165:$I$185,5,0)*VLOOKUP('Données projet'!$B$14,'Paramètres'!$A$1:$I$88,7,0))</f>
        <v>0</v>
      </c>
      <c r="DY110" s="155">
        <f>IF(ISNA(VLOOKUP(A110,'Données projet'!$A$165:$I$185,6,0)),0%,VLOOKUP(A110,'Données projet'!$A$165:$I$185,6,0)*VLOOKUP('Données projet'!$B$14,'Paramètres'!$A$1:$I$88,7,0))</f>
        <v>0</v>
      </c>
      <c r="DZ110" s="155">
        <f>IF(ISNA(VLOOKUP(A110,'Données projet'!$A$165:$I$185,7,0)),0%,VLOOKUP(A110,'Données projet'!$A$165:$I$185,7,0))</f>
        <v>0</v>
      </c>
      <c r="EA110" s="162" t="str">
        <f>EXP(-LN(2)/35)*EA109+(1-EXP(-LN(2)/35))/(LN(2)/35)*DW110*DX110*VLOOKUP('Données projet'!$B$14,'Paramètres'!$A$1:$I$88,3,0)*0.475*44/12</f>
        <v>#N/A</v>
      </c>
      <c r="EB110" s="162" t="str">
        <f>EXP(-LN(2)/25)*EB109+(1-EXP(-LN(2)/25))/(LN(2)/25)*Calculateur!DW110*Calculateur!DY110*VLOOKUP('Données projet'!$B$14,'Paramètres'!$A$1:$I$88,3,0)*0.475*44/12</f>
        <v>#N/A</v>
      </c>
      <c r="EC110" s="162" t="str">
        <f>EXP(-LN(2)/2)*EC109+(1-EXP(-LN(2)/2))/(LN(2)/2)*DW110*DZ110*VLOOKUP('Données projet'!$B$14,'Paramètres'!$A$1:$I$88,3,0)*0.475*44/12</f>
        <v>#N/A</v>
      </c>
      <c r="ED110" s="163" t="str">
        <f t="shared" si="19"/>
        <v>#N/A</v>
      </c>
      <c r="EE110" s="159">
        <f>('Scénario référence'!$F$8+'Scénario référence'!$F$9+'Scénario référence'!$B$17+'Scénario référence'!$B$9+'Scénario référence'!$B$10)*70+IF((45+25*(1-EXP(-0.0175*A110)))&lt;70,'Scénario référence'!$B$16*(45+25*(1-EXP(-0.0175*A110))),70*'Scénario référence'!$B$16)+IF((32+38*(1-EXP(-0.0175*A110)))&lt;70,'Scénario référence'!$B$18*(32+38*(1-EXP(-0.0175*A110))),70*'Scénario référence'!$B$18)</f>
        <v>70</v>
      </c>
      <c r="EF110" s="151">
        <f>IF(A110&gt;30,10,('Scénario référence'!$B$16+'Scénario référence'!$B$17+'Scénario référence'!$B$18+'Scénario référence'!$B$9+'Scénario référence'!$B$10)*A110*10/30+('Scénario référence'!$F$8+'Scénario référence'!$F$9)*10)</f>
        <v>10</v>
      </c>
      <c r="EG110" s="151" t="str">
        <f>VLOOKUP(A110,'Données projet'!$A$191:$I$211,2,0)</f>
        <v>#N/A</v>
      </c>
      <c r="EH110" s="151" t="str">
        <f>VLOOKUP(A110,'Données projet'!$A$191:$I$211,9,0)</f>
        <v>#N/A</v>
      </c>
      <c r="EI110" s="151" t="str">
        <f t="array" ref="EI110">INDEX(EH:EH,MIN(IF(ISNUMBER(EH110:EH306),ROW(EH110:EH306),"")))</f>
        <v/>
      </c>
      <c r="EJ110" s="151">
        <f>IF('Données projet'!$A$192&gt;35,EJ109+EI110-ER109,IF(A110&lt;'Données projet'!$A$192,$EG$205^A110,IF(A110='Données projet'!$A$192,'Données projet'!$B$192,EJ109+EI110-ER109)))</f>
        <v>0</v>
      </c>
      <c r="EK110" s="158" t="str">
        <f>EJ110*VLOOKUP('Données projet'!$B$15,'Paramètres'!$A$1:$I$88,3,0)*VLOOKUP('Données projet'!$B$15,'Paramètres'!$A$1:$I$88,5,0)</f>
        <v>#N/A</v>
      </c>
      <c r="EL110" s="150" t="str">
        <f t="shared" si="46"/>
        <v>#N/A</v>
      </c>
      <c r="EM110" s="161" t="str">
        <f t="shared" si="20"/>
        <v>#N/A</v>
      </c>
      <c r="EN110" s="153" t="str">
        <f t="shared" si="21"/>
        <v>#N/A</v>
      </c>
      <c r="EO110" s="153" t="str">
        <f>AVERAGE(OFFSET($EN$3,0,0,'Données projet'!$E$15+1,1))-AVERAGE(OFFSET($H$3,0,0,'Données projet'!$E$15+1,1))</f>
        <v>#N/A</v>
      </c>
      <c r="EP110" s="153" t="str">
        <f t="shared" si="47"/>
        <v>#N/A</v>
      </c>
      <c r="EQ110" s="154">
        <f>IF(ISNA(VLOOKUP(A110,'Données projet'!$A$191:$I$211,3,0)),0,VLOOKUP(A110,'Données projet'!$A$191:$I$211,3,0))</f>
        <v>0</v>
      </c>
      <c r="ER110" s="154">
        <f>IF(ISNA(VLOOKUP(A110,'Données projet'!$A$191:$I$211,4,0)),0,VLOOKUP(A110,'Données projet'!$A$191:$I$211,4,0))</f>
        <v>0</v>
      </c>
      <c r="ES110" s="155">
        <f>IF(ISNA(VLOOKUP(A110,'Données projet'!$A$191:$I$211,5,0)),0%,VLOOKUP(A110,'Données projet'!$A$191:$I$211,5,0)*VLOOKUP('Données projet'!$B$15,'Paramètres'!$A$1:$I$88,7,0))</f>
        <v>0</v>
      </c>
      <c r="ET110" s="155">
        <f>IF(ISNA(VLOOKUP(A110,'Données projet'!$A$191:$I$211,6,0)),0%,VLOOKUP(A110,'Données projet'!$A$191:$I$211,6,0)*VLOOKUP('Données projet'!$B$15,'Paramètres'!$A$1:$I$88,7,0))</f>
        <v>0</v>
      </c>
      <c r="EU110" s="155">
        <f>IF(ISNA(VLOOKUP(A110,'Données projet'!$A$191:$I$211,7,0)),0%,VLOOKUP(A110,'Données projet'!$A$191:$I$211,7,0))</f>
        <v>0</v>
      </c>
      <c r="EV110" s="162" t="str">
        <f>EXP(-LN(2)/35)*EV109+(1-EXP(-LN(2)/35))/(LN(2)/35)*ER110*ES110*VLOOKUP('Données projet'!$B$15,'Paramètres'!$A$1:$I$88,3,0)*0.475*44/12</f>
        <v>#N/A</v>
      </c>
      <c r="EW110" s="162" t="str">
        <f>EXP(-LN(2)/25)*EW109+(1-EXP(-LN(2)/25))/(LN(2)/25)*Calculateur!ER110*Calculateur!ET110*VLOOKUP('Données projet'!$B$15,'Paramètres'!$A$1:$I$88,3,0)*0.475*44/12</f>
        <v>#N/A</v>
      </c>
      <c r="EX110" s="162" t="str">
        <f>EXP(-LN(2)/2)*EX109+(1-EXP(-LN(2)/2))/(LN(2)/2)*ER110*EU110*VLOOKUP('Données projet'!$B$15,'Paramètres'!$A$1:$I$88,3,0)*0.475*44/12</f>
        <v>#N/A</v>
      </c>
      <c r="EY110" s="163" t="str">
        <f t="shared" si="22"/>
        <v>#N/A</v>
      </c>
      <c r="EZ110" s="159">
        <f>('Scénario référence'!$F$8+'Scénario référence'!$F$9+'Scénario référence'!$B$17+'Scénario référence'!$B$9+'Scénario référence'!$B$10)*70+IF((45+25*(1-EXP(-0.0175*A110)))&lt;70,'Scénario référence'!$B$16*(45+25*(1-EXP(-0.0175*A110))),70*'Scénario référence'!$B$16)+IF((32+38*(1-EXP(-0.0175*A110)))&lt;70,'Scénario référence'!$B$18*(32+38*(1-EXP(-0.0175*A110))),70*'Scénario référence'!$B$18)</f>
        <v>70</v>
      </c>
      <c r="FA110" s="151">
        <f>IF(A110&gt;30,10,('Scénario référence'!$B$16+'Scénario référence'!$B$17+'Scénario référence'!$B$18+'Scénario référence'!$B$9+'Scénario référence'!$B$10)*A110*10/30+('Scénario référence'!$F$8+'Scénario référence'!$F$9)*10)</f>
        <v>10</v>
      </c>
      <c r="FB110" s="151" t="str">
        <f>VLOOKUP(A110,'Données projet'!$A$217:$I$237,2,0)</f>
        <v>#N/A</v>
      </c>
      <c r="FC110" s="151" t="str">
        <f>VLOOKUP(A110,'Données projet'!$A$217:$I$237,9,0)</f>
        <v>#N/A</v>
      </c>
      <c r="FD110" s="151" t="str">
        <f t="array" ref="FD110">INDEX(FC:FC,MIN(IF(ISNUMBER(FC110:FC306),ROW(FC110:FC306),"")))</f>
        <v/>
      </c>
      <c r="FE110" s="151">
        <f>IF('Données projet'!$A$218&gt;35,FE109+FD110-FM109,IF(A110&lt;'Données projet'!$A$218,$FB$205^A110,IF(A110='Données projet'!$A$218,'Données projet'!$B$218,FE109+FD110-FM109)))</f>
        <v>0</v>
      </c>
      <c r="FF110" s="158" t="str">
        <f>FE110*VLOOKUP('Données projet'!$B$16,'Paramètres'!$A$1:$I$88,3,0)*VLOOKUP('Données projet'!$B$16,'Paramètres'!$A$1:$I$88,5,0)</f>
        <v>#N/A</v>
      </c>
      <c r="FG110" s="150" t="str">
        <f t="shared" si="48"/>
        <v>#N/A</v>
      </c>
      <c r="FH110" s="161" t="str">
        <f t="shared" si="23"/>
        <v>#N/A</v>
      </c>
      <c r="FI110" s="153" t="str">
        <f t="shared" si="24"/>
        <v>#N/A</v>
      </c>
      <c r="FJ110" s="153" t="str">
        <f>AVERAGE(OFFSET($FI$3,0,0,'Données projet'!$E$16+1,1))-AVERAGE(OFFSET($H$3,0,0,'Données projet'!$E$16+1,1))</f>
        <v>#N/A</v>
      </c>
      <c r="FK110" s="153" t="str">
        <f t="shared" si="49"/>
        <v>#N/A</v>
      </c>
      <c r="FL110" s="154">
        <f>IF(ISNA(VLOOKUP(A110,'Données projet'!$A$217:$I$237,3,0)),0,VLOOKUP(A110,'Données projet'!$A$217:$I$237,3,0))</f>
        <v>0</v>
      </c>
      <c r="FM110" s="154">
        <f>IF(ISNA(VLOOKUP(A110,'Données projet'!$A$217:$I$237,4,0)),0,VLOOKUP(A110,'Données projet'!$A$217:$I$237,4,0))</f>
        <v>0</v>
      </c>
      <c r="FN110" s="155">
        <f>IF(ISNA(VLOOKUP(A110,'Données projet'!$A$217:$I$237,5,0)),0%,VLOOKUP(A110,'Données projet'!$A$217:$I$237,5,0)*VLOOKUP('Données projet'!$B$16,'Paramètres'!$A$1:$I$88,7,0))</f>
        <v>0</v>
      </c>
      <c r="FO110" s="155">
        <f>IF(ISNA(VLOOKUP(A110,'Données projet'!$A$217:$I$237,6,0)),0%,VLOOKUP(A110,'Données projet'!$A$217:$I$237,6,0)*VLOOKUP('Données projet'!$B$16,'Paramètres'!$A$1:$I$88,7,0))</f>
        <v>0</v>
      </c>
      <c r="FP110" s="155">
        <f>IF(ISNA(VLOOKUP(A110,'Données projet'!$A$217:$I$237,7,0)),0%,VLOOKUP(A110,'Données projet'!$A$217:$I$237,7,0))</f>
        <v>0</v>
      </c>
      <c r="FQ110" s="162" t="str">
        <f>EXP(-LN(2)/35)*FQ109+(1-EXP(-LN(2)/35))/(LN(2)/35)*FM110*FN110*VLOOKUP('Données projet'!$B$16,'Paramètres'!$A$1:$I$88,3,0)*0.475*44/12</f>
        <v>#N/A</v>
      </c>
      <c r="FR110" s="162" t="str">
        <f>EXP(-LN(2)/25)*FR109+(1-EXP(-LN(2)/25))/(LN(2)/25)*Calculateur!FM110*Calculateur!FO110*VLOOKUP('Données projet'!$B$16,'Paramètres'!$A$1:$I$88,3,0)*0.475*44/12</f>
        <v>#N/A</v>
      </c>
      <c r="FS110" s="162" t="str">
        <f>EXP(-LN(2)/2)*FS109+(1-EXP(-LN(2)/2))/(LN(2)/2)*FM110*FP110*VLOOKUP('Données projet'!$B$16,'Paramètres'!$A$1:$I$88,3,0)*0.475*44/12</f>
        <v>#N/A</v>
      </c>
      <c r="FT110" s="163" t="str">
        <f t="shared" si="25"/>
        <v>#N/A</v>
      </c>
      <c r="FU110" s="159">
        <f>('Scénario référence'!$F$8+'Scénario référence'!$F$9+'Scénario référence'!$B$17+'Scénario référence'!$B$9+'Scénario référence'!$B$10)*70+IF((45+25*(1-EXP(-0.0175*A110)))&lt;70,'Scénario référence'!$B$16*(45+25*(1-EXP(-0.0175*A110))),70*'Scénario référence'!$B$16)+IF((32+38*(1-EXP(-0.0175*A110)))&lt;70,'Scénario référence'!$B$18*(32+38*(1-EXP(-0.0175*A110))),70*'Scénario référence'!$B$18)</f>
        <v>70</v>
      </c>
      <c r="FV110" s="151">
        <f>IF(A110&gt;30,10,('Scénario référence'!$B$16+'Scénario référence'!$B$17+'Scénario référence'!$B$18+'Scénario référence'!$B$9+'Scénario référence'!$B$10)*A110*10/30+('Scénario référence'!$F$8+'Scénario référence'!$F$9)*10)</f>
        <v>10</v>
      </c>
      <c r="FW110" s="151" t="str">
        <f>VLOOKUP(A110,'Données projet'!$A$243:$I$263,2,0)</f>
        <v>#N/A</v>
      </c>
      <c r="FX110" s="151" t="str">
        <f>VLOOKUP(A110,'Données projet'!$A$243:$I$263,9,0)</f>
        <v>#N/A</v>
      </c>
      <c r="FY110" s="151" t="str">
        <f t="array" ref="FY110">INDEX(FX:FX,MIN(IF(ISNUMBER(FX110:FX306),ROW(FX110:FX306),"")))</f>
        <v/>
      </c>
      <c r="FZ110" s="151">
        <f>IF('Données projet'!$A$244&gt;35,FZ109+FY110-GH109,IF(A110&lt;'Données projet'!$A$244,$FW$205^A110,IF(A110='Données projet'!$A$244,'Données projet'!$B$244,FZ109+FY110-GH109)))</f>
        <v>0</v>
      </c>
      <c r="GA110" s="158" t="str">
        <f>FZ110*VLOOKUP('Données projet'!$B$17,'Paramètres'!$A$1:$I$88,3,0)*VLOOKUP('Données projet'!$B$17,'Paramètres'!$A$1:$I$88,5,0)</f>
        <v>#N/A</v>
      </c>
      <c r="GB110" s="150" t="str">
        <f t="shared" si="50"/>
        <v>#N/A</v>
      </c>
      <c r="GC110" s="161" t="str">
        <f t="shared" si="26"/>
        <v>#N/A</v>
      </c>
      <c r="GD110" s="153" t="str">
        <f t="shared" si="27"/>
        <v>#N/A</v>
      </c>
      <c r="GE110" s="153" t="str">
        <f>AVERAGE(OFFSET($GD$3,0,0,'Données projet'!$E$17+1,1))-AVERAGE(OFFSET($H$3,0,0,'Données projet'!$E$17+1,1))</f>
        <v>#N/A</v>
      </c>
      <c r="GF110" s="153" t="str">
        <f t="shared" si="51"/>
        <v>#N/A</v>
      </c>
      <c r="GG110" s="154">
        <f>IF(ISNA(VLOOKUP(A110,'Données projet'!$A$243:$I$263,3,0)),0,VLOOKUP(A110,'Données projet'!$A$243:$I$263,3,0))</f>
        <v>0</v>
      </c>
      <c r="GH110" s="154">
        <f>IF(ISNA(VLOOKUP(A110,'Données projet'!$A$243:$I$263,4,0)),0,VLOOKUP(A110,'Données projet'!$A$243:$I$263,4,0))</f>
        <v>0</v>
      </c>
      <c r="GI110" s="155">
        <f>IF(ISNA(VLOOKUP(A110,'Données projet'!$A$243:$I$263,5,0)),0%,VLOOKUP(A110,'Données projet'!$A$243:$I$263,5,0)*VLOOKUP('Données projet'!$B$17,'Paramètres'!$A$1:$I$88,7,0))</f>
        <v>0</v>
      </c>
      <c r="GJ110" s="155">
        <f>IF(ISNA(VLOOKUP(A110,'Données projet'!$A$243:$I$263,6,0)),0%,VLOOKUP(A110,'Données projet'!$A$243:$I$263,6,0)*VLOOKUP('Données projet'!$B$17,'Paramètres'!$A$1:$I$88,7,0))</f>
        <v>0</v>
      </c>
      <c r="GK110" s="155">
        <f>IF(ISNA(VLOOKUP(A110,'Données projet'!$A$243:$I$263,7,0)),0%,VLOOKUP(A110,'Données projet'!$A$243:$I$263,7,0))</f>
        <v>0</v>
      </c>
      <c r="GL110" s="162" t="str">
        <f>EXP(-LN(2)/35)*GL109+(1-EXP(-LN(2)/35))/(LN(2)/35)*GH110*GI110*VLOOKUP('Données projet'!$B$17,'Paramètres'!$A$1:$I$88,3,0)*0.475*44/12</f>
        <v>#N/A</v>
      </c>
      <c r="GM110" s="162" t="str">
        <f>EXP(-LN(2)/25)*GM109+(1-EXP(-LN(2)/25))/(LN(2)/25)*Calculateur!GH110*Calculateur!GJ110*VLOOKUP('Données projet'!$B$17,'Paramètres'!$A$1:$I$88,3,0)*0.475*44/12</f>
        <v>#N/A</v>
      </c>
      <c r="GN110" s="162" t="str">
        <f>EXP(-LN(2)/2)*GN109+(1-EXP(-LN(2)/2))/(LN(2)/2)*GH110*GK110*VLOOKUP('Données projet'!$B$17,'Paramètres'!$A$1:$I$88,3,0)*0.475*44/12</f>
        <v>#N/A</v>
      </c>
      <c r="GO110" s="162" t="str">
        <f t="shared" si="28"/>
        <v>#N/A</v>
      </c>
      <c r="GP110" s="159">
        <f>('Scénario référence'!$F$8+'Scénario référence'!$F$9+'Scénario référence'!$B$17+'Scénario référence'!$B$9+'Scénario référence'!$B$10)*70+IF((45+25*(1-EXP(-0.0175*A110)))&lt;70,'Scénario référence'!$B$16*(45+25*(1-EXP(-0.0175*A110))),70*'Scénario référence'!$B$16)+IF((32+38*(1-EXP(-0.0175*A110)))&lt;70,'Scénario référence'!$B$18*(32+38*(1-EXP(-0.0175*A110))),70*'Scénario référence'!$B$18)</f>
        <v>70</v>
      </c>
      <c r="GQ110" s="151">
        <f>IF(A110&gt;30,10,('Scénario référence'!$B$16+'Scénario référence'!$B$17+'Scénario référence'!$B$18+'Scénario référence'!$B$9+'Scénario référence'!$B$10)*A110*10/30+('Scénario référence'!$F$8+'Scénario référence'!$F$9)*10)</f>
        <v>10</v>
      </c>
      <c r="GR110" s="151" t="str">
        <f>VLOOKUP(A110,'Données projet'!$A$269:$I$289,2,0)</f>
        <v>#N/A</v>
      </c>
      <c r="GS110" s="151" t="str">
        <f>VLOOKUP(A110,'Données projet'!$A$269:$I$289,9,0)</f>
        <v>#N/A</v>
      </c>
      <c r="GT110" s="151" t="str">
        <f t="array" ref="GT110">INDEX(GS:GS,MIN(IF(ISNUMBER(GS110:GS306),ROW(GS110:GS306),"")))</f>
        <v/>
      </c>
      <c r="GU110" s="151">
        <f>IF('Données projet'!$A$270&gt;35,GU109+GT110-HC109,IF(A110&lt;'Données projet'!$A$270,$GR$205^A110,IF(A110='Données projet'!$A$270,'Données projet'!$B$270,GU109+GT110-HC109)))</f>
        <v>0</v>
      </c>
      <c r="GV110" s="158" t="str">
        <f>GU110*VLOOKUP('Données projet'!$B$18,'Paramètres'!$A$1:$I$88,3,0)*VLOOKUP('Données projet'!$B$18,'Paramètres'!$A$1:$I$88,5,0)</f>
        <v>#N/A</v>
      </c>
      <c r="GW110" s="150" t="str">
        <f t="shared" si="52"/>
        <v>#N/A</v>
      </c>
      <c r="GX110" s="161" t="str">
        <f t="shared" si="29"/>
        <v>#N/A</v>
      </c>
      <c r="GY110" s="153" t="str">
        <f t="shared" si="30"/>
        <v>#N/A</v>
      </c>
      <c r="GZ110" s="153" t="str">
        <f>AVERAGE(OFFSET($GY$3,0,0,'Données projet'!$E$18+1,1))-AVERAGE(OFFSET($H$3,0,0,'Données projet'!$E$18+1,1))</f>
        <v>#N/A</v>
      </c>
      <c r="HA110" s="153" t="str">
        <f t="shared" si="53"/>
        <v>#N/A</v>
      </c>
      <c r="HB110" s="154">
        <f>IF(ISNA(VLOOKUP(A110,'Données projet'!$A$269:$I$289,3,0)),0,VLOOKUP(A110,'Données projet'!$A$269:$I$289,3,0))</f>
        <v>0</v>
      </c>
      <c r="HC110" s="154">
        <f>IF(ISNA(VLOOKUP(A110,'Données projet'!$A$269:$I$289,4,0)),0,VLOOKUP(A110,'Données projet'!$A$269:$I$289,4,0))</f>
        <v>0</v>
      </c>
      <c r="HD110" s="155">
        <f>IF(ISNA(VLOOKUP(A110,'Données projet'!$A$269:$I$289,5,0)),0%,VLOOKUP(A110,'Données projet'!$A$269:$I$289,5,0)*VLOOKUP('Données projet'!$B$18,'Paramètres'!$A$1:$I$88,7,0))</f>
        <v>0</v>
      </c>
      <c r="HE110" s="155">
        <f>IF(ISNA(VLOOKUP(A110,'Données projet'!$A$269:$I$289,6,0)),0%,VLOOKUP(A110,'Données projet'!$A$269:$I$289,6,0)*VLOOKUP('Données projet'!$B$18,'Paramètres'!$A$1:$I$88,7,0))</f>
        <v>0</v>
      </c>
      <c r="HF110" s="155">
        <f>IF(ISNA(VLOOKUP(A110,'Données projet'!$A$269:$I$289,7,0)),0%,VLOOKUP(A110,'Données projet'!$A$269:$I$289,7,0))</f>
        <v>0</v>
      </c>
      <c r="HG110" s="162" t="str">
        <f>EXP(-LN(2)/35)*HG109+(1-EXP(-LN(2)/35))/(LN(2)/35)*HC110*HD110*VLOOKUP('Données projet'!$B$18,'Paramètres'!$A$1:$I$88,3,0)*0.475*44/12</f>
        <v>#N/A</v>
      </c>
      <c r="HH110" s="162" t="str">
        <f>EXP(-LN(2)/25)*HH109+(1-EXP(-LN(2)/25))/(LN(2)/25)*Calculateur!HC110*Calculateur!HE110*VLOOKUP('Données projet'!$B$18,'Paramètres'!$A$1:$I$88,3,0)*0.475*44/12</f>
        <v>#N/A</v>
      </c>
      <c r="HI110" s="162" t="str">
        <f>EXP(-LN(2)/2)*HI109+(1-EXP(-LN(2)/2))/(LN(2)/2)*HC110*HF110*VLOOKUP('Données projet'!$B$18,'Paramètres'!$A$1:$I$88,3,0)*0.475*44/12</f>
        <v>#N/A</v>
      </c>
      <c r="HJ110" s="163" t="str">
        <f t="shared" si="31"/>
        <v>#N/A</v>
      </c>
    </row>
    <row r="111" ht="15.75" customHeight="1">
      <c r="A111" s="145">
        <f t="shared" si="32"/>
        <v>108</v>
      </c>
      <c r="B111" s="146">
        <f>'Scénario référence'!$B$16*5+'Scénario référence'!$B$17*0+'Scénario référence'!$B$18*5</f>
        <v>0</v>
      </c>
      <c r="C111" s="160">
        <f>Calculateur!C110+'Scénario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11" s="147">
        <f t="shared" si="33"/>
        <v>0</v>
      </c>
      <c r="E111" s="147">
        <f>'Scénario référence'!$B$16*45+('Scénario référence'!$B$17+'Scénario référence'!$F$8+'Scénario référence'!$F$9+'Scénario référence'!$B$10+'Scénario référence'!$B$9)*70+'Scénario référence'!$B$18*32</f>
        <v>70</v>
      </c>
      <c r="F111" s="147">
        <f>IF(OR('Scénario référence'!$F$8&gt;0,'Scénario référence'!$F$9&gt;0),('Scénario référence'!$F$8+'Scénario référence'!$F$9)*10,0)</f>
        <v>0</v>
      </c>
      <c r="G111" s="147">
        <f>'Scénario référence'!$B$8*B111*44/12+'Scénario référence'!$B$9*(C111+D111)/0.475*44/12+'Scénario référence'!$B$10*(C111+D111)/0.475*44/12+'Scénario référence'!$F$8*(C111+D111)/0.475*44/12+'Scénario référence'!$F$9*(C111+D111)/0.475*44/12</f>
        <v>0</v>
      </c>
      <c r="H111" s="148">
        <f t="shared" si="1"/>
        <v>256.6666667</v>
      </c>
      <c r="I111" s="149">
        <f>('Scénario référence'!$F$8+'Scénario référence'!$F$9+'Scénario référence'!$B$17+'Scénario référence'!$B$9+'Scénario référence'!$B$10)*70+IF((45+25*(1-EXP(-0.0175*A111)))&lt;70,'Scénario référence'!$B$16*(45+25*(1-EXP(-0.0175*A111))),70*'Scénario référence'!$B$16)+IF((32+38*(1-EXP(-0.0175*A111)))&lt;70,'Scénario référence'!$B$18*(32+38*(1-EXP(-0.0175*A111))),70*'Scénario référence'!$B$18)</f>
        <v>70</v>
      </c>
      <c r="J111" s="150">
        <f>IF(A111&gt;30,10,('Scénario référence'!$B$16+'Scénario référence'!$B$17+'Scénario référence'!$B$18+'Scénario référence'!$B$9+'Scénario référence'!$B$10)*A111*10/30+('Scénario référence'!$F$8+'Scénario référence'!$F$9)*10)</f>
        <v>10</v>
      </c>
      <c r="K111" s="151" t="str">
        <f>VLOOKUP(A111,'Données projet'!$A$35:$I$55,2,0)</f>
        <v>#N/A</v>
      </c>
      <c r="L111" s="151" t="str">
        <f>VLOOKUP(A111,'Données projet'!$A$35:$I$55,9,0)</f>
        <v>#N/A</v>
      </c>
      <c r="M111" s="150">
        <f t="array" ref="M111">INDEX(L:L,MIN(IF(ISNUMBER(L111:L307),ROW(L111:L307),"")))</f>
        <v>5</v>
      </c>
      <c r="N111" s="150">
        <f>IF('Données projet'!$A$36&gt;35,N110+M111-V110,IF(A111&lt;'Données projet'!$A$36,$K$205^A111,IF(A111='Données projet'!$A$36,'Données projet'!$B$36,N110+M111-V110)))</f>
        <v>322</v>
      </c>
      <c r="O111" s="150">
        <f>N111*VLOOKUP('Données projet'!$B$9,'Paramètres'!$A$1:$I$88,3,0)*VLOOKUP('Données projet'!$B$9,'Paramètres'!$A$1:$I$88,5,0)</f>
        <v>291.3456</v>
      </c>
      <c r="P111" s="150">
        <f t="shared" si="34"/>
        <v>69.35908949</v>
      </c>
      <c r="Q111" s="161">
        <f t="shared" si="2"/>
        <v>628.2273342</v>
      </c>
      <c r="R111" s="153">
        <f t="shared" si="3"/>
        <v>921.5606675</v>
      </c>
      <c r="S111" s="153">
        <f>AVERAGE(OFFSET($R$3,0,0,'Données projet'!$E$9+1,1))-AVERAGE(OFFSET($H$3,0,0,'Données projet'!$E$9+1,1))</f>
        <v>439.1985427</v>
      </c>
      <c r="T111" s="153">
        <f t="shared" si="35"/>
        <v>278.2174123</v>
      </c>
      <c r="U111" s="154">
        <f>IF(ISNA(VLOOKUP(A111,'Données projet'!$A$35:$I$55,3,0)),0,VLOOKUP(A111,'Données projet'!$A$35:$I$55,3,0))</f>
        <v>0</v>
      </c>
      <c r="V111" s="154">
        <f>IF(ISNA(VLOOKUP(A111,'Données projet'!$A$35:$I$55,4,0)),0,VLOOKUP(A111,'Données projet'!$A$35:$I$55,4,0))</f>
        <v>0</v>
      </c>
      <c r="W111" s="155">
        <f>IF(ISNA(VLOOKUP(A111,'Données projet'!$A$35:$I$55,5,0)),0%,VLOOKUP(A111,'Données projet'!$A$35:$I$55,5,0)*VLOOKUP('Données projet'!$B$9,'Paramètres'!$A$1:$I$88,7,0))</f>
        <v>0</v>
      </c>
      <c r="X111" s="155">
        <f>IF(ISNA(VLOOKUP(A111,'Données projet'!$A$35:$I$55,6,0)),0%,VLOOKUP(A111,'Données projet'!$A$35:$I$55,6,0)*VLOOKUP('Données projet'!$B$9,'Paramètres'!$A$1:$I$88,7,0))</f>
        <v>0</v>
      </c>
      <c r="Y111" s="155">
        <f>IF(ISNA(VLOOKUP(A111,'Données projet'!$A$35:$I$55,7,0)),0%,VLOOKUP(A111,'Données projet'!$A$35:$I$55,7,0))</f>
        <v>0</v>
      </c>
      <c r="Z111" s="162">
        <f>EXP(-LN(2)/35)*Z110+(1-EXP(-LN(2)/35))/(LN(2)/35)*V111*W111*VLOOKUP('Données projet'!$B$9,'Paramètres'!$A$1:$I$88,3,0)*0.475*44/12</f>
        <v>0</v>
      </c>
      <c r="AA111" s="162">
        <f>EXP(-LN(2)/25)*AA110+(1-EXP(-LN(2)/25))/(LN(2)/25)*Calculateur!V111*Calculateur!X111*VLOOKUP('Données projet'!$B$9,'Paramètres'!$A$1:$I$88,3,0)*0.475*44/12</f>
        <v>0.5161770515</v>
      </c>
      <c r="AB111" s="162">
        <f>EXP(-LN(2)/2)*AB110+(1-EXP(-LN(2)/2))/(LN(2)/2)*V111*Y111*VLOOKUP('Données projet'!$B$9,'Paramètres'!$A$1:$I$88,3,0)*0.475*44/12</f>
        <v>0</v>
      </c>
      <c r="AC111" s="163">
        <f t="shared" si="4"/>
        <v>0.5161770515</v>
      </c>
      <c r="AD111" s="150">
        <f>('Scénario référence'!$F$8+'Scénario référence'!$F$9+'Scénario référence'!$B$17+'Scénario référence'!$B$9+'Scénario référence'!$B$10)*70+IF((45+25*(1-EXP(-0.0175*A111)))&lt;70,'Scénario référence'!$B$16*(45+25*(1-EXP(-0.0175*A111))),70*'Scénario référence'!$B$16)+IF((32+38*(1-EXP(-0.0175*A111)))&lt;70,'Scénario référence'!$B$18*(32+38*(1-EXP(-0.0175*A111))),70*'Scénario référence'!$B$18)</f>
        <v>70</v>
      </c>
      <c r="AE111" s="150">
        <f>IF(A111&gt;30,10,('Scénario référence'!$B$16+'Scénario référence'!$B$17+'Scénario référence'!$B$18+'Scénario référence'!$B$9+'Scénario référence'!$B$10)*A111*10/30+('Scénario référence'!$F$8+'Scénario référence'!$F$9)*10)</f>
        <v>10</v>
      </c>
      <c r="AF111" s="151" t="str">
        <f>VLOOKUP(A111,'Données projet'!$A$61:$I$81,2,0)</f>
        <v>#N/A</v>
      </c>
      <c r="AG111" s="151" t="str">
        <f>VLOOKUP(A111,'Données projet'!$A$61:$I$81,9,0)</f>
        <v>#N/A</v>
      </c>
      <c r="AH111" s="151" t="str">
        <f t="array" ref="AH111">INDEX(AG:AG,MIN(IF(ISNUMBER(AG111:AG307),ROW(AG111:AG307),"")))</f>
        <v/>
      </c>
      <c r="AI111" s="150">
        <f>IF('Données projet'!$A$62&gt;35,AI110+AH111-AQ110,IF(A111&lt;'Données projet'!$A$62,$AF$205^A111,IF(A111='Données projet'!$A$62,'Données projet'!$B$62,AI110+AH111-AQ110)))</f>
        <v>369</v>
      </c>
      <c r="AJ111" s="150">
        <f>AI111*VLOOKUP('Données projet'!$B$10,'Paramètres'!$A$1:$I$88,3,0)*VLOOKUP('Données projet'!$B$10,'Paramètres'!$A$1:$I$88,5,0)</f>
        <v>293.5764</v>
      </c>
      <c r="AK111" s="150">
        <f t="shared" si="36"/>
        <v>69.82813851</v>
      </c>
      <c r="AL111" s="161">
        <f t="shared" si="5"/>
        <v>632.9295712</v>
      </c>
      <c r="AM111" s="153">
        <f t="shared" si="6"/>
        <v>926.2629046</v>
      </c>
      <c r="AN111" s="153">
        <f>AVERAGE(OFFSET($AM$3,0,0,'Données projet'!$E$10+1,1))-AVERAGE(OFFSET($H$3,0,0,'Données projet'!$E$10+1,1))</f>
        <v>405.6113614</v>
      </c>
      <c r="AO111" s="153">
        <f t="shared" si="37"/>
        <v>393.0787141</v>
      </c>
      <c r="AP111" s="154">
        <f>IF(ISNA(VLOOKUP(A111,'Données projet'!$A$61:$I$81,3,0)),0,VLOOKUP(A111,'Données projet'!$A$61:$I$81,3,0))</f>
        <v>0</v>
      </c>
      <c r="AQ111" s="154">
        <f>IF(ISNA(VLOOKUP(A111,'Données projet'!$A$61:$I$81,4,0)),0,VLOOKUP(A111,'Données projet'!$A$61:$I$81,4,0))</f>
        <v>0</v>
      </c>
      <c r="AR111" s="155">
        <f>IF(ISNA(VLOOKUP(A111,'Données projet'!$A$61:$I$81,5,0)),0%,VLOOKUP(A111,'Données projet'!$A$61:$I$81,5,0)*VLOOKUP('Données projet'!$B$10,'Paramètres'!$A$1:$I$88,7,0))</f>
        <v>0</v>
      </c>
      <c r="AS111" s="155">
        <f>IF(ISNA(VLOOKUP(A111,'Données projet'!$A$61:$I$81,6,0)),0%,VLOOKUP(A111,'Données projet'!$A$61:$I$81,6,0)*VLOOKUP('Données projet'!$B$10,'Paramètres'!$A$1:$I$88,7,0))</f>
        <v>0</v>
      </c>
      <c r="AT111" s="155">
        <f>IF(ISNA(VLOOKUP(A111,'Données projet'!$A$61:$I$81,7,0)),0%,VLOOKUP(A111,'Données projet'!$A$61:$I$81,7,0))</f>
        <v>0</v>
      </c>
      <c r="AU111" s="162">
        <f>EXP(-LN(2)/35)*AU110+(1-EXP(-LN(2)/35))/(LN(2)/35)*AQ111*AR111*VLOOKUP('Données projet'!$B$10,'Paramètres'!$A$1:$I$88,3,0)*0.475*44/12</f>
        <v>0</v>
      </c>
      <c r="AV111" s="162">
        <f>EXP(-LN(2)/25)*AV110+(1-EXP(-LN(2)/25))/(LN(2)/25)*Calculateur!AQ111*Calculateur!AS111*VLOOKUP('Données projet'!$B$10,'Paramètres'!$A$1:$I$88,3,0)*0.475*44/12</f>
        <v>2.097874755</v>
      </c>
      <c r="AW111" s="162">
        <f>EXP(-LN(2)/2)*AW110+(1-EXP(-LN(2)/2))/(LN(2)/2)*AQ111*AT111*VLOOKUP('Données projet'!$B$10,'Paramètres'!$A$1:$I$88,3,0)*0.475*44/12</f>
        <v>0</v>
      </c>
      <c r="AX111" s="162">
        <f t="shared" si="7"/>
        <v>2.097874755</v>
      </c>
      <c r="AY111" s="157">
        <f>('Scénario référence'!$F$8+'Scénario référence'!$F$9+'Scénario référence'!$B$17+'Scénario référence'!$B$9+'Scénario référence'!$B$10)*70+IF((45+25*(1-EXP(-0.0175*A111)))&lt;70,'Scénario référence'!$B$16*(45+25*(1-EXP(-0.0175*A111))),70*'Scénario référence'!$B$16)+IF((32+38*(1-EXP(-0.0175*A111)))&lt;70,'Scénario référence'!$B$18*(32+38*(1-EXP(-0.0175*A111))),70*'Scénario référence'!$B$18)</f>
        <v>70</v>
      </c>
      <c r="AZ111" s="151">
        <f>IF(A111&gt;30,10,('Scénario référence'!$B$16+'Scénario référence'!$B$17+'Scénario référence'!$B$18+'Scénario référence'!$B$9+'Scénario référence'!$B$10)*A111*10/30+('Scénario référence'!$F$8+'Scénario référence'!$F$9)*10)</f>
        <v>10</v>
      </c>
      <c r="BA111" s="151" t="str">
        <f>VLOOKUP(A111,'Données projet'!$A$87:$I$107,2,0)</f>
        <v>#N/A</v>
      </c>
      <c r="BB111" s="151" t="str">
        <f>VLOOKUP(A111,'Données projet'!$A$87:$I$107,9,0)</f>
        <v>#N/A</v>
      </c>
      <c r="BC111" s="151" t="str">
        <f t="array" ref="BC111">INDEX(BB:BB,MIN(IF(ISNUMBER(BB111:BB307),ROW(BB111:BB307),"")))</f>
        <v/>
      </c>
      <c r="BD111" s="150">
        <f>IF('Données projet'!$A$88&gt;35,BD110+BC111-BL110,IF(A111&lt;'Données projet'!$A$88,$BA$205^A111,IF(A111='Données projet'!$A$88,'Données projet'!$B$88,BD110+BC111-BL110)))</f>
        <v>0</v>
      </c>
      <c r="BE111" s="150">
        <f>BD111*VLOOKUP('Données projet'!$B$11,'Paramètres'!$A$1:$I$88,3,0)*VLOOKUP('Données projet'!$B$11,'Paramètres'!$A$1:$I$88,5,0)</f>
        <v>0</v>
      </c>
      <c r="BF111" s="150" t="str">
        <f t="shared" si="38"/>
        <v>#NUM!</v>
      </c>
      <c r="BG111" s="161" t="str">
        <f t="shared" si="8"/>
        <v>#NUM!</v>
      </c>
      <c r="BH111" s="153" t="str">
        <f t="shared" si="9"/>
        <v>#NUM!</v>
      </c>
      <c r="BI111" s="153">
        <f>AVERAGE(OFFSET($BH$3,0,0,'Données projet'!$E$11+1,1))-AVERAGE(OFFSET($H$3,0,0,'Données projet'!$E$11+1,1))</f>
        <v>0</v>
      </c>
      <c r="BJ111" s="153">
        <f t="shared" si="39"/>
        <v>0</v>
      </c>
      <c r="BK111" s="154">
        <f>IF(ISNA(VLOOKUP(A111,'Données projet'!$A$87:$I$107,3,0)),0,VLOOKUP(A111,'Données projet'!$A$87:$I$107,3,0))</f>
        <v>0</v>
      </c>
      <c r="BL111" s="154">
        <f>IF(ISNA(VLOOKUP(A111,'Données projet'!$A$87:$I$107,4,0)),0,VLOOKUP(A111,'Données projet'!$A$87:$I$107,4,0))</f>
        <v>0</v>
      </c>
      <c r="BM111" s="155">
        <f>IF(ISNA(VLOOKUP(A111,'Données projet'!$A$87:$I$107,5,0)),0%,VLOOKUP(A111,'Données projet'!$A$87:$I$107,5,0)*VLOOKUP('Données projet'!$B$11,'Paramètres'!$A$1:$I$88,7,0))</f>
        <v>0</v>
      </c>
      <c r="BN111" s="155">
        <f>IF(ISNA(VLOOKUP(A111,'Données projet'!$A$87:$I$107,6,0)),0%,VLOOKUP(A111,'Données projet'!$A$87:$I$107,6,0)*VLOOKUP('Données projet'!$B$11,'Paramètres'!$A$1:$I$88,7,0))</f>
        <v>0</v>
      </c>
      <c r="BO111" s="155">
        <f>IF(ISNA(VLOOKUP(A111,'Données projet'!$A$87:$I$107,7,0)),0%,VLOOKUP(A111,'Données projet'!$A$87:$I$107,7,0))</f>
        <v>0</v>
      </c>
      <c r="BP111" s="162">
        <f>EXP(-LN(2)/35)*BP110+(1-EXP(-LN(2)/35))/(LN(2)/35)*BL111*BM111*VLOOKUP('Données projet'!$B$11,'Paramètres'!$A$1:$I$88,3,0)*0.475*44/12</f>
        <v>0</v>
      </c>
      <c r="BQ111" s="162">
        <f>EXP(-LN(2)/25)*BQ110+(1-EXP(-LN(2)/25))/(LN(2)/25)*Calculateur!BL111*Calculateur!BN111*VLOOKUP('Données projet'!$B$11,'Paramètres'!$A$1:$I$88,3,0)*0.475*44/12</f>
        <v>0</v>
      </c>
      <c r="BR111" s="162">
        <f>EXP(-LN(2)/2)*BR110+(1-EXP(-LN(2)/2))/(LN(2)/2)*BL111*BO111*VLOOKUP('Données projet'!$B$11,'Paramètres'!$A$1:$I$88,3,0)*0.475*44/12</f>
        <v>0</v>
      </c>
      <c r="BS111" s="163">
        <f t="shared" si="10"/>
        <v>0</v>
      </c>
      <c r="BT111" s="159">
        <f>('Scénario référence'!$F$8+'Scénario référence'!$F$9+'Scénario référence'!$B$17+'Scénario référence'!$B$9+'Scénario référence'!$B$10)*70+IF((45+25*(1-EXP(-0.0175*A111)))&lt;70,'Scénario référence'!$B$16*(45+25*(1-EXP(-0.0175*A111))),70*'Scénario référence'!$B$16)+IF((32+38*(1-EXP(-0.0175*A111)))&lt;70,'Scénario référence'!$B$18*(32+38*(1-EXP(-0.0175*A111))),70*'Scénario référence'!$B$18)</f>
        <v>70</v>
      </c>
      <c r="BU111" s="151">
        <f>IF(A111&gt;30,10,('Scénario référence'!$B$16+'Scénario référence'!$B$17+'Scénario référence'!$B$18+'Scénario référence'!$B$9+'Scénario référence'!$B$10)*A111*10/30+('Scénario référence'!$F$8+'Scénario référence'!$F$9)*10)</f>
        <v>10</v>
      </c>
      <c r="BV111" s="151" t="str">
        <f>VLOOKUP(A111,'Données projet'!$A$113:$I$133,2,0)</f>
        <v>#N/A</v>
      </c>
      <c r="BW111" s="151" t="str">
        <f>VLOOKUP(A111,'Données projet'!$A$113:$I$133,9,0)</f>
        <v>#N/A</v>
      </c>
      <c r="BX111" s="151" t="str">
        <f t="array" ref="BX111">INDEX(BW:BW,MIN(IF(ISNUMBER(BW111:BW307),ROW(BW111:BW307),"")))</f>
        <v/>
      </c>
      <c r="BY111" s="150">
        <f>IF('Données projet'!$A$114&gt;35,BY110+BX111-CG110,IF(A111&lt;'Données projet'!$A$114,$BV$205^A111,IF(A111='Données projet'!$A$114,'Données projet'!$B$114,BY110+BX111-CG110)))</f>
        <v>0</v>
      </c>
      <c r="BZ111" s="150" t="str">
        <f>BY111*VLOOKUP('Données projet'!$B$12,'Paramètres'!$A$1:$I$88,3,0)*VLOOKUP('Données projet'!$B$12,'Paramètres'!$A$1:$I$88,5,0)</f>
        <v>#N/A</v>
      </c>
      <c r="CA111" s="150" t="str">
        <f t="shared" si="40"/>
        <v>#N/A</v>
      </c>
      <c r="CB111" s="161" t="str">
        <f t="shared" si="11"/>
        <v>#N/A</v>
      </c>
      <c r="CC111" s="153" t="str">
        <f t="shared" si="12"/>
        <v>#N/A</v>
      </c>
      <c r="CD111" s="153" t="str">
        <f>AVERAGE(OFFSET($CC$3,0,0,'Données projet'!$E$12+1,1))-AVERAGE(OFFSET($H$3,0,0,'Données projet'!$E$12+1,1))</f>
        <v>#N/A</v>
      </c>
      <c r="CE111" s="153" t="str">
        <f t="shared" si="41"/>
        <v>#N/A</v>
      </c>
      <c r="CF111" s="154">
        <f>IF(ISNA(VLOOKUP(A111,'Données projet'!$A$113:$I$133,3,0)),0,VLOOKUP(A111,'Données projet'!$A$113:$I$133,3,0))</f>
        <v>0</v>
      </c>
      <c r="CG111" s="154">
        <f>IF(ISNA(VLOOKUP(A111,'Données projet'!$A$113:$I$133,4,0)),0,VLOOKUP(A111,'Données projet'!$A$113:$I$133,4,0))</f>
        <v>0</v>
      </c>
      <c r="CH111" s="155">
        <f>IF(ISNA(VLOOKUP(A111,'Données projet'!$A$113:$I$133,5,0)),0%,VLOOKUP(A111,'Données projet'!$A$113:$I$133,5,0)*VLOOKUP('Données projet'!$B$12,'Paramètres'!$A$1:$I$88,7,0))</f>
        <v>0</v>
      </c>
      <c r="CI111" s="155">
        <f>IF(ISNA(VLOOKUP(A111,'Données projet'!$A$113:$I$133,6,0)),0%,VLOOKUP(A111,'Données projet'!$A$113:$I$133,6,0)*VLOOKUP('Données projet'!$B$12,'Paramètres'!$A$1:$I$88,7,0))</f>
        <v>0</v>
      </c>
      <c r="CJ111" s="155">
        <f>IF(ISNA(VLOOKUP(A111,'Données projet'!$A$113:$I$133,7,0)),0%,VLOOKUP(A111,'Données projet'!$A$113:$I$133,7,0))</f>
        <v>0</v>
      </c>
      <c r="CK111" s="162" t="str">
        <f>EXP(-LN(2)/35)*CK110+(1-EXP(-LN(2)/35))/(LN(2)/35)*CG111*CH111*VLOOKUP('Données projet'!$B$12,'Paramètres'!$A$1:$I$88,3,0)*0.475*44/12</f>
        <v>#N/A</v>
      </c>
      <c r="CL111" s="162" t="str">
        <f>EXP(-LN(2)/25)*CL110+(1-EXP(-LN(2)/25))/(LN(2)/25)*Calculateur!CG111*Calculateur!CI111*VLOOKUP('Données projet'!$B$12,'Paramètres'!$A$1:$I$88,3,0)*0.475*44/12</f>
        <v>#N/A</v>
      </c>
      <c r="CM111" s="162" t="str">
        <f>EXP(-LN(2)/2)*CM110+(1-EXP(-LN(2)/2))/(LN(2)/2)*CG111*CJ111*VLOOKUP('Données projet'!$B$12,'Paramètres'!$A$1:$I$88,3,0)*0.475*44/12</f>
        <v>#N/A</v>
      </c>
      <c r="CN111" s="163" t="str">
        <f t="shared" si="13"/>
        <v>#N/A</v>
      </c>
      <c r="CO111" s="159">
        <f>('Scénario référence'!$F$8+'Scénario référence'!$F$9+'Scénario référence'!$B$17+'Scénario référence'!$B$9+'Scénario référence'!$B$10)*70+IF((45+25*(1-EXP(-0.0175*A111)))&lt;70,'Scénario référence'!$B$16*(45+25*(1-EXP(-0.0175*A111))),70*'Scénario référence'!$B$16)+IF((32+38*(1-EXP(-0.0175*A111)))&lt;70,'Scénario référence'!$B$18*(32+38*(1-EXP(-0.0175*A111))),70*'Scénario référence'!$B$18)</f>
        <v>70</v>
      </c>
      <c r="CP111" s="151">
        <f>IF(A111&gt;30,10,('Scénario référence'!$B$16+'Scénario référence'!$B$17+'Scénario référence'!$B$18+'Scénario référence'!$B$9+'Scénario référence'!$B$10)*A111*10/30+('Scénario référence'!$F$8+'Scénario référence'!$F$9)*10)</f>
        <v>10</v>
      </c>
      <c r="CQ111" s="151" t="str">
        <f>VLOOKUP(A111,'Données projet'!$A$139:$I$159,2,0)</f>
        <v>#N/A</v>
      </c>
      <c r="CR111" s="151" t="str">
        <f>VLOOKUP(A111,'Données projet'!$A$139:$I$159,9,0)</f>
        <v>#N/A</v>
      </c>
      <c r="CS111" s="151" t="str">
        <f t="array" ref="CS111">INDEX(CR:CR,MIN(IF(ISNUMBER(CR111:CR307),ROW(CR111:CR307),"")))</f>
        <v/>
      </c>
      <c r="CT111" s="151">
        <f>IF('Données projet'!$A$140&gt;35,CT110+CS111-DB110,IF(A111&lt;'Données projet'!$A$140,$CQ$205^A111,IF(A111='Données projet'!$A$140,'Données projet'!$B$140,CT110+CS111-DB110)))</f>
        <v>0</v>
      </c>
      <c r="CU111" s="158" t="str">
        <f>CT111*VLOOKUP('Données projet'!$B$13,'Paramètres'!$A$1:$I$88,3,0)*VLOOKUP('Données projet'!$B$13,'Paramètres'!$A$1:$I$88,5,0)</f>
        <v>#N/A</v>
      </c>
      <c r="CV111" s="150" t="str">
        <f t="shared" si="42"/>
        <v>#N/A</v>
      </c>
      <c r="CW111" s="161" t="str">
        <f t="shared" si="14"/>
        <v>#N/A</v>
      </c>
      <c r="CX111" s="153" t="str">
        <f t="shared" si="15"/>
        <v>#N/A</v>
      </c>
      <c r="CY111" s="153" t="str">
        <f>AVERAGE(OFFSET($CX$3,0,0,'Données projet'!$E$13+1,1))-AVERAGE(OFFSET($H$3,0,0,'Données projet'!$E$13+1,1))</f>
        <v>#N/A</v>
      </c>
      <c r="CZ111" s="153" t="str">
        <f t="shared" si="43"/>
        <v>#N/A</v>
      </c>
      <c r="DA111" s="154">
        <f>IF(ISNA(VLOOKUP(A111,'Données projet'!$A$139:$I$159,3,0)),0,VLOOKUP(A111,'Données projet'!$A$139:$I$159,3,0))</f>
        <v>0</v>
      </c>
      <c r="DB111" s="154">
        <f>IF(ISNA(VLOOKUP(A111,'Données projet'!$A$139:$I$159,4,0)),0,VLOOKUP(A111,'Données projet'!$A$139:$I$159,4,0))</f>
        <v>0</v>
      </c>
      <c r="DC111" s="155">
        <f>IF(ISNA(VLOOKUP(A111,'Données projet'!$A$139:$I$159,5,0)),0%,VLOOKUP(A111,'Données projet'!$A$139:$I$159,5,0)*VLOOKUP('Données projet'!$B$13,'Paramètres'!$A$1:$I$88,7,0))</f>
        <v>0</v>
      </c>
      <c r="DD111" s="155">
        <f>IF(ISNA(VLOOKUP(A111,'Données projet'!$A$139:$I$159,6,0)),0%,VLOOKUP(A111,'Données projet'!$A$139:$I$159,6,0)*VLOOKUP('Données projet'!$B$13,'Paramètres'!$A$1:$I$88,7,0))</f>
        <v>0</v>
      </c>
      <c r="DE111" s="155">
        <f>IF(ISNA(VLOOKUP(A111,'Données projet'!$A$139:$I$159,7,0)),0%,VLOOKUP(A111,'Données projet'!$A$139:$I$159,7,0))</f>
        <v>0</v>
      </c>
      <c r="DF111" s="162" t="str">
        <f>EXP(-LN(2)/35)*DF110+(1-EXP(-LN(2)/35))/(LN(2)/35)*DB111*DC111*VLOOKUP('Données projet'!$B$13,'Paramètres'!$A$1:$I$88,3,0)*0.475*44/12</f>
        <v>#N/A</v>
      </c>
      <c r="DG111" s="162" t="str">
        <f>EXP(-LN(2)/25)*DG110+(1-EXP(-LN(2)/25))/(LN(2)/25)*Calculateur!DB111*Calculateur!DD111*VLOOKUP('Données projet'!$B$13,'Paramètres'!$A$1:$I$88,3,0)*0.475*44/12</f>
        <v>#N/A</v>
      </c>
      <c r="DH111" s="162" t="str">
        <f>EXP(-LN(2)/2)*DH110+(1-EXP(-LN(2)/2))/(LN(2)/2)*DB111*DE111*VLOOKUP('Données projet'!$B$13,'Paramètres'!$A$1:$I$88,3,0)*0.475*44/12</f>
        <v>#N/A</v>
      </c>
      <c r="DI111" s="163" t="str">
        <f t="shared" si="16"/>
        <v>#N/A</v>
      </c>
      <c r="DJ111" s="159">
        <f>('Scénario référence'!$F$8+'Scénario référence'!$F$9+'Scénario référence'!$B$17+'Scénario référence'!$B$9+'Scénario référence'!$B$10)*70+IF((45+25*(1-EXP(-0.0175*A111)))&lt;70,'Scénario référence'!$B$16*(45+25*(1-EXP(-0.0175*A111))),70*'Scénario référence'!$B$16)+IF((32+38*(1-EXP(-0.0175*A111)))&lt;70,'Scénario référence'!$B$18*(32+38*(1-EXP(-0.0175*A111))),70*'Scénario référence'!$B$18)</f>
        <v>70</v>
      </c>
      <c r="DK111" s="151">
        <f>IF(A111&gt;30,10,('Scénario référence'!$B$16+'Scénario référence'!$B$17+'Scénario référence'!$B$18+'Scénario référence'!$B$9+'Scénario référence'!$B$10)*A111*10/30+('Scénario référence'!$F$8+'Scénario référence'!$F$9)*10)</f>
        <v>10</v>
      </c>
      <c r="DL111" s="151" t="str">
        <f>VLOOKUP(A111,'Données projet'!$A$165:$I$185,2,0)</f>
        <v>#N/A</v>
      </c>
      <c r="DM111" s="151" t="str">
        <f>VLOOKUP(A111,'Données projet'!$A$165:$I$185,9,0)</f>
        <v>#N/A</v>
      </c>
      <c r="DN111" s="151" t="str">
        <f t="array" ref="DN111">INDEX(DM:DM,MIN(IF(ISNUMBER(DM111:DM307),ROW(DM111:DM307),"")))</f>
        <v/>
      </c>
      <c r="DO111" s="151">
        <f>IF('Données projet'!$A$166&gt;35,DO110+DN111-DW110,IF(A111&lt;'Données projet'!$A$166,$DL$205^A111,IF(A111='Données projet'!$A$166,'Données projet'!$B$166,DO110+DN111-DW110)))</f>
        <v>0</v>
      </c>
      <c r="DP111" s="158" t="str">
        <f>DO111*VLOOKUP('Données projet'!$B$14,'Paramètres'!$A$1:$I$88,3,0)*VLOOKUP('Données projet'!$B$14,'Paramètres'!$A$1:$I$88,5,0)</f>
        <v>#N/A</v>
      </c>
      <c r="DQ111" s="150" t="str">
        <f t="shared" si="44"/>
        <v>#N/A</v>
      </c>
      <c r="DR111" s="161" t="str">
        <f t="shared" si="17"/>
        <v>#N/A</v>
      </c>
      <c r="DS111" s="153" t="str">
        <f t="shared" si="18"/>
        <v>#N/A</v>
      </c>
      <c r="DT111" s="153" t="str">
        <f>AVERAGE(OFFSET($DS$3,0,0,'Données projet'!$E$14+1,1))-AVERAGE(OFFSET($H$3,0,0,'Données projet'!$E$14+1,1))</f>
        <v>#N/A</v>
      </c>
      <c r="DU111" s="153" t="str">
        <f t="shared" si="45"/>
        <v>#N/A</v>
      </c>
      <c r="DV111" s="154">
        <f>IF(ISNA(VLOOKUP(A111,'Données projet'!$A$165:$I$185,3,0)),0,VLOOKUP(A111,'Données projet'!$A$165:$I$185,3,0))</f>
        <v>0</v>
      </c>
      <c r="DW111" s="154">
        <f>IF(ISNA(VLOOKUP(A111,'Données projet'!$A$165:$I$185,4,0)),0,VLOOKUP(A111,'Données projet'!$A$165:$I$185,4,0))</f>
        <v>0</v>
      </c>
      <c r="DX111" s="155">
        <f>IF(ISNA(VLOOKUP(A111,'Données projet'!$A$165:$I$185,5,0)),0%,VLOOKUP(A111,'Données projet'!$A$165:$I$185,5,0)*VLOOKUP('Données projet'!$B$14,'Paramètres'!$A$1:$I$88,7,0))</f>
        <v>0</v>
      </c>
      <c r="DY111" s="155">
        <f>IF(ISNA(VLOOKUP(A111,'Données projet'!$A$165:$I$185,6,0)),0%,VLOOKUP(A111,'Données projet'!$A$165:$I$185,6,0)*VLOOKUP('Données projet'!$B$14,'Paramètres'!$A$1:$I$88,7,0))</f>
        <v>0</v>
      </c>
      <c r="DZ111" s="155">
        <f>IF(ISNA(VLOOKUP(A111,'Données projet'!$A$165:$I$185,7,0)),0%,VLOOKUP(A111,'Données projet'!$A$165:$I$185,7,0))</f>
        <v>0</v>
      </c>
      <c r="EA111" s="162" t="str">
        <f>EXP(-LN(2)/35)*EA110+(1-EXP(-LN(2)/35))/(LN(2)/35)*DW111*DX111*VLOOKUP('Données projet'!$B$14,'Paramètres'!$A$1:$I$88,3,0)*0.475*44/12</f>
        <v>#N/A</v>
      </c>
      <c r="EB111" s="162" t="str">
        <f>EXP(-LN(2)/25)*EB110+(1-EXP(-LN(2)/25))/(LN(2)/25)*Calculateur!DW111*Calculateur!DY111*VLOOKUP('Données projet'!$B$14,'Paramètres'!$A$1:$I$88,3,0)*0.475*44/12</f>
        <v>#N/A</v>
      </c>
      <c r="EC111" s="162" t="str">
        <f>EXP(-LN(2)/2)*EC110+(1-EXP(-LN(2)/2))/(LN(2)/2)*DW111*DZ111*VLOOKUP('Données projet'!$B$14,'Paramètres'!$A$1:$I$88,3,0)*0.475*44/12</f>
        <v>#N/A</v>
      </c>
      <c r="ED111" s="163" t="str">
        <f t="shared" si="19"/>
        <v>#N/A</v>
      </c>
      <c r="EE111" s="159">
        <f>('Scénario référence'!$F$8+'Scénario référence'!$F$9+'Scénario référence'!$B$17+'Scénario référence'!$B$9+'Scénario référence'!$B$10)*70+IF((45+25*(1-EXP(-0.0175*A111)))&lt;70,'Scénario référence'!$B$16*(45+25*(1-EXP(-0.0175*A111))),70*'Scénario référence'!$B$16)+IF((32+38*(1-EXP(-0.0175*A111)))&lt;70,'Scénario référence'!$B$18*(32+38*(1-EXP(-0.0175*A111))),70*'Scénario référence'!$B$18)</f>
        <v>70</v>
      </c>
      <c r="EF111" s="151">
        <f>IF(A111&gt;30,10,('Scénario référence'!$B$16+'Scénario référence'!$B$17+'Scénario référence'!$B$18+'Scénario référence'!$B$9+'Scénario référence'!$B$10)*A111*10/30+('Scénario référence'!$F$8+'Scénario référence'!$F$9)*10)</f>
        <v>10</v>
      </c>
      <c r="EG111" s="151" t="str">
        <f>VLOOKUP(A111,'Données projet'!$A$191:$I$211,2,0)</f>
        <v>#N/A</v>
      </c>
      <c r="EH111" s="151" t="str">
        <f>VLOOKUP(A111,'Données projet'!$A$191:$I$211,9,0)</f>
        <v>#N/A</v>
      </c>
      <c r="EI111" s="151" t="str">
        <f t="array" ref="EI111">INDEX(EH:EH,MIN(IF(ISNUMBER(EH111:EH307),ROW(EH111:EH307),"")))</f>
        <v/>
      </c>
      <c r="EJ111" s="151">
        <f>IF('Données projet'!$A$192&gt;35,EJ110+EI111-ER110,IF(A111&lt;'Données projet'!$A$192,$EG$205^A111,IF(A111='Données projet'!$A$192,'Données projet'!$B$192,EJ110+EI111-ER110)))</f>
        <v>0</v>
      </c>
      <c r="EK111" s="158" t="str">
        <f>EJ111*VLOOKUP('Données projet'!$B$15,'Paramètres'!$A$1:$I$88,3,0)*VLOOKUP('Données projet'!$B$15,'Paramètres'!$A$1:$I$88,5,0)</f>
        <v>#N/A</v>
      </c>
      <c r="EL111" s="150" t="str">
        <f t="shared" si="46"/>
        <v>#N/A</v>
      </c>
      <c r="EM111" s="161" t="str">
        <f t="shared" si="20"/>
        <v>#N/A</v>
      </c>
      <c r="EN111" s="153" t="str">
        <f t="shared" si="21"/>
        <v>#N/A</v>
      </c>
      <c r="EO111" s="153" t="str">
        <f>AVERAGE(OFFSET($EN$3,0,0,'Données projet'!$E$15+1,1))-AVERAGE(OFFSET($H$3,0,0,'Données projet'!$E$15+1,1))</f>
        <v>#N/A</v>
      </c>
      <c r="EP111" s="153" t="str">
        <f t="shared" si="47"/>
        <v>#N/A</v>
      </c>
      <c r="EQ111" s="154">
        <f>IF(ISNA(VLOOKUP(A111,'Données projet'!$A$191:$I$211,3,0)),0,VLOOKUP(A111,'Données projet'!$A$191:$I$211,3,0))</f>
        <v>0</v>
      </c>
      <c r="ER111" s="154">
        <f>IF(ISNA(VLOOKUP(A111,'Données projet'!$A$191:$I$211,4,0)),0,VLOOKUP(A111,'Données projet'!$A$191:$I$211,4,0))</f>
        <v>0</v>
      </c>
      <c r="ES111" s="155">
        <f>IF(ISNA(VLOOKUP(A111,'Données projet'!$A$191:$I$211,5,0)),0%,VLOOKUP(A111,'Données projet'!$A$191:$I$211,5,0)*VLOOKUP('Données projet'!$B$15,'Paramètres'!$A$1:$I$88,7,0))</f>
        <v>0</v>
      </c>
      <c r="ET111" s="155">
        <f>IF(ISNA(VLOOKUP(A111,'Données projet'!$A$191:$I$211,6,0)),0%,VLOOKUP(A111,'Données projet'!$A$191:$I$211,6,0)*VLOOKUP('Données projet'!$B$15,'Paramètres'!$A$1:$I$88,7,0))</f>
        <v>0</v>
      </c>
      <c r="EU111" s="155">
        <f>IF(ISNA(VLOOKUP(A111,'Données projet'!$A$191:$I$211,7,0)),0%,VLOOKUP(A111,'Données projet'!$A$191:$I$211,7,0))</f>
        <v>0</v>
      </c>
      <c r="EV111" s="162" t="str">
        <f>EXP(-LN(2)/35)*EV110+(1-EXP(-LN(2)/35))/(LN(2)/35)*ER111*ES111*VLOOKUP('Données projet'!$B$15,'Paramètres'!$A$1:$I$88,3,0)*0.475*44/12</f>
        <v>#N/A</v>
      </c>
      <c r="EW111" s="162" t="str">
        <f>EXP(-LN(2)/25)*EW110+(1-EXP(-LN(2)/25))/(LN(2)/25)*Calculateur!ER111*Calculateur!ET111*VLOOKUP('Données projet'!$B$15,'Paramètres'!$A$1:$I$88,3,0)*0.475*44/12</f>
        <v>#N/A</v>
      </c>
      <c r="EX111" s="162" t="str">
        <f>EXP(-LN(2)/2)*EX110+(1-EXP(-LN(2)/2))/(LN(2)/2)*ER111*EU111*VLOOKUP('Données projet'!$B$15,'Paramètres'!$A$1:$I$88,3,0)*0.475*44/12</f>
        <v>#N/A</v>
      </c>
      <c r="EY111" s="163" t="str">
        <f t="shared" si="22"/>
        <v>#N/A</v>
      </c>
      <c r="EZ111" s="159">
        <f>('Scénario référence'!$F$8+'Scénario référence'!$F$9+'Scénario référence'!$B$17+'Scénario référence'!$B$9+'Scénario référence'!$B$10)*70+IF((45+25*(1-EXP(-0.0175*A111)))&lt;70,'Scénario référence'!$B$16*(45+25*(1-EXP(-0.0175*A111))),70*'Scénario référence'!$B$16)+IF((32+38*(1-EXP(-0.0175*A111)))&lt;70,'Scénario référence'!$B$18*(32+38*(1-EXP(-0.0175*A111))),70*'Scénario référence'!$B$18)</f>
        <v>70</v>
      </c>
      <c r="FA111" s="151">
        <f>IF(A111&gt;30,10,('Scénario référence'!$B$16+'Scénario référence'!$B$17+'Scénario référence'!$B$18+'Scénario référence'!$B$9+'Scénario référence'!$B$10)*A111*10/30+('Scénario référence'!$F$8+'Scénario référence'!$F$9)*10)</f>
        <v>10</v>
      </c>
      <c r="FB111" s="151" t="str">
        <f>VLOOKUP(A111,'Données projet'!$A$217:$I$237,2,0)</f>
        <v>#N/A</v>
      </c>
      <c r="FC111" s="151" t="str">
        <f>VLOOKUP(A111,'Données projet'!$A$217:$I$237,9,0)</f>
        <v>#N/A</v>
      </c>
      <c r="FD111" s="151" t="str">
        <f t="array" ref="FD111">INDEX(FC:FC,MIN(IF(ISNUMBER(FC111:FC307),ROW(FC111:FC307),"")))</f>
        <v/>
      </c>
      <c r="FE111" s="151">
        <f>IF('Données projet'!$A$218&gt;35,FE110+FD111-FM110,IF(A111&lt;'Données projet'!$A$218,$FB$205^A111,IF(A111='Données projet'!$A$218,'Données projet'!$B$218,FE110+FD111-FM110)))</f>
        <v>0</v>
      </c>
      <c r="FF111" s="158" t="str">
        <f>FE111*VLOOKUP('Données projet'!$B$16,'Paramètres'!$A$1:$I$88,3,0)*VLOOKUP('Données projet'!$B$16,'Paramètres'!$A$1:$I$88,5,0)</f>
        <v>#N/A</v>
      </c>
      <c r="FG111" s="150" t="str">
        <f t="shared" si="48"/>
        <v>#N/A</v>
      </c>
      <c r="FH111" s="161" t="str">
        <f t="shared" si="23"/>
        <v>#N/A</v>
      </c>
      <c r="FI111" s="153" t="str">
        <f t="shared" si="24"/>
        <v>#N/A</v>
      </c>
      <c r="FJ111" s="153" t="str">
        <f>AVERAGE(OFFSET($FI$3,0,0,'Données projet'!$E$16+1,1))-AVERAGE(OFFSET($H$3,0,0,'Données projet'!$E$16+1,1))</f>
        <v>#N/A</v>
      </c>
      <c r="FK111" s="153" t="str">
        <f t="shared" si="49"/>
        <v>#N/A</v>
      </c>
      <c r="FL111" s="154">
        <f>IF(ISNA(VLOOKUP(A111,'Données projet'!$A$217:$I$237,3,0)),0,VLOOKUP(A111,'Données projet'!$A$217:$I$237,3,0))</f>
        <v>0</v>
      </c>
      <c r="FM111" s="154">
        <f>IF(ISNA(VLOOKUP(A111,'Données projet'!$A$217:$I$237,4,0)),0,VLOOKUP(A111,'Données projet'!$A$217:$I$237,4,0))</f>
        <v>0</v>
      </c>
      <c r="FN111" s="155">
        <f>IF(ISNA(VLOOKUP(A111,'Données projet'!$A$217:$I$237,5,0)),0%,VLOOKUP(A111,'Données projet'!$A$217:$I$237,5,0)*VLOOKUP('Données projet'!$B$16,'Paramètres'!$A$1:$I$88,7,0))</f>
        <v>0</v>
      </c>
      <c r="FO111" s="155">
        <f>IF(ISNA(VLOOKUP(A111,'Données projet'!$A$217:$I$237,6,0)),0%,VLOOKUP(A111,'Données projet'!$A$217:$I$237,6,0)*VLOOKUP('Données projet'!$B$16,'Paramètres'!$A$1:$I$88,7,0))</f>
        <v>0</v>
      </c>
      <c r="FP111" s="155">
        <f>IF(ISNA(VLOOKUP(A111,'Données projet'!$A$217:$I$237,7,0)),0%,VLOOKUP(A111,'Données projet'!$A$217:$I$237,7,0))</f>
        <v>0</v>
      </c>
      <c r="FQ111" s="162" t="str">
        <f>EXP(-LN(2)/35)*FQ110+(1-EXP(-LN(2)/35))/(LN(2)/35)*FM111*FN111*VLOOKUP('Données projet'!$B$16,'Paramètres'!$A$1:$I$88,3,0)*0.475*44/12</f>
        <v>#N/A</v>
      </c>
      <c r="FR111" s="162" t="str">
        <f>EXP(-LN(2)/25)*FR110+(1-EXP(-LN(2)/25))/(LN(2)/25)*Calculateur!FM111*Calculateur!FO111*VLOOKUP('Données projet'!$B$16,'Paramètres'!$A$1:$I$88,3,0)*0.475*44/12</f>
        <v>#N/A</v>
      </c>
      <c r="FS111" s="162" t="str">
        <f>EXP(-LN(2)/2)*FS110+(1-EXP(-LN(2)/2))/(LN(2)/2)*FM111*FP111*VLOOKUP('Données projet'!$B$16,'Paramètres'!$A$1:$I$88,3,0)*0.475*44/12</f>
        <v>#N/A</v>
      </c>
      <c r="FT111" s="163" t="str">
        <f t="shared" si="25"/>
        <v>#N/A</v>
      </c>
      <c r="FU111" s="159">
        <f>('Scénario référence'!$F$8+'Scénario référence'!$F$9+'Scénario référence'!$B$17+'Scénario référence'!$B$9+'Scénario référence'!$B$10)*70+IF((45+25*(1-EXP(-0.0175*A111)))&lt;70,'Scénario référence'!$B$16*(45+25*(1-EXP(-0.0175*A111))),70*'Scénario référence'!$B$16)+IF((32+38*(1-EXP(-0.0175*A111)))&lt;70,'Scénario référence'!$B$18*(32+38*(1-EXP(-0.0175*A111))),70*'Scénario référence'!$B$18)</f>
        <v>70</v>
      </c>
      <c r="FV111" s="151">
        <f>IF(A111&gt;30,10,('Scénario référence'!$B$16+'Scénario référence'!$B$17+'Scénario référence'!$B$18+'Scénario référence'!$B$9+'Scénario référence'!$B$10)*A111*10/30+('Scénario référence'!$F$8+'Scénario référence'!$F$9)*10)</f>
        <v>10</v>
      </c>
      <c r="FW111" s="151" t="str">
        <f>VLOOKUP(A111,'Données projet'!$A$243:$I$263,2,0)</f>
        <v>#N/A</v>
      </c>
      <c r="FX111" s="151" t="str">
        <f>VLOOKUP(A111,'Données projet'!$A$243:$I$263,9,0)</f>
        <v>#N/A</v>
      </c>
      <c r="FY111" s="151" t="str">
        <f t="array" ref="FY111">INDEX(FX:FX,MIN(IF(ISNUMBER(FX111:FX307),ROW(FX111:FX307),"")))</f>
        <v/>
      </c>
      <c r="FZ111" s="151">
        <f>IF('Données projet'!$A$244&gt;35,FZ110+FY111-GH110,IF(A111&lt;'Données projet'!$A$244,$FW$205^A111,IF(A111='Données projet'!$A$244,'Données projet'!$B$244,FZ110+FY111-GH110)))</f>
        <v>0</v>
      </c>
      <c r="GA111" s="158" t="str">
        <f>FZ111*VLOOKUP('Données projet'!$B$17,'Paramètres'!$A$1:$I$88,3,0)*VLOOKUP('Données projet'!$B$17,'Paramètres'!$A$1:$I$88,5,0)</f>
        <v>#N/A</v>
      </c>
      <c r="GB111" s="150" t="str">
        <f t="shared" si="50"/>
        <v>#N/A</v>
      </c>
      <c r="GC111" s="161" t="str">
        <f t="shared" si="26"/>
        <v>#N/A</v>
      </c>
      <c r="GD111" s="153" t="str">
        <f t="shared" si="27"/>
        <v>#N/A</v>
      </c>
      <c r="GE111" s="153" t="str">
        <f>AVERAGE(OFFSET($GD$3,0,0,'Données projet'!$E$17+1,1))-AVERAGE(OFFSET($H$3,0,0,'Données projet'!$E$17+1,1))</f>
        <v>#N/A</v>
      </c>
      <c r="GF111" s="153" t="str">
        <f t="shared" si="51"/>
        <v>#N/A</v>
      </c>
      <c r="GG111" s="154">
        <f>IF(ISNA(VLOOKUP(A111,'Données projet'!$A$243:$I$263,3,0)),0,VLOOKUP(A111,'Données projet'!$A$243:$I$263,3,0))</f>
        <v>0</v>
      </c>
      <c r="GH111" s="154">
        <f>IF(ISNA(VLOOKUP(A111,'Données projet'!$A$243:$I$263,4,0)),0,VLOOKUP(A111,'Données projet'!$A$243:$I$263,4,0))</f>
        <v>0</v>
      </c>
      <c r="GI111" s="155">
        <f>IF(ISNA(VLOOKUP(A111,'Données projet'!$A$243:$I$263,5,0)),0%,VLOOKUP(A111,'Données projet'!$A$243:$I$263,5,0)*VLOOKUP('Données projet'!$B$17,'Paramètres'!$A$1:$I$88,7,0))</f>
        <v>0</v>
      </c>
      <c r="GJ111" s="155">
        <f>IF(ISNA(VLOOKUP(A111,'Données projet'!$A$243:$I$263,6,0)),0%,VLOOKUP(A111,'Données projet'!$A$243:$I$263,6,0)*VLOOKUP('Données projet'!$B$17,'Paramètres'!$A$1:$I$88,7,0))</f>
        <v>0</v>
      </c>
      <c r="GK111" s="155">
        <f>IF(ISNA(VLOOKUP(A111,'Données projet'!$A$243:$I$263,7,0)),0%,VLOOKUP(A111,'Données projet'!$A$243:$I$263,7,0))</f>
        <v>0</v>
      </c>
      <c r="GL111" s="162" t="str">
        <f>EXP(-LN(2)/35)*GL110+(1-EXP(-LN(2)/35))/(LN(2)/35)*GH111*GI111*VLOOKUP('Données projet'!$B$17,'Paramètres'!$A$1:$I$88,3,0)*0.475*44/12</f>
        <v>#N/A</v>
      </c>
      <c r="GM111" s="162" t="str">
        <f>EXP(-LN(2)/25)*GM110+(1-EXP(-LN(2)/25))/(LN(2)/25)*Calculateur!GH111*Calculateur!GJ111*VLOOKUP('Données projet'!$B$17,'Paramètres'!$A$1:$I$88,3,0)*0.475*44/12</f>
        <v>#N/A</v>
      </c>
      <c r="GN111" s="162" t="str">
        <f>EXP(-LN(2)/2)*GN110+(1-EXP(-LN(2)/2))/(LN(2)/2)*GH111*GK111*VLOOKUP('Données projet'!$B$17,'Paramètres'!$A$1:$I$88,3,0)*0.475*44/12</f>
        <v>#N/A</v>
      </c>
      <c r="GO111" s="162" t="str">
        <f t="shared" si="28"/>
        <v>#N/A</v>
      </c>
      <c r="GP111" s="159">
        <f>('Scénario référence'!$F$8+'Scénario référence'!$F$9+'Scénario référence'!$B$17+'Scénario référence'!$B$9+'Scénario référence'!$B$10)*70+IF((45+25*(1-EXP(-0.0175*A111)))&lt;70,'Scénario référence'!$B$16*(45+25*(1-EXP(-0.0175*A111))),70*'Scénario référence'!$B$16)+IF((32+38*(1-EXP(-0.0175*A111)))&lt;70,'Scénario référence'!$B$18*(32+38*(1-EXP(-0.0175*A111))),70*'Scénario référence'!$B$18)</f>
        <v>70</v>
      </c>
      <c r="GQ111" s="151">
        <f>IF(A111&gt;30,10,('Scénario référence'!$B$16+'Scénario référence'!$B$17+'Scénario référence'!$B$18+'Scénario référence'!$B$9+'Scénario référence'!$B$10)*A111*10/30+('Scénario référence'!$F$8+'Scénario référence'!$F$9)*10)</f>
        <v>10</v>
      </c>
      <c r="GR111" s="151" t="str">
        <f>VLOOKUP(A111,'Données projet'!$A$269:$I$289,2,0)</f>
        <v>#N/A</v>
      </c>
      <c r="GS111" s="151" t="str">
        <f>VLOOKUP(A111,'Données projet'!$A$269:$I$289,9,0)</f>
        <v>#N/A</v>
      </c>
      <c r="GT111" s="151" t="str">
        <f t="array" ref="GT111">INDEX(GS:GS,MIN(IF(ISNUMBER(GS111:GS307),ROW(GS111:GS307),"")))</f>
        <v/>
      </c>
      <c r="GU111" s="151">
        <f>IF('Données projet'!$A$270&gt;35,GU110+GT111-HC110,IF(A111&lt;'Données projet'!$A$270,$GR$205^A111,IF(A111='Données projet'!$A$270,'Données projet'!$B$270,GU110+GT111-HC110)))</f>
        <v>0</v>
      </c>
      <c r="GV111" s="158" t="str">
        <f>GU111*VLOOKUP('Données projet'!$B$18,'Paramètres'!$A$1:$I$88,3,0)*VLOOKUP('Données projet'!$B$18,'Paramètres'!$A$1:$I$88,5,0)</f>
        <v>#N/A</v>
      </c>
      <c r="GW111" s="150" t="str">
        <f t="shared" si="52"/>
        <v>#N/A</v>
      </c>
      <c r="GX111" s="161" t="str">
        <f t="shared" si="29"/>
        <v>#N/A</v>
      </c>
      <c r="GY111" s="153" t="str">
        <f t="shared" si="30"/>
        <v>#N/A</v>
      </c>
      <c r="GZ111" s="153" t="str">
        <f>AVERAGE(OFFSET($GY$3,0,0,'Données projet'!$E$18+1,1))-AVERAGE(OFFSET($H$3,0,0,'Données projet'!$E$18+1,1))</f>
        <v>#N/A</v>
      </c>
      <c r="HA111" s="153" t="str">
        <f t="shared" si="53"/>
        <v>#N/A</v>
      </c>
      <c r="HB111" s="154">
        <f>IF(ISNA(VLOOKUP(A111,'Données projet'!$A$269:$I$289,3,0)),0,VLOOKUP(A111,'Données projet'!$A$269:$I$289,3,0))</f>
        <v>0</v>
      </c>
      <c r="HC111" s="154">
        <f>IF(ISNA(VLOOKUP(A111,'Données projet'!$A$269:$I$289,4,0)),0,VLOOKUP(A111,'Données projet'!$A$269:$I$289,4,0))</f>
        <v>0</v>
      </c>
      <c r="HD111" s="155">
        <f>IF(ISNA(VLOOKUP(A111,'Données projet'!$A$269:$I$289,5,0)),0%,VLOOKUP(A111,'Données projet'!$A$269:$I$289,5,0)*VLOOKUP('Données projet'!$B$18,'Paramètres'!$A$1:$I$88,7,0))</f>
        <v>0</v>
      </c>
      <c r="HE111" s="155">
        <f>IF(ISNA(VLOOKUP(A111,'Données projet'!$A$269:$I$289,6,0)),0%,VLOOKUP(A111,'Données projet'!$A$269:$I$289,6,0)*VLOOKUP('Données projet'!$B$18,'Paramètres'!$A$1:$I$88,7,0))</f>
        <v>0</v>
      </c>
      <c r="HF111" s="155">
        <f>IF(ISNA(VLOOKUP(A111,'Données projet'!$A$269:$I$289,7,0)),0%,VLOOKUP(A111,'Données projet'!$A$269:$I$289,7,0))</f>
        <v>0</v>
      </c>
      <c r="HG111" s="162" t="str">
        <f>EXP(-LN(2)/35)*HG110+(1-EXP(-LN(2)/35))/(LN(2)/35)*HC111*HD111*VLOOKUP('Données projet'!$B$18,'Paramètres'!$A$1:$I$88,3,0)*0.475*44/12</f>
        <v>#N/A</v>
      </c>
      <c r="HH111" s="162" t="str">
        <f>EXP(-LN(2)/25)*HH110+(1-EXP(-LN(2)/25))/(LN(2)/25)*Calculateur!HC111*Calculateur!HE111*VLOOKUP('Données projet'!$B$18,'Paramètres'!$A$1:$I$88,3,0)*0.475*44/12</f>
        <v>#N/A</v>
      </c>
      <c r="HI111" s="162" t="str">
        <f>EXP(-LN(2)/2)*HI110+(1-EXP(-LN(2)/2))/(LN(2)/2)*HC111*HF111*VLOOKUP('Données projet'!$B$18,'Paramètres'!$A$1:$I$88,3,0)*0.475*44/12</f>
        <v>#N/A</v>
      </c>
      <c r="HJ111" s="163" t="str">
        <f t="shared" si="31"/>
        <v>#N/A</v>
      </c>
    </row>
    <row r="112" ht="15.75" customHeight="1">
      <c r="A112" s="145">
        <f t="shared" si="32"/>
        <v>109</v>
      </c>
      <c r="B112" s="146">
        <f>'Scénario référence'!$B$16*5+'Scénario référence'!$B$17*0+'Scénario référence'!$B$18*5</f>
        <v>0</v>
      </c>
      <c r="C112" s="160">
        <f>Calculateur!C111+'Scénario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12" s="147">
        <f t="shared" si="33"/>
        <v>0</v>
      </c>
      <c r="E112" s="147">
        <f>'Scénario référence'!$B$16*45+('Scénario référence'!$B$17+'Scénario référence'!$F$8+'Scénario référence'!$F$9+'Scénario référence'!$B$10+'Scénario référence'!$B$9)*70+'Scénario référence'!$B$18*32</f>
        <v>70</v>
      </c>
      <c r="F112" s="147">
        <f>IF(OR('Scénario référence'!$F$8&gt;0,'Scénario référence'!$F$9&gt;0),('Scénario référence'!$F$8+'Scénario référence'!$F$9)*10,0)</f>
        <v>0</v>
      </c>
      <c r="G112" s="147">
        <f>'Scénario référence'!$B$8*B112*44/12+'Scénario référence'!$B$9*(C112+D112)/0.475*44/12+'Scénario référence'!$B$10*(C112+D112)/0.475*44/12+'Scénario référence'!$F$8*(C112+D112)/0.475*44/12+'Scénario référence'!$F$9*(C112+D112)/0.475*44/12</f>
        <v>0</v>
      </c>
      <c r="H112" s="148">
        <f t="shared" si="1"/>
        <v>256.6666667</v>
      </c>
      <c r="I112" s="149">
        <f>('Scénario référence'!$F$8+'Scénario référence'!$F$9+'Scénario référence'!$B$17+'Scénario référence'!$B$9+'Scénario référence'!$B$10)*70+IF((45+25*(1-EXP(-0.0175*A112)))&lt;70,'Scénario référence'!$B$16*(45+25*(1-EXP(-0.0175*A112))),70*'Scénario référence'!$B$16)+IF((32+38*(1-EXP(-0.0175*A112)))&lt;70,'Scénario référence'!$B$18*(32+38*(1-EXP(-0.0175*A112))),70*'Scénario référence'!$B$18)</f>
        <v>70</v>
      </c>
      <c r="J112" s="150">
        <f>IF(A112&gt;30,10,('Scénario référence'!$B$16+'Scénario référence'!$B$17+'Scénario référence'!$B$18+'Scénario référence'!$B$9+'Scénario référence'!$B$10)*A112*10/30+('Scénario référence'!$F$8+'Scénario référence'!$F$9)*10)</f>
        <v>10</v>
      </c>
      <c r="K112" s="151" t="str">
        <f>VLOOKUP(A112,'Données projet'!$A$35:$I$55,2,0)</f>
        <v>#N/A</v>
      </c>
      <c r="L112" s="151" t="str">
        <f>VLOOKUP(A112,'Données projet'!$A$35:$I$55,9,0)</f>
        <v>#N/A</v>
      </c>
      <c r="M112" s="150">
        <f t="array" ref="M112">INDEX(L:L,MIN(IF(ISNUMBER(L112:L308),ROW(L112:L308),"")))</f>
        <v>5</v>
      </c>
      <c r="N112" s="150">
        <f>IF('Données projet'!$A$36&gt;35,N111+M112-V111,IF(A112&lt;'Données projet'!$A$36,$K$205^A112,IF(A112='Données projet'!$A$36,'Données projet'!$B$36,N111+M112-V111)))</f>
        <v>327</v>
      </c>
      <c r="O112" s="150">
        <f>N112*VLOOKUP('Données projet'!$B$9,'Paramètres'!$A$1:$I$88,3,0)*VLOOKUP('Données projet'!$B$9,'Paramètres'!$A$1:$I$88,5,0)</f>
        <v>295.8696</v>
      </c>
      <c r="P112" s="150">
        <f t="shared" si="34"/>
        <v>70.30987557</v>
      </c>
      <c r="Q112" s="161">
        <f t="shared" si="2"/>
        <v>637.7625866</v>
      </c>
      <c r="R112" s="153">
        <f t="shared" si="3"/>
        <v>931.0959199</v>
      </c>
      <c r="S112" s="153">
        <f>AVERAGE(OFFSET($R$3,0,0,'Données projet'!$E$9+1,1))-AVERAGE(OFFSET($H$3,0,0,'Données projet'!$E$9+1,1))</f>
        <v>439.1985427</v>
      </c>
      <c r="T112" s="153">
        <f t="shared" si="35"/>
        <v>278.2174123</v>
      </c>
      <c r="U112" s="154">
        <f>IF(ISNA(VLOOKUP(A112,'Données projet'!$A$35:$I$55,3,0)),0,VLOOKUP(A112,'Données projet'!$A$35:$I$55,3,0))</f>
        <v>0</v>
      </c>
      <c r="V112" s="154">
        <f>IF(ISNA(VLOOKUP(A112,'Données projet'!$A$35:$I$55,4,0)),0,VLOOKUP(A112,'Données projet'!$A$35:$I$55,4,0))</f>
        <v>0</v>
      </c>
      <c r="W112" s="155">
        <f>IF(ISNA(VLOOKUP(A112,'Données projet'!$A$35:$I$55,5,0)),0%,VLOOKUP(A112,'Données projet'!$A$35:$I$55,5,0)*VLOOKUP('Données projet'!$B$9,'Paramètres'!$A$1:$I$88,7,0))</f>
        <v>0</v>
      </c>
      <c r="X112" s="155">
        <f>IF(ISNA(VLOOKUP(A112,'Données projet'!$A$35:$I$55,6,0)),0%,VLOOKUP(A112,'Données projet'!$A$35:$I$55,6,0)*VLOOKUP('Données projet'!$B$9,'Paramètres'!$A$1:$I$88,7,0))</f>
        <v>0</v>
      </c>
      <c r="Y112" s="155">
        <f>IF(ISNA(VLOOKUP(A112,'Données projet'!$A$35:$I$55,7,0)),0%,VLOOKUP(A112,'Données projet'!$A$35:$I$55,7,0))</f>
        <v>0</v>
      </c>
      <c r="Z112" s="162">
        <f>EXP(-LN(2)/35)*Z111+(1-EXP(-LN(2)/35))/(LN(2)/35)*V112*W112*VLOOKUP('Données projet'!$B$9,'Paramètres'!$A$1:$I$88,3,0)*0.475*44/12</f>
        <v>0</v>
      </c>
      <c r="AA112" s="162">
        <f>EXP(-LN(2)/25)*AA111+(1-EXP(-LN(2)/25))/(LN(2)/25)*Calculateur!V112*Calculateur!X112*VLOOKUP('Données projet'!$B$9,'Paramètres'!$A$1:$I$88,3,0)*0.475*44/12</f>
        <v>0.5020621628</v>
      </c>
      <c r="AB112" s="162">
        <f>EXP(-LN(2)/2)*AB111+(1-EXP(-LN(2)/2))/(LN(2)/2)*V112*Y112*VLOOKUP('Données projet'!$B$9,'Paramètres'!$A$1:$I$88,3,0)*0.475*44/12</f>
        <v>0</v>
      </c>
      <c r="AC112" s="163">
        <f t="shared" si="4"/>
        <v>0.5020621628</v>
      </c>
      <c r="AD112" s="150">
        <f>('Scénario référence'!$F$8+'Scénario référence'!$F$9+'Scénario référence'!$B$17+'Scénario référence'!$B$9+'Scénario référence'!$B$10)*70+IF((45+25*(1-EXP(-0.0175*A112)))&lt;70,'Scénario référence'!$B$16*(45+25*(1-EXP(-0.0175*A112))),70*'Scénario référence'!$B$16)+IF((32+38*(1-EXP(-0.0175*A112)))&lt;70,'Scénario référence'!$B$18*(32+38*(1-EXP(-0.0175*A112))),70*'Scénario référence'!$B$18)</f>
        <v>70</v>
      </c>
      <c r="AE112" s="150">
        <f>IF(A112&gt;30,10,('Scénario référence'!$B$16+'Scénario référence'!$B$17+'Scénario référence'!$B$18+'Scénario référence'!$B$9+'Scénario référence'!$B$10)*A112*10/30+('Scénario référence'!$F$8+'Scénario référence'!$F$9)*10)</f>
        <v>10</v>
      </c>
      <c r="AF112" s="151" t="str">
        <f>VLOOKUP(A112,'Données projet'!$A$61:$I$81,2,0)</f>
        <v>#N/A</v>
      </c>
      <c r="AG112" s="151" t="str">
        <f>VLOOKUP(A112,'Données projet'!$A$61:$I$81,9,0)</f>
        <v>#N/A</v>
      </c>
      <c r="AH112" s="151" t="str">
        <f t="array" ref="AH112">INDEX(AG:AG,MIN(IF(ISNUMBER(AG112:AG308),ROW(AG112:AG308),"")))</f>
        <v/>
      </c>
      <c r="AI112" s="150">
        <f>IF('Données projet'!$A$62&gt;35,AI111+AH112-AQ111,IF(A112&lt;'Données projet'!$A$62,$AF$205^A112,IF(A112='Données projet'!$A$62,'Données projet'!$B$62,AI111+AH112-AQ111)))</f>
        <v>369</v>
      </c>
      <c r="AJ112" s="150">
        <f>AI112*VLOOKUP('Données projet'!$B$10,'Paramètres'!$A$1:$I$88,3,0)*VLOOKUP('Données projet'!$B$10,'Paramètres'!$A$1:$I$88,5,0)</f>
        <v>293.5764</v>
      </c>
      <c r="AK112" s="150">
        <f t="shared" si="36"/>
        <v>69.82813851</v>
      </c>
      <c r="AL112" s="161">
        <f t="shared" si="5"/>
        <v>632.9295712</v>
      </c>
      <c r="AM112" s="153">
        <f t="shared" si="6"/>
        <v>926.2629046</v>
      </c>
      <c r="AN112" s="153">
        <f>AVERAGE(OFFSET($AM$3,0,0,'Données projet'!$E$10+1,1))-AVERAGE(OFFSET($H$3,0,0,'Données projet'!$E$10+1,1))</f>
        <v>405.6113614</v>
      </c>
      <c r="AO112" s="153">
        <f t="shared" si="37"/>
        <v>393.0787141</v>
      </c>
      <c r="AP112" s="154">
        <f>IF(ISNA(VLOOKUP(A112,'Données projet'!$A$61:$I$81,3,0)),0,VLOOKUP(A112,'Données projet'!$A$61:$I$81,3,0))</f>
        <v>0</v>
      </c>
      <c r="AQ112" s="154">
        <f>IF(ISNA(VLOOKUP(A112,'Données projet'!$A$61:$I$81,4,0)),0,VLOOKUP(A112,'Données projet'!$A$61:$I$81,4,0))</f>
        <v>0</v>
      </c>
      <c r="AR112" s="155">
        <f>IF(ISNA(VLOOKUP(A112,'Données projet'!$A$61:$I$81,5,0)),0%,VLOOKUP(A112,'Données projet'!$A$61:$I$81,5,0)*VLOOKUP('Données projet'!$B$10,'Paramètres'!$A$1:$I$88,7,0))</f>
        <v>0</v>
      </c>
      <c r="AS112" s="155">
        <f>IF(ISNA(VLOOKUP(A112,'Données projet'!$A$61:$I$81,6,0)),0%,VLOOKUP(A112,'Données projet'!$A$61:$I$81,6,0)*VLOOKUP('Données projet'!$B$10,'Paramètres'!$A$1:$I$88,7,0))</f>
        <v>0</v>
      </c>
      <c r="AT112" s="155">
        <f>IF(ISNA(VLOOKUP(A112,'Données projet'!$A$61:$I$81,7,0)),0%,VLOOKUP(A112,'Données projet'!$A$61:$I$81,7,0))</f>
        <v>0</v>
      </c>
      <c r="AU112" s="162">
        <f>EXP(-LN(2)/35)*AU111+(1-EXP(-LN(2)/35))/(LN(2)/35)*AQ112*AR112*VLOOKUP('Données projet'!$B$10,'Paramètres'!$A$1:$I$88,3,0)*0.475*44/12</f>
        <v>0</v>
      </c>
      <c r="AV112" s="162">
        <f>EXP(-LN(2)/25)*AV111+(1-EXP(-LN(2)/25))/(LN(2)/25)*Calculateur!AQ112*Calculateur!AS112*VLOOKUP('Données projet'!$B$10,'Paramètres'!$A$1:$I$88,3,0)*0.475*44/12</f>
        <v>2.040508259</v>
      </c>
      <c r="AW112" s="162">
        <f>EXP(-LN(2)/2)*AW111+(1-EXP(-LN(2)/2))/(LN(2)/2)*AQ112*AT112*VLOOKUP('Données projet'!$B$10,'Paramètres'!$A$1:$I$88,3,0)*0.475*44/12</f>
        <v>0</v>
      </c>
      <c r="AX112" s="162">
        <f t="shared" si="7"/>
        <v>2.040508259</v>
      </c>
      <c r="AY112" s="157">
        <f>('Scénario référence'!$F$8+'Scénario référence'!$F$9+'Scénario référence'!$B$17+'Scénario référence'!$B$9+'Scénario référence'!$B$10)*70+IF((45+25*(1-EXP(-0.0175*A112)))&lt;70,'Scénario référence'!$B$16*(45+25*(1-EXP(-0.0175*A112))),70*'Scénario référence'!$B$16)+IF((32+38*(1-EXP(-0.0175*A112)))&lt;70,'Scénario référence'!$B$18*(32+38*(1-EXP(-0.0175*A112))),70*'Scénario référence'!$B$18)</f>
        <v>70</v>
      </c>
      <c r="AZ112" s="151">
        <f>IF(A112&gt;30,10,('Scénario référence'!$B$16+'Scénario référence'!$B$17+'Scénario référence'!$B$18+'Scénario référence'!$B$9+'Scénario référence'!$B$10)*A112*10/30+('Scénario référence'!$F$8+'Scénario référence'!$F$9)*10)</f>
        <v>10</v>
      </c>
      <c r="BA112" s="151" t="str">
        <f>VLOOKUP(A112,'Données projet'!$A$87:$I$107,2,0)</f>
        <v>#N/A</v>
      </c>
      <c r="BB112" s="151" t="str">
        <f>VLOOKUP(A112,'Données projet'!$A$87:$I$107,9,0)</f>
        <v>#N/A</v>
      </c>
      <c r="BC112" s="151" t="str">
        <f t="array" ref="BC112">INDEX(BB:BB,MIN(IF(ISNUMBER(BB112:BB308),ROW(BB112:BB308),"")))</f>
        <v/>
      </c>
      <c r="BD112" s="150">
        <f>IF('Données projet'!$A$88&gt;35,BD111+BC112-BL111,IF(A112&lt;'Données projet'!$A$88,$BA$205^A112,IF(A112='Données projet'!$A$88,'Données projet'!$B$88,BD111+BC112-BL111)))</f>
        <v>0</v>
      </c>
      <c r="BE112" s="150">
        <f>BD112*VLOOKUP('Données projet'!$B$11,'Paramètres'!$A$1:$I$88,3,0)*VLOOKUP('Données projet'!$B$11,'Paramètres'!$A$1:$I$88,5,0)</f>
        <v>0</v>
      </c>
      <c r="BF112" s="150" t="str">
        <f t="shared" si="38"/>
        <v>#NUM!</v>
      </c>
      <c r="BG112" s="161" t="str">
        <f t="shared" si="8"/>
        <v>#NUM!</v>
      </c>
      <c r="BH112" s="153" t="str">
        <f t="shared" si="9"/>
        <v>#NUM!</v>
      </c>
      <c r="BI112" s="153">
        <f>AVERAGE(OFFSET($BH$3,0,0,'Données projet'!$E$11+1,1))-AVERAGE(OFFSET($H$3,0,0,'Données projet'!$E$11+1,1))</f>
        <v>0</v>
      </c>
      <c r="BJ112" s="153">
        <f t="shared" si="39"/>
        <v>0</v>
      </c>
      <c r="BK112" s="154">
        <f>IF(ISNA(VLOOKUP(A112,'Données projet'!$A$87:$I$107,3,0)),0,VLOOKUP(A112,'Données projet'!$A$87:$I$107,3,0))</f>
        <v>0</v>
      </c>
      <c r="BL112" s="154">
        <f>IF(ISNA(VLOOKUP(A112,'Données projet'!$A$87:$I$107,4,0)),0,VLOOKUP(A112,'Données projet'!$A$87:$I$107,4,0))</f>
        <v>0</v>
      </c>
      <c r="BM112" s="155">
        <f>IF(ISNA(VLOOKUP(A112,'Données projet'!$A$87:$I$107,5,0)),0%,VLOOKUP(A112,'Données projet'!$A$87:$I$107,5,0)*VLOOKUP('Données projet'!$B$11,'Paramètres'!$A$1:$I$88,7,0))</f>
        <v>0</v>
      </c>
      <c r="BN112" s="155">
        <f>IF(ISNA(VLOOKUP(A112,'Données projet'!$A$87:$I$107,6,0)),0%,VLOOKUP(A112,'Données projet'!$A$87:$I$107,6,0)*VLOOKUP('Données projet'!$B$11,'Paramètres'!$A$1:$I$88,7,0))</f>
        <v>0</v>
      </c>
      <c r="BO112" s="155">
        <f>IF(ISNA(VLOOKUP(A112,'Données projet'!$A$87:$I$107,7,0)),0%,VLOOKUP(A112,'Données projet'!$A$87:$I$107,7,0))</f>
        <v>0</v>
      </c>
      <c r="BP112" s="162">
        <f>EXP(-LN(2)/35)*BP111+(1-EXP(-LN(2)/35))/(LN(2)/35)*BL112*BM112*VLOOKUP('Données projet'!$B$11,'Paramètres'!$A$1:$I$88,3,0)*0.475*44/12</f>
        <v>0</v>
      </c>
      <c r="BQ112" s="162">
        <f>EXP(-LN(2)/25)*BQ111+(1-EXP(-LN(2)/25))/(LN(2)/25)*Calculateur!BL112*Calculateur!BN112*VLOOKUP('Données projet'!$B$11,'Paramètres'!$A$1:$I$88,3,0)*0.475*44/12</f>
        <v>0</v>
      </c>
      <c r="BR112" s="162">
        <f>EXP(-LN(2)/2)*BR111+(1-EXP(-LN(2)/2))/(LN(2)/2)*BL112*BO112*VLOOKUP('Données projet'!$B$11,'Paramètres'!$A$1:$I$88,3,0)*0.475*44/12</f>
        <v>0</v>
      </c>
      <c r="BS112" s="163">
        <f t="shared" si="10"/>
        <v>0</v>
      </c>
      <c r="BT112" s="159">
        <f>('Scénario référence'!$F$8+'Scénario référence'!$F$9+'Scénario référence'!$B$17+'Scénario référence'!$B$9+'Scénario référence'!$B$10)*70+IF((45+25*(1-EXP(-0.0175*A112)))&lt;70,'Scénario référence'!$B$16*(45+25*(1-EXP(-0.0175*A112))),70*'Scénario référence'!$B$16)+IF((32+38*(1-EXP(-0.0175*A112)))&lt;70,'Scénario référence'!$B$18*(32+38*(1-EXP(-0.0175*A112))),70*'Scénario référence'!$B$18)</f>
        <v>70</v>
      </c>
      <c r="BU112" s="151">
        <f>IF(A112&gt;30,10,('Scénario référence'!$B$16+'Scénario référence'!$B$17+'Scénario référence'!$B$18+'Scénario référence'!$B$9+'Scénario référence'!$B$10)*A112*10/30+('Scénario référence'!$F$8+'Scénario référence'!$F$9)*10)</f>
        <v>10</v>
      </c>
      <c r="BV112" s="151" t="str">
        <f>VLOOKUP(A112,'Données projet'!$A$113:$I$133,2,0)</f>
        <v>#N/A</v>
      </c>
      <c r="BW112" s="151" t="str">
        <f>VLOOKUP(A112,'Données projet'!$A$113:$I$133,9,0)</f>
        <v>#N/A</v>
      </c>
      <c r="BX112" s="151" t="str">
        <f t="array" ref="BX112">INDEX(BW:BW,MIN(IF(ISNUMBER(BW112:BW308),ROW(BW112:BW308),"")))</f>
        <v/>
      </c>
      <c r="BY112" s="150">
        <f>IF('Données projet'!$A$114&gt;35,BY111+BX112-CG111,IF(A112&lt;'Données projet'!$A$114,$BV$205^A112,IF(A112='Données projet'!$A$114,'Données projet'!$B$114,BY111+BX112-CG111)))</f>
        <v>0</v>
      </c>
      <c r="BZ112" s="150" t="str">
        <f>BY112*VLOOKUP('Données projet'!$B$12,'Paramètres'!$A$1:$I$88,3,0)*VLOOKUP('Données projet'!$B$12,'Paramètres'!$A$1:$I$88,5,0)</f>
        <v>#N/A</v>
      </c>
      <c r="CA112" s="150" t="str">
        <f t="shared" si="40"/>
        <v>#N/A</v>
      </c>
      <c r="CB112" s="161" t="str">
        <f t="shared" si="11"/>
        <v>#N/A</v>
      </c>
      <c r="CC112" s="153" t="str">
        <f t="shared" si="12"/>
        <v>#N/A</v>
      </c>
      <c r="CD112" s="153" t="str">
        <f>AVERAGE(OFFSET($CC$3,0,0,'Données projet'!$E$12+1,1))-AVERAGE(OFFSET($H$3,0,0,'Données projet'!$E$12+1,1))</f>
        <v>#N/A</v>
      </c>
      <c r="CE112" s="153" t="str">
        <f t="shared" si="41"/>
        <v>#N/A</v>
      </c>
      <c r="CF112" s="154">
        <f>IF(ISNA(VLOOKUP(A112,'Données projet'!$A$113:$I$133,3,0)),0,VLOOKUP(A112,'Données projet'!$A$113:$I$133,3,0))</f>
        <v>0</v>
      </c>
      <c r="CG112" s="154">
        <f>IF(ISNA(VLOOKUP(A112,'Données projet'!$A$113:$I$133,4,0)),0,VLOOKUP(A112,'Données projet'!$A$113:$I$133,4,0))</f>
        <v>0</v>
      </c>
      <c r="CH112" s="155">
        <f>IF(ISNA(VLOOKUP(A112,'Données projet'!$A$113:$I$133,5,0)),0%,VLOOKUP(A112,'Données projet'!$A$113:$I$133,5,0)*VLOOKUP('Données projet'!$B$12,'Paramètres'!$A$1:$I$88,7,0))</f>
        <v>0</v>
      </c>
      <c r="CI112" s="155">
        <f>IF(ISNA(VLOOKUP(A112,'Données projet'!$A$113:$I$133,6,0)),0%,VLOOKUP(A112,'Données projet'!$A$113:$I$133,6,0)*VLOOKUP('Données projet'!$B$12,'Paramètres'!$A$1:$I$88,7,0))</f>
        <v>0</v>
      </c>
      <c r="CJ112" s="155">
        <f>IF(ISNA(VLOOKUP(A112,'Données projet'!$A$113:$I$133,7,0)),0%,VLOOKUP(A112,'Données projet'!$A$113:$I$133,7,0))</f>
        <v>0</v>
      </c>
      <c r="CK112" s="162" t="str">
        <f>EXP(-LN(2)/35)*CK111+(1-EXP(-LN(2)/35))/(LN(2)/35)*CG112*CH112*VLOOKUP('Données projet'!$B$12,'Paramètres'!$A$1:$I$88,3,0)*0.475*44/12</f>
        <v>#N/A</v>
      </c>
      <c r="CL112" s="162" t="str">
        <f>EXP(-LN(2)/25)*CL111+(1-EXP(-LN(2)/25))/(LN(2)/25)*Calculateur!CG112*Calculateur!CI112*VLOOKUP('Données projet'!$B$12,'Paramètres'!$A$1:$I$88,3,0)*0.475*44/12</f>
        <v>#N/A</v>
      </c>
      <c r="CM112" s="162" t="str">
        <f>EXP(-LN(2)/2)*CM111+(1-EXP(-LN(2)/2))/(LN(2)/2)*CG112*CJ112*VLOOKUP('Données projet'!$B$12,'Paramètres'!$A$1:$I$88,3,0)*0.475*44/12</f>
        <v>#N/A</v>
      </c>
      <c r="CN112" s="163" t="str">
        <f t="shared" si="13"/>
        <v>#N/A</v>
      </c>
      <c r="CO112" s="159">
        <f>('Scénario référence'!$F$8+'Scénario référence'!$F$9+'Scénario référence'!$B$17+'Scénario référence'!$B$9+'Scénario référence'!$B$10)*70+IF((45+25*(1-EXP(-0.0175*A112)))&lt;70,'Scénario référence'!$B$16*(45+25*(1-EXP(-0.0175*A112))),70*'Scénario référence'!$B$16)+IF((32+38*(1-EXP(-0.0175*A112)))&lt;70,'Scénario référence'!$B$18*(32+38*(1-EXP(-0.0175*A112))),70*'Scénario référence'!$B$18)</f>
        <v>70</v>
      </c>
      <c r="CP112" s="151">
        <f>IF(A112&gt;30,10,('Scénario référence'!$B$16+'Scénario référence'!$B$17+'Scénario référence'!$B$18+'Scénario référence'!$B$9+'Scénario référence'!$B$10)*A112*10/30+('Scénario référence'!$F$8+'Scénario référence'!$F$9)*10)</f>
        <v>10</v>
      </c>
      <c r="CQ112" s="151" t="str">
        <f>VLOOKUP(A112,'Données projet'!$A$139:$I$159,2,0)</f>
        <v>#N/A</v>
      </c>
      <c r="CR112" s="151" t="str">
        <f>VLOOKUP(A112,'Données projet'!$A$139:$I$159,9,0)</f>
        <v>#N/A</v>
      </c>
      <c r="CS112" s="151" t="str">
        <f t="array" ref="CS112">INDEX(CR:CR,MIN(IF(ISNUMBER(CR112:CR308),ROW(CR112:CR308),"")))</f>
        <v/>
      </c>
      <c r="CT112" s="151">
        <f>IF('Données projet'!$A$140&gt;35,CT111+CS112-DB111,IF(A112&lt;'Données projet'!$A$140,$CQ$205^A112,IF(A112='Données projet'!$A$140,'Données projet'!$B$140,CT111+CS112-DB111)))</f>
        <v>0</v>
      </c>
      <c r="CU112" s="158" t="str">
        <f>CT112*VLOOKUP('Données projet'!$B$13,'Paramètres'!$A$1:$I$88,3,0)*VLOOKUP('Données projet'!$B$13,'Paramètres'!$A$1:$I$88,5,0)</f>
        <v>#N/A</v>
      </c>
      <c r="CV112" s="150" t="str">
        <f t="shared" si="42"/>
        <v>#N/A</v>
      </c>
      <c r="CW112" s="161" t="str">
        <f t="shared" si="14"/>
        <v>#N/A</v>
      </c>
      <c r="CX112" s="153" t="str">
        <f t="shared" si="15"/>
        <v>#N/A</v>
      </c>
      <c r="CY112" s="153" t="str">
        <f>AVERAGE(OFFSET($CX$3,0,0,'Données projet'!$E$13+1,1))-AVERAGE(OFFSET($H$3,0,0,'Données projet'!$E$13+1,1))</f>
        <v>#N/A</v>
      </c>
      <c r="CZ112" s="153" t="str">
        <f t="shared" si="43"/>
        <v>#N/A</v>
      </c>
      <c r="DA112" s="154">
        <f>IF(ISNA(VLOOKUP(A112,'Données projet'!$A$139:$I$159,3,0)),0,VLOOKUP(A112,'Données projet'!$A$139:$I$159,3,0))</f>
        <v>0</v>
      </c>
      <c r="DB112" s="154">
        <f>IF(ISNA(VLOOKUP(A112,'Données projet'!$A$139:$I$159,4,0)),0,VLOOKUP(A112,'Données projet'!$A$139:$I$159,4,0))</f>
        <v>0</v>
      </c>
      <c r="DC112" s="155">
        <f>IF(ISNA(VLOOKUP(A112,'Données projet'!$A$139:$I$159,5,0)),0%,VLOOKUP(A112,'Données projet'!$A$139:$I$159,5,0)*VLOOKUP('Données projet'!$B$13,'Paramètres'!$A$1:$I$88,7,0))</f>
        <v>0</v>
      </c>
      <c r="DD112" s="155">
        <f>IF(ISNA(VLOOKUP(A112,'Données projet'!$A$139:$I$159,6,0)),0%,VLOOKUP(A112,'Données projet'!$A$139:$I$159,6,0)*VLOOKUP('Données projet'!$B$13,'Paramètres'!$A$1:$I$88,7,0))</f>
        <v>0</v>
      </c>
      <c r="DE112" s="155">
        <f>IF(ISNA(VLOOKUP(A112,'Données projet'!$A$139:$I$159,7,0)),0%,VLOOKUP(A112,'Données projet'!$A$139:$I$159,7,0))</f>
        <v>0</v>
      </c>
      <c r="DF112" s="162" t="str">
        <f>EXP(-LN(2)/35)*DF111+(1-EXP(-LN(2)/35))/(LN(2)/35)*DB112*DC112*VLOOKUP('Données projet'!$B$13,'Paramètres'!$A$1:$I$88,3,0)*0.475*44/12</f>
        <v>#N/A</v>
      </c>
      <c r="DG112" s="162" t="str">
        <f>EXP(-LN(2)/25)*DG111+(1-EXP(-LN(2)/25))/(LN(2)/25)*Calculateur!DB112*Calculateur!DD112*VLOOKUP('Données projet'!$B$13,'Paramètres'!$A$1:$I$88,3,0)*0.475*44/12</f>
        <v>#N/A</v>
      </c>
      <c r="DH112" s="162" t="str">
        <f>EXP(-LN(2)/2)*DH111+(1-EXP(-LN(2)/2))/(LN(2)/2)*DB112*DE112*VLOOKUP('Données projet'!$B$13,'Paramètres'!$A$1:$I$88,3,0)*0.475*44/12</f>
        <v>#N/A</v>
      </c>
      <c r="DI112" s="163" t="str">
        <f t="shared" si="16"/>
        <v>#N/A</v>
      </c>
      <c r="DJ112" s="159">
        <f>('Scénario référence'!$F$8+'Scénario référence'!$F$9+'Scénario référence'!$B$17+'Scénario référence'!$B$9+'Scénario référence'!$B$10)*70+IF((45+25*(1-EXP(-0.0175*A112)))&lt;70,'Scénario référence'!$B$16*(45+25*(1-EXP(-0.0175*A112))),70*'Scénario référence'!$B$16)+IF((32+38*(1-EXP(-0.0175*A112)))&lt;70,'Scénario référence'!$B$18*(32+38*(1-EXP(-0.0175*A112))),70*'Scénario référence'!$B$18)</f>
        <v>70</v>
      </c>
      <c r="DK112" s="151">
        <f>IF(A112&gt;30,10,('Scénario référence'!$B$16+'Scénario référence'!$B$17+'Scénario référence'!$B$18+'Scénario référence'!$B$9+'Scénario référence'!$B$10)*A112*10/30+('Scénario référence'!$F$8+'Scénario référence'!$F$9)*10)</f>
        <v>10</v>
      </c>
      <c r="DL112" s="151" t="str">
        <f>VLOOKUP(A112,'Données projet'!$A$165:$I$185,2,0)</f>
        <v>#N/A</v>
      </c>
      <c r="DM112" s="151" t="str">
        <f>VLOOKUP(A112,'Données projet'!$A$165:$I$185,9,0)</f>
        <v>#N/A</v>
      </c>
      <c r="DN112" s="151" t="str">
        <f t="array" ref="DN112">INDEX(DM:DM,MIN(IF(ISNUMBER(DM112:DM308),ROW(DM112:DM308),"")))</f>
        <v/>
      </c>
      <c r="DO112" s="151">
        <f>IF('Données projet'!$A$166&gt;35,DO111+DN112-DW111,IF(A112&lt;'Données projet'!$A$166,$DL$205^A112,IF(A112='Données projet'!$A$166,'Données projet'!$B$166,DO111+DN112-DW111)))</f>
        <v>0</v>
      </c>
      <c r="DP112" s="158" t="str">
        <f>DO112*VLOOKUP('Données projet'!$B$14,'Paramètres'!$A$1:$I$88,3,0)*VLOOKUP('Données projet'!$B$14,'Paramètres'!$A$1:$I$88,5,0)</f>
        <v>#N/A</v>
      </c>
      <c r="DQ112" s="150" t="str">
        <f t="shared" si="44"/>
        <v>#N/A</v>
      </c>
      <c r="DR112" s="161" t="str">
        <f t="shared" si="17"/>
        <v>#N/A</v>
      </c>
      <c r="DS112" s="153" t="str">
        <f t="shared" si="18"/>
        <v>#N/A</v>
      </c>
      <c r="DT112" s="153" t="str">
        <f>AVERAGE(OFFSET($DS$3,0,0,'Données projet'!$E$14+1,1))-AVERAGE(OFFSET($H$3,0,0,'Données projet'!$E$14+1,1))</f>
        <v>#N/A</v>
      </c>
      <c r="DU112" s="153" t="str">
        <f t="shared" si="45"/>
        <v>#N/A</v>
      </c>
      <c r="DV112" s="154">
        <f>IF(ISNA(VLOOKUP(A112,'Données projet'!$A$165:$I$185,3,0)),0,VLOOKUP(A112,'Données projet'!$A$165:$I$185,3,0))</f>
        <v>0</v>
      </c>
      <c r="DW112" s="154">
        <f>IF(ISNA(VLOOKUP(A112,'Données projet'!$A$165:$I$185,4,0)),0,VLOOKUP(A112,'Données projet'!$A$165:$I$185,4,0))</f>
        <v>0</v>
      </c>
      <c r="DX112" s="155">
        <f>IF(ISNA(VLOOKUP(A112,'Données projet'!$A$165:$I$185,5,0)),0%,VLOOKUP(A112,'Données projet'!$A$165:$I$185,5,0)*VLOOKUP('Données projet'!$B$14,'Paramètres'!$A$1:$I$88,7,0))</f>
        <v>0</v>
      </c>
      <c r="DY112" s="155">
        <f>IF(ISNA(VLOOKUP(A112,'Données projet'!$A$165:$I$185,6,0)),0%,VLOOKUP(A112,'Données projet'!$A$165:$I$185,6,0)*VLOOKUP('Données projet'!$B$14,'Paramètres'!$A$1:$I$88,7,0))</f>
        <v>0</v>
      </c>
      <c r="DZ112" s="155">
        <f>IF(ISNA(VLOOKUP(A112,'Données projet'!$A$165:$I$185,7,0)),0%,VLOOKUP(A112,'Données projet'!$A$165:$I$185,7,0))</f>
        <v>0</v>
      </c>
      <c r="EA112" s="162" t="str">
        <f>EXP(-LN(2)/35)*EA111+(1-EXP(-LN(2)/35))/(LN(2)/35)*DW112*DX112*VLOOKUP('Données projet'!$B$14,'Paramètres'!$A$1:$I$88,3,0)*0.475*44/12</f>
        <v>#N/A</v>
      </c>
      <c r="EB112" s="162" t="str">
        <f>EXP(-LN(2)/25)*EB111+(1-EXP(-LN(2)/25))/(LN(2)/25)*Calculateur!DW112*Calculateur!DY112*VLOOKUP('Données projet'!$B$14,'Paramètres'!$A$1:$I$88,3,0)*0.475*44/12</f>
        <v>#N/A</v>
      </c>
      <c r="EC112" s="162" t="str">
        <f>EXP(-LN(2)/2)*EC111+(1-EXP(-LN(2)/2))/(LN(2)/2)*DW112*DZ112*VLOOKUP('Données projet'!$B$14,'Paramètres'!$A$1:$I$88,3,0)*0.475*44/12</f>
        <v>#N/A</v>
      </c>
      <c r="ED112" s="163" t="str">
        <f t="shared" si="19"/>
        <v>#N/A</v>
      </c>
      <c r="EE112" s="159">
        <f>('Scénario référence'!$F$8+'Scénario référence'!$F$9+'Scénario référence'!$B$17+'Scénario référence'!$B$9+'Scénario référence'!$B$10)*70+IF((45+25*(1-EXP(-0.0175*A112)))&lt;70,'Scénario référence'!$B$16*(45+25*(1-EXP(-0.0175*A112))),70*'Scénario référence'!$B$16)+IF((32+38*(1-EXP(-0.0175*A112)))&lt;70,'Scénario référence'!$B$18*(32+38*(1-EXP(-0.0175*A112))),70*'Scénario référence'!$B$18)</f>
        <v>70</v>
      </c>
      <c r="EF112" s="151">
        <f>IF(A112&gt;30,10,('Scénario référence'!$B$16+'Scénario référence'!$B$17+'Scénario référence'!$B$18+'Scénario référence'!$B$9+'Scénario référence'!$B$10)*A112*10/30+('Scénario référence'!$F$8+'Scénario référence'!$F$9)*10)</f>
        <v>10</v>
      </c>
      <c r="EG112" s="151" t="str">
        <f>VLOOKUP(A112,'Données projet'!$A$191:$I$211,2,0)</f>
        <v>#N/A</v>
      </c>
      <c r="EH112" s="151" t="str">
        <f>VLOOKUP(A112,'Données projet'!$A$191:$I$211,9,0)</f>
        <v>#N/A</v>
      </c>
      <c r="EI112" s="151" t="str">
        <f t="array" ref="EI112">INDEX(EH:EH,MIN(IF(ISNUMBER(EH112:EH308),ROW(EH112:EH308),"")))</f>
        <v/>
      </c>
      <c r="EJ112" s="151">
        <f>IF('Données projet'!$A$192&gt;35,EJ111+EI112-ER111,IF(A112&lt;'Données projet'!$A$192,$EG$205^A112,IF(A112='Données projet'!$A$192,'Données projet'!$B$192,EJ111+EI112-ER111)))</f>
        <v>0</v>
      </c>
      <c r="EK112" s="158" t="str">
        <f>EJ112*VLOOKUP('Données projet'!$B$15,'Paramètres'!$A$1:$I$88,3,0)*VLOOKUP('Données projet'!$B$15,'Paramètres'!$A$1:$I$88,5,0)</f>
        <v>#N/A</v>
      </c>
      <c r="EL112" s="150" t="str">
        <f t="shared" si="46"/>
        <v>#N/A</v>
      </c>
      <c r="EM112" s="161" t="str">
        <f t="shared" si="20"/>
        <v>#N/A</v>
      </c>
      <c r="EN112" s="153" t="str">
        <f t="shared" si="21"/>
        <v>#N/A</v>
      </c>
      <c r="EO112" s="153" t="str">
        <f>AVERAGE(OFFSET($EN$3,0,0,'Données projet'!$E$15+1,1))-AVERAGE(OFFSET($H$3,0,0,'Données projet'!$E$15+1,1))</f>
        <v>#N/A</v>
      </c>
      <c r="EP112" s="153" t="str">
        <f t="shared" si="47"/>
        <v>#N/A</v>
      </c>
      <c r="EQ112" s="154">
        <f>IF(ISNA(VLOOKUP(A112,'Données projet'!$A$191:$I$211,3,0)),0,VLOOKUP(A112,'Données projet'!$A$191:$I$211,3,0))</f>
        <v>0</v>
      </c>
      <c r="ER112" s="154">
        <f>IF(ISNA(VLOOKUP(A112,'Données projet'!$A$191:$I$211,4,0)),0,VLOOKUP(A112,'Données projet'!$A$191:$I$211,4,0))</f>
        <v>0</v>
      </c>
      <c r="ES112" s="155">
        <f>IF(ISNA(VLOOKUP(A112,'Données projet'!$A$191:$I$211,5,0)),0%,VLOOKUP(A112,'Données projet'!$A$191:$I$211,5,0)*VLOOKUP('Données projet'!$B$15,'Paramètres'!$A$1:$I$88,7,0))</f>
        <v>0</v>
      </c>
      <c r="ET112" s="155">
        <f>IF(ISNA(VLOOKUP(A112,'Données projet'!$A$191:$I$211,6,0)),0%,VLOOKUP(A112,'Données projet'!$A$191:$I$211,6,0)*VLOOKUP('Données projet'!$B$15,'Paramètres'!$A$1:$I$88,7,0))</f>
        <v>0</v>
      </c>
      <c r="EU112" s="155">
        <f>IF(ISNA(VLOOKUP(A112,'Données projet'!$A$191:$I$211,7,0)),0%,VLOOKUP(A112,'Données projet'!$A$191:$I$211,7,0))</f>
        <v>0</v>
      </c>
      <c r="EV112" s="162" t="str">
        <f>EXP(-LN(2)/35)*EV111+(1-EXP(-LN(2)/35))/(LN(2)/35)*ER112*ES112*VLOOKUP('Données projet'!$B$15,'Paramètres'!$A$1:$I$88,3,0)*0.475*44/12</f>
        <v>#N/A</v>
      </c>
      <c r="EW112" s="162" t="str">
        <f>EXP(-LN(2)/25)*EW111+(1-EXP(-LN(2)/25))/(LN(2)/25)*Calculateur!ER112*Calculateur!ET112*VLOOKUP('Données projet'!$B$15,'Paramètres'!$A$1:$I$88,3,0)*0.475*44/12</f>
        <v>#N/A</v>
      </c>
      <c r="EX112" s="162" t="str">
        <f>EXP(-LN(2)/2)*EX111+(1-EXP(-LN(2)/2))/(LN(2)/2)*ER112*EU112*VLOOKUP('Données projet'!$B$15,'Paramètres'!$A$1:$I$88,3,0)*0.475*44/12</f>
        <v>#N/A</v>
      </c>
      <c r="EY112" s="163" t="str">
        <f t="shared" si="22"/>
        <v>#N/A</v>
      </c>
      <c r="EZ112" s="159">
        <f>('Scénario référence'!$F$8+'Scénario référence'!$F$9+'Scénario référence'!$B$17+'Scénario référence'!$B$9+'Scénario référence'!$B$10)*70+IF((45+25*(1-EXP(-0.0175*A112)))&lt;70,'Scénario référence'!$B$16*(45+25*(1-EXP(-0.0175*A112))),70*'Scénario référence'!$B$16)+IF((32+38*(1-EXP(-0.0175*A112)))&lt;70,'Scénario référence'!$B$18*(32+38*(1-EXP(-0.0175*A112))),70*'Scénario référence'!$B$18)</f>
        <v>70</v>
      </c>
      <c r="FA112" s="151">
        <f>IF(A112&gt;30,10,('Scénario référence'!$B$16+'Scénario référence'!$B$17+'Scénario référence'!$B$18+'Scénario référence'!$B$9+'Scénario référence'!$B$10)*A112*10/30+('Scénario référence'!$F$8+'Scénario référence'!$F$9)*10)</f>
        <v>10</v>
      </c>
      <c r="FB112" s="151" t="str">
        <f>VLOOKUP(A112,'Données projet'!$A$217:$I$237,2,0)</f>
        <v>#N/A</v>
      </c>
      <c r="FC112" s="151" t="str">
        <f>VLOOKUP(A112,'Données projet'!$A$217:$I$237,9,0)</f>
        <v>#N/A</v>
      </c>
      <c r="FD112" s="151" t="str">
        <f t="array" ref="FD112">INDEX(FC:FC,MIN(IF(ISNUMBER(FC112:FC308),ROW(FC112:FC308),"")))</f>
        <v/>
      </c>
      <c r="FE112" s="151">
        <f>IF('Données projet'!$A$218&gt;35,FE111+FD112-FM111,IF(A112&lt;'Données projet'!$A$218,$FB$205^A112,IF(A112='Données projet'!$A$218,'Données projet'!$B$218,FE111+FD112-FM111)))</f>
        <v>0</v>
      </c>
      <c r="FF112" s="158" t="str">
        <f>FE112*VLOOKUP('Données projet'!$B$16,'Paramètres'!$A$1:$I$88,3,0)*VLOOKUP('Données projet'!$B$16,'Paramètres'!$A$1:$I$88,5,0)</f>
        <v>#N/A</v>
      </c>
      <c r="FG112" s="150" t="str">
        <f t="shared" si="48"/>
        <v>#N/A</v>
      </c>
      <c r="FH112" s="161" t="str">
        <f t="shared" si="23"/>
        <v>#N/A</v>
      </c>
      <c r="FI112" s="153" t="str">
        <f t="shared" si="24"/>
        <v>#N/A</v>
      </c>
      <c r="FJ112" s="153" t="str">
        <f>AVERAGE(OFFSET($FI$3,0,0,'Données projet'!$E$16+1,1))-AVERAGE(OFFSET($H$3,0,0,'Données projet'!$E$16+1,1))</f>
        <v>#N/A</v>
      </c>
      <c r="FK112" s="153" t="str">
        <f t="shared" si="49"/>
        <v>#N/A</v>
      </c>
      <c r="FL112" s="154">
        <f>IF(ISNA(VLOOKUP(A112,'Données projet'!$A$217:$I$237,3,0)),0,VLOOKUP(A112,'Données projet'!$A$217:$I$237,3,0))</f>
        <v>0</v>
      </c>
      <c r="FM112" s="154">
        <f>IF(ISNA(VLOOKUP(A112,'Données projet'!$A$217:$I$237,4,0)),0,VLOOKUP(A112,'Données projet'!$A$217:$I$237,4,0))</f>
        <v>0</v>
      </c>
      <c r="FN112" s="155">
        <f>IF(ISNA(VLOOKUP(A112,'Données projet'!$A$217:$I$237,5,0)),0%,VLOOKUP(A112,'Données projet'!$A$217:$I$237,5,0)*VLOOKUP('Données projet'!$B$16,'Paramètres'!$A$1:$I$88,7,0))</f>
        <v>0</v>
      </c>
      <c r="FO112" s="155">
        <f>IF(ISNA(VLOOKUP(A112,'Données projet'!$A$217:$I$237,6,0)),0%,VLOOKUP(A112,'Données projet'!$A$217:$I$237,6,0)*VLOOKUP('Données projet'!$B$16,'Paramètres'!$A$1:$I$88,7,0))</f>
        <v>0</v>
      </c>
      <c r="FP112" s="155">
        <f>IF(ISNA(VLOOKUP(A112,'Données projet'!$A$217:$I$237,7,0)),0%,VLOOKUP(A112,'Données projet'!$A$217:$I$237,7,0))</f>
        <v>0</v>
      </c>
      <c r="FQ112" s="162" t="str">
        <f>EXP(-LN(2)/35)*FQ111+(1-EXP(-LN(2)/35))/(LN(2)/35)*FM112*FN112*VLOOKUP('Données projet'!$B$16,'Paramètres'!$A$1:$I$88,3,0)*0.475*44/12</f>
        <v>#N/A</v>
      </c>
      <c r="FR112" s="162" t="str">
        <f>EXP(-LN(2)/25)*FR111+(1-EXP(-LN(2)/25))/(LN(2)/25)*Calculateur!FM112*Calculateur!FO112*VLOOKUP('Données projet'!$B$16,'Paramètres'!$A$1:$I$88,3,0)*0.475*44/12</f>
        <v>#N/A</v>
      </c>
      <c r="FS112" s="162" t="str">
        <f>EXP(-LN(2)/2)*FS111+(1-EXP(-LN(2)/2))/(LN(2)/2)*FM112*FP112*VLOOKUP('Données projet'!$B$16,'Paramètres'!$A$1:$I$88,3,0)*0.475*44/12</f>
        <v>#N/A</v>
      </c>
      <c r="FT112" s="163" t="str">
        <f t="shared" si="25"/>
        <v>#N/A</v>
      </c>
      <c r="FU112" s="159">
        <f>('Scénario référence'!$F$8+'Scénario référence'!$F$9+'Scénario référence'!$B$17+'Scénario référence'!$B$9+'Scénario référence'!$B$10)*70+IF((45+25*(1-EXP(-0.0175*A112)))&lt;70,'Scénario référence'!$B$16*(45+25*(1-EXP(-0.0175*A112))),70*'Scénario référence'!$B$16)+IF((32+38*(1-EXP(-0.0175*A112)))&lt;70,'Scénario référence'!$B$18*(32+38*(1-EXP(-0.0175*A112))),70*'Scénario référence'!$B$18)</f>
        <v>70</v>
      </c>
      <c r="FV112" s="151">
        <f>IF(A112&gt;30,10,('Scénario référence'!$B$16+'Scénario référence'!$B$17+'Scénario référence'!$B$18+'Scénario référence'!$B$9+'Scénario référence'!$B$10)*A112*10/30+('Scénario référence'!$F$8+'Scénario référence'!$F$9)*10)</f>
        <v>10</v>
      </c>
      <c r="FW112" s="151" t="str">
        <f>VLOOKUP(A112,'Données projet'!$A$243:$I$263,2,0)</f>
        <v>#N/A</v>
      </c>
      <c r="FX112" s="151" t="str">
        <f>VLOOKUP(A112,'Données projet'!$A$243:$I$263,9,0)</f>
        <v>#N/A</v>
      </c>
      <c r="FY112" s="151" t="str">
        <f t="array" ref="FY112">INDEX(FX:FX,MIN(IF(ISNUMBER(FX112:FX308),ROW(FX112:FX308),"")))</f>
        <v/>
      </c>
      <c r="FZ112" s="151">
        <f>IF('Données projet'!$A$244&gt;35,FZ111+FY112-GH111,IF(A112&lt;'Données projet'!$A$244,$FW$205^A112,IF(A112='Données projet'!$A$244,'Données projet'!$B$244,FZ111+FY112-GH111)))</f>
        <v>0</v>
      </c>
      <c r="GA112" s="158" t="str">
        <f>FZ112*VLOOKUP('Données projet'!$B$17,'Paramètres'!$A$1:$I$88,3,0)*VLOOKUP('Données projet'!$B$17,'Paramètres'!$A$1:$I$88,5,0)</f>
        <v>#N/A</v>
      </c>
      <c r="GB112" s="150" t="str">
        <f t="shared" si="50"/>
        <v>#N/A</v>
      </c>
      <c r="GC112" s="161" t="str">
        <f t="shared" si="26"/>
        <v>#N/A</v>
      </c>
      <c r="GD112" s="153" t="str">
        <f t="shared" si="27"/>
        <v>#N/A</v>
      </c>
      <c r="GE112" s="153" t="str">
        <f>AVERAGE(OFFSET($GD$3,0,0,'Données projet'!$E$17+1,1))-AVERAGE(OFFSET($H$3,0,0,'Données projet'!$E$17+1,1))</f>
        <v>#N/A</v>
      </c>
      <c r="GF112" s="153" t="str">
        <f t="shared" si="51"/>
        <v>#N/A</v>
      </c>
      <c r="GG112" s="154">
        <f>IF(ISNA(VLOOKUP(A112,'Données projet'!$A$243:$I$263,3,0)),0,VLOOKUP(A112,'Données projet'!$A$243:$I$263,3,0))</f>
        <v>0</v>
      </c>
      <c r="GH112" s="154">
        <f>IF(ISNA(VLOOKUP(A112,'Données projet'!$A$243:$I$263,4,0)),0,VLOOKUP(A112,'Données projet'!$A$243:$I$263,4,0))</f>
        <v>0</v>
      </c>
      <c r="GI112" s="155">
        <f>IF(ISNA(VLOOKUP(A112,'Données projet'!$A$243:$I$263,5,0)),0%,VLOOKUP(A112,'Données projet'!$A$243:$I$263,5,0)*VLOOKUP('Données projet'!$B$17,'Paramètres'!$A$1:$I$88,7,0))</f>
        <v>0</v>
      </c>
      <c r="GJ112" s="155">
        <f>IF(ISNA(VLOOKUP(A112,'Données projet'!$A$243:$I$263,6,0)),0%,VLOOKUP(A112,'Données projet'!$A$243:$I$263,6,0)*VLOOKUP('Données projet'!$B$17,'Paramètres'!$A$1:$I$88,7,0))</f>
        <v>0</v>
      </c>
      <c r="GK112" s="155">
        <f>IF(ISNA(VLOOKUP(A112,'Données projet'!$A$243:$I$263,7,0)),0%,VLOOKUP(A112,'Données projet'!$A$243:$I$263,7,0))</f>
        <v>0</v>
      </c>
      <c r="GL112" s="162" t="str">
        <f>EXP(-LN(2)/35)*GL111+(1-EXP(-LN(2)/35))/(LN(2)/35)*GH112*GI112*VLOOKUP('Données projet'!$B$17,'Paramètres'!$A$1:$I$88,3,0)*0.475*44/12</f>
        <v>#N/A</v>
      </c>
      <c r="GM112" s="162" t="str">
        <f>EXP(-LN(2)/25)*GM111+(1-EXP(-LN(2)/25))/(LN(2)/25)*Calculateur!GH112*Calculateur!GJ112*VLOOKUP('Données projet'!$B$17,'Paramètres'!$A$1:$I$88,3,0)*0.475*44/12</f>
        <v>#N/A</v>
      </c>
      <c r="GN112" s="162" t="str">
        <f>EXP(-LN(2)/2)*GN111+(1-EXP(-LN(2)/2))/(LN(2)/2)*GH112*GK112*VLOOKUP('Données projet'!$B$17,'Paramètres'!$A$1:$I$88,3,0)*0.475*44/12</f>
        <v>#N/A</v>
      </c>
      <c r="GO112" s="162" t="str">
        <f t="shared" si="28"/>
        <v>#N/A</v>
      </c>
      <c r="GP112" s="159">
        <f>('Scénario référence'!$F$8+'Scénario référence'!$F$9+'Scénario référence'!$B$17+'Scénario référence'!$B$9+'Scénario référence'!$B$10)*70+IF((45+25*(1-EXP(-0.0175*A112)))&lt;70,'Scénario référence'!$B$16*(45+25*(1-EXP(-0.0175*A112))),70*'Scénario référence'!$B$16)+IF((32+38*(1-EXP(-0.0175*A112)))&lt;70,'Scénario référence'!$B$18*(32+38*(1-EXP(-0.0175*A112))),70*'Scénario référence'!$B$18)</f>
        <v>70</v>
      </c>
      <c r="GQ112" s="151">
        <f>IF(A112&gt;30,10,('Scénario référence'!$B$16+'Scénario référence'!$B$17+'Scénario référence'!$B$18+'Scénario référence'!$B$9+'Scénario référence'!$B$10)*A112*10/30+('Scénario référence'!$F$8+'Scénario référence'!$F$9)*10)</f>
        <v>10</v>
      </c>
      <c r="GR112" s="151" t="str">
        <f>VLOOKUP(A112,'Données projet'!$A$269:$I$289,2,0)</f>
        <v>#N/A</v>
      </c>
      <c r="GS112" s="151" t="str">
        <f>VLOOKUP(A112,'Données projet'!$A$269:$I$289,9,0)</f>
        <v>#N/A</v>
      </c>
      <c r="GT112" s="151" t="str">
        <f t="array" ref="GT112">INDEX(GS:GS,MIN(IF(ISNUMBER(GS112:GS308),ROW(GS112:GS308),"")))</f>
        <v/>
      </c>
      <c r="GU112" s="151">
        <f>IF('Données projet'!$A$270&gt;35,GU111+GT112-HC111,IF(A112&lt;'Données projet'!$A$270,$GR$205^A112,IF(A112='Données projet'!$A$270,'Données projet'!$B$270,GU111+GT112-HC111)))</f>
        <v>0</v>
      </c>
      <c r="GV112" s="158" t="str">
        <f>GU112*VLOOKUP('Données projet'!$B$18,'Paramètres'!$A$1:$I$88,3,0)*VLOOKUP('Données projet'!$B$18,'Paramètres'!$A$1:$I$88,5,0)</f>
        <v>#N/A</v>
      </c>
      <c r="GW112" s="150" t="str">
        <f t="shared" si="52"/>
        <v>#N/A</v>
      </c>
      <c r="GX112" s="161" t="str">
        <f t="shared" si="29"/>
        <v>#N/A</v>
      </c>
      <c r="GY112" s="153" t="str">
        <f t="shared" si="30"/>
        <v>#N/A</v>
      </c>
      <c r="GZ112" s="153" t="str">
        <f>AVERAGE(OFFSET($GY$3,0,0,'Données projet'!$E$18+1,1))-AVERAGE(OFFSET($H$3,0,0,'Données projet'!$E$18+1,1))</f>
        <v>#N/A</v>
      </c>
      <c r="HA112" s="153" t="str">
        <f t="shared" si="53"/>
        <v>#N/A</v>
      </c>
      <c r="HB112" s="154">
        <f>IF(ISNA(VLOOKUP(A112,'Données projet'!$A$269:$I$289,3,0)),0,VLOOKUP(A112,'Données projet'!$A$269:$I$289,3,0))</f>
        <v>0</v>
      </c>
      <c r="HC112" s="154">
        <f>IF(ISNA(VLOOKUP(A112,'Données projet'!$A$269:$I$289,4,0)),0,VLOOKUP(A112,'Données projet'!$A$269:$I$289,4,0))</f>
        <v>0</v>
      </c>
      <c r="HD112" s="155">
        <f>IF(ISNA(VLOOKUP(A112,'Données projet'!$A$269:$I$289,5,0)),0%,VLOOKUP(A112,'Données projet'!$A$269:$I$289,5,0)*VLOOKUP('Données projet'!$B$18,'Paramètres'!$A$1:$I$88,7,0))</f>
        <v>0</v>
      </c>
      <c r="HE112" s="155">
        <f>IF(ISNA(VLOOKUP(A112,'Données projet'!$A$269:$I$289,6,0)),0%,VLOOKUP(A112,'Données projet'!$A$269:$I$289,6,0)*VLOOKUP('Données projet'!$B$18,'Paramètres'!$A$1:$I$88,7,0))</f>
        <v>0</v>
      </c>
      <c r="HF112" s="155">
        <f>IF(ISNA(VLOOKUP(A112,'Données projet'!$A$269:$I$289,7,0)),0%,VLOOKUP(A112,'Données projet'!$A$269:$I$289,7,0))</f>
        <v>0</v>
      </c>
      <c r="HG112" s="162" t="str">
        <f>EXP(-LN(2)/35)*HG111+(1-EXP(-LN(2)/35))/(LN(2)/35)*HC112*HD112*VLOOKUP('Données projet'!$B$18,'Paramètres'!$A$1:$I$88,3,0)*0.475*44/12</f>
        <v>#N/A</v>
      </c>
      <c r="HH112" s="162" t="str">
        <f>EXP(-LN(2)/25)*HH111+(1-EXP(-LN(2)/25))/(LN(2)/25)*Calculateur!HC112*Calculateur!HE112*VLOOKUP('Données projet'!$B$18,'Paramètres'!$A$1:$I$88,3,0)*0.475*44/12</f>
        <v>#N/A</v>
      </c>
      <c r="HI112" s="162" t="str">
        <f>EXP(-LN(2)/2)*HI111+(1-EXP(-LN(2)/2))/(LN(2)/2)*HC112*HF112*VLOOKUP('Données projet'!$B$18,'Paramètres'!$A$1:$I$88,3,0)*0.475*44/12</f>
        <v>#N/A</v>
      </c>
      <c r="HJ112" s="163" t="str">
        <f t="shared" si="31"/>
        <v>#N/A</v>
      </c>
    </row>
    <row r="113" ht="15.75" customHeight="1">
      <c r="A113" s="145">
        <f t="shared" si="32"/>
        <v>110</v>
      </c>
      <c r="B113" s="146">
        <f>'Scénario référence'!$B$16*5+'Scénario référence'!$B$17*0+'Scénario référence'!$B$18*5</f>
        <v>0</v>
      </c>
      <c r="C113" s="160">
        <f>Calculateur!C112+'Scénario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13" s="147">
        <f t="shared" si="33"/>
        <v>0</v>
      </c>
      <c r="E113" s="147">
        <f>'Scénario référence'!$B$16*45+('Scénario référence'!$B$17+'Scénario référence'!$F$8+'Scénario référence'!$F$9+'Scénario référence'!$B$10+'Scénario référence'!$B$9)*70+'Scénario référence'!$B$18*32</f>
        <v>70</v>
      </c>
      <c r="F113" s="147">
        <f>IF(OR('Scénario référence'!$F$8&gt;0,'Scénario référence'!$F$9&gt;0),('Scénario référence'!$F$8+'Scénario référence'!$F$9)*10,0)</f>
        <v>0</v>
      </c>
      <c r="G113" s="147">
        <f>'Scénario référence'!$B$8*B113*44/12+'Scénario référence'!$B$9*(C113+D113)/0.475*44/12+'Scénario référence'!$B$10*(C113+D113)/0.475*44/12+'Scénario référence'!$F$8*(C113+D113)/0.475*44/12+'Scénario référence'!$F$9*(C113+D113)/0.475*44/12</f>
        <v>0</v>
      </c>
      <c r="H113" s="148">
        <f t="shared" si="1"/>
        <v>256.6666667</v>
      </c>
      <c r="I113" s="149">
        <f>('Scénario référence'!$F$8+'Scénario référence'!$F$9+'Scénario référence'!$B$17+'Scénario référence'!$B$9+'Scénario référence'!$B$10)*70+IF((45+25*(1-EXP(-0.0175*A113)))&lt;70,'Scénario référence'!$B$16*(45+25*(1-EXP(-0.0175*A113))),70*'Scénario référence'!$B$16)+IF((32+38*(1-EXP(-0.0175*A113)))&lt;70,'Scénario référence'!$B$18*(32+38*(1-EXP(-0.0175*A113))),70*'Scénario référence'!$B$18)</f>
        <v>70</v>
      </c>
      <c r="J113" s="150">
        <f>IF(A113&gt;30,10,('Scénario référence'!$B$16+'Scénario référence'!$B$17+'Scénario référence'!$B$18+'Scénario référence'!$B$9+'Scénario référence'!$B$10)*A113*10/30+('Scénario référence'!$F$8+'Scénario référence'!$F$9)*10)</f>
        <v>10</v>
      </c>
      <c r="K113" s="165">
        <f>VLOOKUP(A113,'Données projet'!$A$35:$I$55,2,0)</f>
        <v>332</v>
      </c>
      <c r="L113" s="151">
        <f>VLOOKUP(A113,'Données projet'!$A$35:$I$55,9,0)</f>
        <v>5</v>
      </c>
      <c r="M113" s="150">
        <f t="array" ref="M113">INDEX(L:L,MIN(IF(ISNUMBER(L113:L309),ROW(L113:L309),"")))</f>
        <v>5</v>
      </c>
      <c r="N113" s="150">
        <f>IF('Données projet'!$A$36&gt;35,N112+M113-V112,IF(A113&lt;'Données projet'!$A$36,$K$205^A113,IF(A113='Données projet'!$A$36,'Données projet'!$B$36,N112+M113-V112)))</f>
        <v>332</v>
      </c>
      <c r="O113" s="150">
        <f>N113*VLOOKUP('Données projet'!$B$9,'Paramètres'!$A$1:$I$88,3,0)*VLOOKUP('Données projet'!$B$9,'Paramètres'!$A$1:$I$88,5,0)</f>
        <v>300.3936</v>
      </c>
      <c r="P113" s="150">
        <f t="shared" si="34"/>
        <v>71.25897086</v>
      </c>
      <c r="Q113" s="161">
        <f t="shared" si="2"/>
        <v>647.2948942</v>
      </c>
      <c r="R113" s="153">
        <f t="shared" si="3"/>
        <v>940.6282276</v>
      </c>
      <c r="S113" s="153">
        <f>AVERAGE(OFFSET($R$3,0,0,'Données projet'!$E$9+1,1))-AVERAGE(OFFSET($H$3,0,0,'Données projet'!$E$9+1,1))</f>
        <v>439.1985427</v>
      </c>
      <c r="T113" s="153">
        <f t="shared" si="35"/>
        <v>278.2174123</v>
      </c>
      <c r="U113" s="154">
        <f>IF(ISNA(VLOOKUP(A113,'Données projet'!$A$35:$I$55,3,0)),0,VLOOKUP(A113,'Données projet'!$A$35:$I$55,3,0))</f>
        <v>19</v>
      </c>
      <c r="V113" s="164">
        <f>IF(ISNA(VLOOKUP(A113,'Données projet'!$A$35:$I$55,4,0)),0,VLOOKUP(A113,'Données projet'!$A$35:$I$55,4,0))</f>
        <v>25</v>
      </c>
      <c r="W113" s="155">
        <f>IF(ISNA(VLOOKUP(A113,'Données projet'!$A$35:$I$55,5,0)),0%,VLOOKUP(A113,'Données projet'!$A$35:$I$55,5,0)*VLOOKUP('Données projet'!$B$9,'Paramètres'!$A$1:$I$88,7,0))</f>
        <v>0</v>
      </c>
      <c r="X113" s="155">
        <f>IF(ISNA(VLOOKUP(A113,'Données projet'!$A$35:$I$55,6,0)),0%,VLOOKUP(A113,'Données projet'!$A$35:$I$55,6,0)*VLOOKUP('Données projet'!$B$9,'Paramètres'!$A$1:$I$88,7,0))</f>
        <v>0</v>
      </c>
      <c r="Y113" s="155" t="str">
        <f>IF(ISNA(VLOOKUP(A113,'Données projet'!$A$35:$I$55,7,0)),0%,VLOOKUP(A113,'Données projet'!$A$35:$I$55,7,0))</f>
        <v/>
      </c>
      <c r="Z113" s="162">
        <f>EXP(-LN(2)/35)*Z112+(1-EXP(-LN(2)/35))/(LN(2)/35)*V113*W113*VLOOKUP('Données projet'!$B$9,'Paramètres'!$A$1:$I$88,3,0)*0.475*44/12</f>
        <v>0</v>
      </c>
      <c r="AA113" s="162">
        <f>EXP(-LN(2)/25)*AA112+(1-EXP(-LN(2)/25))/(LN(2)/25)*Calculateur!V113*Calculateur!X113*VLOOKUP('Données projet'!$B$9,'Paramètres'!$A$1:$I$88,3,0)*0.475*44/12</f>
        <v>0.4883332466</v>
      </c>
      <c r="AB113" s="162">
        <f>EXP(-LN(2)/2)*AB112+(1-EXP(-LN(2)/2))/(LN(2)/2)*V113*Y113*VLOOKUP('Données projet'!$B$9,'Paramètres'!$A$1:$I$88,3,0)*0.475*44/12</f>
        <v>0</v>
      </c>
      <c r="AC113" s="163">
        <f t="shared" si="4"/>
        <v>0.4883332466</v>
      </c>
      <c r="AD113" s="150">
        <f>('Scénario référence'!$F$8+'Scénario référence'!$F$9+'Scénario référence'!$B$17+'Scénario référence'!$B$9+'Scénario référence'!$B$10)*70+IF((45+25*(1-EXP(-0.0175*A113)))&lt;70,'Scénario référence'!$B$16*(45+25*(1-EXP(-0.0175*A113))),70*'Scénario référence'!$B$16)+IF((32+38*(1-EXP(-0.0175*A113)))&lt;70,'Scénario référence'!$B$18*(32+38*(1-EXP(-0.0175*A113))),70*'Scénario référence'!$B$18)</f>
        <v>70</v>
      </c>
      <c r="AE113" s="150">
        <f>IF(A113&gt;30,10,('Scénario référence'!$B$16+'Scénario référence'!$B$17+'Scénario référence'!$B$18+'Scénario référence'!$B$9+'Scénario référence'!$B$10)*A113*10/30+('Scénario référence'!$F$8+'Scénario référence'!$F$9)*10)</f>
        <v>10</v>
      </c>
      <c r="AF113" s="151" t="str">
        <f>VLOOKUP(A113,'Données projet'!$A$61:$I$81,2,0)</f>
        <v>#N/A</v>
      </c>
      <c r="AG113" s="151" t="str">
        <f>VLOOKUP(A113,'Données projet'!$A$61:$I$81,9,0)</f>
        <v>#N/A</v>
      </c>
      <c r="AH113" s="151" t="str">
        <f t="array" ref="AH113">INDEX(AG:AG,MIN(IF(ISNUMBER(AG113:AG309),ROW(AG113:AG309),"")))</f>
        <v/>
      </c>
      <c r="AI113" s="150">
        <f>IF('Données projet'!$A$62&gt;35,AI112+AH113-AQ112,IF(A113&lt;'Données projet'!$A$62,$AF$205^A113,IF(A113='Données projet'!$A$62,'Données projet'!$B$62,AI112+AH113-AQ112)))</f>
        <v>369</v>
      </c>
      <c r="AJ113" s="150">
        <f>AI113*VLOOKUP('Données projet'!$B$10,'Paramètres'!$A$1:$I$88,3,0)*VLOOKUP('Données projet'!$B$10,'Paramètres'!$A$1:$I$88,5,0)</f>
        <v>293.5764</v>
      </c>
      <c r="AK113" s="150">
        <f t="shared" si="36"/>
        <v>69.82813851</v>
      </c>
      <c r="AL113" s="161">
        <f t="shared" si="5"/>
        <v>632.9295712</v>
      </c>
      <c r="AM113" s="153">
        <f t="shared" si="6"/>
        <v>926.2629046</v>
      </c>
      <c r="AN113" s="153">
        <f>AVERAGE(OFFSET($AM$3,0,0,'Données projet'!$E$10+1,1))-AVERAGE(OFFSET($H$3,0,0,'Données projet'!$E$10+1,1))</f>
        <v>405.6113614</v>
      </c>
      <c r="AO113" s="153">
        <f t="shared" si="37"/>
        <v>393.0787141</v>
      </c>
      <c r="AP113" s="154">
        <f>IF(ISNA(VLOOKUP(A113,'Données projet'!$A$61:$I$81,3,0)),0,VLOOKUP(A113,'Données projet'!$A$61:$I$81,3,0))</f>
        <v>0</v>
      </c>
      <c r="AQ113" s="154">
        <f>IF(ISNA(VLOOKUP(A113,'Données projet'!$A$61:$I$81,4,0)),0,VLOOKUP(A113,'Données projet'!$A$61:$I$81,4,0))</f>
        <v>0</v>
      </c>
      <c r="AR113" s="155">
        <f>IF(ISNA(VLOOKUP(A113,'Données projet'!$A$61:$I$81,5,0)),0%,VLOOKUP(A113,'Données projet'!$A$61:$I$81,5,0)*VLOOKUP('Données projet'!$B$10,'Paramètres'!$A$1:$I$88,7,0))</f>
        <v>0</v>
      </c>
      <c r="AS113" s="155">
        <f>IF(ISNA(VLOOKUP(A113,'Données projet'!$A$61:$I$81,6,0)),0%,VLOOKUP(A113,'Données projet'!$A$61:$I$81,6,0)*VLOOKUP('Données projet'!$B$10,'Paramètres'!$A$1:$I$88,7,0))</f>
        <v>0</v>
      </c>
      <c r="AT113" s="155">
        <f>IF(ISNA(VLOOKUP(A113,'Données projet'!$A$61:$I$81,7,0)),0%,VLOOKUP(A113,'Données projet'!$A$61:$I$81,7,0))</f>
        <v>0</v>
      </c>
      <c r="AU113" s="162">
        <f>EXP(-LN(2)/35)*AU112+(1-EXP(-LN(2)/35))/(LN(2)/35)*AQ113*AR113*VLOOKUP('Données projet'!$B$10,'Paramètres'!$A$1:$I$88,3,0)*0.475*44/12</f>
        <v>0</v>
      </c>
      <c r="AV113" s="162">
        <f>EXP(-LN(2)/25)*AV112+(1-EXP(-LN(2)/25))/(LN(2)/25)*Calculateur!AQ113*Calculateur!AS113*VLOOKUP('Données projet'!$B$10,'Paramètres'!$A$1:$I$88,3,0)*0.475*44/12</f>
        <v>1.984710453</v>
      </c>
      <c r="AW113" s="162">
        <f>EXP(-LN(2)/2)*AW112+(1-EXP(-LN(2)/2))/(LN(2)/2)*AQ113*AT113*VLOOKUP('Données projet'!$B$10,'Paramètres'!$A$1:$I$88,3,0)*0.475*44/12</f>
        <v>0</v>
      </c>
      <c r="AX113" s="162">
        <f t="shared" si="7"/>
        <v>1.984710453</v>
      </c>
      <c r="AY113" s="157">
        <f>('Scénario référence'!$F$8+'Scénario référence'!$F$9+'Scénario référence'!$B$17+'Scénario référence'!$B$9+'Scénario référence'!$B$10)*70+IF((45+25*(1-EXP(-0.0175*A113)))&lt;70,'Scénario référence'!$B$16*(45+25*(1-EXP(-0.0175*A113))),70*'Scénario référence'!$B$16)+IF((32+38*(1-EXP(-0.0175*A113)))&lt;70,'Scénario référence'!$B$18*(32+38*(1-EXP(-0.0175*A113))),70*'Scénario référence'!$B$18)</f>
        <v>70</v>
      </c>
      <c r="AZ113" s="151">
        <f>IF(A113&gt;30,10,('Scénario référence'!$B$16+'Scénario référence'!$B$17+'Scénario référence'!$B$18+'Scénario référence'!$B$9+'Scénario référence'!$B$10)*A113*10/30+('Scénario référence'!$F$8+'Scénario référence'!$F$9)*10)</f>
        <v>10</v>
      </c>
      <c r="BA113" s="151" t="str">
        <f>VLOOKUP(A113,'Données projet'!$A$87:$I$107,2,0)</f>
        <v>#N/A</v>
      </c>
      <c r="BB113" s="151" t="str">
        <f>VLOOKUP(A113,'Données projet'!$A$87:$I$107,9,0)</f>
        <v>#N/A</v>
      </c>
      <c r="BC113" s="151" t="str">
        <f t="array" ref="BC113">INDEX(BB:BB,MIN(IF(ISNUMBER(BB113:BB309),ROW(BB113:BB309),"")))</f>
        <v/>
      </c>
      <c r="BD113" s="150">
        <f>IF('Données projet'!$A$88&gt;35,BD112+BC113-BL112,IF(A113&lt;'Données projet'!$A$88,$BA$205^A113,IF(A113='Données projet'!$A$88,'Données projet'!$B$88,BD112+BC113-BL112)))</f>
        <v>0</v>
      </c>
      <c r="BE113" s="150">
        <f>BD113*VLOOKUP('Données projet'!$B$11,'Paramètres'!$A$1:$I$88,3,0)*VLOOKUP('Données projet'!$B$11,'Paramètres'!$A$1:$I$88,5,0)</f>
        <v>0</v>
      </c>
      <c r="BF113" s="150" t="str">
        <f t="shared" si="38"/>
        <v>#NUM!</v>
      </c>
      <c r="BG113" s="161" t="str">
        <f t="shared" si="8"/>
        <v>#NUM!</v>
      </c>
      <c r="BH113" s="153" t="str">
        <f t="shared" si="9"/>
        <v>#NUM!</v>
      </c>
      <c r="BI113" s="153">
        <f>AVERAGE(OFFSET($BH$3,0,0,'Données projet'!$E$11+1,1))-AVERAGE(OFFSET($H$3,0,0,'Données projet'!$E$11+1,1))</f>
        <v>0</v>
      </c>
      <c r="BJ113" s="153">
        <f t="shared" si="39"/>
        <v>0</v>
      </c>
      <c r="BK113" s="154">
        <f>IF(ISNA(VLOOKUP(A113,'Données projet'!$A$87:$I$107,3,0)),0,VLOOKUP(A113,'Données projet'!$A$87:$I$107,3,0))</f>
        <v>0</v>
      </c>
      <c r="BL113" s="154">
        <f>IF(ISNA(VLOOKUP(A113,'Données projet'!$A$87:$I$107,4,0)),0,VLOOKUP(A113,'Données projet'!$A$87:$I$107,4,0))</f>
        <v>0</v>
      </c>
      <c r="BM113" s="155">
        <f>IF(ISNA(VLOOKUP(A113,'Données projet'!$A$87:$I$107,5,0)),0%,VLOOKUP(A113,'Données projet'!$A$87:$I$107,5,0)*VLOOKUP('Données projet'!$B$11,'Paramètres'!$A$1:$I$88,7,0))</f>
        <v>0</v>
      </c>
      <c r="BN113" s="155">
        <f>IF(ISNA(VLOOKUP(A113,'Données projet'!$A$87:$I$107,6,0)),0%,VLOOKUP(A113,'Données projet'!$A$87:$I$107,6,0)*VLOOKUP('Données projet'!$B$11,'Paramètres'!$A$1:$I$88,7,0))</f>
        <v>0</v>
      </c>
      <c r="BO113" s="155">
        <f>IF(ISNA(VLOOKUP(A113,'Données projet'!$A$87:$I$107,7,0)),0%,VLOOKUP(A113,'Données projet'!$A$87:$I$107,7,0))</f>
        <v>0</v>
      </c>
      <c r="BP113" s="162">
        <f>EXP(-LN(2)/35)*BP112+(1-EXP(-LN(2)/35))/(LN(2)/35)*BL113*BM113*VLOOKUP('Données projet'!$B$11,'Paramètres'!$A$1:$I$88,3,0)*0.475*44/12</f>
        <v>0</v>
      </c>
      <c r="BQ113" s="162">
        <f>EXP(-LN(2)/25)*BQ112+(1-EXP(-LN(2)/25))/(LN(2)/25)*Calculateur!BL113*Calculateur!BN113*VLOOKUP('Données projet'!$B$11,'Paramètres'!$A$1:$I$88,3,0)*0.475*44/12</f>
        <v>0</v>
      </c>
      <c r="BR113" s="162">
        <f>EXP(-LN(2)/2)*BR112+(1-EXP(-LN(2)/2))/(LN(2)/2)*BL113*BO113*VLOOKUP('Données projet'!$B$11,'Paramètres'!$A$1:$I$88,3,0)*0.475*44/12</f>
        <v>0</v>
      </c>
      <c r="BS113" s="163">
        <f t="shared" si="10"/>
        <v>0</v>
      </c>
      <c r="BT113" s="159">
        <f>('Scénario référence'!$F$8+'Scénario référence'!$F$9+'Scénario référence'!$B$17+'Scénario référence'!$B$9+'Scénario référence'!$B$10)*70+IF((45+25*(1-EXP(-0.0175*A113)))&lt;70,'Scénario référence'!$B$16*(45+25*(1-EXP(-0.0175*A113))),70*'Scénario référence'!$B$16)+IF((32+38*(1-EXP(-0.0175*A113)))&lt;70,'Scénario référence'!$B$18*(32+38*(1-EXP(-0.0175*A113))),70*'Scénario référence'!$B$18)</f>
        <v>70</v>
      </c>
      <c r="BU113" s="151">
        <f>IF(A113&gt;30,10,('Scénario référence'!$B$16+'Scénario référence'!$B$17+'Scénario référence'!$B$18+'Scénario référence'!$B$9+'Scénario référence'!$B$10)*A113*10/30+('Scénario référence'!$F$8+'Scénario référence'!$F$9)*10)</f>
        <v>10</v>
      </c>
      <c r="BV113" s="151" t="str">
        <f>VLOOKUP(A113,'Données projet'!$A$113:$I$133,2,0)</f>
        <v>#N/A</v>
      </c>
      <c r="BW113" s="151" t="str">
        <f>VLOOKUP(A113,'Données projet'!$A$113:$I$133,9,0)</f>
        <v>#N/A</v>
      </c>
      <c r="BX113" s="151" t="str">
        <f t="array" ref="BX113">INDEX(BW:BW,MIN(IF(ISNUMBER(BW113:BW309),ROW(BW113:BW309),"")))</f>
        <v/>
      </c>
      <c r="BY113" s="150">
        <f>IF('Données projet'!$A$114&gt;35,BY112+BX113-CG112,IF(A113&lt;'Données projet'!$A$114,$BV$205^A113,IF(A113='Données projet'!$A$114,'Données projet'!$B$114,BY112+BX113-CG112)))</f>
        <v>0</v>
      </c>
      <c r="BZ113" s="150" t="str">
        <f>BY113*VLOOKUP('Données projet'!$B$12,'Paramètres'!$A$1:$I$88,3,0)*VLOOKUP('Données projet'!$B$12,'Paramètres'!$A$1:$I$88,5,0)</f>
        <v>#N/A</v>
      </c>
      <c r="CA113" s="150" t="str">
        <f t="shared" si="40"/>
        <v>#N/A</v>
      </c>
      <c r="CB113" s="161" t="str">
        <f t="shared" si="11"/>
        <v>#N/A</v>
      </c>
      <c r="CC113" s="153" t="str">
        <f t="shared" si="12"/>
        <v>#N/A</v>
      </c>
      <c r="CD113" s="153" t="str">
        <f>AVERAGE(OFFSET($CC$3,0,0,'Données projet'!$E$12+1,1))-AVERAGE(OFFSET($H$3,0,0,'Données projet'!$E$12+1,1))</f>
        <v>#N/A</v>
      </c>
      <c r="CE113" s="153" t="str">
        <f t="shared" si="41"/>
        <v>#N/A</v>
      </c>
      <c r="CF113" s="154">
        <f>IF(ISNA(VLOOKUP(A113,'Données projet'!$A$113:$I$133,3,0)),0,VLOOKUP(A113,'Données projet'!$A$113:$I$133,3,0))</f>
        <v>0</v>
      </c>
      <c r="CG113" s="154">
        <f>IF(ISNA(VLOOKUP(A113,'Données projet'!$A$113:$I$133,4,0)),0,VLOOKUP(A113,'Données projet'!$A$113:$I$133,4,0))</f>
        <v>0</v>
      </c>
      <c r="CH113" s="155">
        <f>IF(ISNA(VLOOKUP(A113,'Données projet'!$A$113:$I$133,5,0)),0%,VLOOKUP(A113,'Données projet'!$A$113:$I$133,5,0)*VLOOKUP('Données projet'!$B$12,'Paramètres'!$A$1:$I$88,7,0))</f>
        <v>0</v>
      </c>
      <c r="CI113" s="155">
        <f>IF(ISNA(VLOOKUP(A113,'Données projet'!$A$113:$I$133,6,0)),0%,VLOOKUP(A113,'Données projet'!$A$113:$I$133,6,0)*VLOOKUP('Données projet'!$B$12,'Paramètres'!$A$1:$I$88,7,0))</f>
        <v>0</v>
      </c>
      <c r="CJ113" s="155">
        <f>IF(ISNA(VLOOKUP(A113,'Données projet'!$A$113:$I$133,7,0)),0%,VLOOKUP(A113,'Données projet'!$A$113:$I$133,7,0))</f>
        <v>0</v>
      </c>
      <c r="CK113" s="162" t="str">
        <f>EXP(-LN(2)/35)*CK112+(1-EXP(-LN(2)/35))/(LN(2)/35)*CG113*CH113*VLOOKUP('Données projet'!$B$12,'Paramètres'!$A$1:$I$88,3,0)*0.475*44/12</f>
        <v>#N/A</v>
      </c>
      <c r="CL113" s="162" t="str">
        <f>EXP(-LN(2)/25)*CL112+(1-EXP(-LN(2)/25))/(LN(2)/25)*Calculateur!CG113*Calculateur!CI113*VLOOKUP('Données projet'!$B$12,'Paramètres'!$A$1:$I$88,3,0)*0.475*44/12</f>
        <v>#N/A</v>
      </c>
      <c r="CM113" s="162" t="str">
        <f>EXP(-LN(2)/2)*CM112+(1-EXP(-LN(2)/2))/(LN(2)/2)*CG113*CJ113*VLOOKUP('Données projet'!$B$12,'Paramètres'!$A$1:$I$88,3,0)*0.475*44/12</f>
        <v>#N/A</v>
      </c>
      <c r="CN113" s="163" t="str">
        <f t="shared" si="13"/>
        <v>#N/A</v>
      </c>
      <c r="CO113" s="159">
        <f>('Scénario référence'!$F$8+'Scénario référence'!$F$9+'Scénario référence'!$B$17+'Scénario référence'!$B$9+'Scénario référence'!$B$10)*70+IF((45+25*(1-EXP(-0.0175*A113)))&lt;70,'Scénario référence'!$B$16*(45+25*(1-EXP(-0.0175*A113))),70*'Scénario référence'!$B$16)+IF((32+38*(1-EXP(-0.0175*A113)))&lt;70,'Scénario référence'!$B$18*(32+38*(1-EXP(-0.0175*A113))),70*'Scénario référence'!$B$18)</f>
        <v>70</v>
      </c>
      <c r="CP113" s="151">
        <f>IF(A113&gt;30,10,('Scénario référence'!$B$16+'Scénario référence'!$B$17+'Scénario référence'!$B$18+'Scénario référence'!$B$9+'Scénario référence'!$B$10)*A113*10/30+('Scénario référence'!$F$8+'Scénario référence'!$F$9)*10)</f>
        <v>10</v>
      </c>
      <c r="CQ113" s="151" t="str">
        <f>VLOOKUP(A113,'Données projet'!$A$139:$I$159,2,0)</f>
        <v>#N/A</v>
      </c>
      <c r="CR113" s="151" t="str">
        <f>VLOOKUP(A113,'Données projet'!$A$139:$I$159,9,0)</f>
        <v>#N/A</v>
      </c>
      <c r="CS113" s="151" t="str">
        <f t="array" ref="CS113">INDEX(CR:CR,MIN(IF(ISNUMBER(CR113:CR309),ROW(CR113:CR309),"")))</f>
        <v/>
      </c>
      <c r="CT113" s="151">
        <f>IF('Données projet'!$A$140&gt;35,CT112+CS113-DB112,IF(A113&lt;'Données projet'!$A$140,$CQ$205^A113,IF(A113='Données projet'!$A$140,'Données projet'!$B$140,CT112+CS113-DB112)))</f>
        <v>0</v>
      </c>
      <c r="CU113" s="158" t="str">
        <f>CT113*VLOOKUP('Données projet'!$B$13,'Paramètres'!$A$1:$I$88,3,0)*VLOOKUP('Données projet'!$B$13,'Paramètres'!$A$1:$I$88,5,0)</f>
        <v>#N/A</v>
      </c>
      <c r="CV113" s="150" t="str">
        <f t="shared" si="42"/>
        <v>#N/A</v>
      </c>
      <c r="CW113" s="161" t="str">
        <f t="shared" si="14"/>
        <v>#N/A</v>
      </c>
      <c r="CX113" s="153" t="str">
        <f t="shared" si="15"/>
        <v>#N/A</v>
      </c>
      <c r="CY113" s="153" t="str">
        <f>AVERAGE(OFFSET($CX$3,0,0,'Données projet'!$E$13+1,1))-AVERAGE(OFFSET($H$3,0,0,'Données projet'!$E$13+1,1))</f>
        <v>#N/A</v>
      </c>
      <c r="CZ113" s="153" t="str">
        <f t="shared" si="43"/>
        <v>#N/A</v>
      </c>
      <c r="DA113" s="154">
        <f>IF(ISNA(VLOOKUP(A113,'Données projet'!$A$139:$I$159,3,0)),0,VLOOKUP(A113,'Données projet'!$A$139:$I$159,3,0))</f>
        <v>0</v>
      </c>
      <c r="DB113" s="154">
        <f>IF(ISNA(VLOOKUP(A113,'Données projet'!$A$139:$I$159,4,0)),0,VLOOKUP(A113,'Données projet'!$A$139:$I$159,4,0))</f>
        <v>0</v>
      </c>
      <c r="DC113" s="155">
        <f>IF(ISNA(VLOOKUP(A113,'Données projet'!$A$139:$I$159,5,0)),0%,VLOOKUP(A113,'Données projet'!$A$139:$I$159,5,0)*VLOOKUP('Données projet'!$B$13,'Paramètres'!$A$1:$I$88,7,0))</f>
        <v>0</v>
      </c>
      <c r="DD113" s="155">
        <f>IF(ISNA(VLOOKUP(A113,'Données projet'!$A$139:$I$159,6,0)),0%,VLOOKUP(A113,'Données projet'!$A$139:$I$159,6,0)*VLOOKUP('Données projet'!$B$13,'Paramètres'!$A$1:$I$88,7,0))</f>
        <v>0</v>
      </c>
      <c r="DE113" s="155">
        <f>IF(ISNA(VLOOKUP(A113,'Données projet'!$A$139:$I$159,7,0)),0%,VLOOKUP(A113,'Données projet'!$A$139:$I$159,7,0))</f>
        <v>0</v>
      </c>
      <c r="DF113" s="162" t="str">
        <f>EXP(-LN(2)/35)*DF112+(1-EXP(-LN(2)/35))/(LN(2)/35)*DB113*DC113*VLOOKUP('Données projet'!$B$13,'Paramètres'!$A$1:$I$88,3,0)*0.475*44/12</f>
        <v>#N/A</v>
      </c>
      <c r="DG113" s="162" t="str">
        <f>EXP(-LN(2)/25)*DG112+(1-EXP(-LN(2)/25))/(LN(2)/25)*Calculateur!DB113*Calculateur!DD113*VLOOKUP('Données projet'!$B$13,'Paramètres'!$A$1:$I$88,3,0)*0.475*44/12</f>
        <v>#N/A</v>
      </c>
      <c r="DH113" s="162" t="str">
        <f>EXP(-LN(2)/2)*DH112+(1-EXP(-LN(2)/2))/(LN(2)/2)*DB113*DE113*VLOOKUP('Données projet'!$B$13,'Paramètres'!$A$1:$I$88,3,0)*0.475*44/12</f>
        <v>#N/A</v>
      </c>
      <c r="DI113" s="163" t="str">
        <f t="shared" si="16"/>
        <v>#N/A</v>
      </c>
      <c r="DJ113" s="159">
        <f>('Scénario référence'!$F$8+'Scénario référence'!$F$9+'Scénario référence'!$B$17+'Scénario référence'!$B$9+'Scénario référence'!$B$10)*70+IF((45+25*(1-EXP(-0.0175*A113)))&lt;70,'Scénario référence'!$B$16*(45+25*(1-EXP(-0.0175*A113))),70*'Scénario référence'!$B$16)+IF((32+38*(1-EXP(-0.0175*A113)))&lt;70,'Scénario référence'!$B$18*(32+38*(1-EXP(-0.0175*A113))),70*'Scénario référence'!$B$18)</f>
        <v>70</v>
      </c>
      <c r="DK113" s="151">
        <f>IF(A113&gt;30,10,('Scénario référence'!$B$16+'Scénario référence'!$B$17+'Scénario référence'!$B$18+'Scénario référence'!$B$9+'Scénario référence'!$B$10)*A113*10/30+('Scénario référence'!$F$8+'Scénario référence'!$F$9)*10)</f>
        <v>10</v>
      </c>
      <c r="DL113" s="151" t="str">
        <f>VLOOKUP(A113,'Données projet'!$A$165:$I$185,2,0)</f>
        <v>#N/A</v>
      </c>
      <c r="DM113" s="151" t="str">
        <f>VLOOKUP(A113,'Données projet'!$A$165:$I$185,9,0)</f>
        <v>#N/A</v>
      </c>
      <c r="DN113" s="151" t="str">
        <f t="array" ref="DN113">INDEX(DM:DM,MIN(IF(ISNUMBER(DM113:DM309),ROW(DM113:DM309),"")))</f>
        <v/>
      </c>
      <c r="DO113" s="151">
        <f>IF('Données projet'!$A$166&gt;35,DO112+DN113-DW112,IF(A113&lt;'Données projet'!$A$166,$DL$205^A113,IF(A113='Données projet'!$A$166,'Données projet'!$B$166,DO112+DN113-DW112)))</f>
        <v>0</v>
      </c>
      <c r="DP113" s="158" t="str">
        <f>DO113*VLOOKUP('Données projet'!$B$14,'Paramètres'!$A$1:$I$88,3,0)*VLOOKUP('Données projet'!$B$14,'Paramètres'!$A$1:$I$88,5,0)</f>
        <v>#N/A</v>
      </c>
      <c r="DQ113" s="150" t="str">
        <f t="shared" si="44"/>
        <v>#N/A</v>
      </c>
      <c r="DR113" s="161" t="str">
        <f t="shared" si="17"/>
        <v>#N/A</v>
      </c>
      <c r="DS113" s="153" t="str">
        <f t="shared" si="18"/>
        <v>#N/A</v>
      </c>
      <c r="DT113" s="153" t="str">
        <f>AVERAGE(OFFSET($DS$3,0,0,'Données projet'!$E$14+1,1))-AVERAGE(OFFSET($H$3,0,0,'Données projet'!$E$14+1,1))</f>
        <v>#N/A</v>
      </c>
      <c r="DU113" s="153" t="str">
        <f t="shared" si="45"/>
        <v>#N/A</v>
      </c>
      <c r="DV113" s="154">
        <f>IF(ISNA(VLOOKUP(A113,'Données projet'!$A$165:$I$185,3,0)),0,VLOOKUP(A113,'Données projet'!$A$165:$I$185,3,0))</f>
        <v>0</v>
      </c>
      <c r="DW113" s="154">
        <f>IF(ISNA(VLOOKUP(A113,'Données projet'!$A$165:$I$185,4,0)),0,VLOOKUP(A113,'Données projet'!$A$165:$I$185,4,0))</f>
        <v>0</v>
      </c>
      <c r="DX113" s="155">
        <f>IF(ISNA(VLOOKUP(A113,'Données projet'!$A$165:$I$185,5,0)),0%,VLOOKUP(A113,'Données projet'!$A$165:$I$185,5,0)*VLOOKUP('Données projet'!$B$14,'Paramètres'!$A$1:$I$88,7,0))</f>
        <v>0</v>
      </c>
      <c r="DY113" s="155">
        <f>IF(ISNA(VLOOKUP(A113,'Données projet'!$A$165:$I$185,6,0)),0%,VLOOKUP(A113,'Données projet'!$A$165:$I$185,6,0)*VLOOKUP('Données projet'!$B$14,'Paramètres'!$A$1:$I$88,7,0))</f>
        <v>0</v>
      </c>
      <c r="DZ113" s="155">
        <f>IF(ISNA(VLOOKUP(A113,'Données projet'!$A$165:$I$185,7,0)),0%,VLOOKUP(A113,'Données projet'!$A$165:$I$185,7,0))</f>
        <v>0</v>
      </c>
      <c r="EA113" s="162" t="str">
        <f>EXP(-LN(2)/35)*EA112+(1-EXP(-LN(2)/35))/(LN(2)/35)*DW113*DX113*VLOOKUP('Données projet'!$B$14,'Paramètres'!$A$1:$I$88,3,0)*0.475*44/12</f>
        <v>#N/A</v>
      </c>
      <c r="EB113" s="162" t="str">
        <f>EXP(-LN(2)/25)*EB112+(1-EXP(-LN(2)/25))/(LN(2)/25)*Calculateur!DW113*Calculateur!DY113*VLOOKUP('Données projet'!$B$14,'Paramètres'!$A$1:$I$88,3,0)*0.475*44/12</f>
        <v>#N/A</v>
      </c>
      <c r="EC113" s="162" t="str">
        <f>EXP(-LN(2)/2)*EC112+(1-EXP(-LN(2)/2))/(LN(2)/2)*DW113*DZ113*VLOOKUP('Données projet'!$B$14,'Paramètres'!$A$1:$I$88,3,0)*0.475*44/12</f>
        <v>#N/A</v>
      </c>
      <c r="ED113" s="163" t="str">
        <f t="shared" si="19"/>
        <v>#N/A</v>
      </c>
      <c r="EE113" s="159">
        <f>('Scénario référence'!$F$8+'Scénario référence'!$F$9+'Scénario référence'!$B$17+'Scénario référence'!$B$9+'Scénario référence'!$B$10)*70+IF((45+25*(1-EXP(-0.0175*A113)))&lt;70,'Scénario référence'!$B$16*(45+25*(1-EXP(-0.0175*A113))),70*'Scénario référence'!$B$16)+IF((32+38*(1-EXP(-0.0175*A113)))&lt;70,'Scénario référence'!$B$18*(32+38*(1-EXP(-0.0175*A113))),70*'Scénario référence'!$B$18)</f>
        <v>70</v>
      </c>
      <c r="EF113" s="151">
        <f>IF(A113&gt;30,10,('Scénario référence'!$B$16+'Scénario référence'!$B$17+'Scénario référence'!$B$18+'Scénario référence'!$B$9+'Scénario référence'!$B$10)*A113*10/30+('Scénario référence'!$F$8+'Scénario référence'!$F$9)*10)</f>
        <v>10</v>
      </c>
      <c r="EG113" s="151" t="str">
        <f>VLOOKUP(A113,'Données projet'!$A$191:$I$211,2,0)</f>
        <v>#N/A</v>
      </c>
      <c r="EH113" s="151" t="str">
        <f>VLOOKUP(A113,'Données projet'!$A$191:$I$211,9,0)</f>
        <v>#N/A</v>
      </c>
      <c r="EI113" s="151" t="str">
        <f t="array" ref="EI113">INDEX(EH:EH,MIN(IF(ISNUMBER(EH113:EH309),ROW(EH113:EH309),"")))</f>
        <v/>
      </c>
      <c r="EJ113" s="151">
        <f>IF('Données projet'!$A$192&gt;35,EJ112+EI113-ER112,IF(A113&lt;'Données projet'!$A$192,$EG$205^A113,IF(A113='Données projet'!$A$192,'Données projet'!$B$192,EJ112+EI113-ER112)))</f>
        <v>0</v>
      </c>
      <c r="EK113" s="158" t="str">
        <f>EJ113*VLOOKUP('Données projet'!$B$15,'Paramètres'!$A$1:$I$88,3,0)*VLOOKUP('Données projet'!$B$15,'Paramètres'!$A$1:$I$88,5,0)</f>
        <v>#N/A</v>
      </c>
      <c r="EL113" s="150" t="str">
        <f t="shared" si="46"/>
        <v>#N/A</v>
      </c>
      <c r="EM113" s="161" t="str">
        <f t="shared" si="20"/>
        <v>#N/A</v>
      </c>
      <c r="EN113" s="153" t="str">
        <f t="shared" si="21"/>
        <v>#N/A</v>
      </c>
      <c r="EO113" s="153" t="str">
        <f>AVERAGE(OFFSET($EN$3,0,0,'Données projet'!$E$15+1,1))-AVERAGE(OFFSET($H$3,0,0,'Données projet'!$E$15+1,1))</f>
        <v>#N/A</v>
      </c>
      <c r="EP113" s="153" t="str">
        <f t="shared" si="47"/>
        <v>#N/A</v>
      </c>
      <c r="EQ113" s="154">
        <f>IF(ISNA(VLOOKUP(A113,'Données projet'!$A$191:$I$211,3,0)),0,VLOOKUP(A113,'Données projet'!$A$191:$I$211,3,0))</f>
        <v>0</v>
      </c>
      <c r="ER113" s="154">
        <f>IF(ISNA(VLOOKUP(A113,'Données projet'!$A$191:$I$211,4,0)),0,VLOOKUP(A113,'Données projet'!$A$191:$I$211,4,0))</f>
        <v>0</v>
      </c>
      <c r="ES113" s="155">
        <f>IF(ISNA(VLOOKUP(A113,'Données projet'!$A$191:$I$211,5,0)),0%,VLOOKUP(A113,'Données projet'!$A$191:$I$211,5,0)*VLOOKUP('Données projet'!$B$15,'Paramètres'!$A$1:$I$88,7,0))</f>
        <v>0</v>
      </c>
      <c r="ET113" s="155">
        <f>IF(ISNA(VLOOKUP(A113,'Données projet'!$A$191:$I$211,6,0)),0%,VLOOKUP(A113,'Données projet'!$A$191:$I$211,6,0)*VLOOKUP('Données projet'!$B$15,'Paramètres'!$A$1:$I$88,7,0))</f>
        <v>0</v>
      </c>
      <c r="EU113" s="155">
        <f>IF(ISNA(VLOOKUP(A113,'Données projet'!$A$191:$I$211,7,0)),0%,VLOOKUP(A113,'Données projet'!$A$191:$I$211,7,0))</f>
        <v>0</v>
      </c>
      <c r="EV113" s="162" t="str">
        <f>EXP(-LN(2)/35)*EV112+(1-EXP(-LN(2)/35))/(LN(2)/35)*ER113*ES113*VLOOKUP('Données projet'!$B$15,'Paramètres'!$A$1:$I$88,3,0)*0.475*44/12</f>
        <v>#N/A</v>
      </c>
      <c r="EW113" s="162" t="str">
        <f>EXP(-LN(2)/25)*EW112+(1-EXP(-LN(2)/25))/(LN(2)/25)*Calculateur!ER113*Calculateur!ET113*VLOOKUP('Données projet'!$B$15,'Paramètres'!$A$1:$I$88,3,0)*0.475*44/12</f>
        <v>#N/A</v>
      </c>
      <c r="EX113" s="162" t="str">
        <f>EXP(-LN(2)/2)*EX112+(1-EXP(-LN(2)/2))/(LN(2)/2)*ER113*EU113*VLOOKUP('Données projet'!$B$15,'Paramètres'!$A$1:$I$88,3,0)*0.475*44/12</f>
        <v>#N/A</v>
      </c>
      <c r="EY113" s="163" t="str">
        <f t="shared" si="22"/>
        <v>#N/A</v>
      </c>
      <c r="EZ113" s="159">
        <f>('Scénario référence'!$F$8+'Scénario référence'!$F$9+'Scénario référence'!$B$17+'Scénario référence'!$B$9+'Scénario référence'!$B$10)*70+IF((45+25*(1-EXP(-0.0175*A113)))&lt;70,'Scénario référence'!$B$16*(45+25*(1-EXP(-0.0175*A113))),70*'Scénario référence'!$B$16)+IF((32+38*(1-EXP(-0.0175*A113)))&lt;70,'Scénario référence'!$B$18*(32+38*(1-EXP(-0.0175*A113))),70*'Scénario référence'!$B$18)</f>
        <v>70</v>
      </c>
      <c r="FA113" s="151">
        <f>IF(A113&gt;30,10,('Scénario référence'!$B$16+'Scénario référence'!$B$17+'Scénario référence'!$B$18+'Scénario référence'!$B$9+'Scénario référence'!$B$10)*A113*10/30+('Scénario référence'!$F$8+'Scénario référence'!$F$9)*10)</f>
        <v>10</v>
      </c>
      <c r="FB113" s="151" t="str">
        <f>VLOOKUP(A113,'Données projet'!$A$217:$I$237,2,0)</f>
        <v>#N/A</v>
      </c>
      <c r="FC113" s="151" t="str">
        <f>VLOOKUP(A113,'Données projet'!$A$217:$I$237,9,0)</f>
        <v>#N/A</v>
      </c>
      <c r="FD113" s="151" t="str">
        <f t="array" ref="FD113">INDEX(FC:FC,MIN(IF(ISNUMBER(FC113:FC309),ROW(FC113:FC309),"")))</f>
        <v/>
      </c>
      <c r="FE113" s="151">
        <f>IF('Données projet'!$A$218&gt;35,FE112+FD113-FM112,IF(A113&lt;'Données projet'!$A$218,$FB$205^A113,IF(A113='Données projet'!$A$218,'Données projet'!$B$218,FE112+FD113-FM112)))</f>
        <v>0</v>
      </c>
      <c r="FF113" s="158" t="str">
        <f>FE113*VLOOKUP('Données projet'!$B$16,'Paramètres'!$A$1:$I$88,3,0)*VLOOKUP('Données projet'!$B$16,'Paramètres'!$A$1:$I$88,5,0)</f>
        <v>#N/A</v>
      </c>
      <c r="FG113" s="150" t="str">
        <f t="shared" si="48"/>
        <v>#N/A</v>
      </c>
      <c r="FH113" s="161" t="str">
        <f t="shared" si="23"/>
        <v>#N/A</v>
      </c>
      <c r="FI113" s="153" t="str">
        <f t="shared" si="24"/>
        <v>#N/A</v>
      </c>
      <c r="FJ113" s="153" t="str">
        <f>AVERAGE(OFFSET($FI$3,0,0,'Données projet'!$E$16+1,1))-AVERAGE(OFFSET($H$3,0,0,'Données projet'!$E$16+1,1))</f>
        <v>#N/A</v>
      </c>
      <c r="FK113" s="153" t="str">
        <f t="shared" si="49"/>
        <v>#N/A</v>
      </c>
      <c r="FL113" s="154">
        <f>IF(ISNA(VLOOKUP(A113,'Données projet'!$A$217:$I$237,3,0)),0,VLOOKUP(A113,'Données projet'!$A$217:$I$237,3,0))</f>
        <v>0</v>
      </c>
      <c r="FM113" s="154">
        <f>IF(ISNA(VLOOKUP(A113,'Données projet'!$A$217:$I$237,4,0)),0,VLOOKUP(A113,'Données projet'!$A$217:$I$237,4,0))</f>
        <v>0</v>
      </c>
      <c r="FN113" s="155">
        <f>IF(ISNA(VLOOKUP(A113,'Données projet'!$A$217:$I$237,5,0)),0%,VLOOKUP(A113,'Données projet'!$A$217:$I$237,5,0)*VLOOKUP('Données projet'!$B$16,'Paramètres'!$A$1:$I$88,7,0))</f>
        <v>0</v>
      </c>
      <c r="FO113" s="155">
        <f>IF(ISNA(VLOOKUP(A113,'Données projet'!$A$217:$I$237,6,0)),0%,VLOOKUP(A113,'Données projet'!$A$217:$I$237,6,0)*VLOOKUP('Données projet'!$B$16,'Paramètres'!$A$1:$I$88,7,0))</f>
        <v>0</v>
      </c>
      <c r="FP113" s="155">
        <f>IF(ISNA(VLOOKUP(A113,'Données projet'!$A$217:$I$237,7,0)),0%,VLOOKUP(A113,'Données projet'!$A$217:$I$237,7,0))</f>
        <v>0</v>
      </c>
      <c r="FQ113" s="162" t="str">
        <f>EXP(-LN(2)/35)*FQ112+(1-EXP(-LN(2)/35))/(LN(2)/35)*FM113*FN113*VLOOKUP('Données projet'!$B$16,'Paramètres'!$A$1:$I$88,3,0)*0.475*44/12</f>
        <v>#N/A</v>
      </c>
      <c r="FR113" s="162" t="str">
        <f>EXP(-LN(2)/25)*FR112+(1-EXP(-LN(2)/25))/(LN(2)/25)*Calculateur!FM113*Calculateur!FO113*VLOOKUP('Données projet'!$B$16,'Paramètres'!$A$1:$I$88,3,0)*0.475*44/12</f>
        <v>#N/A</v>
      </c>
      <c r="FS113" s="162" t="str">
        <f>EXP(-LN(2)/2)*FS112+(1-EXP(-LN(2)/2))/(LN(2)/2)*FM113*FP113*VLOOKUP('Données projet'!$B$16,'Paramètres'!$A$1:$I$88,3,0)*0.475*44/12</f>
        <v>#N/A</v>
      </c>
      <c r="FT113" s="163" t="str">
        <f t="shared" si="25"/>
        <v>#N/A</v>
      </c>
      <c r="FU113" s="159">
        <f>('Scénario référence'!$F$8+'Scénario référence'!$F$9+'Scénario référence'!$B$17+'Scénario référence'!$B$9+'Scénario référence'!$B$10)*70+IF((45+25*(1-EXP(-0.0175*A113)))&lt;70,'Scénario référence'!$B$16*(45+25*(1-EXP(-0.0175*A113))),70*'Scénario référence'!$B$16)+IF((32+38*(1-EXP(-0.0175*A113)))&lt;70,'Scénario référence'!$B$18*(32+38*(1-EXP(-0.0175*A113))),70*'Scénario référence'!$B$18)</f>
        <v>70</v>
      </c>
      <c r="FV113" s="151">
        <f>IF(A113&gt;30,10,('Scénario référence'!$B$16+'Scénario référence'!$B$17+'Scénario référence'!$B$18+'Scénario référence'!$B$9+'Scénario référence'!$B$10)*A113*10/30+('Scénario référence'!$F$8+'Scénario référence'!$F$9)*10)</f>
        <v>10</v>
      </c>
      <c r="FW113" s="151" t="str">
        <f>VLOOKUP(A113,'Données projet'!$A$243:$I$263,2,0)</f>
        <v>#N/A</v>
      </c>
      <c r="FX113" s="151" t="str">
        <f>VLOOKUP(A113,'Données projet'!$A$243:$I$263,9,0)</f>
        <v>#N/A</v>
      </c>
      <c r="FY113" s="151" t="str">
        <f t="array" ref="FY113">INDEX(FX:FX,MIN(IF(ISNUMBER(FX113:FX309),ROW(FX113:FX309),"")))</f>
        <v/>
      </c>
      <c r="FZ113" s="151">
        <f>IF('Données projet'!$A$244&gt;35,FZ112+FY113-GH112,IF(A113&lt;'Données projet'!$A$244,$FW$205^A113,IF(A113='Données projet'!$A$244,'Données projet'!$B$244,FZ112+FY113-GH112)))</f>
        <v>0</v>
      </c>
      <c r="GA113" s="158" t="str">
        <f>FZ113*VLOOKUP('Données projet'!$B$17,'Paramètres'!$A$1:$I$88,3,0)*VLOOKUP('Données projet'!$B$17,'Paramètres'!$A$1:$I$88,5,0)</f>
        <v>#N/A</v>
      </c>
      <c r="GB113" s="150" t="str">
        <f t="shared" si="50"/>
        <v>#N/A</v>
      </c>
      <c r="GC113" s="161" t="str">
        <f t="shared" si="26"/>
        <v>#N/A</v>
      </c>
      <c r="GD113" s="153" t="str">
        <f t="shared" si="27"/>
        <v>#N/A</v>
      </c>
      <c r="GE113" s="153" t="str">
        <f>AVERAGE(OFFSET($GD$3,0,0,'Données projet'!$E$17+1,1))-AVERAGE(OFFSET($H$3,0,0,'Données projet'!$E$17+1,1))</f>
        <v>#N/A</v>
      </c>
      <c r="GF113" s="153" t="str">
        <f t="shared" si="51"/>
        <v>#N/A</v>
      </c>
      <c r="GG113" s="154">
        <f>IF(ISNA(VLOOKUP(A113,'Données projet'!$A$243:$I$263,3,0)),0,VLOOKUP(A113,'Données projet'!$A$243:$I$263,3,0))</f>
        <v>0</v>
      </c>
      <c r="GH113" s="154">
        <f>IF(ISNA(VLOOKUP(A113,'Données projet'!$A$243:$I$263,4,0)),0,VLOOKUP(A113,'Données projet'!$A$243:$I$263,4,0))</f>
        <v>0</v>
      </c>
      <c r="GI113" s="155">
        <f>IF(ISNA(VLOOKUP(A113,'Données projet'!$A$243:$I$263,5,0)),0%,VLOOKUP(A113,'Données projet'!$A$243:$I$263,5,0)*VLOOKUP('Données projet'!$B$17,'Paramètres'!$A$1:$I$88,7,0))</f>
        <v>0</v>
      </c>
      <c r="GJ113" s="155">
        <f>IF(ISNA(VLOOKUP(A113,'Données projet'!$A$243:$I$263,6,0)),0%,VLOOKUP(A113,'Données projet'!$A$243:$I$263,6,0)*VLOOKUP('Données projet'!$B$17,'Paramètres'!$A$1:$I$88,7,0))</f>
        <v>0</v>
      </c>
      <c r="GK113" s="155">
        <f>IF(ISNA(VLOOKUP(A113,'Données projet'!$A$243:$I$263,7,0)),0%,VLOOKUP(A113,'Données projet'!$A$243:$I$263,7,0))</f>
        <v>0</v>
      </c>
      <c r="GL113" s="162" t="str">
        <f>EXP(-LN(2)/35)*GL112+(1-EXP(-LN(2)/35))/(LN(2)/35)*GH113*GI113*VLOOKUP('Données projet'!$B$17,'Paramètres'!$A$1:$I$88,3,0)*0.475*44/12</f>
        <v>#N/A</v>
      </c>
      <c r="GM113" s="162" t="str">
        <f>EXP(-LN(2)/25)*GM112+(1-EXP(-LN(2)/25))/(LN(2)/25)*Calculateur!GH113*Calculateur!GJ113*VLOOKUP('Données projet'!$B$17,'Paramètres'!$A$1:$I$88,3,0)*0.475*44/12</f>
        <v>#N/A</v>
      </c>
      <c r="GN113" s="162" t="str">
        <f>EXP(-LN(2)/2)*GN112+(1-EXP(-LN(2)/2))/(LN(2)/2)*GH113*GK113*VLOOKUP('Données projet'!$B$17,'Paramètres'!$A$1:$I$88,3,0)*0.475*44/12</f>
        <v>#N/A</v>
      </c>
      <c r="GO113" s="162" t="str">
        <f t="shared" si="28"/>
        <v>#N/A</v>
      </c>
      <c r="GP113" s="159">
        <f>('Scénario référence'!$F$8+'Scénario référence'!$F$9+'Scénario référence'!$B$17+'Scénario référence'!$B$9+'Scénario référence'!$B$10)*70+IF((45+25*(1-EXP(-0.0175*A113)))&lt;70,'Scénario référence'!$B$16*(45+25*(1-EXP(-0.0175*A113))),70*'Scénario référence'!$B$16)+IF((32+38*(1-EXP(-0.0175*A113)))&lt;70,'Scénario référence'!$B$18*(32+38*(1-EXP(-0.0175*A113))),70*'Scénario référence'!$B$18)</f>
        <v>70</v>
      </c>
      <c r="GQ113" s="151">
        <f>IF(A113&gt;30,10,('Scénario référence'!$B$16+'Scénario référence'!$B$17+'Scénario référence'!$B$18+'Scénario référence'!$B$9+'Scénario référence'!$B$10)*A113*10/30+('Scénario référence'!$F$8+'Scénario référence'!$F$9)*10)</f>
        <v>10</v>
      </c>
      <c r="GR113" s="151" t="str">
        <f>VLOOKUP(A113,'Données projet'!$A$269:$I$289,2,0)</f>
        <v>#N/A</v>
      </c>
      <c r="GS113" s="151" t="str">
        <f>VLOOKUP(A113,'Données projet'!$A$269:$I$289,9,0)</f>
        <v>#N/A</v>
      </c>
      <c r="GT113" s="151" t="str">
        <f t="array" ref="GT113">INDEX(GS:GS,MIN(IF(ISNUMBER(GS113:GS309),ROW(GS113:GS309),"")))</f>
        <v/>
      </c>
      <c r="GU113" s="151">
        <f>IF('Données projet'!$A$270&gt;35,GU112+GT113-HC112,IF(A113&lt;'Données projet'!$A$270,$GR$205^A113,IF(A113='Données projet'!$A$270,'Données projet'!$B$270,GU112+GT113-HC112)))</f>
        <v>0</v>
      </c>
      <c r="GV113" s="158" t="str">
        <f>GU113*VLOOKUP('Données projet'!$B$18,'Paramètres'!$A$1:$I$88,3,0)*VLOOKUP('Données projet'!$B$18,'Paramètres'!$A$1:$I$88,5,0)</f>
        <v>#N/A</v>
      </c>
      <c r="GW113" s="150" t="str">
        <f t="shared" si="52"/>
        <v>#N/A</v>
      </c>
      <c r="GX113" s="161" t="str">
        <f t="shared" si="29"/>
        <v>#N/A</v>
      </c>
      <c r="GY113" s="153" t="str">
        <f t="shared" si="30"/>
        <v>#N/A</v>
      </c>
      <c r="GZ113" s="153" t="str">
        <f>AVERAGE(OFFSET($GY$3,0,0,'Données projet'!$E$18+1,1))-AVERAGE(OFFSET($H$3,0,0,'Données projet'!$E$18+1,1))</f>
        <v>#N/A</v>
      </c>
      <c r="HA113" s="153" t="str">
        <f t="shared" si="53"/>
        <v>#N/A</v>
      </c>
      <c r="HB113" s="154">
        <f>IF(ISNA(VLOOKUP(A113,'Données projet'!$A$269:$I$289,3,0)),0,VLOOKUP(A113,'Données projet'!$A$269:$I$289,3,0))</f>
        <v>0</v>
      </c>
      <c r="HC113" s="154">
        <f>IF(ISNA(VLOOKUP(A113,'Données projet'!$A$269:$I$289,4,0)),0,VLOOKUP(A113,'Données projet'!$A$269:$I$289,4,0))</f>
        <v>0</v>
      </c>
      <c r="HD113" s="155">
        <f>IF(ISNA(VLOOKUP(A113,'Données projet'!$A$269:$I$289,5,0)),0%,VLOOKUP(A113,'Données projet'!$A$269:$I$289,5,0)*VLOOKUP('Données projet'!$B$18,'Paramètres'!$A$1:$I$88,7,0))</f>
        <v>0</v>
      </c>
      <c r="HE113" s="155">
        <f>IF(ISNA(VLOOKUP(A113,'Données projet'!$A$269:$I$289,6,0)),0%,VLOOKUP(A113,'Données projet'!$A$269:$I$289,6,0)*VLOOKUP('Données projet'!$B$18,'Paramètres'!$A$1:$I$88,7,0))</f>
        <v>0</v>
      </c>
      <c r="HF113" s="155">
        <f>IF(ISNA(VLOOKUP(A113,'Données projet'!$A$269:$I$289,7,0)),0%,VLOOKUP(A113,'Données projet'!$A$269:$I$289,7,0))</f>
        <v>0</v>
      </c>
      <c r="HG113" s="162" t="str">
        <f>EXP(-LN(2)/35)*HG112+(1-EXP(-LN(2)/35))/(LN(2)/35)*HC113*HD113*VLOOKUP('Données projet'!$B$18,'Paramètres'!$A$1:$I$88,3,0)*0.475*44/12</f>
        <v>#N/A</v>
      </c>
      <c r="HH113" s="162" t="str">
        <f>EXP(-LN(2)/25)*HH112+(1-EXP(-LN(2)/25))/(LN(2)/25)*Calculateur!HC113*Calculateur!HE113*VLOOKUP('Données projet'!$B$18,'Paramètres'!$A$1:$I$88,3,0)*0.475*44/12</f>
        <v>#N/A</v>
      </c>
      <c r="HI113" s="162" t="str">
        <f>EXP(-LN(2)/2)*HI112+(1-EXP(-LN(2)/2))/(LN(2)/2)*HC113*HF113*VLOOKUP('Données projet'!$B$18,'Paramètres'!$A$1:$I$88,3,0)*0.475*44/12</f>
        <v>#N/A</v>
      </c>
      <c r="HJ113" s="163" t="str">
        <f t="shared" si="31"/>
        <v>#N/A</v>
      </c>
    </row>
    <row r="114" ht="15.75" customHeight="1">
      <c r="A114" s="145">
        <f t="shared" si="32"/>
        <v>111</v>
      </c>
      <c r="B114" s="146">
        <f>'Scénario référence'!$B$16*5+'Scénario référence'!$B$17*0+'Scénario référence'!$B$18*5</f>
        <v>0</v>
      </c>
      <c r="C114" s="160">
        <f>Calculateur!C113+'Scénario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14" s="147">
        <f t="shared" si="33"/>
        <v>0</v>
      </c>
      <c r="E114" s="147">
        <f>'Scénario référence'!$B$16*45+('Scénario référence'!$B$17+'Scénario référence'!$F$8+'Scénario référence'!$F$9+'Scénario référence'!$B$10+'Scénario référence'!$B$9)*70+'Scénario référence'!$B$18*32</f>
        <v>70</v>
      </c>
      <c r="F114" s="147">
        <f>IF(OR('Scénario référence'!$F$8&gt;0,'Scénario référence'!$F$9&gt;0),('Scénario référence'!$F$8+'Scénario référence'!$F$9)*10,0)</f>
        <v>0</v>
      </c>
      <c r="G114" s="147">
        <f>'Scénario référence'!$B$8*B114*44/12+'Scénario référence'!$B$9*(C114+D114)/0.475*44/12+'Scénario référence'!$B$10*(C114+D114)/0.475*44/12+'Scénario référence'!$F$8*(C114+D114)/0.475*44/12+'Scénario référence'!$F$9*(C114+D114)/0.475*44/12</f>
        <v>0</v>
      </c>
      <c r="H114" s="148">
        <f t="shared" si="1"/>
        <v>256.6666667</v>
      </c>
      <c r="I114" s="149">
        <f>('Scénario référence'!$F$8+'Scénario référence'!$F$9+'Scénario référence'!$B$17+'Scénario référence'!$B$9+'Scénario référence'!$B$10)*70+IF((45+25*(1-EXP(-0.0175*A114)))&lt;70,'Scénario référence'!$B$16*(45+25*(1-EXP(-0.0175*A114))),70*'Scénario référence'!$B$16)+IF((32+38*(1-EXP(-0.0175*A114)))&lt;70,'Scénario référence'!$B$18*(32+38*(1-EXP(-0.0175*A114))),70*'Scénario référence'!$B$18)</f>
        <v>70</v>
      </c>
      <c r="J114" s="150">
        <f>IF(A114&gt;30,10,('Scénario référence'!$B$16+'Scénario référence'!$B$17+'Scénario référence'!$B$18+'Scénario référence'!$B$9+'Scénario référence'!$B$10)*A114*10/30+('Scénario référence'!$F$8+'Scénario référence'!$F$9)*10)</f>
        <v>10</v>
      </c>
      <c r="K114" s="151" t="str">
        <f>VLOOKUP(A114,'Données projet'!$A$35:$I$55,2,0)</f>
        <v>#N/A</v>
      </c>
      <c r="L114" s="151" t="str">
        <f>VLOOKUP(A114,'Données projet'!$A$35:$I$55,9,0)</f>
        <v>#N/A</v>
      </c>
      <c r="M114" s="150">
        <f t="array" ref="M114">INDEX(L:L,MIN(IF(ISNUMBER(L114:L310),ROW(L114:L310),"")))</f>
        <v>4.8</v>
      </c>
      <c r="N114" s="150">
        <f>IF('Données projet'!$A$36&gt;35,N113+M114-V113,IF(A114&lt;'Données projet'!$A$36,$K$205^A114,IF(A114='Données projet'!$A$36,'Données projet'!$B$36,N113+M114-V113)))</f>
        <v>311.8</v>
      </c>
      <c r="O114" s="150">
        <f>N114*VLOOKUP('Données projet'!$B$9,'Paramètres'!$A$1:$I$88,3,0)*VLOOKUP('Données projet'!$B$9,'Paramètres'!$A$1:$I$88,5,0)</f>
        <v>282.11664</v>
      </c>
      <c r="P114" s="150">
        <f t="shared" si="34"/>
        <v>67.41411951</v>
      </c>
      <c r="Q114" s="161">
        <f t="shared" si="2"/>
        <v>608.7660728</v>
      </c>
      <c r="R114" s="153">
        <f t="shared" si="3"/>
        <v>902.0994062</v>
      </c>
      <c r="S114" s="153">
        <f>AVERAGE(OFFSET($R$3,0,0,'Données projet'!$E$9+1,1))-AVERAGE(OFFSET($H$3,0,0,'Données projet'!$E$9+1,1))</f>
        <v>439.1985427</v>
      </c>
      <c r="T114" s="153">
        <f t="shared" si="35"/>
        <v>278.2174123</v>
      </c>
      <c r="U114" s="154">
        <f>IF(ISNA(VLOOKUP(A114,'Données projet'!$A$35:$I$55,3,0)),0,VLOOKUP(A114,'Données projet'!$A$35:$I$55,3,0))</f>
        <v>0</v>
      </c>
      <c r="V114" s="154">
        <f>IF(ISNA(VLOOKUP(A114,'Données projet'!$A$35:$I$55,4,0)),0,VLOOKUP(A114,'Données projet'!$A$35:$I$55,4,0))</f>
        <v>0</v>
      </c>
      <c r="W114" s="155">
        <f>IF(ISNA(VLOOKUP(A114,'Données projet'!$A$35:$I$55,5,0)),0%,VLOOKUP(A114,'Données projet'!$A$35:$I$55,5,0)*VLOOKUP('Données projet'!$B$9,'Paramètres'!$A$1:$I$88,7,0))</f>
        <v>0</v>
      </c>
      <c r="X114" s="155">
        <f>IF(ISNA(VLOOKUP(A114,'Données projet'!$A$35:$I$55,6,0)),0%,VLOOKUP(A114,'Données projet'!$A$35:$I$55,6,0)*VLOOKUP('Données projet'!$B$9,'Paramètres'!$A$1:$I$88,7,0))</f>
        <v>0</v>
      </c>
      <c r="Y114" s="155">
        <f>IF(ISNA(VLOOKUP(A114,'Données projet'!$A$35:$I$55,7,0)),0%,VLOOKUP(A114,'Données projet'!$A$35:$I$55,7,0))</f>
        <v>0</v>
      </c>
      <c r="Z114" s="162">
        <f>EXP(-LN(2)/35)*Z113+(1-EXP(-LN(2)/35))/(LN(2)/35)*V114*W114*VLOOKUP('Données projet'!$B$9,'Paramètres'!$A$1:$I$88,3,0)*0.475*44/12</f>
        <v>0</v>
      </c>
      <c r="AA114" s="162">
        <f>EXP(-LN(2)/25)*AA113+(1-EXP(-LN(2)/25))/(LN(2)/25)*Calculateur!V114*Calculateur!X114*VLOOKUP('Données projet'!$B$9,'Paramètres'!$A$1:$I$88,3,0)*0.475*44/12</f>
        <v>0.4749797483</v>
      </c>
      <c r="AB114" s="162">
        <f>EXP(-LN(2)/2)*AB113+(1-EXP(-LN(2)/2))/(LN(2)/2)*V114*Y114*VLOOKUP('Données projet'!$B$9,'Paramètres'!$A$1:$I$88,3,0)*0.475*44/12</f>
        <v>0</v>
      </c>
      <c r="AC114" s="163">
        <f t="shared" si="4"/>
        <v>0.4749797483</v>
      </c>
      <c r="AD114" s="150">
        <f>('Scénario référence'!$F$8+'Scénario référence'!$F$9+'Scénario référence'!$B$17+'Scénario référence'!$B$9+'Scénario référence'!$B$10)*70+IF((45+25*(1-EXP(-0.0175*A114)))&lt;70,'Scénario référence'!$B$16*(45+25*(1-EXP(-0.0175*A114))),70*'Scénario référence'!$B$16)+IF((32+38*(1-EXP(-0.0175*A114)))&lt;70,'Scénario référence'!$B$18*(32+38*(1-EXP(-0.0175*A114))),70*'Scénario référence'!$B$18)</f>
        <v>70</v>
      </c>
      <c r="AE114" s="150">
        <f>IF(A114&gt;30,10,('Scénario référence'!$B$16+'Scénario référence'!$B$17+'Scénario référence'!$B$18+'Scénario référence'!$B$9+'Scénario référence'!$B$10)*A114*10/30+('Scénario référence'!$F$8+'Scénario référence'!$F$9)*10)</f>
        <v>10</v>
      </c>
      <c r="AF114" s="151" t="str">
        <f>VLOOKUP(A114,'Données projet'!$A$61:$I$81,2,0)</f>
        <v>#N/A</v>
      </c>
      <c r="AG114" s="151" t="str">
        <f>VLOOKUP(A114,'Données projet'!$A$61:$I$81,9,0)</f>
        <v>#N/A</v>
      </c>
      <c r="AH114" s="151" t="str">
        <f t="array" ref="AH114">INDEX(AG:AG,MIN(IF(ISNUMBER(AG114:AG310),ROW(AG114:AG310),"")))</f>
        <v/>
      </c>
      <c r="AI114" s="150">
        <f>IF('Données projet'!$A$62&gt;35,AI113+AH114-AQ113,IF(A114&lt;'Données projet'!$A$62,$AF$205^A114,IF(A114='Données projet'!$A$62,'Données projet'!$B$62,AI113+AH114-AQ113)))</f>
        <v>369</v>
      </c>
      <c r="AJ114" s="150">
        <f>AI114*VLOOKUP('Données projet'!$B$10,'Paramètres'!$A$1:$I$88,3,0)*VLOOKUP('Données projet'!$B$10,'Paramètres'!$A$1:$I$88,5,0)</f>
        <v>293.5764</v>
      </c>
      <c r="AK114" s="150">
        <f t="shared" si="36"/>
        <v>69.82813851</v>
      </c>
      <c r="AL114" s="161">
        <f t="shared" si="5"/>
        <v>632.9295712</v>
      </c>
      <c r="AM114" s="153">
        <f t="shared" si="6"/>
        <v>926.2629046</v>
      </c>
      <c r="AN114" s="153">
        <f>AVERAGE(OFFSET($AM$3,0,0,'Données projet'!$E$10+1,1))-AVERAGE(OFFSET($H$3,0,0,'Données projet'!$E$10+1,1))</f>
        <v>405.6113614</v>
      </c>
      <c r="AO114" s="153">
        <f t="shared" si="37"/>
        <v>393.0787141</v>
      </c>
      <c r="AP114" s="154">
        <f>IF(ISNA(VLOOKUP(A114,'Données projet'!$A$61:$I$81,3,0)),0,VLOOKUP(A114,'Données projet'!$A$61:$I$81,3,0))</f>
        <v>0</v>
      </c>
      <c r="AQ114" s="154">
        <f>IF(ISNA(VLOOKUP(A114,'Données projet'!$A$61:$I$81,4,0)),0,VLOOKUP(A114,'Données projet'!$A$61:$I$81,4,0))</f>
        <v>0</v>
      </c>
      <c r="AR114" s="155">
        <f>IF(ISNA(VLOOKUP(A114,'Données projet'!$A$61:$I$81,5,0)),0%,VLOOKUP(A114,'Données projet'!$A$61:$I$81,5,0)*VLOOKUP('Données projet'!$B$10,'Paramètres'!$A$1:$I$88,7,0))</f>
        <v>0</v>
      </c>
      <c r="AS114" s="155">
        <f>IF(ISNA(VLOOKUP(A114,'Données projet'!$A$61:$I$81,6,0)),0%,VLOOKUP(A114,'Données projet'!$A$61:$I$81,6,0)*VLOOKUP('Données projet'!$B$10,'Paramètres'!$A$1:$I$88,7,0))</f>
        <v>0</v>
      </c>
      <c r="AT114" s="155">
        <f>IF(ISNA(VLOOKUP(A114,'Données projet'!$A$61:$I$81,7,0)),0%,VLOOKUP(A114,'Données projet'!$A$61:$I$81,7,0))</f>
        <v>0</v>
      </c>
      <c r="AU114" s="162">
        <f>EXP(-LN(2)/35)*AU113+(1-EXP(-LN(2)/35))/(LN(2)/35)*AQ114*AR114*VLOOKUP('Données projet'!$B$10,'Paramètres'!$A$1:$I$88,3,0)*0.475*44/12</f>
        <v>0</v>
      </c>
      <c r="AV114" s="162">
        <f>EXP(-LN(2)/25)*AV113+(1-EXP(-LN(2)/25))/(LN(2)/25)*Calculateur!AQ114*Calculateur!AS114*VLOOKUP('Données projet'!$B$10,'Paramètres'!$A$1:$I$88,3,0)*0.475*44/12</f>
        <v>1.930438442</v>
      </c>
      <c r="AW114" s="162">
        <f>EXP(-LN(2)/2)*AW113+(1-EXP(-LN(2)/2))/(LN(2)/2)*AQ114*AT114*VLOOKUP('Données projet'!$B$10,'Paramètres'!$A$1:$I$88,3,0)*0.475*44/12</f>
        <v>0</v>
      </c>
      <c r="AX114" s="162">
        <f t="shared" si="7"/>
        <v>1.930438442</v>
      </c>
      <c r="AY114" s="157">
        <f>('Scénario référence'!$F$8+'Scénario référence'!$F$9+'Scénario référence'!$B$17+'Scénario référence'!$B$9+'Scénario référence'!$B$10)*70+IF((45+25*(1-EXP(-0.0175*A114)))&lt;70,'Scénario référence'!$B$16*(45+25*(1-EXP(-0.0175*A114))),70*'Scénario référence'!$B$16)+IF((32+38*(1-EXP(-0.0175*A114)))&lt;70,'Scénario référence'!$B$18*(32+38*(1-EXP(-0.0175*A114))),70*'Scénario référence'!$B$18)</f>
        <v>70</v>
      </c>
      <c r="AZ114" s="151">
        <f>IF(A114&gt;30,10,('Scénario référence'!$B$16+'Scénario référence'!$B$17+'Scénario référence'!$B$18+'Scénario référence'!$B$9+'Scénario référence'!$B$10)*A114*10/30+('Scénario référence'!$F$8+'Scénario référence'!$F$9)*10)</f>
        <v>10</v>
      </c>
      <c r="BA114" s="151" t="str">
        <f>VLOOKUP(A114,'Données projet'!$A$87:$I$107,2,0)</f>
        <v>#N/A</v>
      </c>
      <c r="BB114" s="151" t="str">
        <f>VLOOKUP(A114,'Données projet'!$A$87:$I$107,9,0)</f>
        <v>#N/A</v>
      </c>
      <c r="BC114" s="151" t="str">
        <f t="array" ref="BC114">INDEX(BB:BB,MIN(IF(ISNUMBER(BB114:BB310),ROW(BB114:BB310),"")))</f>
        <v/>
      </c>
      <c r="BD114" s="150">
        <f>IF('Données projet'!$A$88&gt;35,BD113+BC114-BL113,IF(A114&lt;'Données projet'!$A$88,$BA$205^A114,IF(A114='Données projet'!$A$88,'Données projet'!$B$88,BD113+BC114-BL113)))</f>
        <v>0</v>
      </c>
      <c r="BE114" s="150">
        <f>BD114*VLOOKUP('Données projet'!$B$11,'Paramètres'!$A$1:$I$88,3,0)*VLOOKUP('Données projet'!$B$11,'Paramètres'!$A$1:$I$88,5,0)</f>
        <v>0</v>
      </c>
      <c r="BF114" s="150" t="str">
        <f t="shared" si="38"/>
        <v>#NUM!</v>
      </c>
      <c r="BG114" s="161" t="str">
        <f t="shared" si="8"/>
        <v>#NUM!</v>
      </c>
      <c r="BH114" s="153" t="str">
        <f t="shared" si="9"/>
        <v>#NUM!</v>
      </c>
      <c r="BI114" s="153">
        <f>AVERAGE(OFFSET($BH$3,0,0,'Données projet'!$E$11+1,1))-AVERAGE(OFFSET($H$3,0,0,'Données projet'!$E$11+1,1))</f>
        <v>0</v>
      </c>
      <c r="BJ114" s="153">
        <f t="shared" si="39"/>
        <v>0</v>
      </c>
      <c r="BK114" s="154">
        <f>IF(ISNA(VLOOKUP(A114,'Données projet'!$A$87:$I$107,3,0)),0,VLOOKUP(A114,'Données projet'!$A$87:$I$107,3,0))</f>
        <v>0</v>
      </c>
      <c r="BL114" s="154">
        <f>IF(ISNA(VLOOKUP(A114,'Données projet'!$A$87:$I$107,4,0)),0,VLOOKUP(A114,'Données projet'!$A$87:$I$107,4,0))</f>
        <v>0</v>
      </c>
      <c r="BM114" s="155">
        <f>IF(ISNA(VLOOKUP(A114,'Données projet'!$A$87:$I$107,5,0)),0%,VLOOKUP(A114,'Données projet'!$A$87:$I$107,5,0)*VLOOKUP('Données projet'!$B$11,'Paramètres'!$A$1:$I$88,7,0))</f>
        <v>0</v>
      </c>
      <c r="BN114" s="155">
        <f>IF(ISNA(VLOOKUP(A114,'Données projet'!$A$87:$I$107,6,0)),0%,VLOOKUP(A114,'Données projet'!$A$87:$I$107,6,0)*VLOOKUP('Données projet'!$B$11,'Paramètres'!$A$1:$I$88,7,0))</f>
        <v>0</v>
      </c>
      <c r="BO114" s="155">
        <f>IF(ISNA(VLOOKUP(A114,'Données projet'!$A$87:$I$107,7,0)),0%,VLOOKUP(A114,'Données projet'!$A$87:$I$107,7,0))</f>
        <v>0</v>
      </c>
      <c r="BP114" s="162">
        <f>EXP(-LN(2)/35)*BP113+(1-EXP(-LN(2)/35))/(LN(2)/35)*BL114*BM114*VLOOKUP('Données projet'!$B$11,'Paramètres'!$A$1:$I$88,3,0)*0.475*44/12</f>
        <v>0</v>
      </c>
      <c r="BQ114" s="162">
        <f>EXP(-LN(2)/25)*BQ113+(1-EXP(-LN(2)/25))/(LN(2)/25)*Calculateur!BL114*Calculateur!BN114*VLOOKUP('Données projet'!$B$11,'Paramètres'!$A$1:$I$88,3,0)*0.475*44/12</f>
        <v>0</v>
      </c>
      <c r="BR114" s="162">
        <f>EXP(-LN(2)/2)*BR113+(1-EXP(-LN(2)/2))/(LN(2)/2)*BL114*BO114*VLOOKUP('Données projet'!$B$11,'Paramètres'!$A$1:$I$88,3,0)*0.475*44/12</f>
        <v>0</v>
      </c>
      <c r="BS114" s="163">
        <f t="shared" si="10"/>
        <v>0</v>
      </c>
      <c r="BT114" s="159">
        <f>('Scénario référence'!$F$8+'Scénario référence'!$F$9+'Scénario référence'!$B$17+'Scénario référence'!$B$9+'Scénario référence'!$B$10)*70+IF((45+25*(1-EXP(-0.0175*A114)))&lt;70,'Scénario référence'!$B$16*(45+25*(1-EXP(-0.0175*A114))),70*'Scénario référence'!$B$16)+IF((32+38*(1-EXP(-0.0175*A114)))&lt;70,'Scénario référence'!$B$18*(32+38*(1-EXP(-0.0175*A114))),70*'Scénario référence'!$B$18)</f>
        <v>70</v>
      </c>
      <c r="BU114" s="151">
        <f>IF(A114&gt;30,10,('Scénario référence'!$B$16+'Scénario référence'!$B$17+'Scénario référence'!$B$18+'Scénario référence'!$B$9+'Scénario référence'!$B$10)*A114*10/30+('Scénario référence'!$F$8+'Scénario référence'!$F$9)*10)</f>
        <v>10</v>
      </c>
      <c r="BV114" s="151" t="str">
        <f>VLOOKUP(A114,'Données projet'!$A$113:$I$133,2,0)</f>
        <v>#N/A</v>
      </c>
      <c r="BW114" s="151" t="str">
        <f>VLOOKUP(A114,'Données projet'!$A$113:$I$133,9,0)</f>
        <v>#N/A</v>
      </c>
      <c r="BX114" s="151" t="str">
        <f t="array" ref="BX114">INDEX(BW:BW,MIN(IF(ISNUMBER(BW114:BW310),ROW(BW114:BW310),"")))</f>
        <v/>
      </c>
      <c r="BY114" s="150">
        <f>IF('Données projet'!$A$114&gt;35,BY113+BX114-CG113,IF(A114&lt;'Données projet'!$A$114,$BV$205^A114,IF(A114='Données projet'!$A$114,'Données projet'!$B$114,BY113+BX114-CG113)))</f>
        <v>0</v>
      </c>
      <c r="BZ114" s="150" t="str">
        <f>BY114*VLOOKUP('Données projet'!$B$12,'Paramètres'!$A$1:$I$88,3,0)*VLOOKUP('Données projet'!$B$12,'Paramètres'!$A$1:$I$88,5,0)</f>
        <v>#N/A</v>
      </c>
      <c r="CA114" s="150" t="str">
        <f t="shared" si="40"/>
        <v>#N/A</v>
      </c>
      <c r="CB114" s="161" t="str">
        <f t="shared" si="11"/>
        <v>#N/A</v>
      </c>
      <c r="CC114" s="153" t="str">
        <f t="shared" si="12"/>
        <v>#N/A</v>
      </c>
      <c r="CD114" s="153" t="str">
        <f>AVERAGE(OFFSET($CC$3,0,0,'Données projet'!$E$12+1,1))-AVERAGE(OFFSET($H$3,0,0,'Données projet'!$E$12+1,1))</f>
        <v>#N/A</v>
      </c>
      <c r="CE114" s="153" t="str">
        <f t="shared" si="41"/>
        <v>#N/A</v>
      </c>
      <c r="CF114" s="154">
        <f>IF(ISNA(VLOOKUP(A114,'Données projet'!$A$113:$I$133,3,0)),0,VLOOKUP(A114,'Données projet'!$A$113:$I$133,3,0))</f>
        <v>0</v>
      </c>
      <c r="CG114" s="154">
        <f>IF(ISNA(VLOOKUP(A114,'Données projet'!$A$113:$I$133,4,0)),0,VLOOKUP(A114,'Données projet'!$A$113:$I$133,4,0))</f>
        <v>0</v>
      </c>
      <c r="CH114" s="155">
        <f>IF(ISNA(VLOOKUP(A114,'Données projet'!$A$113:$I$133,5,0)),0%,VLOOKUP(A114,'Données projet'!$A$113:$I$133,5,0)*VLOOKUP('Données projet'!$B$12,'Paramètres'!$A$1:$I$88,7,0))</f>
        <v>0</v>
      </c>
      <c r="CI114" s="155">
        <f>IF(ISNA(VLOOKUP(A114,'Données projet'!$A$113:$I$133,6,0)),0%,VLOOKUP(A114,'Données projet'!$A$113:$I$133,6,0)*VLOOKUP('Données projet'!$B$12,'Paramètres'!$A$1:$I$88,7,0))</f>
        <v>0</v>
      </c>
      <c r="CJ114" s="155">
        <f>IF(ISNA(VLOOKUP(A114,'Données projet'!$A$113:$I$133,7,0)),0%,VLOOKUP(A114,'Données projet'!$A$113:$I$133,7,0))</f>
        <v>0</v>
      </c>
      <c r="CK114" s="162" t="str">
        <f>EXP(-LN(2)/35)*CK113+(1-EXP(-LN(2)/35))/(LN(2)/35)*CG114*CH114*VLOOKUP('Données projet'!$B$12,'Paramètres'!$A$1:$I$88,3,0)*0.475*44/12</f>
        <v>#N/A</v>
      </c>
      <c r="CL114" s="162" t="str">
        <f>EXP(-LN(2)/25)*CL113+(1-EXP(-LN(2)/25))/(LN(2)/25)*Calculateur!CG114*Calculateur!CI114*VLOOKUP('Données projet'!$B$12,'Paramètres'!$A$1:$I$88,3,0)*0.475*44/12</f>
        <v>#N/A</v>
      </c>
      <c r="CM114" s="162" t="str">
        <f>EXP(-LN(2)/2)*CM113+(1-EXP(-LN(2)/2))/(LN(2)/2)*CG114*CJ114*VLOOKUP('Données projet'!$B$12,'Paramètres'!$A$1:$I$88,3,0)*0.475*44/12</f>
        <v>#N/A</v>
      </c>
      <c r="CN114" s="163" t="str">
        <f t="shared" si="13"/>
        <v>#N/A</v>
      </c>
      <c r="CO114" s="159">
        <f>('Scénario référence'!$F$8+'Scénario référence'!$F$9+'Scénario référence'!$B$17+'Scénario référence'!$B$9+'Scénario référence'!$B$10)*70+IF((45+25*(1-EXP(-0.0175*A114)))&lt;70,'Scénario référence'!$B$16*(45+25*(1-EXP(-0.0175*A114))),70*'Scénario référence'!$B$16)+IF((32+38*(1-EXP(-0.0175*A114)))&lt;70,'Scénario référence'!$B$18*(32+38*(1-EXP(-0.0175*A114))),70*'Scénario référence'!$B$18)</f>
        <v>70</v>
      </c>
      <c r="CP114" s="151">
        <f>IF(A114&gt;30,10,('Scénario référence'!$B$16+'Scénario référence'!$B$17+'Scénario référence'!$B$18+'Scénario référence'!$B$9+'Scénario référence'!$B$10)*A114*10/30+('Scénario référence'!$F$8+'Scénario référence'!$F$9)*10)</f>
        <v>10</v>
      </c>
      <c r="CQ114" s="151" t="str">
        <f>VLOOKUP(A114,'Données projet'!$A$139:$I$159,2,0)</f>
        <v>#N/A</v>
      </c>
      <c r="CR114" s="151" t="str">
        <f>VLOOKUP(A114,'Données projet'!$A$139:$I$159,9,0)</f>
        <v>#N/A</v>
      </c>
      <c r="CS114" s="151" t="str">
        <f t="array" ref="CS114">INDEX(CR:CR,MIN(IF(ISNUMBER(CR114:CR310),ROW(CR114:CR310),"")))</f>
        <v/>
      </c>
      <c r="CT114" s="151">
        <f>IF('Données projet'!$A$140&gt;35,CT113+CS114-DB113,IF(A114&lt;'Données projet'!$A$140,$CQ$205^A114,IF(A114='Données projet'!$A$140,'Données projet'!$B$140,CT113+CS114-DB113)))</f>
        <v>0</v>
      </c>
      <c r="CU114" s="158" t="str">
        <f>CT114*VLOOKUP('Données projet'!$B$13,'Paramètres'!$A$1:$I$88,3,0)*VLOOKUP('Données projet'!$B$13,'Paramètres'!$A$1:$I$88,5,0)</f>
        <v>#N/A</v>
      </c>
      <c r="CV114" s="150" t="str">
        <f t="shared" si="42"/>
        <v>#N/A</v>
      </c>
      <c r="CW114" s="161" t="str">
        <f t="shared" si="14"/>
        <v>#N/A</v>
      </c>
      <c r="CX114" s="153" t="str">
        <f t="shared" si="15"/>
        <v>#N/A</v>
      </c>
      <c r="CY114" s="153" t="str">
        <f>AVERAGE(OFFSET($CX$3,0,0,'Données projet'!$E$13+1,1))-AVERAGE(OFFSET($H$3,0,0,'Données projet'!$E$13+1,1))</f>
        <v>#N/A</v>
      </c>
      <c r="CZ114" s="153" t="str">
        <f t="shared" si="43"/>
        <v>#N/A</v>
      </c>
      <c r="DA114" s="154">
        <f>IF(ISNA(VLOOKUP(A114,'Données projet'!$A$139:$I$159,3,0)),0,VLOOKUP(A114,'Données projet'!$A$139:$I$159,3,0))</f>
        <v>0</v>
      </c>
      <c r="DB114" s="154">
        <f>IF(ISNA(VLOOKUP(A114,'Données projet'!$A$139:$I$159,4,0)),0,VLOOKUP(A114,'Données projet'!$A$139:$I$159,4,0))</f>
        <v>0</v>
      </c>
      <c r="DC114" s="155">
        <f>IF(ISNA(VLOOKUP(A114,'Données projet'!$A$139:$I$159,5,0)),0%,VLOOKUP(A114,'Données projet'!$A$139:$I$159,5,0)*VLOOKUP('Données projet'!$B$13,'Paramètres'!$A$1:$I$88,7,0))</f>
        <v>0</v>
      </c>
      <c r="DD114" s="155">
        <f>IF(ISNA(VLOOKUP(A114,'Données projet'!$A$139:$I$159,6,0)),0%,VLOOKUP(A114,'Données projet'!$A$139:$I$159,6,0)*VLOOKUP('Données projet'!$B$13,'Paramètres'!$A$1:$I$88,7,0))</f>
        <v>0</v>
      </c>
      <c r="DE114" s="155">
        <f>IF(ISNA(VLOOKUP(A114,'Données projet'!$A$139:$I$159,7,0)),0%,VLOOKUP(A114,'Données projet'!$A$139:$I$159,7,0))</f>
        <v>0</v>
      </c>
      <c r="DF114" s="162" t="str">
        <f>EXP(-LN(2)/35)*DF113+(1-EXP(-LN(2)/35))/(LN(2)/35)*DB114*DC114*VLOOKUP('Données projet'!$B$13,'Paramètres'!$A$1:$I$88,3,0)*0.475*44/12</f>
        <v>#N/A</v>
      </c>
      <c r="DG114" s="162" t="str">
        <f>EXP(-LN(2)/25)*DG113+(1-EXP(-LN(2)/25))/(LN(2)/25)*Calculateur!DB114*Calculateur!DD114*VLOOKUP('Données projet'!$B$13,'Paramètres'!$A$1:$I$88,3,0)*0.475*44/12</f>
        <v>#N/A</v>
      </c>
      <c r="DH114" s="162" t="str">
        <f>EXP(-LN(2)/2)*DH113+(1-EXP(-LN(2)/2))/(LN(2)/2)*DB114*DE114*VLOOKUP('Données projet'!$B$13,'Paramètres'!$A$1:$I$88,3,0)*0.475*44/12</f>
        <v>#N/A</v>
      </c>
      <c r="DI114" s="163" t="str">
        <f t="shared" si="16"/>
        <v>#N/A</v>
      </c>
      <c r="DJ114" s="159">
        <f>('Scénario référence'!$F$8+'Scénario référence'!$F$9+'Scénario référence'!$B$17+'Scénario référence'!$B$9+'Scénario référence'!$B$10)*70+IF((45+25*(1-EXP(-0.0175*A114)))&lt;70,'Scénario référence'!$B$16*(45+25*(1-EXP(-0.0175*A114))),70*'Scénario référence'!$B$16)+IF((32+38*(1-EXP(-0.0175*A114)))&lt;70,'Scénario référence'!$B$18*(32+38*(1-EXP(-0.0175*A114))),70*'Scénario référence'!$B$18)</f>
        <v>70</v>
      </c>
      <c r="DK114" s="151">
        <f>IF(A114&gt;30,10,('Scénario référence'!$B$16+'Scénario référence'!$B$17+'Scénario référence'!$B$18+'Scénario référence'!$B$9+'Scénario référence'!$B$10)*A114*10/30+('Scénario référence'!$F$8+'Scénario référence'!$F$9)*10)</f>
        <v>10</v>
      </c>
      <c r="DL114" s="151" t="str">
        <f>VLOOKUP(A114,'Données projet'!$A$165:$I$185,2,0)</f>
        <v>#N/A</v>
      </c>
      <c r="DM114" s="151" t="str">
        <f>VLOOKUP(A114,'Données projet'!$A$165:$I$185,9,0)</f>
        <v>#N/A</v>
      </c>
      <c r="DN114" s="151" t="str">
        <f t="array" ref="DN114">INDEX(DM:DM,MIN(IF(ISNUMBER(DM114:DM310),ROW(DM114:DM310),"")))</f>
        <v/>
      </c>
      <c r="DO114" s="151">
        <f>IF('Données projet'!$A$166&gt;35,DO113+DN114-DW113,IF(A114&lt;'Données projet'!$A$166,$DL$205^A114,IF(A114='Données projet'!$A$166,'Données projet'!$B$166,DO113+DN114-DW113)))</f>
        <v>0</v>
      </c>
      <c r="DP114" s="158" t="str">
        <f>DO114*VLOOKUP('Données projet'!$B$14,'Paramètres'!$A$1:$I$88,3,0)*VLOOKUP('Données projet'!$B$14,'Paramètres'!$A$1:$I$88,5,0)</f>
        <v>#N/A</v>
      </c>
      <c r="DQ114" s="150" t="str">
        <f t="shared" si="44"/>
        <v>#N/A</v>
      </c>
      <c r="DR114" s="161" t="str">
        <f t="shared" si="17"/>
        <v>#N/A</v>
      </c>
      <c r="DS114" s="153" t="str">
        <f t="shared" si="18"/>
        <v>#N/A</v>
      </c>
      <c r="DT114" s="153" t="str">
        <f>AVERAGE(OFFSET($DS$3,0,0,'Données projet'!$E$14+1,1))-AVERAGE(OFFSET($H$3,0,0,'Données projet'!$E$14+1,1))</f>
        <v>#N/A</v>
      </c>
      <c r="DU114" s="153" t="str">
        <f t="shared" si="45"/>
        <v>#N/A</v>
      </c>
      <c r="DV114" s="154">
        <f>IF(ISNA(VLOOKUP(A114,'Données projet'!$A$165:$I$185,3,0)),0,VLOOKUP(A114,'Données projet'!$A$165:$I$185,3,0))</f>
        <v>0</v>
      </c>
      <c r="DW114" s="154">
        <f>IF(ISNA(VLOOKUP(A114,'Données projet'!$A$165:$I$185,4,0)),0,VLOOKUP(A114,'Données projet'!$A$165:$I$185,4,0))</f>
        <v>0</v>
      </c>
      <c r="DX114" s="155">
        <f>IF(ISNA(VLOOKUP(A114,'Données projet'!$A$165:$I$185,5,0)),0%,VLOOKUP(A114,'Données projet'!$A$165:$I$185,5,0)*VLOOKUP('Données projet'!$B$14,'Paramètres'!$A$1:$I$88,7,0))</f>
        <v>0</v>
      </c>
      <c r="DY114" s="155">
        <f>IF(ISNA(VLOOKUP(A114,'Données projet'!$A$165:$I$185,6,0)),0%,VLOOKUP(A114,'Données projet'!$A$165:$I$185,6,0)*VLOOKUP('Données projet'!$B$14,'Paramètres'!$A$1:$I$88,7,0))</f>
        <v>0</v>
      </c>
      <c r="DZ114" s="155">
        <f>IF(ISNA(VLOOKUP(A114,'Données projet'!$A$165:$I$185,7,0)),0%,VLOOKUP(A114,'Données projet'!$A$165:$I$185,7,0))</f>
        <v>0</v>
      </c>
      <c r="EA114" s="162" t="str">
        <f>EXP(-LN(2)/35)*EA113+(1-EXP(-LN(2)/35))/(LN(2)/35)*DW114*DX114*VLOOKUP('Données projet'!$B$14,'Paramètres'!$A$1:$I$88,3,0)*0.475*44/12</f>
        <v>#N/A</v>
      </c>
      <c r="EB114" s="162" t="str">
        <f>EXP(-LN(2)/25)*EB113+(1-EXP(-LN(2)/25))/(LN(2)/25)*Calculateur!DW114*Calculateur!DY114*VLOOKUP('Données projet'!$B$14,'Paramètres'!$A$1:$I$88,3,0)*0.475*44/12</f>
        <v>#N/A</v>
      </c>
      <c r="EC114" s="162" t="str">
        <f>EXP(-LN(2)/2)*EC113+(1-EXP(-LN(2)/2))/(LN(2)/2)*DW114*DZ114*VLOOKUP('Données projet'!$B$14,'Paramètres'!$A$1:$I$88,3,0)*0.475*44/12</f>
        <v>#N/A</v>
      </c>
      <c r="ED114" s="163" t="str">
        <f t="shared" si="19"/>
        <v>#N/A</v>
      </c>
      <c r="EE114" s="159">
        <f>('Scénario référence'!$F$8+'Scénario référence'!$F$9+'Scénario référence'!$B$17+'Scénario référence'!$B$9+'Scénario référence'!$B$10)*70+IF((45+25*(1-EXP(-0.0175*A114)))&lt;70,'Scénario référence'!$B$16*(45+25*(1-EXP(-0.0175*A114))),70*'Scénario référence'!$B$16)+IF((32+38*(1-EXP(-0.0175*A114)))&lt;70,'Scénario référence'!$B$18*(32+38*(1-EXP(-0.0175*A114))),70*'Scénario référence'!$B$18)</f>
        <v>70</v>
      </c>
      <c r="EF114" s="151">
        <f>IF(A114&gt;30,10,('Scénario référence'!$B$16+'Scénario référence'!$B$17+'Scénario référence'!$B$18+'Scénario référence'!$B$9+'Scénario référence'!$B$10)*A114*10/30+('Scénario référence'!$F$8+'Scénario référence'!$F$9)*10)</f>
        <v>10</v>
      </c>
      <c r="EG114" s="151" t="str">
        <f>VLOOKUP(A114,'Données projet'!$A$191:$I$211,2,0)</f>
        <v>#N/A</v>
      </c>
      <c r="EH114" s="151" t="str">
        <f>VLOOKUP(A114,'Données projet'!$A$191:$I$211,9,0)</f>
        <v>#N/A</v>
      </c>
      <c r="EI114" s="151" t="str">
        <f t="array" ref="EI114">INDEX(EH:EH,MIN(IF(ISNUMBER(EH114:EH310),ROW(EH114:EH310),"")))</f>
        <v/>
      </c>
      <c r="EJ114" s="151">
        <f>IF('Données projet'!$A$192&gt;35,EJ113+EI114-ER113,IF(A114&lt;'Données projet'!$A$192,$EG$205^A114,IF(A114='Données projet'!$A$192,'Données projet'!$B$192,EJ113+EI114-ER113)))</f>
        <v>0</v>
      </c>
      <c r="EK114" s="158" t="str">
        <f>EJ114*VLOOKUP('Données projet'!$B$15,'Paramètres'!$A$1:$I$88,3,0)*VLOOKUP('Données projet'!$B$15,'Paramètres'!$A$1:$I$88,5,0)</f>
        <v>#N/A</v>
      </c>
      <c r="EL114" s="150" t="str">
        <f t="shared" si="46"/>
        <v>#N/A</v>
      </c>
      <c r="EM114" s="161" t="str">
        <f t="shared" si="20"/>
        <v>#N/A</v>
      </c>
      <c r="EN114" s="153" t="str">
        <f t="shared" si="21"/>
        <v>#N/A</v>
      </c>
      <c r="EO114" s="153" t="str">
        <f>AVERAGE(OFFSET($EN$3,0,0,'Données projet'!$E$15+1,1))-AVERAGE(OFFSET($H$3,0,0,'Données projet'!$E$15+1,1))</f>
        <v>#N/A</v>
      </c>
      <c r="EP114" s="153" t="str">
        <f t="shared" si="47"/>
        <v>#N/A</v>
      </c>
      <c r="EQ114" s="154">
        <f>IF(ISNA(VLOOKUP(A114,'Données projet'!$A$191:$I$211,3,0)),0,VLOOKUP(A114,'Données projet'!$A$191:$I$211,3,0))</f>
        <v>0</v>
      </c>
      <c r="ER114" s="154">
        <f>IF(ISNA(VLOOKUP(A114,'Données projet'!$A$191:$I$211,4,0)),0,VLOOKUP(A114,'Données projet'!$A$191:$I$211,4,0))</f>
        <v>0</v>
      </c>
      <c r="ES114" s="155">
        <f>IF(ISNA(VLOOKUP(A114,'Données projet'!$A$191:$I$211,5,0)),0%,VLOOKUP(A114,'Données projet'!$A$191:$I$211,5,0)*VLOOKUP('Données projet'!$B$15,'Paramètres'!$A$1:$I$88,7,0))</f>
        <v>0</v>
      </c>
      <c r="ET114" s="155">
        <f>IF(ISNA(VLOOKUP(A114,'Données projet'!$A$191:$I$211,6,0)),0%,VLOOKUP(A114,'Données projet'!$A$191:$I$211,6,0)*VLOOKUP('Données projet'!$B$15,'Paramètres'!$A$1:$I$88,7,0))</f>
        <v>0</v>
      </c>
      <c r="EU114" s="155">
        <f>IF(ISNA(VLOOKUP(A114,'Données projet'!$A$191:$I$211,7,0)),0%,VLOOKUP(A114,'Données projet'!$A$191:$I$211,7,0))</f>
        <v>0</v>
      </c>
      <c r="EV114" s="162" t="str">
        <f>EXP(-LN(2)/35)*EV113+(1-EXP(-LN(2)/35))/(LN(2)/35)*ER114*ES114*VLOOKUP('Données projet'!$B$15,'Paramètres'!$A$1:$I$88,3,0)*0.475*44/12</f>
        <v>#N/A</v>
      </c>
      <c r="EW114" s="162" t="str">
        <f>EXP(-LN(2)/25)*EW113+(1-EXP(-LN(2)/25))/(LN(2)/25)*Calculateur!ER114*Calculateur!ET114*VLOOKUP('Données projet'!$B$15,'Paramètres'!$A$1:$I$88,3,0)*0.475*44/12</f>
        <v>#N/A</v>
      </c>
      <c r="EX114" s="162" t="str">
        <f>EXP(-LN(2)/2)*EX113+(1-EXP(-LN(2)/2))/(LN(2)/2)*ER114*EU114*VLOOKUP('Données projet'!$B$15,'Paramètres'!$A$1:$I$88,3,0)*0.475*44/12</f>
        <v>#N/A</v>
      </c>
      <c r="EY114" s="163" t="str">
        <f t="shared" si="22"/>
        <v>#N/A</v>
      </c>
      <c r="EZ114" s="159">
        <f>('Scénario référence'!$F$8+'Scénario référence'!$F$9+'Scénario référence'!$B$17+'Scénario référence'!$B$9+'Scénario référence'!$B$10)*70+IF((45+25*(1-EXP(-0.0175*A114)))&lt;70,'Scénario référence'!$B$16*(45+25*(1-EXP(-0.0175*A114))),70*'Scénario référence'!$B$16)+IF((32+38*(1-EXP(-0.0175*A114)))&lt;70,'Scénario référence'!$B$18*(32+38*(1-EXP(-0.0175*A114))),70*'Scénario référence'!$B$18)</f>
        <v>70</v>
      </c>
      <c r="FA114" s="151">
        <f>IF(A114&gt;30,10,('Scénario référence'!$B$16+'Scénario référence'!$B$17+'Scénario référence'!$B$18+'Scénario référence'!$B$9+'Scénario référence'!$B$10)*A114*10/30+('Scénario référence'!$F$8+'Scénario référence'!$F$9)*10)</f>
        <v>10</v>
      </c>
      <c r="FB114" s="151" t="str">
        <f>VLOOKUP(A114,'Données projet'!$A$217:$I$237,2,0)</f>
        <v>#N/A</v>
      </c>
      <c r="FC114" s="151" t="str">
        <f>VLOOKUP(A114,'Données projet'!$A$217:$I$237,9,0)</f>
        <v>#N/A</v>
      </c>
      <c r="FD114" s="151" t="str">
        <f t="array" ref="FD114">INDEX(FC:FC,MIN(IF(ISNUMBER(FC114:FC310),ROW(FC114:FC310),"")))</f>
        <v/>
      </c>
      <c r="FE114" s="151">
        <f>IF('Données projet'!$A$218&gt;35,FE113+FD114-FM113,IF(A114&lt;'Données projet'!$A$218,$FB$205^A114,IF(A114='Données projet'!$A$218,'Données projet'!$B$218,FE113+FD114-FM113)))</f>
        <v>0</v>
      </c>
      <c r="FF114" s="158" t="str">
        <f>FE114*VLOOKUP('Données projet'!$B$16,'Paramètres'!$A$1:$I$88,3,0)*VLOOKUP('Données projet'!$B$16,'Paramètres'!$A$1:$I$88,5,0)</f>
        <v>#N/A</v>
      </c>
      <c r="FG114" s="150" t="str">
        <f t="shared" si="48"/>
        <v>#N/A</v>
      </c>
      <c r="FH114" s="161" t="str">
        <f t="shared" si="23"/>
        <v>#N/A</v>
      </c>
      <c r="FI114" s="153" t="str">
        <f t="shared" si="24"/>
        <v>#N/A</v>
      </c>
      <c r="FJ114" s="153" t="str">
        <f>AVERAGE(OFFSET($FI$3,0,0,'Données projet'!$E$16+1,1))-AVERAGE(OFFSET($H$3,0,0,'Données projet'!$E$16+1,1))</f>
        <v>#N/A</v>
      </c>
      <c r="FK114" s="153" t="str">
        <f t="shared" si="49"/>
        <v>#N/A</v>
      </c>
      <c r="FL114" s="154">
        <f>IF(ISNA(VLOOKUP(A114,'Données projet'!$A$217:$I$237,3,0)),0,VLOOKUP(A114,'Données projet'!$A$217:$I$237,3,0))</f>
        <v>0</v>
      </c>
      <c r="FM114" s="154">
        <f>IF(ISNA(VLOOKUP(A114,'Données projet'!$A$217:$I$237,4,0)),0,VLOOKUP(A114,'Données projet'!$A$217:$I$237,4,0))</f>
        <v>0</v>
      </c>
      <c r="FN114" s="155">
        <f>IF(ISNA(VLOOKUP(A114,'Données projet'!$A$217:$I$237,5,0)),0%,VLOOKUP(A114,'Données projet'!$A$217:$I$237,5,0)*VLOOKUP('Données projet'!$B$16,'Paramètres'!$A$1:$I$88,7,0))</f>
        <v>0</v>
      </c>
      <c r="FO114" s="155">
        <f>IF(ISNA(VLOOKUP(A114,'Données projet'!$A$217:$I$237,6,0)),0%,VLOOKUP(A114,'Données projet'!$A$217:$I$237,6,0)*VLOOKUP('Données projet'!$B$16,'Paramètres'!$A$1:$I$88,7,0))</f>
        <v>0</v>
      </c>
      <c r="FP114" s="155">
        <f>IF(ISNA(VLOOKUP(A114,'Données projet'!$A$217:$I$237,7,0)),0%,VLOOKUP(A114,'Données projet'!$A$217:$I$237,7,0))</f>
        <v>0</v>
      </c>
      <c r="FQ114" s="162" t="str">
        <f>EXP(-LN(2)/35)*FQ113+(1-EXP(-LN(2)/35))/(LN(2)/35)*FM114*FN114*VLOOKUP('Données projet'!$B$16,'Paramètres'!$A$1:$I$88,3,0)*0.475*44/12</f>
        <v>#N/A</v>
      </c>
      <c r="FR114" s="162" t="str">
        <f>EXP(-LN(2)/25)*FR113+(1-EXP(-LN(2)/25))/(LN(2)/25)*Calculateur!FM114*Calculateur!FO114*VLOOKUP('Données projet'!$B$16,'Paramètres'!$A$1:$I$88,3,0)*0.475*44/12</f>
        <v>#N/A</v>
      </c>
      <c r="FS114" s="162" t="str">
        <f>EXP(-LN(2)/2)*FS113+(1-EXP(-LN(2)/2))/(LN(2)/2)*FM114*FP114*VLOOKUP('Données projet'!$B$16,'Paramètres'!$A$1:$I$88,3,0)*0.475*44/12</f>
        <v>#N/A</v>
      </c>
      <c r="FT114" s="163" t="str">
        <f t="shared" si="25"/>
        <v>#N/A</v>
      </c>
      <c r="FU114" s="159">
        <f>('Scénario référence'!$F$8+'Scénario référence'!$F$9+'Scénario référence'!$B$17+'Scénario référence'!$B$9+'Scénario référence'!$B$10)*70+IF((45+25*(1-EXP(-0.0175*A114)))&lt;70,'Scénario référence'!$B$16*(45+25*(1-EXP(-0.0175*A114))),70*'Scénario référence'!$B$16)+IF((32+38*(1-EXP(-0.0175*A114)))&lt;70,'Scénario référence'!$B$18*(32+38*(1-EXP(-0.0175*A114))),70*'Scénario référence'!$B$18)</f>
        <v>70</v>
      </c>
      <c r="FV114" s="151">
        <f>IF(A114&gt;30,10,('Scénario référence'!$B$16+'Scénario référence'!$B$17+'Scénario référence'!$B$18+'Scénario référence'!$B$9+'Scénario référence'!$B$10)*A114*10/30+('Scénario référence'!$F$8+'Scénario référence'!$F$9)*10)</f>
        <v>10</v>
      </c>
      <c r="FW114" s="151" t="str">
        <f>VLOOKUP(A114,'Données projet'!$A$243:$I$263,2,0)</f>
        <v>#N/A</v>
      </c>
      <c r="FX114" s="151" t="str">
        <f>VLOOKUP(A114,'Données projet'!$A$243:$I$263,9,0)</f>
        <v>#N/A</v>
      </c>
      <c r="FY114" s="151" t="str">
        <f t="array" ref="FY114">INDEX(FX:FX,MIN(IF(ISNUMBER(FX114:FX310),ROW(FX114:FX310),"")))</f>
        <v/>
      </c>
      <c r="FZ114" s="151">
        <f>IF('Données projet'!$A$244&gt;35,FZ113+FY114-GH113,IF(A114&lt;'Données projet'!$A$244,$FW$205^A114,IF(A114='Données projet'!$A$244,'Données projet'!$B$244,FZ113+FY114-GH113)))</f>
        <v>0</v>
      </c>
      <c r="GA114" s="158" t="str">
        <f>FZ114*VLOOKUP('Données projet'!$B$17,'Paramètres'!$A$1:$I$88,3,0)*VLOOKUP('Données projet'!$B$17,'Paramètres'!$A$1:$I$88,5,0)</f>
        <v>#N/A</v>
      </c>
      <c r="GB114" s="150" t="str">
        <f t="shared" si="50"/>
        <v>#N/A</v>
      </c>
      <c r="GC114" s="161" t="str">
        <f t="shared" si="26"/>
        <v>#N/A</v>
      </c>
      <c r="GD114" s="153" t="str">
        <f t="shared" si="27"/>
        <v>#N/A</v>
      </c>
      <c r="GE114" s="153" t="str">
        <f>AVERAGE(OFFSET($GD$3,0,0,'Données projet'!$E$17+1,1))-AVERAGE(OFFSET($H$3,0,0,'Données projet'!$E$17+1,1))</f>
        <v>#N/A</v>
      </c>
      <c r="GF114" s="153" t="str">
        <f t="shared" si="51"/>
        <v>#N/A</v>
      </c>
      <c r="GG114" s="154">
        <f>IF(ISNA(VLOOKUP(A114,'Données projet'!$A$243:$I$263,3,0)),0,VLOOKUP(A114,'Données projet'!$A$243:$I$263,3,0))</f>
        <v>0</v>
      </c>
      <c r="GH114" s="154">
        <f>IF(ISNA(VLOOKUP(A114,'Données projet'!$A$243:$I$263,4,0)),0,VLOOKUP(A114,'Données projet'!$A$243:$I$263,4,0))</f>
        <v>0</v>
      </c>
      <c r="GI114" s="155">
        <f>IF(ISNA(VLOOKUP(A114,'Données projet'!$A$243:$I$263,5,0)),0%,VLOOKUP(A114,'Données projet'!$A$243:$I$263,5,0)*VLOOKUP('Données projet'!$B$17,'Paramètres'!$A$1:$I$88,7,0))</f>
        <v>0</v>
      </c>
      <c r="GJ114" s="155">
        <f>IF(ISNA(VLOOKUP(A114,'Données projet'!$A$243:$I$263,6,0)),0%,VLOOKUP(A114,'Données projet'!$A$243:$I$263,6,0)*VLOOKUP('Données projet'!$B$17,'Paramètres'!$A$1:$I$88,7,0))</f>
        <v>0</v>
      </c>
      <c r="GK114" s="155">
        <f>IF(ISNA(VLOOKUP(A114,'Données projet'!$A$243:$I$263,7,0)),0%,VLOOKUP(A114,'Données projet'!$A$243:$I$263,7,0))</f>
        <v>0</v>
      </c>
      <c r="GL114" s="162" t="str">
        <f>EXP(-LN(2)/35)*GL113+(1-EXP(-LN(2)/35))/(LN(2)/35)*GH114*GI114*VLOOKUP('Données projet'!$B$17,'Paramètres'!$A$1:$I$88,3,0)*0.475*44/12</f>
        <v>#N/A</v>
      </c>
      <c r="GM114" s="162" t="str">
        <f>EXP(-LN(2)/25)*GM113+(1-EXP(-LN(2)/25))/(LN(2)/25)*Calculateur!GH114*Calculateur!GJ114*VLOOKUP('Données projet'!$B$17,'Paramètres'!$A$1:$I$88,3,0)*0.475*44/12</f>
        <v>#N/A</v>
      </c>
      <c r="GN114" s="162" t="str">
        <f>EXP(-LN(2)/2)*GN113+(1-EXP(-LN(2)/2))/(LN(2)/2)*GH114*GK114*VLOOKUP('Données projet'!$B$17,'Paramètres'!$A$1:$I$88,3,0)*0.475*44/12</f>
        <v>#N/A</v>
      </c>
      <c r="GO114" s="162" t="str">
        <f t="shared" si="28"/>
        <v>#N/A</v>
      </c>
      <c r="GP114" s="159">
        <f>('Scénario référence'!$F$8+'Scénario référence'!$F$9+'Scénario référence'!$B$17+'Scénario référence'!$B$9+'Scénario référence'!$B$10)*70+IF((45+25*(1-EXP(-0.0175*A114)))&lt;70,'Scénario référence'!$B$16*(45+25*(1-EXP(-0.0175*A114))),70*'Scénario référence'!$B$16)+IF((32+38*(1-EXP(-0.0175*A114)))&lt;70,'Scénario référence'!$B$18*(32+38*(1-EXP(-0.0175*A114))),70*'Scénario référence'!$B$18)</f>
        <v>70</v>
      </c>
      <c r="GQ114" s="151">
        <f>IF(A114&gt;30,10,('Scénario référence'!$B$16+'Scénario référence'!$B$17+'Scénario référence'!$B$18+'Scénario référence'!$B$9+'Scénario référence'!$B$10)*A114*10/30+('Scénario référence'!$F$8+'Scénario référence'!$F$9)*10)</f>
        <v>10</v>
      </c>
      <c r="GR114" s="151" t="str">
        <f>VLOOKUP(A114,'Données projet'!$A$269:$I$289,2,0)</f>
        <v>#N/A</v>
      </c>
      <c r="GS114" s="151" t="str">
        <f>VLOOKUP(A114,'Données projet'!$A$269:$I$289,9,0)</f>
        <v>#N/A</v>
      </c>
      <c r="GT114" s="151" t="str">
        <f t="array" ref="GT114">INDEX(GS:GS,MIN(IF(ISNUMBER(GS114:GS310),ROW(GS114:GS310),"")))</f>
        <v/>
      </c>
      <c r="GU114" s="151">
        <f>IF('Données projet'!$A$270&gt;35,GU113+GT114-HC113,IF(A114&lt;'Données projet'!$A$270,$GR$205^A114,IF(A114='Données projet'!$A$270,'Données projet'!$B$270,GU113+GT114-HC113)))</f>
        <v>0</v>
      </c>
      <c r="GV114" s="158" t="str">
        <f>GU114*VLOOKUP('Données projet'!$B$18,'Paramètres'!$A$1:$I$88,3,0)*VLOOKUP('Données projet'!$B$18,'Paramètres'!$A$1:$I$88,5,0)</f>
        <v>#N/A</v>
      </c>
      <c r="GW114" s="150" t="str">
        <f t="shared" si="52"/>
        <v>#N/A</v>
      </c>
      <c r="GX114" s="161" t="str">
        <f t="shared" si="29"/>
        <v>#N/A</v>
      </c>
      <c r="GY114" s="153" t="str">
        <f t="shared" si="30"/>
        <v>#N/A</v>
      </c>
      <c r="GZ114" s="153" t="str">
        <f>AVERAGE(OFFSET($GY$3,0,0,'Données projet'!$E$18+1,1))-AVERAGE(OFFSET($H$3,0,0,'Données projet'!$E$18+1,1))</f>
        <v>#N/A</v>
      </c>
      <c r="HA114" s="153" t="str">
        <f t="shared" si="53"/>
        <v>#N/A</v>
      </c>
      <c r="HB114" s="154">
        <f>IF(ISNA(VLOOKUP(A114,'Données projet'!$A$269:$I$289,3,0)),0,VLOOKUP(A114,'Données projet'!$A$269:$I$289,3,0))</f>
        <v>0</v>
      </c>
      <c r="HC114" s="154">
        <f>IF(ISNA(VLOOKUP(A114,'Données projet'!$A$269:$I$289,4,0)),0,VLOOKUP(A114,'Données projet'!$A$269:$I$289,4,0))</f>
        <v>0</v>
      </c>
      <c r="HD114" s="155">
        <f>IF(ISNA(VLOOKUP(A114,'Données projet'!$A$269:$I$289,5,0)),0%,VLOOKUP(A114,'Données projet'!$A$269:$I$289,5,0)*VLOOKUP('Données projet'!$B$18,'Paramètres'!$A$1:$I$88,7,0))</f>
        <v>0</v>
      </c>
      <c r="HE114" s="155">
        <f>IF(ISNA(VLOOKUP(A114,'Données projet'!$A$269:$I$289,6,0)),0%,VLOOKUP(A114,'Données projet'!$A$269:$I$289,6,0)*VLOOKUP('Données projet'!$B$18,'Paramètres'!$A$1:$I$88,7,0))</f>
        <v>0</v>
      </c>
      <c r="HF114" s="155">
        <f>IF(ISNA(VLOOKUP(A114,'Données projet'!$A$269:$I$289,7,0)),0%,VLOOKUP(A114,'Données projet'!$A$269:$I$289,7,0))</f>
        <v>0</v>
      </c>
      <c r="HG114" s="162" t="str">
        <f>EXP(-LN(2)/35)*HG113+(1-EXP(-LN(2)/35))/(LN(2)/35)*HC114*HD114*VLOOKUP('Données projet'!$B$18,'Paramètres'!$A$1:$I$88,3,0)*0.475*44/12</f>
        <v>#N/A</v>
      </c>
      <c r="HH114" s="162" t="str">
        <f>EXP(-LN(2)/25)*HH113+(1-EXP(-LN(2)/25))/(LN(2)/25)*Calculateur!HC114*Calculateur!HE114*VLOOKUP('Données projet'!$B$18,'Paramètres'!$A$1:$I$88,3,0)*0.475*44/12</f>
        <v>#N/A</v>
      </c>
      <c r="HI114" s="162" t="str">
        <f>EXP(-LN(2)/2)*HI113+(1-EXP(-LN(2)/2))/(LN(2)/2)*HC114*HF114*VLOOKUP('Données projet'!$B$18,'Paramètres'!$A$1:$I$88,3,0)*0.475*44/12</f>
        <v>#N/A</v>
      </c>
      <c r="HJ114" s="163" t="str">
        <f t="shared" si="31"/>
        <v>#N/A</v>
      </c>
    </row>
    <row r="115" ht="15.75" customHeight="1">
      <c r="A115" s="145">
        <f t="shared" si="32"/>
        <v>112</v>
      </c>
      <c r="B115" s="146">
        <f>'Scénario référence'!$B$16*5+'Scénario référence'!$B$17*0+'Scénario référence'!$B$18*5</f>
        <v>0</v>
      </c>
      <c r="C115" s="160">
        <f>Calculateur!C114+'Scénario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15" s="147">
        <f t="shared" si="33"/>
        <v>0</v>
      </c>
      <c r="E115" s="147">
        <f>'Scénario référence'!$B$16*45+('Scénario référence'!$B$17+'Scénario référence'!$F$8+'Scénario référence'!$F$9+'Scénario référence'!$B$10+'Scénario référence'!$B$9)*70+'Scénario référence'!$B$18*32</f>
        <v>70</v>
      </c>
      <c r="F115" s="147">
        <f>IF(OR('Scénario référence'!$F$8&gt;0,'Scénario référence'!$F$9&gt;0),('Scénario référence'!$F$8+'Scénario référence'!$F$9)*10,0)</f>
        <v>0</v>
      </c>
      <c r="G115" s="147">
        <f>'Scénario référence'!$B$8*B115*44/12+'Scénario référence'!$B$9*(C115+D115)/0.475*44/12+'Scénario référence'!$B$10*(C115+D115)/0.475*44/12+'Scénario référence'!$F$8*(C115+D115)/0.475*44/12+'Scénario référence'!$F$9*(C115+D115)/0.475*44/12</f>
        <v>0</v>
      </c>
      <c r="H115" s="148">
        <f t="shared" si="1"/>
        <v>256.6666667</v>
      </c>
      <c r="I115" s="149">
        <f>('Scénario référence'!$F$8+'Scénario référence'!$F$9+'Scénario référence'!$B$17+'Scénario référence'!$B$9+'Scénario référence'!$B$10)*70+IF((45+25*(1-EXP(-0.0175*A115)))&lt;70,'Scénario référence'!$B$16*(45+25*(1-EXP(-0.0175*A115))),70*'Scénario référence'!$B$16)+IF((32+38*(1-EXP(-0.0175*A115)))&lt;70,'Scénario référence'!$B$18*(32+38*(1-EXP(-0.0175*A115))),70*'Scénario référence'!$B$18)</f>
        <v>70</v>
      </c>
      <c r="J115" s="150">
        <f>IF(A115&gt;30,10,('Scénario référence'!$B$16+'Scénario référence'!$B$17+'Scénario référence'!$B$18+'Scénario référence'!$B$9+'Scénario référence'!$B$10)*A115*10/30+('Scénario référence'!$F$8+'Scénario référence'!$F$9)*10)</f>
        <v>10</v>
      </c>
      <c r="K115" s="151" t="str">
        <f>VLOOKUP(A115,'Données projet'!$A$35:$I$55,2,0)</f>
        <v>#N/A</v>
      </c>
      <c r="L115" s="151" t="str">
        <f>VLOOKUP(A115,'Données projet'!$A$35:$I$55,9,0)</f>
        <v>#N/A</v>
      </c>
      <c r="M115" s="150">
        <f t="array" ref="M115">INDEX(L:L,MIN(IF(ISNUMBER(L115:L311),ROW(L115:L311),"")))</f>
        <v>4.8</v>
      </c>
      <c r="N115" s="150">
        <f>IF('Données projet'!$A$36&gt;35,N114+M115-V114,IF(A115&lt;'Données projet'!$A$36,$K$205^A115,IF(A115='Données projet'!$A$36,'Données projet'!$B$36,N114+M115-V114)))</f>
        <v>316.6</v>
      </c>
      <c r="O115" s="150">
        <f>N115*VLOOKUP('Données projet'!$B$9,'Paramètres'!$A$1:$I$88,3,0)*VLOOKUP('Données projet'!$B$9,'Paramètres'!$A$1:$I$88,5,0)</f>
        <v>286.45968</v>
      </c>
      <c r="P115" s="150">
        <f t="shared" si="34"/>
        <v>68.33030758</v>
      </c>
      <c r="Q115" s="161">
        <f t="shared" si="2"/>
        <v>617.925895</v>
      </c>
      <c r="R115" s="153">
        <f t="shared" si="3"/>
        <v>911.2592284</v>
      </c>
      <c r="S115" s="153">
        <f>AVERAGE(OFFSET($R$3,0,0,'Données projet'!$E$9+1,1))-AVERAGE(OFFSET($H$3,0,0,'Données projet'!$E$9+1,1))</f>
        <v>439.1985427</v>
      </c>
      <c r="T115" s="153">
        <f t="shared" si="35"/>
        <v>278.2174123</v>
      </c>
      <c r="U115" s="154">
        <f>IF(ISNA(VLOOKUP(A115,'Données projet'!$A$35:$I$55,3,0)),0,VLOOKUP(A115,'Données projet'!$A$35:$I$55,3,0))</f>
        <v>0</v>
      </c>
      <c r="V115" s="154">
        <f>IF(ISNA(VLOOKUP(A115,'Données projet'!$A$35:$I$55,4,0)),0,VLOOKUP(A115,'Données projet'!$A$35:$I$55,4,0))</f>
        <v>0</v>
      </c>
      <c r="W115" s="155">
        <f>IF(ISNA(VLOOKUP(A115,'Données projet'!$A$35:$I$55,5,0)),0%,VLOOKUP(A115,'Données projet'!$A$35:$I$55,5,0)*VLOOKUP('Données projet'!$B$9,'Paramètres'!$A$1:$I$88,7,0))</f>
        <v>0</v>
      </c>
      <c r="X115" s="155">
        <f>IF(ISNA(VLOOKUP(A115,'Données projet'!$A$35:$I$55,6,0)),0%,VLOOKUP(A115,'Données projet'!$A$35:$I$55,6,0)*VLOOKUP('Données projet'!$B$9,'Paramètres'!$A$1:$I$88,7,0))</f>
        <v>0</v>
      </c>
      <c r="Y115" s="155">
        <f>IF(ISNA(VLOOKUP(A115,'Données projet'!$A$35:$I$55,7,0)),0%,VLOOKUP(A115,'Données projet'!$A$35:$I$55,7,0))</f>
        <v>0</v>
      </c>
      <c r="Z115" s="162">
        <f>EXP(-LN(2)/35)*Z114+(1-EXP(-LN(2)/35))/(LN(2)/35)*V115*W115*VLOOKUP('Données projet'!$B$9,'Paramètres'!$A$1:$I$88,3,0)*0.475*44/12</f>
        <v>0</v>
      </c>
      <c r="AA115" s="162">
        <f>EXP(-LN(2)/25)*AA114+(1-EXP(-LN(2)/25))/(LN(2)/25)*Calculateur!V115*Calculateur!X115*VLOOKUP('Données projet'!$B$9,'Paramètres'!$A$1:$I$88,3,0)*0.475*44/12</f>
        <v>0.4619914021</v>
      </c>
      <c r="AB115" s="162">
        <f>EXP(-LN(2)/2)*AB114+(1-EXP(-LN(2)/2))/(LN(2)/2)*V115*Y115*VLOOKUP('Données projet'!$B$9,'Paramètres'!$A$1:$I$88,3,0)*0.475*44/12</f>
        <v>0</v>
      </c>
      <c r="AC115" s="163">
        <f t="shared" si="4"/>
        <v>0.4619914021</v>
      </c>
      <c r="AD115" s="150">
        <f>('Scénario référence'!$F$8+'Scénario référence'!$F$9+'Scénario référence'!$B$17+'Scénario référence'!$B$9+'Scénario référence'!$B$10)*70+IF((45+25*(1-EXP(-0.0175*A115)))&lt;70,'Scénario référence'!$B$16*(45+25*(1-EXP(-0.0175*A115))),70*'Scénario référence'!$B$16)+IF((32+38*(1-EXP(-0.0175*A115)))&lt;70,'Scénario référence'!$B$18*(32+38*(1-EXP(-0.0175*A115))),70*'Scénario référence'!$B$18)</f>
        <v>70</v>
      </c>
      <c r="AE115" s="150">
        <f>IF(A115&gt;30,10,('Scénario référence'!$B$16+'Scénario référence'!$B$17+'Scénario référence'!$B$18+'Scénario référence'!$B$9+'Scénario référence'!$B$10)*A115*10/30+('Scénario référence'!$F$8+'Scénario référence'!$F$9)*10)</f>
        <v>10</v>
      </c>
      <c r="AF115" s="151" t="str">
        <f>VLOOKUP(A115,'Données projet'!$A$61:$I$81,2,0)</f>
        <v>#N/A</v>
      </c>
      <c r="AG115" s="151" t="str">
        <f>VLOOKUP(A115,'Données projet'!$A$61:$I$81,9,0)</f>
        <v>#N/A</v>
      </c>
      <c r="AH115" s="151" t="str">
        <f t="array" ref="AH115">INDEX(AG:AG,MIN(IF(ISNUMBER(AG115:AG311),ROW(AG115:AG311),"")))</f>
        <v/>
      </c>
      <c r="AI115" s="150">
        <f>IF('Données projet'!$A$62&gt;35,AI114+AH115-AQ114,IF(A115&lt;'Données projet'!$A$62,$AF$205^A115,IF(A115='Données projet'!$A$62,'Données projet'!$B$62,AI114+AH115-AQ114)))</f>
        <v>369</v>
      </c>
      <c r="AJ115" s="150">
        <f>AI115*VLOOKUP('Données projet'!$B$10,'Paramètres'!$A$1:$I$88,3,0)*VLOOKUP('Données projet'!$B$10,'Paramètres'!$A$1:$I$88,5,0)</f>
        <v>293.5764</v>
      </c>
      <c r="AK115" s="150">
        <f t="shared" si="36"/>
        <v>69.82813851</v>
      </c>
      <c r="AL115" s="161">
        <f t="shared" si="5"/>
        <v>632.9295712</v>
      </c>
      <c r="AM115" s="153">
        <f t="shared" si="6"/>
        <v>926.2629046</v>
      </c>
      <c r="AN115" s="153">
        <f>AVERAGE(OFFSET($AM$3,0,0,'Données projet'!$E$10+1,1))-AVERAGE(OFFSET($H$3,0,0,'Données projet'!$E$10+1,1))</f>
        <v>405.6113614</v>
      </c>
      <c r="AO115" s="153">
        <f t="shared" si="37"/>
        <v>393.0787141</v>
      </c>
      <c r="AP115" s="154">
        <f>IF(ISNA(VLOOKUP(A115,'Données projet'!$A$61:$I$81,3,0)),0,VLOOKUP(A115,'Données projet'!$A$61:$I$81,3,0))</f>
        <v>0</v>
      </c>
      <c r="AQ115" s="154">
        <f>IF(ISNA(VLOOKUP(A115,'Données projet'!$A$61:$I$81,4,0)),0,VLOOKUP(A115,'Données projet'!$A$61:$I$81,4,0))</f>
        <v>0</v>
      </c>
      <c r="AR115" s="155">
        <f>IF(ISNA(VLOOKUP(A115,'Données projet'!$A$61:$I$81,5,0)),0%,VLOOKUP(A115,'Données projet'!$A$61:$I$81,5,0)*VLOOKUP('Données projet'!$B$10,'Paramètres'!$A$1:$I$88,7,0))</f>
        <v>0</v>
      </c>
      <c r="AS115" s="155">
        <f>IF(ISNA(VLOOKUP(A115,'Données projet'!$A$61:$I$81,6,0)),0%,VLOOKUP(A115,'Données projet'!$A$61:$I$81,6,0)*VLOOKUP('Données projet'!$B$10,'Paramètres'!$A$1:$I$88,7,0))</f>
        <v>0</v>
      </c>
      <c r="AT115" s="155">
        <f>IF(ISNA(VLOOKUP(A115,'Données projet'!$A$61:$I$81,7,0)),0%,VLOOKUP(A115,'Données projet'!$A$61:$I$81,7,0))</f>
        <v>0</v>
      </c>
      <c r="AU115" s="162">
        <f>EXP(-LN(2)/35)*AU114+(1-EXP(-LN(2)/35))/(LN(2)/35)*AQ115*AR115*VLOOKUP('Données projet'!$B$10,'Paramètres'!$A$1:$I$88,3,0)*0.475*44/12</f>
        <v>0</v>
      </c>
      <c r="AV115" s="162">
        <f>EXP(-LN(2)/25)*AV114+(1-EXP(-LN(2)/25))/(LN(2)/25)*Calculateur!AQ115*Calculateur!AS115*VLOOKUP('Données projet'!$B$10,'Paramètres'!$A$1:$I$88,3,0)*0.475*44/12</f>
        <v>1.877650501</v>
      </c>
      <c r="AW115" s="162">
        <f>EXP(-LN(2)/2)*AW114+(1-EXP(-LN(2)/2))/(LN(2)/2)*AQ115*AT115*VLOOKUP('Données projet'!$B$10,'Paramètres'!$A$1:$I$88,3,0)*0.475*44/12</f>
        <v>0</v>
      </c>
      <c r="AX115" s="162">
        <f t="shared" si="7"/>
        <v>1.877650501</v>
      </c>
      <c r="AY115" s="157">
        <f>('Scénario référence'!$F$8+'Scénario référence'!$F$9+'Scénario référence'!$B$17+'Scénario référence'!$B$9+'Scénario référence'!$B$10)*70+IF((45+25*(1-EXP(-0.0175*A115)))&lt;70,'Scénario référence'!$B$16*(45+25*(1-EXP(-0.0175*A115))),70*'Scénario référence'!$B$16)+IF((32+38*(1-EXP(-0.0175*A115)))&lt;70,'Scénario référence'!$B$18*(32+38*(1-EXP(-0.0175*A115))),70*'Scénario référence'!$B$18)</f>
        <v>70</v>
      </c>
      <c r="AZ115" s="151">
        <f>IF(A115&gt;30,10,('Scénario référence'!$B$16+'Scénario référence'!$B$17+'Scénario référence'!$B$18+'Scénario référence'!$B$9+'Scénario référence'!$B$10)*A115*10/30+('Scénario référence'!$F$8+'Scénario référence'!$F$9)*10)</f>
        <v>10</v>
      </c>
      <c r="BA115" s="151" t="str">
        <f>VLOOKUP(A115,'Données projet'!$A$87:$I$107,2,0)</f>
        <v>#N/A</v>
      </c>
      <c r="BB115" s="151" t="str">
        <f>VLOOKUP(A115,'Données projet'!$A$87:$I$107,9,0)</f>
        <v>#N/A</v>
      </c>
      <c r="BC115" s="151" t="str">
        <f t="array" ref="BC115">INDEX(BB:BB,MIN(IF(ISNUMBER(BB115:BB311),ROW(BB115:BB311),"")))</f>
        <v/>
      </c>
      <c r="BD115" s="150">
        <f>IF('Données projet'!$A$88&gt;35,BD114+BC115-BL114,IF(A115&lt;'Données projet'!$A$88,$BA$205^A115,IF(A115='Données projet'!$A$88,'Données projet'!$B$88,BD114+BC115-BL114)))</f>
        <v>0</v>
      </c>
      <c r="BE115" s="150">
        <f>BD115*VLOOKUP('Données projet'!$B$11,'Paramètres'!$A$1:$I$88,3,0)*VLOOKUP('Données projet'!$B$11,'Paramètres'!$A$1:$I$88,5,0)</f>
        <v>0</v>
      </c>
      <c r="BF115" s="150" t="str">
        <f t="shared" si="38"/>
        <v>#NUM!</v>
      </c>
      <c r="BG115" s="161" t="str">
        <f t="shared" si="8"/>
        <v>#NUM!</v>
      </c>
      <c r="BH115" s="153" t="str">
        <f t="shared" si="9"/>
        <v>#NUM!</v>
      </c>
      <c r="BI115" s="153">
        <f>AVERAGE(OFFSET($BH$3,0,0,'Données projet'!$E$11+1,1))-AVERAGE(OFFSET($H$3,0,0,'Données projet'!$E$11+1,1))</f>
        <v>0</v>
      </c>
      <c r="BJ115" s="153">
        <f t="shared" si="39"/>
        <v>0</v>
      </c>
      <c r="BK115" s="154">
        <f>IF(ISNA(VLOOKUP(A115,'Données projet'!$A$87:$I$107,3,0)),0,VLOOKUP(A115,'Données projet'!$A$87:$I$107,3,0))</f>
        <v>0</v>
      </c>
      <c r="BL115" s="154">
        <f>IF(ISNA(VLOOKUP(A115,'Données projet'!$A$87:$I$107,4,0)),0,VLOOKUP(A115,'Données projet'!$A$87:$I$107,4,0))</f>
        <v>0</v>
      </c>
      <c r="BM115" s="155">
        <f>IF(ISNA(VLOOKUP(A115,'Données projet'!$A$87:$I$107,5,0)),0%,VLOOKUP(A115,'Données projet'!$A$87:$I$107,5,0)*VLOOKUP('Données projet'!$B$11,'Paramètres'!$A$1:$I$88,7,0))</f>
        <v>0</v>
      </c>
      <c r="BN115" s="155">
        <f>IF(ISNA(VLOOKUP(A115,'Données projet'!$A$87:$I$107,6,0)),0%,VLOOKUP(A115,'Données projet'!$A$87:$I$107,6,0)*VLOOKUP('Données projet'!$B$11,'Paramètres'!$A$1:$I$88,7,0))</f>
        <v>0</v>
      </c>
      <c r="BO115" s="155">
        <f>IF(ISNA(VLOOKUP(A115,'Données projet'!$A$87:$I$107,7,0)),0%,VLOOKUP(A115,'Données projet'!$A$87:$I$107,7,0))</f>
        <v>0</v>
      </c>
      <c r="BP115" s="162">
        <f>EXP(-LN(2)/35)*BP114+(1-EXP(-LN(2)/35))/(LN(2)/35)*BL115*BM115*VLOOKUP('Données projet'!$B$11,'Paramètres'!$A$1:$I$88,3,0)*0.475*44/12</f>
        <v>0</v>
      </c>
      <c r="BQ115" s="162">
        <f>EXP(-LN(2)/25)*BQ114+(1-EXP(-LN(2)/25))/(LN(2)/25)*Calculateur!BL115*Calculateur!BN115*VLOOKUP('Données projet'!$B$11,'Paramètres'!$A$1:$I$88,3,0)*0.475*44/12</f>
        <v>0</v>
      </c>
      <c r="BR115" s="162">
        <f>EXP(-LN(2)/2)*BR114+(1-EXP(-LN(2)/2))/(LN(2)/2)*BL115*BO115*VLOOKUP('Données projet'!$B$11,'Paramètres'!$A$1:$I$88,3,0)*0.475*44/12</f>
        <v>0</v>
      </c>
      <c r="BS115" s="163">
        <f t="shared" si="10"/>
        <v>0</v>
      </c>
      <c r="BT115" s="159">
        <f>('Scénario référence'!$F$8+'Scénario référence'!$F$9+'Scénario référence'!$B$17+'Scénario référence'!$B$9+'Scénario référence'!$B$10)*70+IF((45+25*(1-EXP(-0.0175*A115)))&lt;70,'Scénario référence'!$B$16*(45+25*(1-EXP(-0.0175*A115))),70*'Scénario référence'!$B$16)+IF((32+38*(1-EXP(-0.0175*A115)))&lt;70,'Scénario référence'!$B$18*(32+38*(1-EXP(-0.0175*A115))),70*'Scénario référence'!$B$18)</f>
        <v>70</v>
      </c>
      <c r="BU115" s="151">
        <f>IF(A115&gt;30,10,('Scénario référence'!$B$16+'Scénario référence'!$B$17+'Scénario référence'!$B$18+'Scénario référence'!$B$9+'Scénario référence'!$B$10)*A115*10/30+('Scénario référence'!$F$8+'Scénario référence'!$F$9)*10)</f>
        <v>10</v>
      </c>
      <c r="BV115" s="151" t="str">
        <f>VLOOKUP(A115,'Données projet'!$A$113:$I$133,2,0)</f>
        <v>#N/A</v>
      </c>
      <c r="BW115" s="151" t="str">
        <f>VLOOKUP(A115,'Données projet'!$A$113:$I$133,9,0)</f>
        <v>#N/A</v>
      </c>
      <c r="BX115" s="151" t="str">
        <f t="array" ref="BX115">INDEX(BW:BW,MIN(IF(ISNUMBER(BW115:BW311),ROW(BW115:BW311),"")))</f>
        <v/>
      </c>
      <c r="BY115" s="150">
        <f>IF('Données projet'!$A$114&gt;35,BY114+BX115-CG114,IF(A115&lt;'Données projet'!$A$114,$BV$205^A115,IF(A115='Données projet'!$A$114,'Données projet'!$B$114,BY114+BX115-CG114)))</f>
        <v>0</v>
      </c>
      <c r="BZ115" s="150" t="str">
        <f>BY115*VLOOKUP('Données projet'!$B$12,'Paramètres'!$A$1:$I$88,3,0)*VLOOKUP('Données projet'!$B$12,'Paramètres'!$A$1:$I$88,5,0)</f>
        <v>#N/A</v>
      </c>
      <c r="CA115" s="150" t="str">
        <f t="shared" si="40"/>
        <v>#N/A</v>
      </c>
      <c r="CB115" s="161" t="str">
        <f t="shared" si="11"/>
        <v>#N/A</v>
      </c>
      <c r="CC115" s="153" t="str">
        <f t="shared" si="12"/>
        <v>#N/A</v>
      </c>
      <c r="CD115" s="153" t="str">
        <f>AVERAGE(OFFSET($CC$3,0,0,'Données projet'!$E$12+1,1))-AVERAGE(OFFSET($H$3,0,0,'Données projet'!$E$12+1,1))</f>
        <v>#N/A</v>
      </c>
      <c r="CE115" s="153" t="str">
        <f t="shared" si="41"/>
        <v>#N/A</v>
      </c>
      <c r="CF115" s="154">
        <f>IF(ISNA(VLOOKUP(A115,'Données projet'!$A$113:$I$133,3,0)),0,VLOOKUP(A115,'Données projet'!$A$113:$I$133,3,0))</f>
        <v>0</v>
      </c>
      <c r="CG115" s="154">
        <f>IF(ISNA(VLOOKUP(A115,'Données projet'!$A$113:$I$133,4,0)),0,VLOOKUP(A115,'Données projet'!$A$113:$I$133,4,0))</f>
        <v>0</v>
      </c>
      <c r="CH115" s="155">
        <f>IF(ISNA(VLOOKUP(A115,'Données projet'!$A$113:$I$133,5,0)),0%,VLOOKUP(A115,'Données projet'!$A$113:$I$133,5,0)*VLOOKUP('Données projet'!$B$12,'Paramètres'!$A$1:$I$88,7,0))</f>
        <v>0</v>
      </c>
      <c r="CI115" s="155">
        <f>IF(ISNA(VLOOKUP(A115,'Données projet'!$A$113:$I$133,6,0)),0%,VLOOKUP(A115,'Données projet'!$A$113:$I$133,6,0)*VLOOKUP('Données projet'!$B$12,'Paramètres'!$A$1:$I$88,7,0))</f>
        <v>0</v>
      </c>
      <c r="CJ115" s="155">
        <f>IF(ISNA(VLOOKUP(A115,'Données projet'!$A$113:$I$133,7,0)),0%,VLOOKUP(A115,'Données projet'!$A$113:$I$133,7,0))</f>
        <v>0</v>
      </c>
      <c r="CK115" s="162" t="str">
        <f>EXP(-LN(2)/35)*CK114+(1-EXP(-LN(2)/35))/(LN(2)/35)*CG115*CH115*VLOOKUP('Données projet'!$B$12,'Paramètres'!$A$1:$I$88,3,0)*0.475*44/12</f>
        <v>#N/A</v>
      </c>
      <c r="CL115" s="162" t="str">
        <f>EXP(-LN(2)/25)*CL114+(1-EXP(-LN(2)/25))/(LN(2)/25)*Calculateur!CG115*Calculateur!CI115*VLOOKUP('Données projet'!$B$12,'Paramètres'!$A$1:$I$88,3,0)*0.475*44/12</f>
        <v>#N/A</v>
      </c>
      <c r="CM115" s="162" t="str">
        <f>EXP(-LN(2)/2)*CM114+(1-EXP(-LN(2)/2))/(LN(2)/2)*CG115*CJ115*VLOOKUP('Données projet'!$B$12,'Paramètres'!$A$1:$I$88,3,0)*0.475*44/12</f>
        <v>#N/A</v>
      </c>
      <c r="CN115" s="163" t="str">
        <f t="shared" si="13"/>
        <v>#N/A</v>
      </c>
      <c r="CO115" s="159">
        <f>('Scénario référence'!$F$8+'Scénario référence'!$F$9+'Scénario référence'!$B$17+'Scénario référence'!$B$9+'Scénario référence'!$B$10)*70+IF((45+25*(1-EXP(-0.0175*A115)))&lt;70,'Scénario référence'!$B$16*(45+25*(1-EXP(-0.0175*A115))),70*'Scénario référence'!$B$16)+IF((32+38*(1-EXP(-0.0175*A115)))&lt;70,'Scénario référence'!$B$18*(32+38*(1-EXP(-0.0175*A115))),70*'Scénario référence'!$B$18)</f>
        <v>70</v>
      </c>
      <c r="CP115" s="151">
        <f>IF(A115&gt;30,10,('Scénario référence'!$B$16+'Scénario référence'!$B$17+'Scénario référence'!$B$18+'Scénario référence'!$B$9+'Scénario référence'!$B$10)*A115*10/30+('Scénario référence'!$F$8+'Scénario référence'!$F$9)*10)</f>
        <v>10</v>
      </c>
      <c r="CQ115" s="151" t="str">
        <f>VLOOKUP(A115,'Données projet'!$A$139:$I$159,2,0)</f>
        <v>#N/A</v>
      </c>
      <c r="CR115" s="151" t="str">
        <f>VLOOKUP(A115,'Données projet'!$A$139:$I$159,9,0)</f>
        <v>#N/A</v>
      </c>
      <c r="CS115" s="151" t="str">
        <f t="array" ref="CS115">INDEX(CR:CR,MIN(IF(ISNUMBER(CR115:CR311),ROW(CR115:CR311),"")))</f>
        <v/>
      </c>
      <c r="CT115" s="151">
        <f>IF('Données projet'!$A$140&gt;35,CT114+CS115-DB114,IF(A115&lt;'Données projet'!$A$140,$CQ$205^A115,IF(A115='Données projet'!$A$140,'Données projet'!$B$140,CT114+CS115-DB114)))</f>
        <v>0</v>
      </c>
      <c r="CU115" s="158" t="str">
        <f>CT115*VLOOKUP('Données projet'!$B$13,'Paramètres'!$A$1:$I$88,3,0)*VLOOKUP('Données projet'!$B$13,'Paramètres'!$A$1:$I$88,5,0)</f>
        <v>#N/A</v>
      </c>
      <c r="CV115" s="150" t="str">
        <f t="shared" si="42"/>
        <v>#N/A</v>
      </c>
      <c r="CW115" s="161" t="str">
        <f t="shared" si="14"/>
        <v>#N/A</v>
      </c>
      <c r="CX115" s="153" t="str">
        <f t="shared" si="15"/>
        <v>#N/A</v>
      </c>
      <c r="CY115" s="153" t="str">
        <f>AVERAGE(OFFSET($CX$3,0,0,'Données projet'!$E$13+1,1))-AVERAGE(OFFSET($H$3,0,0,'Données projet'!$E$13+1,1))</f>
        <v>#N/A</v>
      </c>
      <c r="CZ115" s="153" t="str">
        <f t="shared" si="43"/>
        <v>#N/A</v>
      </c>
      <c r="DA115" s="154">
        <f>IF(ISNA(VLOOKUP(A115,'Données projet'!$A$139:$I$159,3,0)),0,VLOOKUP(A115,'Données projet'!$A$139:$I$159,3,0))</f>
        <v>0</v>
      </c>
      <c r="DB115" s="154">
        <f>IF(ISNA(VLOOKUP(A115,'Données projet'!$A$139:$I$159,4,0)),0,VLOOKUP(A115,'Données projet'!$A$139:$I$159,4,0))</f>
        <v>0</v>
      </c>
      <c r="DC115" s="155">
        <f>IF(ISNA(VLOOKUP(A115,'Données projet'!$A$139:$I$159,5,0)),0%,VLOOKUP(A115,'Données projet'!$A$139:$I$159,5,0)*VLOOKUP('Données projet'!$B$13,'Paramètres'!$A$1:$I$88,7,0))</f>
        <v>0</v>
      </c>
      <c r="DD115" s="155">
        <f>IF(ISNA(VLOOKUP(A115,'Données projet'!$A$139:$I$159,6,0)),0%,VLOOKUP(A115,'Données projet'!$A$139:$I$159,6,0)*VLOOKUP('Données projet'!$B$13,'Paramètres'!$A$1:$I$88,7,0))</f>
        <v>0</v>
      </c>
      <c r="DE115" s="155">
        <f>IF(ISNA(VLOOKUP(A115,'Données projet'!$A$139:$I$159,7,0)),0%,VLOOKUP(A115,'Données projet'!$A$139:$I$159,7,0))</f>
        <v>0</v>
      </c>
      <c r="DF115" s="162" t="str">
        <f>EXP(-LN(2)/35)*DF114+(1-EXP(-LN(2)/35))/(LN(2)/35)*DB115*DC115*VLOOKUP('Données projet'!$B$13,'Paramètres'!$A$1:$I$88,3,0)*0.475*44/12</f>
        <v>#N/A</v>
      </c>
      <c r="DG115" s="162" t="str">
        <f>EXP(-LN(2)/25)*DG114+(1-EXP(-LN(2)/25))/(LN(2)/25)*Calculateur!DB115*Calculateur!DD115*VLOOKUP('Données projet'!$B$13,'Paramètres'!$A$1:$I$88,3,0)*0.475*44/12</f>
        <v>#N/A</v>
      </c>
      <c r="DH115" s="162" t="str">
        <f>EXP(-LN(2)/2)*DH114+(1-EXP(-LN(2)/2))/(LN(2)/2)*DB115*DE115*VLOOKUP('Données projet'!$B$13,'Paramètres'!$A$1:$I$88,3,0)*0.475*44/12</f>
        <v>#N/A</v>
      </c>
      <c r="DI115" s="163" t="str">
        <f t="shared" si="16"/>
        <v>#N/A</v>
      </c>
      <c r="DJ115" s="159">
        <f>('Scénario référence'!$F$8+'Scénario référence'!$F$9+'Scénario référence'!$B$17+'Scénario référence'!$B$9+'Scénario référence'!$B$10)*70+IF((45+25*(1-EXP(-0.0175*A115)))&lt;70,'Scénario référence'!$B$16*(45+25*(1-EXP(-0.0175*A115))),70*'Scénario référence'!$B$16)+IF((32+38*(1-EXP(-0.0175*A115)))&lt;70,'Scénario référence'!$B$18*(32+38*(1-EXP(-0.0175*A115))),70*'Scénario référence'!$B$18)</f>
        <v>70</v>
      </c>
      <c r="DK115" s="151">
        <f>IF(A115&gt;30,10,('Scénario référence'!$B$16+'Scénario référence'!$B$17+'Scénario référence'!$B$18+'Scénario référence'!$B$9+'Scénario référence'!$B$10)*A115*10/30+('Scénario référence'!$F$8+'Scénario référence'!$F$9)*10)</f>
        <v>10</v>
      </c>
      <c r="DL115" s="151" t="str">
        <f>VLOOKUP(A115,'Données projet'!$A$165:$I$185,2,0)</f>
        <v>#N/A</v>
      </c>
      <c r="DM115" s="151" t="str">
        <f>VLOOKUP(A115,'Données projet'!$A$165:$I$185,9,0)</f>
        <v>#N/A</v>
      </c>
      <c r="DN115" s="151" t="str">
        <f t="array" ref="DN115">INDEX(DM:DM,MIN(IF(ISNUMBER(DM115:DM311),ROW(DM115:DM311),"")))</f>
        <v/>
      </c>
      <c r="DO115" s="151">
        <f>IF('Données projet'!$A$166&gt;35,DO114+DN115-DW114,IF(A115&lt;'Données projet'!$A$166,$DL$205^A115,IF(A115='Données projet'!$A$166,'Données projet'!$B$166,DO114+DN115-DW114)))</f>
        <v>0</v>
      </c>
      <c r="DP115" s="158" t="str">
        <f>DO115*VLOOKUP('Données projet'!$B$14,'Paramètres'!$A$1:$I$88,3,0)*VLOOKUP('Données projet'!$B$14,'Paramètres'!$A$1:$I$88,5,0)</f>
        <v>#N/A</v>
      </c>
      <c r="DQ115" s="150" t="str">
        <f t="shared" si="44"/>
        <v>#N/A</v>
      </c>
      <c r="DR115" s="161" t="str">
        <f t="shared" si="17"/>
        <v>#N/A</v>
      </c>
      <c r="DS115" s="153" t="str">
        <f t="shared" si="18"/>
        <v>#N/A</v>
      </c>
      <c r="DT115" s="153" t="str">
        <f>AVERAGE(OFFSET($DS$3,0,0,'Données projet'!$E$14+1,1))-AVERAGE(OFFSET($H$3,0,0,'Données projet'!$E$14+1,1))</f>
        <v>#N/A</v>
      </c>
      <c r="DU115" s="153" t="str">
        <f t="shared" si="45"/>
        <v>#N/A</v>
      </c>
      <c r="DV115" s="154">
        <f>IF(ISNA(VLOOKUP(A115,'Données projet'!$A$165:$I$185,3,0)),0,VLOOKUP(A115,'Données projet'!$A$165:$I$185,3,0))</f>
        <v>0</v>
      </c>
      <c r="DW115" s="154">
        <f>IF(ISNA(VLOOKUP(A115,'Données projet'!$A$165:$I$185,4,0)),0,VLOOKUP(A115,'Données projet'!$A$165:$I$185,4,0))</f>
        <v>0</v>
      </c>
      <c r="DX115" s="155">
        <f>IF(ISNA(VLOOKUP(A115,'Données projet'!$A$165:$I$185,5,0)),0%,VLOOKUP(A115,'Données projet'!$A$165:$I$185,5,0)*VLOOKUP('Données projet'!$B$14,'Paramètres'!$A$1:$I$88,7,0))</f>
        <v>0</v>
      </c>
      <c r="DY115" s="155">
        <f>IF(ISNA(VLOOKUP(A115,'Données projet'!$A$165:$I$185,6,0)),0%,VLOOKUP(A115,'Données projet'!$A$165:$I$185,6,0)*VLOOKUP('Données projet'!$B$14,'Paramètres'!$A$1:$I$88,7,0))</f>
        <v>0</v>
      </c>
      <c r="DZ115" s="155">
        <f>IF(ISNA(VLOOKUP(A115,'Données projet'!$A$165:$I$185,7,0)),0%,VLOOKUP(A115,'Données projet'!$A$165:$I$185,7,0))</f>
        <v>0</v>
      </c>
      <c r="EA115" s="162" t="str">
        <f>EXP(-LN(2)/35)*EA114+(1-EXP(-LN(2)/35))/(LN(2)/35)*DW115*DX115*VLOOKUP('Données projet'!$B$14,'Paramètres'!$A$1:$I$88,3,0)*0.475*44/12</f>
        <v>#N/A</v>
      </c>
      <c r="EB115" s="162" t="str">
        <f>EXP(-LN(2)/25)*EB114+(1-EXP(-LN(2)/25))/(LN(2)/25)*Calculateur!DW115*Calculateur!DY115*VLOOKUP('Données projet'!$B$14,'Paramètres'!$A$1:$I$88,3,0)*0.475*44/12</f>
        <v>#N/A</v>
      </c>
      <c r="EC115" s="162" t="str">
        <f>EXP(-LN(2)/2)*EC114+(1-EXP(-LN(2)/2))/(LN(2)/2)*DW115*DZ115*VLOOKUP('Données projet'!$B$14,'Paramètres'!$A$1:$I$88,3,0)*0.475*44/12</f>
        <v>#N/A</v>
      </c>
      <c r="ED115" s="163" t="str">
        <f t="shared" si="19"/>
        <v>#N/A</v>
      </c>
      <c r="EE115" s="159">
        <f>('Scénario référence'!$F$8+'Scénario référence'!$F$9+'Scénario référence'!$B$17+'Scénario référence'!$B$9+'Scénario référence'!$B$10)*70+IF((45+25*(1-EXP(-0.0175*A115)))&lt;70,'Scénario référence'!$B$16*(45+25*(1-EXP(-0.0175*A115))),70*'Scénario référence'!$B$16)+IF((32+38*(1-EXP(-0.0175*A115)))&lt;70,'Scénario référence'!$B$18*(32+38*(1-EXP(-0.0175*A115))),70*'Scénario référence'!$B$18)</f>
        <v>70</v>
      </c>
      <c r="EF115" s="151">
        <f>IF(A115&gt;30,10,('Scénario référence'!$B$16+'Scénario référence'!$B$17+'Scénario référence'!$B$18+'Scénario référence'!$B$9+'Scénario référence'!$B$10)*A115*10/30+('Scénario référence'!$F$8+'Scénario référence'!$F$9)*10)</f>
        <v>10</v>
      </c>
      <c r="EG115" s="151" t="str">
        <f>VLOOKUP(A115,'Données projet'!$A$191:$I$211,2,0)</f>
        <v>#N/A</v>
      </c>
      <c r="EH115" s="151" t="str">
        <f>VLOOKUP(A115,'Données projet'!$A$191:$I$211,9,0)</f>
        <v>#N/A</v>
      </c>
      <c r="EI115" s="151" t="str">
        <f t="array" ref="EI115">INDEX(EH:EH,MIN(IF(ISNUMBER(EH115:EH311),ROW(EH115:EH311),"")))</f>
        <v/>
      </c>
      <c r="EJ115" s="151">
        <f>IF('Données projet'!$A$192&gt;35,EJ114+EI115-ER114,IF(A115&lt;'Données projet'!$A$192,$EG$205^A115,IF(A115='Données projet'!$A$192,'Données projet'!$B$192,EJ114+EI115-ER114)))</f>
        <v>0</v>
      </c>
      <c r="EK115" s="158" t="str">
        <f>EJ115*VLOOKUP('Données projet'!$B$15,'Paramètres'!$A$1:$I$88,3,0)*VLOOKUP('Données projet'!$B$15,'Paramètres'!$A$1:$I$88,5,0)</f>
        <v>#N/A</v>
      </c>
      <c r="EL115" s="150" t="str">
        <f t="shared" si="46"/>
        <v>#N/A</v>
      </c>
      <c r="EM115" s="161" t="str">
        <f t="shared" si="20"/>
        <v>#N/A</v>
      </c>
      <c r="EN115" s="153" t="str">
        <f t="shared" si="21"/>
        <v>#N/A</v>
      </c>
      <c r="EO115" s="153" t="str">
        <f>AVERAGE(OFFSET($EN$3,0,0,'Données projet'!$E$15+1,1))-AVERAGE(OFFSET($H$3,0,0,'Données projet'!$E$15+1,1))</f>
        <v>#N/A</v>
      </c>
      <c r="EP115" s="153" t="str">
        <f t="shared" si="47"/>
        <v>#N/A</v>
      </c>
      <c r="EQ115" s="154">
        <f>IF(ISNA(VLOOKUP(A115,'Données projet'!$A$191:$I$211,3,0)),0,VLOOKUP(A115,'Données projet'!$A$191:$I$211,3,0))</f>
        <v>0</v>
      </c>
      <c r="ER115" s="154">
        <f>IF(ISNA(VLOOKUP(A115,'Données projet'!$A$191:$I$211,4,0)),0,VLOOKUP(A115,'Données projet'!$A$191:$I$211,4,0))</f>
        <v>0</v>
      </c>
      <c r="ES115" s="155">
        <f>IF(ISNA(VLOOKUP(A115,'Données projet'!$A$191:$I$211,5,0)),0%,VLOOKUP(A115,'Données projet'!$A$191:$I$211,5,0)*VLOOKUP('Données projet'!$B$15,'Paramètres'!$A$1:$I$88,7,0))</f>
        <v>0</v>
      </c>
      <c r="ET115" s="155">
        <f>IF(ISNA(VLOOKUP(A115,'Données projet'!$A$191:$I$211,6,0)),0%,VLOOKUP(A115,'Données projet'!$A$191:$I$211,6,0)*VLOOKUP('Données projet'!$B$15,'Paramètres'!$A$1:$I$88,7,0))</f>
        <v>0</v>
      </c>
      <c r="EU115" s="155">
        <f>IF(ISNA(VLOOKUP(A115,'Données projet'!$A$191:$I$211,7,0)),0%,VLOOKUP(A115,'Données projet'!$A$191:$I$211,7,0))</f>
        <v>0</v>
      </c>
      <c r="EV115" s="162" t="str">
        <f>EXP(-LN(2)/35)*EV114+(1-EXP(-LN(2)/35))/(LN(2)/35)*ER115*ES115*VLOOKUP('Données projet'!$B$15,'Paramètres'!$A$1:$I$88,3,0)*0.475*44/12</f>
        <v>#N/A</v>
      </c>
      <c r="EW115" s="162" t="str">
        <f>EXP(-LN(2)/25)*EW114+(1-EXP(-LN(2)/25))/(LN(2)/25)*Calculateur!ER115*Calculateur!ET115*VLOOKUP('Données projet'!$B$15,'Paramètres'!$A$1:$I$88,3,0)*0.475*44/12</f>
        <v>#N/A</v>
      </c>
      <c r="EX115" s="162" t="str">
        <f>EXP(-LN(2)/2)*EX114+(1-EXP(-LN(2)/2))/(LN(2)/2)*ER115*EU115*VLOOKUP('Données projet'!$B$15,'Paramètres'!$A$1:$I$88,3,0)*0.475*44/12</f>
        <v>#N/A</v>
      </c>
      <c r="EY115" s="163" t="str">
        <f t="shared" si="22"/>
        <v>#N/A</v>
      </c>
      <c r="EZ115" s="159">
        <f>('Scénario référence'!$F$8+'Scénario référence'!$F$9+'Scénario référence'!$B$17+'Scénario référence'!$B$9+'Scénario référence'!$B$10)*70+IF((45+25*(1-EXP(-0.0175*A115)))&lt;70,'Scénario référence'!$B$16*(45+25*(1-EXP(-0.0175*A115))),70*'Scénario référence'!$B$16)+IF((32+38*(1-EXP(-0.0175*A115)))&lt;70,'Scénario référence'!$B$18*(32+38*(1-EXP(-0.0175*A115))),70*'Scénario référence'!$B$18)</f>
        <v>70</v>
      </c>
      <c r="FA115" s="151">
        <f>IF(A115&gt;30,10,('Scénario référence'!$B$16+'Scénario référence'!$B$17+'Scénario référence'!$B$18+'Scénario référence'!$B$9+'Scénario référence'!$B$10)*A115*10/30+('Scénario référence'!$F$8+'Scénario référence'!$F$9)*10)</f>
        <v>10</v>
      </c>
      <c r="FB115" s="151" t="str">
        <f>VLOOKUP(A115,'Données projet'!$A$217:$I$237,2,0)</f>
        <v>#N/A</v>
      </c>
      <c r="FC115" s="151" t="str">
        <f>VLOOKUP(A115,'Données projet'!$A$217:$I$237,9,0)</f>
        <v>#N/A</v>
      </c>
      <c r="FD115" s="151" t="str">
        <f t="array" ref="FD115">INDEX(FC:FC,MIN(IF(ISNUMBER(FC115:FC311),ROW(FC115:FC311),"")))</f>
        <v/>
      </c>
      <c r="FE115" s="151">
        <f>IF('Données projet'!$A$218&gt;35,FE114+FD115-FM114,IF(A115&lt;'Données projet'!$A$218,$FB$205^A115,IF(A115='Données projet'!$A$218,'Données projet'!$B$218,FE114+FD115-FM114)))</f>
        <v>0</v>
      </c>
      <c r="FF115" s="158" t="str">
        <f>FE115*VLOOKUP('Données projet'!$B$16,'Paramètres'!$A$1:$I$88,3,0)*VLOOKUP('Données projet'!$B$16,'Paramètres'!$A$1:$I$88,5,0)</f>
        <v>#N/A</v>
      </c>
      <c r="FG115" s="150" t="str">
        <f t="shared" si="48"/>
        <v>#N/A</v>
      </c>
      <c r="FH115" s="161" t="str">
        <f t="shared" si="23"/>
        <v>#N/A</v>
      </c>
      <c r="FI115" s="153" t="str">
        <f t="shared" si="24"/>
        <v>#N/A</v>
      </c>
      <c r="FJ115" s="153" t="str">
        <f>AVERAGE(OFFSET($FI$3,0,0,'Données projet'!$E$16+1,1))-AVERAGE(OFFSET($H$3,0,0,'Données projet'!$E$16+1,1))</f>
        <v>#N/A</v>
      </c>
      <c r="FK115" s="153" t="str">
        <f t="shared" si="49"/>
        <v>#N/A</v>
      </c>
      <c r="FL115" s="154">
        <f>IF(ISNA(VLOOKUP(A115,'Données projet'!$A$217:$I$237,3,0)),0,VLOOKUP(A115,'Données projet'!$A$217:$I$237,3,0))</f>
        <v>0</v>
      </c>
      <c r="FM115" s="154">
        <f>IF(ISNA(VLOOKUP(A115,'Données projet'!$A$217:$I$237,4,0)),0,VLOOKUP(A115,'Données projet'!$A$217:$I$237,4,0))</f>
        <v>0</v>
      </c>
      <c r="FN115" s="155">
        <f>IF(ISNA(VLOOKUP(A115,'Données projet'!$A$217:$I$237,5,0)),0%,VLOOKUP(A115,'Données projet'!$A$217:$I$237,5,0)*VLOOKUP('Données projet'!$B$16,'Paramètres'!$A$1:$I$88,7,0))</f>
        <v>0</v>
      </c>
      <c r="FO115" s="155">
        <f>IF(ISNA(VLOOKUP(A115,'Données projet'!$A$217:$I$237,6,0)),0%,VLOOKUP(A115,'Données projet'!$A$217:$I$237,6,0)*VLOOKUP('Données projet'!$B$16,'Paramètres'!$A$1:$I$88,7,0))</f>
        <v>0</v>
      </c>
      <c r="FP115" s="155">
        <f>IF(ISNA(VLOOKUP(A115,'Données projet'!$A$217:$I$237,7,0)),0%,VLOOKUP(A115,'Données projet'!$A$217:$I$237,7,0))</f>
        <v>0</v>
      </c>
      <c r="FQ115" s="162" t="str">
        <f>EXP(-LN(2)/35)*FQ114+(1-EXP(-LN(2)/35))/(LN(2)/35)*FM115*FN115*VLOOKUP('Données projet'!$B$16,'Paramètres'!$A$1:$I$88,3,0)*0.475*44/12</f>
        <v>#N/A</v>
      </c>
      <c r="FR115" s="162" t="str">
        <f>EXP(-LN(2)/25)*FR114+(1-EXP(-LN(2)/25))/(LN(2)/25)*Calculateur!FM115*Calculateur!FO115*VLOOKUP('Données projet'!$B$16,'Paramètres'!$A$1:$I$88,3,0)*0.475*44/12</f>
        <v>#N/A</v>
      </c>
      <c r="FS115" s="162" t="str">
        <f>EXP(-LN(2)/2)*FS114+(1-EXP(-LN(2)/2))/(LN(2)/2)*FM115*FP115*VLOOKUP('Données projet'!$B$16,'Paramètres'!$A$1:$I$88,3,0)*0.475*44/12</f>
        <v>#N/A</v>
      </c>
      <c r="FT115" s="163" t="str">
        <f t="shared" si="25"/>
        <v>#N/A</v>
      </c>
      <c r="FU115" s="159">
        <f>('Scénario référence'!$F$8+'Scénario référence'!$F$9+'Scénario référence'!$B$17+'Scénario référence'!$B$9+'Scénario référence'!$B$10)*70+IF((45+25*(1-EXP(-0.0175*A115)))&lt;70,'Scénario référence'!$B$16*(45+25*(1-EXP(-0.0175*A115))),70*'Scénario référence'!$B$16)+IF((32+38*(1-EXP(-0.0175*A115)))&lt;70,'Scénario référence'!$B$18*(32+38*(1-EXP(-0.0175*A115))),70*'Scénario référence'!$B$18)</f>
        <v>70</v>
      </c>
      <c r="FV115" s="151">
        <f>IF(A115&gt;30,10,('Scénario référence'!$B$16+'Scénario référence'!$B$17+'Scénario référence'!$B$18+'Scénario référence'!$B$9+'Scénario référence'!$B$10)*A115*10/30+('Scénario référence'!$F$8+'Scénario référence'!$F$9)*10)</f>
        <v>10</v>
      </c>
      <c r="FW115" s="151" t="str">
        <f>VLOOKUP(A115,'Données projet'!$A$243:$I$263,2,0)</f>
        <v>#N/A</v>
      </c>
      <c r="FX115" s="151" t="str">
        <f>VLOOKUP(A115,'Données projet'!$A$243:$I$263,9,0)</f>
        <v>#N/A</v>
      </c>
      <c r="FY115" s="151" t="str">
        <f t="array" ref="FY115">INDEX(FX:FX,MIN(IF(ISNUMBER(FX115:FX311),ROW(FX115:FX311),"")))</f>
        <v/>
      </c>
      <c r="FZ115" s="151">
        <f>IF('Données projet'!$A$244&gt;35,FZ114+FY115-GH114,IF(A115&lt;'Données projet'!$A$244,$FW$205^A115,IF(A115='Données projet'!$A$244,'Données projet'!$B$244,FZ114+FY115-GH114)))</f>
        <v>0</v>
      </c>
      <c r="GA115" s="158" t="str">
        <f>FZ115*VLOOKUP('Données projet'!$B$17,'Paramètres'!$A$1:$I$88,3,0)*VLOOKUP('Données projet'!$B$17,'Paramètres'!$A$1:$I$88,5,0)</f>
        <v>#N/A</v>
      </c>
      <c r="GB115" s="150" t="str">
        <f t="shared" si="50"/>
        <v>#N/A</v>
      </c>
      <c r="GC115" s="161" t="str">
        <f t="shared" si="26"/>
        <v>#N/A</v>
      </c>
      <c r="GD115" s="153" t="str">
        <f t="shared" si="27"/>
        <v>#N/A</v>
      </c>
      <c r="GE115" s="153" t="str">
        <f>AVERAGE(OFFSET($GD$3,0,0,'Données projet'!$E$17+1,1))-AVERAGE(OFFSET($H$3,0,0,'Données projet'!$E$17+1,1))</f>
        <v>#N/A</v>
      </c>
      <c r="GF115" s="153" t="str">
        <f t="shared" si="51"/>
        <v>#N/A</v>
      </c>
      <c r="GG115" s="154">
        <f>IF(ISNA(VLOOKUP(A115,'Données projet'!$A$243:$I$263,3,0)),0,VLOOKUP(A115,'Données projet'!$A$243:$I$263,3,0))</f>
        <v>0</v>
      </c>
      <c r="GH115" s="154">
        <f>IF(ISNA(VLOOKUP(A115,'Données projet'!$A$243:$I$263,4,0)),0,VLOOKUP(A115,'Données projet'!$A$243:$I$263,4,0))</f>
        <v>0</v>
      </c>
      <c r="GI115" s="155">
        <f>IF(ISNA(VLOOKUP(A115,'Données projet'!$A$243:$I$263,5,0)),0%,VLOOKUP(A115,'Données projet'!$A$243:$I$263,5,0)*VLOOKUP('Données projet'!$B$17,'Paramètres'!$A$1:$I$88,7,0))</f>
        <v>0</v>
      </c>
      <c r="GJ115" s="155">
        <f>IF(ISNA(VLOOKUP(A115,'Données projet'!$A$243:$I$263,6,0)),0%,VLOOKUP(A115,'Données projet'!$A$243:$I$263,6,0)*VLOOKUP('Données projet'!$B$17,'Paramètres'!$A$1:$I$88,7,0))</f>
        <v>0</v>
      </c>
      <c r="GK115" s="155">
        <f>IF(ISNA(VLOOKUP(A115,'Données projet'!$A$243:$I$263,7,0)),0%,VLOOKUP(A115,'Données projet'!$A$243:$I$263,7,0))</f>
        <v>0</v>
      </c>
      <c r="GL115" s="162" t="str">
        <f>EXP(-LN(2)/35)*GL114+(1-EXP(-LN(2)/35))/(LN(2)/35)*GH115*GI115*VLOOKUP('Données projet'!$B$17,'Paramètres'!$A$1:$I$88,3,0)*0.475*44/12</f>
        <v>#N/A</v>
      </c>
      <c r="GM115" s="162" t="str">
        <f>EXP(-LN(2)/25)*GM114+(1-EXP(-LN(2)/25))/(LN(2)/25)*Calculateur!GH115*Calculateur!GJ115*VLOOKUP('Données projet'!$B$17,'Paramètres'!$A$1:$I$88,3,0)*0.475*44/12</f>
        <v>#N/A</v>
      </c>
      <c r="GN115" s="162" t="str">
        <f>EXP(-LN(2)/2)*GN114+(1-EXP(-LN(2)/2))/(LN(2)/2)*GH115*GK115*VLOOKUP('Données projet'!$B$17,'Paramètres'!$A$1:$I$88,3,0)*0.475*44/12</f>
        <v>#N/A</v>
      </c>
      <c r="GO115" s="162" t="str">
        <f t="shared" si="28"/>
        <v>#N/A</v>
      </c>
      <c r="GP115" s="159">
        <f>('Scénario référence'!$F$8+'Scénario référence'!$F$9+'Scénario référence'!$B$17+'Scénario référence'!$B$9+'Scénario référence'!$B$10)*70+IF((45+25*(1-EXP(-0.0175*A115)))&lt;70,'Scénario référence'!$B$16*(45+25*(1-EXP(-0.0175*A115))),70*'Scénario référence'!$B$16)+IF((32+38*(1-EXP(-0.0175*A115)))&lt;70,'Scénario référence'!$B$18*(32+38*(1-EXP(-0.0175*A115))),70*'Scénario référence'!$B$18)</f>
        <v>70</v>
      </c>
      <c r="GQ115" s="151">
        <f>IF(A115&gt;30,10,('Scénario référence'!$B$16+'Scénario référence'!$B$17+'Scénario référence'!$B$18+'Scénario référence'!$B$9+'Scénario référence'!$B$10)*A115*10/30+('Scénario référence'!$F$8+'Scénario référence'!$F$9)*10)</f>
        <v>10</v>
      </c>
      <c r="GR115" s="151" t="str">
        <f>VLOOKUP(A115,'Données projet'!$A$269:$I$289,2,0)</f>
        <v>#N/A</v>
      </c>
      <c r="GS115" s="151" t="str">
        <f>VLOOKUP(A115,'Données projet'!$A$269:$I$289,9,0)</f>
        <v>#N/A</v>
      </c>
      <c r="GT115" s="151" t="str">
        <f t="array" ref="GT115">INDEX(GS:GS,MIN(IF(ISNUMBER(GS115:GS311),ROW(GS115:GS311),"")))</f>
        <v/>
      </c>
      <c r="GU115" s="151">
        <f>IF('Données projet'!$A$270&gt;35,GU114+GT115-HC114,IF(A115&lt;'Données projet'!$A$270,$GR$205^A115,IF(A115='Données projet'!$A$270,'Données projet'!$B$270,GU114+GT115-HC114)))</f>
        <v>0</v>
      </c>
      <c r="GV115" s="158" t="str">
        <f>GU115*VLOOKUP('Données projet'!$B$18,'Paramètres'!$A$1:$I$88,3,0)*VLOOKUP('Données projet'!$B$18,'Paramètres'!$A$1:$I$88,5,0)</f>
        <v>#N/A</v>
      </c>
      <c r="GW115" s="150" t="str">
        <f t="shared" si="52"/>
        <v>#N/A</v>
      </c>
      <c r="GX115" s="161" t="str">
        <f t="shared" si="29"/>
        <v>#N/A</v>
      </c>
      <c r="GY115" s="153" t="str">
        <f t="shared" si="30"/>
        <v>#N/A</v>
      </c>
      <c r="GZ115" s="153" t="str">
        <f>AVERAGE(OFFSET($GY$3,0,0,'Données projet'!$E$18+1,1))-AVERAGE(OFFSET($H$3,0,0,'Données projet'!$E$18+1,1))</f>
        <v>#N/A</v>
      </c>
      <c r="HA115" s="153" t="str">
        <f t="shared" si="53"/>
        <v>#N/A</v>
      </c>
      <c r="HB115" s="154">
        <f>IF(ISNA(VLOOKUP(A115,'Données projet'!$A$269:$I$289,3,0)),0,VLOOKUP(A115,'Données projet'!$A$269:$I$289,3,0))</f>
        <v>0</v>
      </c>
      <c r="HC115" s="154">
        <f>IF(ISNA(VLOOKUP(A115,'Données projet'!$A$269:$I$289,4,0)),0,VLOOKUP(A115,'Données projet'!$A$269:$I$289,4,0))</f>
        <v>0</v>
      </c>
      <c r="HD115" s="155">
        <f>IF(ISNA(VLOOKUP(A115,'Données projet'!$A$269:$I$289,5,0)),0%,VLOOKUP(A115,'Données projet'!$A$269:$I$289,5,0)*VLOOKUP('Données projet'!$B$18,'Paramètres'!$A$1:$I$88,7,0))</f>
        <v>0</v>
      </c>
      <c r="HE115" s="155">
        <f>IF(ISNA(VLOOKUP(A115,'Données projet'!$A$269:$I$289,6,0)),0%,VLOOKUP(A115,'Données projet'!$A$269:$I$289,6,0)*VLOOKUP('Données projet'!$B$18,'Paramètres'!$A$1:$I$88,7,0))</f>
        <v>0</v>
      </c>
      <c r="HF115" s="155">
        <f>IF(ISNA(VLOOKUP(A115,'Données projet'!$A$269:$I$289,7,0)),0%,VLOOKUP(A115,'Données projet'!$A$269:$I$289,7,0))</f>
        <v>0</v>
      </c>
      <c r="HG115" s="162" t="str">
        <f>EXP(-LN(2)/35)*HG114+(1-EXP(-LN(2)/35))/(LN(2)/35)*HC115*HD115*VLOOKUP('Données projet'!$B$18,'Paramètres'!$A$1:$I$88,3,0)*0.475*44/12</f>
        <v>#N/A</v>
      </c>
      <c r="HH115" s="162" t="str">
        <f>EXP(-LN(2)/25)*HH114+(1-EXP(-LN(2)/25))/(LN(2)/25)*Calculateur!HC115*Calculateur!HE115*VLOOKUP('Données projet'!$B$18,'Paramètres'!$A$1:$I$88,3,0)*0.475*44/12</f>
        <v>#N/A</v>
      </c>
      <c r="HI115" s="162" t="str">
        <f>EXP(-LN(2)/2)*HI114+(1-EXP(-LN(2)/2))/(LN(2)/2)*HC115*HF115*VLOOKUP('Données projet'!$B$18,'Paramètres'!$A$1:$I$88,3,0)*0.475*44/12</f>
        <v>#N/A</v>
      </c>
      <c r="HJ115" s="163" t="str">
        <f t="shared" si="31"/>
        <v>#N/A</v>
      </c>
    </row>
    <row r="116" ht="15.75" customHeight="1">
      <c r="A116" s="145">
        <f t="shared" si="32"/>
        <v>113</v>
      </c>
      <c r="B116" s="146">
        <f>'Scénario référence'!$B$16*5+'Scénario référence'!$B$17*0+'Scénario référence'!$B$18*5</f>
        <v>0</v>
      </c>
      <c r="C116" s="160">
        <f>Calculateur!C115+'Scénario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16" s="147">
        <f t="shared" si="33"/>
        <v>0</v>
      </c>
      <c r="E116" s="147">
        <f>'Scénario référence'!$B$16*45+('Scénario référence'!$B$17+'Scénario référence'!$F$8+'Scénario référence'!$F$9+'Scénario référence'!$B$10+'Scénario référence'!$B$9)*70+'Scénario référence'!$B$18*32</f>
        <v>70</v>
      </c>
      <c r="F116" s="147">
        <f>IF(OR('Scénario référence'!$F$8&gt;0,'Scénario référence'!$F$9&gt;0),('Scénario référence'!$F$8+'Scénario référence'!$F$9)*10,0)</f>
        <v>0</v>
      </c>
      <c r="G116" s="147">
        <f>'Scénario référence'!$B$8*B116*44/12+'Scénario référence'!$B$9*(C116+D116)/0.475*44/12+'Scénario référence'!$B$10*(C116+D116)/0.475*44/12+'Scénario référence'!$F$8*(C116+D116)/0.475*44/12+'Scénario référence'!$F$9*(C116+D116)/0.475*44/12</f>
        <v>0</v>
      </c>
      <c r="H116" s="148">
        <f t="shared" si="1"/>
        <v>256.6666667</v>
      </c>
      <c r="I116" s="149">
        <f>('Scénario référence'!$F$8+'Scénario référence'!$F$9+'Scénario référence'!$B$17+'Scénario référence'!$B$9+'Scénario référence'!$B$10)*70+IF((45+25*(1-EXP(-0.0175*A116)))&lt;70,'Scénario référence'!$B$16*(45+25*(1-EXP(-0.0175*A116))),70*'Scénario référence'!$B$16)+IF((32+38*(1-EXP(-0.0175*A116)))&lt;70,'Scénario référence'!$B$18*(32+38*(1-EXP(-0.0175*A116))),70*'Scénario référence'!$B$18)</f>
        <v>70</v>
      </c>
      <c r="J116" s="150">
        <f>IF(A116&gt;30,10,('Scénario référence'!$B$16+'Scénario référence'!$B$17+'Scénario référence'!$B$18+'Scénario référence'!$B$9+'Scénario référence'!$B$10)*A116*10/30+('Scénario référence'!$F$8+'Scénario référence'!$F$9)*10)</f>
        <v>10</v>
      </c>
      <c r="K116" s="151" t="str">
        <f>VLOOKUP(A116,'Données projet'!$A$35:$I$55,2,0)</f>
        <v>#N/A</v>
      </c>
      <c r="L116" s="151" t="str">
        <f>VLOOKUP(A116,'Données projet'!$A$35:$I$55,9,0)</f>
        <v>#N/A</v>
      </c>
      <c r="M116" s="150">
        <f t="array" ref="M116">INDEX(L:L,MIN(IF(ISNUMBER(L116:L312),ROW(L116:L312),"")))</f>
        <v>4.8</v>
      </c>
      <c r="N116" s="150">
        <f>IF('Données projet'!$A$36&gt;35,N115+M116-V115,IF(A116&lt;'Données projet'!$A$36,$K$205^A116,IF(A116='Données projet'!$A$36,'Données projet'!$B$36,N115+M116-V115)))</f>
        <v>321.4</v>
      </c>
      <c r="O116" s="150">
        <f>N116*VLOOKUP('Données projet'!$B$9,'Paramètres'!$A$1:$I$88,3,0)*VLOOKUP('Données projet'!$B$9,'Paramètres'!$A$1:$I$88,5,0)</f>
        <v>290.80272</v>
      </c>
      <c r="P116" s="150">
        <f t="shared" si="34"/>
        <v>69.24488016</v>
      </c>
      <c r="Q116" s="161">
        <f t="shared" si="2"/>
        <v>627.0829036</v>
      </c>
      <c r="R116" s="153">
        <f t="shared" si="3"/>
        <v>920.4162369</v>
      </c>
      <c r="S116" s="153">
        <f>AVERAGE(OFFSET($R$3,0,0,'Données projet'!$E$9+1,1))-AVERAGE(OFFSET($H$3,0,0,'Données projet'!$E$9+1,1))</f>
        <v>439.1985427</v>
      </c>
      <c r="T116" s="153">
        <f t="shared" si="35"/>
        <v>278.2174123</v>
      </c>
      <c r="U116" s="154">
        <f>IF(ISNA(VLOOKUP(A116,'Données projet'!$A$35:$I$55,3,0)),0,VLOOKUP(A116,'Données projet'!$A$35:$I$55,3,0))</f>
        <v>0</v>
      </c>
      <c r="V116" s="154">
        <f>IF(ISNA(VLOOKUP(A116,'Données projet'!$A$35:$I$55,4,0)),0,VLOOKUP(A116,'Données projet'!$A$35:$I$55,4,0))</f>
        <v>0</v>
      </c>
      <c r="W116" s="155">
        <f>IF(ISNA(VLOOKUP(A116,'Données projet'!$A$35:$I$55,5,0)),0%,VLOOKUP(A116,'Données projet'!$A$35:$I$55,5,0)*VLOOKUP('Données projet'!$B$9,'Paramètres'!$A$1:$I$88,7,0))</f>
        <v>0</v>
      </c>
      <c r="X116" s="155">
        <f>IF(ISNA(VLOOKUP(A116,'Données projet'!$A$35:$I$55,6,0)),0%,VLOOKUP(A116,'Données projet'!$A$35:$I$55,6,0)*VLOOKUP('Données projet'!$B$9,'Paramètres'!$A$1:$I$88,7,0))</f>
        <v>0</v>
      </c>
      <c r="Y116" s="155">
        <f>IF(ISNA(VLOOKUP(A116,'Données projet'!$A$35:$I$55,7,0)),0%,VLOOKUP(A116,'Données projet'!$A$35:$I$55,7,0))</f>
        <v>0</v>
      </c>
      <c r="Z116" s="162">
        <f>EXP(-LN(2)/35)*Z115+(1-EXP(-LN(2)/35))/(LN(2)/35)*V116*W116*VLOOKUP('Données projet'!$B$9,'Paramètres'!$A$1:$I$88,3,0)*0.475*44/12</f>
        <v>0</v>
      </c>
      <c r="AA116" s="162">
        <f>EXP(-LN(2)/25)*AA115+(1-EXP(-LN(2)/25))/(LN(2)/25)*Calculateur!V116*Calculateur!X116*VLOOKUP('Données projet'!$B$9,'Paramètres'!$A$1:$I$88,3,0)*0.475*44/12</f>
        <v>0.4493582229</v>
      </c>
      <c r="AB116" s="162">
        <f>EXP(-LN(2)/2)*AB115+(1-EXP(-LN(2)/2))/(LN(2)/2)*V116*Y116*VLOOKUP('Données projet'!$B$9,'Paramètres'!$A$1:$I$88,3,0)*0.475*44/12</f>
        <v>0</v>
      </c>
      <c r="AC116" s="163">
        <f t="shared" si="4"/>
        <v>0.4493582229</v>
      </c>
      <c r="AD116" s="150">
        <f>('Scénario référence'!$F$8+'Scénario référence'!$F$9+'Scénario référence'!$B$17+'Scénario référence'!$B$9+'Scénario référence'!$B$10)*70+IF((45+25*(1-EXP(-0.0175*A116)))&lt;70,'Scénario référence'!$B$16*(45+25*(1-EXP(-0.0175*A116))),70*'Scénario référence'!$B$16)+IF((32+38*(1-EXP(-0.0175*A116)))&lt;70,'Scénario référence'!$B$18*(32+38*(1-EXP(-0.0175*A116))),70*'Scénario référence'!$B$18)</f>
        <v>70</v>
      </c>
      <c r="AE116" s="150">
        <f>IF(A116&gt;30,10,('Scénario référence'!$B$16+'Scénario référence'!$B$17+'Scénario référence'!$B$18+'Scénario référence'!$B$9+'Scénario référence'!$B$10)*A116*10/30+('Scénario référence'!$F$8+'Scénario référence'!$F$9)*10)</f>
        <v>10</v>
      </c>
      <c r="AF116" s="151" t="str">
        <f>VLOOKUP(A116,'Données projet'!$A$61:$I$81,2,0)</f>
        <v>#N/A</v>
      </c>
      <c r="AG116" s="151" t="str">
        <f>VLOOKUP(A116,'Données projet'!$A$61:$I$81,9,0)</f>
        <v>#N/A</v>
      </c>
      <c r="AH116" s="151" t="str">
        <f t="array" ref="AH116">INDEX(AG:AG,MIN(IF(ISNUMBER(AG116:AG312),ROW(AG116:AG312),"")))</f>
        <v/>
      </c>
      <c r="AI116" s="150">
        <f>IF('Données projet'!$A$62&gt;35,AI115+AH116-AQ115,IF(A116&lt;'Données projet'!$A$62,$AF$205^A116,IF(A116='Données projet'!$A$62,'Données projet'!$B$62,AI115+AH116-AQ115)))</f>
        <v>369</v>
      </c>
      <c r="AJ116" s="150">
        <f>AI116*VLOOKUP('Données projet'!$B$10,'Paramètres'!$A$1:$I$88,3,0)*VLOOKUP('Données projet'!$B$10,'Paramètres'!$A$1:$I$88,5,0)</f>
        <v>293.5764</v>
      </c>
      <c r="AK116" s="150">
        <f t="shared" si="36"/>
        <v>69.82813851</v>
      </c>
      <c r="AL116" s="161">
        <f t="shared" si="5"/>
        <v>632.9295712</v>
      </c>
      <c r="AM116" s="153">
        <f t="shared" si="6"/>
        <v>926.2629046</v>
      </c>
      <c r="AN116" s="153">
        <f>AVERAGE(OFFSET($AM$3,0,0,'Données projet'!$E$10+1,1))-AVERAGE(OFFSET($H$3,0,0,'Données projet'!$E$10+1,1))</f>
        <v>405.6113614</v>
      </c>
      <c r="AO116" s="153">
        <f t="shared" si="37"/>
        <v>393.0787141</v>
      </c>
      <c r="AP116" s="154">
        <f>IF(ISNA(VLOOKUP(A116,'Données projet'!$A$61:$I$81,3,0)),0,VLOOKUP(A116,'Données projet'!$A$61:$I$81,3,0))</f>
        <v>0</v>
      </c>
      <c r="AQ116" s="154">
        <f>IF(ISNA(VLOOKUP(A116,'Données projet'!$A$61:$I$81,4,0)),0,VLOOKUP(A116,'Données projet'!$A$61:$I$81,4,0))</f>
        <v>0</v>
      </c>
      <c r="AR116" s="155">
        <f>IF(ISNA(VLOOKUP(A116,'Données projet'!$A$61:$I$81,5,0)),0%,VLOOKUP(A116,'Données projet'!$A$61:$I$81,5,0)*VLOOKUP('Données projet'!$B$10,'Paramètres'!$A$1:$I$88,7,0))</f>
        <v>0</v>
      </c>
      <c r="AS116" s="155">
        <f>IF(ISNA(VLOOKUP(A116,'Données projet'!$A$61:$I$81,6,0)),0%,VLOOKUP(A116,'Données projet'!$A$61:$I$81,6,0)*VLOOKUP('Données projet'!$B$10,'Paramètres'!$A$1:$I$88,7,0))</f>
        <v>0</v>
      </c>
      <c r="AT116" s="155">
        <f>IF(ISNA(VLOOKUP(A116,'Données projet'!$A$61:$I$81,7,0)),0%,VLOOKUP(A116,'Données projet'!$A$61:$I$81,7,0))</f>
        <v>0</v>
      </c>
      <c r="AU116" s="162">
        <f>EXP(-LN(2)/35)*AU115+(1-EXP(-LN(2)/35))/(LN(2)/35)*AQ116*AR116*VLOOKUP('Données projet'!$B$10,'Paramètres'!$A$1:$I$88,3,0)*0.475*44/12</f>
        <v>0</v>
      </c>
      <c r="AV116" s="162">
        <f>EXP(-LN(2)/25)*AV115+(1-EXP(-LN(2)/25))/(LN(2)/25)*Calculateur!AQ116*Calculateur!AS116*VLOOKUP('Données projet'!$B$10,'Paramètres'!$A$1:$I$88,3,0)*0.475*44/12</f>
        <v>1.826306049</v>
      </c>
      <c r="AW116" s="162">
        <f>EXP(-LN(2)/2)*AW115+(1-EXP(-LN(2)/2))/(LN(2)/2)*AQ116*AT116*VLOOKUP('Données projet'!$B$10,'Paramètres'!$A$1:$I$88,3,0)*0.475*44/12</f>
        <v>0</v>
      </c>
      <c r="AX116" s="162">
        <f t="shared" si="7"/>
        <v>1.826306049</v>
      </c>
      <c r="AY116" s="157">
        <f>('Scénario référence'!$F$8+'Scénario référence'!$F$9+'Scénario référence'!$B$17+'Scénario référence'!$B$9+'Scénario référence'!$B$10)*70+IF((45+25*(1-EXP(-0.0175*A116)))&lt;70,'Scénario référence'!$B$16*(45+25*(1-EXP(-0.0175*A116))),70*'Scénario référence'!$B$16)+IF((32+38*(1-EXP(-0.0175*A116)))&lt;70,'Scénario référence'!$B$18*(32+38*(1-EXP(-0.0175*A116))),70*'Scénario référence'!$B$18)</f>
        <v>70</v>
      </c>
      <c r="AZ116" s="151">
        <f>IF(A116&gt;30,10,('Scénario référence'!$B$16+'Scénario référence'!$B$17+'Scénario référence'!$B$18+'Scénario référence'!$B$9+'Scénario référence'!$B$10)*A116*10/30+('Scénario référence'!$F$8+'Scénario référence'!$F$9)*10)</f>
        <v>10</v>
      </c>
      <c r="BA116" s="151" t="str">
        <f>VLOOKUP(A116,'Données projet'!$A$87:$I$107,2,0)</f>
        <v>#N/A</v>
      </c>
      <c r="BB116" s="151" t="str">
        <f>VLOOKUP(A116,'Données projet'!$A$87:$I$107,9,0)</f>
        <v>#N/A</v>
      </c>
      <c r="BC116" s="151" t="str">
        <f t="array" ref="BC116">INDEX(BB:BB,MIN(IF(ISNUMBER(BB116:BB312),ROW(BB116:BB312),"")))</f>
        <v/>
      </c>
      <c r="BD116" s="150">
        <f>IF('Données projet'!$A$88&gt;35,BD115+BC116-BL115,IF(A116&lt;'Données projet'!$A$88,$BA$205^A116,IF(A116='Données projet'!$A$88,'Données projet'!$B$88,BD115+BC116-BL115)))</f>
        <v>0</v>
      </c>
      <c r="BE116" s="150">
        <f>BD116*VLOOKUP('Données projet'!$B$11,'Paramètres'!$A$1:$I$88,3,0)*VLOOKUP('Données projet'!$B$11,'Paramètres'!$A$1:$I$88,5,0)</f>
        <v>0</v>
      </c>
      <c r="BF116" s="150" t="str">
        <f t="shared" si="38"/>
        <v>#NUM!</v>
      </c>
      <c r="BG116" s="161" t="str">
        <f t="shared" si="8"/>
        <v>#NUM!</v>
      </c>
      <c r="BH116" s="153" t="str">
        <f t="shared" si="9"/>
        <v>#NUM!</v>
      </c>
      <c r="BI116" s="153">
        <f>AVERAGE(OFFSET($BH$3,0,0,'Données projet'!$E$11+1,1))-AVERAGE(OFFSET($H$3,0,0,'Données projet'!$E$11+1,1))</f>
        <v>0</v>
      </c>
      <c r="BJ116" s="153">
        <f t="shared" si="39"/>
        <v>0</v>
      </c>
      <c r="BK116" s="154">
        <f>IF(ISNA(VLOOKUP(A116,'Données projet'!$A$87:$I$107,3,0)),0,VLOOKUP(A116,'Données projet'!$A$87:$I$107,3,0))</f>
        <v>0</v>
      </c>
      <c r="BL116" s="154">
        <f>IF(ISNA(VLOOKUP(A116,'Données projet'!$A$87:$I$107,4,0)),0,VLOOKUP(A116,'Données projet'!$A$87:$I$107,4,0))</f>
        <v>0</v>
      </c>
      <c r="BM116" s="155">
        <f>IF(ISNA(VLOOKUP(A116,'Données projet'!$A$87:$I$107,5,0)),0%,VLOOKUP(A116,'Données projet'!$A$87:$I$107,5,0)*VLOOKUP('Données projet'!$B$11,'Paramètres'!$A$1:$I$88,7,0))</f>
        <v>0</v>
      </c>
      <c r="BN116" s="155">
        <f>IF(ISNA(VLOOKUP(A116,'Données projet'!$A$87:$I$107,6,0)),0%,VLOOKUP(A116,'Données projet'!$A$87:$I$107,6,0)*VLOOKUP('Données projet'!$B$11,'Paramètres'!$A$1:$I$88,7,0))</f>
        <v>0</v>
      </c>
      <c r="BO116" s="155">
        <f>IF(ISNA(VLOOKUP(A116,'Données projet'!$A$87:$I$107,7,0)),0%,VLOOKUP(A116,'Données projet'!$A$87:$I$107,7,0))</f>
        <v>0</v>
      </c>
      <c r="BP116" s="162">
        <f>EXP(-LN(2)/35)*BP115+(1-EXP(-LN(2)/35))/(LN(2)/35)*BL116*BM116*VLOOKUP('Données projet'!$B$11,'Paramètres'!$A$1:$I$88,3,0)*0.475*44/12</f>
        <v>0</v>
      </c>
      <c r="BQ116" s="162">
        <f>EXP(-LN(2)/25)*BQ115+(1-EXP(-LN(2)/25))/(LN(2)/25)*Calculateur!BL116*Calculateur!BN116*VLOOKUP('Données projet'!$B$11,'Paramètres'!$A$1:$I$88,3,0)*0.475*44/12</f>
        <v>0</v>
      </c>
      <c r="BR116" s="162">
        <f>EXP(-LN(2)/2)*BR115+(1-EXP(-LN(2)/2))/(LN(2)/2)*BL116*BO116*VLOOKUP('Données projet'!$B$11,'Paramètres'!$A$1:$I$88,3,0)*0.475*44/12</f>
        <v>0</v>
      </c>
      <c r="BS116" s="163">
        <f t="shared" si="10"/>
        <v>0</v>
      </c>
      <c r="BT116" s="159">
        <f>('Scénario référence'!$F$8+'Scénario référence'!$F$9+'Scénario référence'!$B$17+'Scénario référence'!$B$9+'Scénario référence'!$B$10)*70+IF((45+25*(1-EXP(-0.0175*A116)))&lt;70,'Scénario référence'!$B$16*(45+25*(1-EXP(-0.0175*A116))),70*'Scénario référence'!$B$16)+IF((32+38*(1-EXP(-0.0175*A116)))&lt;70,'Scénario référence'!$B$18*(32+38*(1-EXP(-0.0175*A116))),70*'Scénario référence'!$B$18)</f>
        <v>70</v>
      </c>
      <c r="BU116" s="151">
        <f>IF(A116&gt;30,10,('Scénario référence'!$B$16+'Scénario référence'!$B$17+'Scénario référence'!$B$18+'Scénario référence'!$B$9+'Scénario référence'!$B$10)*A116*10/30+('Scénario référence'!$F$8+'Scénario référence'!$F$9)*10)</f>
        <v>10</v>
      </c>
      <c r="BV116" s="151" t="str">
        <f>VLOOKUP(A116,'Données projet'!$A$113:$I$133,2,0)</f>
        <v>#N/A</v>
      </c>
      <c r="BW116" s="151" t="str">
        <f>VLOOKUP(A116,'Données projet'!$A$113:$I$133,9,0)</f>
        <v>#N/A</v>
      </c>
      <c r="BX116" s="151" t="str">
        <f t="array" ref="BX116">INDEX(BW:BW,MIN(IF(ISNUMBER(BW116:BW312),ROW(BW116:BW312),"")))</f>
        <v/>
      </c>
      <c r="BY116" s="150">
        <f>IF('Données projet'!$A$114&gt;35,BY115+BX116-CG115,IF(A116&lt;'Données projet'!$A$114,$BV$205^A116,IF(A116='Données projet'!$A$114,'Données projet'!$B$114,BY115+BX116-CG115)))</f>
        <v>0</v>
      </c>
      <c r="BZ116" s="150" t="str">
        <f>BY116*VLOOKUP('Données projet'!$B$12,'Paramètres'!$A$1:$I$88,3,0)*VLOOKUP('Données projet'!$B$12,'Paramètres'!$A$1:$I$88,5,0)</f>
        <v>#N/A</v>
      </c>
      <c r="CA116" s="150" t="str">
        <f t="shared" si="40"/>
        <v>#N/A</v>
      </c>
      <c r="CB116" s="161" t="str">
        <f t="shared" si="11"/>
        <v>#N/A</v>
      </c>
      <c r="CC116" s="153" t="str">
        <f t="shared" si="12"/>
        <v>#N/A</v>
      </c>
      <c r="CD116" s="153" t="str">
        <f>AVERAGE(OFFSET($CC$3,0,0,'Données projet'!$E$12+1,1))-AVERAGE(OFFSET($H$3,0,0,'Données projet'!$E$12+1,1))</f>
        <v>#N/A</v>
      </c>
      <c r="CE116" s="153" t="str">
        <f t="shared" si="41"/>
        <v>#N/A</v>
      </c>
      <c r="CF116" s="154">
        <f>IF(ISNA(VLOOKUP(A116,'Données projet'!$A$113:$I$133,3,0)),0,VLOOKUP(A116,'Données projet'!$A$113:$I$133,3,0))</f>
        <v>0</v>
      </c>
      <c r="CG116" s="154">
        <f>IF(ISNA(VLOOKUP(A116,'Données projet'!$A$113:$I$133,4,0)),0,VLOOKUP(A116,'Données projet'!$A$113:$I$133,4,0))</f>
        <v>0</v>
      </c>
      <c r="CH116" s="155">
        <f>IF(ISNA(VLOOKUP(A116,'Données projet'!$A$113:$I$133,5,0)),0%,VLOOKUP(A116,'Données projet'!$A$113:$I$133,5,0)*VLOOKUP('Données projet'!$B$12,'Paramètres'!$A$1:$I$88,7,0))</f>
        <v>0</v>
      </c>
      <c r="CI116" s="155">
        <f>IF(ISNA(VLOOKUP(A116,'Données projet'!$A$113:$I$133,6,0)),0%,VLOOKUP(A116,'Données projet'!$A$113:$I$133,6,0)*VLOOKUP('Données projet'!$B$12,'Paramètres'!$A$1:$I$88,7,0))</f>
        <v>0</v>
      </c>
      <c r="CJ116" s="155">
        <f>IF(ISNA(VLOOKUP(A116,'Données projet'!$A$113:$I$133,7,0)),0%,VLOOKUP(A116,'Données projet'!$A$113:$I$133,7,0))</f>
        <v>0</v>
      </c>
      <c r="CK116" s="162" t="str">
        <f>EXP(-LN(2)/35)*CK115+(1-EXP(-LN(2)/35))/(LN(2)/35)*CG116*CH116*VLOOKUP('Données projet'!$B$12,'Paramètres'!$A$1:$I$88,3,0)*0.475*44/12</f>
        <v>#N/A</v>
      </c>
      <c r="CL116" s="162" t="str">
        <f>EXP(-LN(2)/25)*CL115+(1-EXP(-LN(2)/25))/(LN(2)/25)*Calculateur!CG116*Calculateur!CI116*VLOOKUP('Données projet'!$B$12,'Paramètres'!$A$1:$I$88,3,0)*0.475*44/12</f>
        <v>#N/A</v>
      </c>
      <c r="CM116" s="162" t="str">
        <f>EXP(-LN(2)/2)*CM115+(1-EXP(-LN(2)/2))/(LN(2)/2)*CG116*CJ116*VLOOKUP('Données projet'!$B$12,'Paramètres'!$A$1:$I$88,3,0)*0.475*44/12</f>
        <v>#N/A</v>
      </c>
      <c r="CN116" s="163" t="str">
        <f t="shared" si="13"/>
        <v>#N/A</v>
      </c>
      <c r="CO116" s="159">
        <f>('Scénario référence'!$F$8+'Scénario référence'!$F$9+'Scénario référence'!$B$17+'Scénario référence'!$B$9+'Scénario référence'!$B$10)*70+IF((45+25*(1-EXP(-0.0175*A116)))&lt;70,'Scénario référence'!$B$16*(45+25*(1-EXP(-0.0175*A116))),70*'Scénario référence'!$B$16)+IF((32+38*(1-EXP(-0.0175*A116)))&lt;70,'Scénario référence'!$B$18*(32+38*(1-EXP(-0.0175*A116))),70*'Scénario référence'!$B$18)</f>
        <v>70</v>
      </c>
      <c r="CP116" s="151">
        <f>IF(A116&gt;30,10,('Scénario référence'!$B$16+'Scénario référence'!$B$17+'Scénario référence'!$B$18+'Scénario référence'!$B$9+'Scénario référence'!$B$10)*A116*10/30+('Scénario référence'!$F$8+'Scénario référence'!$F$9)*10)</f>
        <v>10</v>
      </c>
      <c r="CQ116" s="151" t="str">
        <f>VLOOKUP(A116,'Données projet'!$A$139:$I$159,2,0)</f>
        <v>#N/A</v>
      </c>
      <c r="CR116" s="151" t="str">
        <f>VLOOKUP(A116,'Données projet'!$A$139:$I$159,9,0)</f>
        <v>#N/A</v>
      </c>
      <c r="CS116" s="151" t="str">
        <f t="array" ref="CS116">INDEX(CR:CR,MIN(IF(ISNUMBER(CR116:CR312),ROW(CR116:CR312),"")))</f>
        <v/>
      </c>
      <c r="CT116" s="151">
        <f>IF('Données projet'!$A$140&gt;35,CT115+CS116-DB115,IF(A116&lt;'Données projet'!$A$140,$CQ$205^A116,IF(A116='Données projet'!$A$140,'Données projet'!$B$140,CT115+CS116-DB115)))</f>
        <v>0</v>
      </c>
      <c r="CU116" s="158" t="str">
        <f>CT116*VLOOKUP('Données projet'!$B$13,'Paramètres'!$A$1:$I$88,3,0)*VLOOKUP('Données projet'!$B$13,'Paramètres'!$A$1:$I$88,5,0)</f>
        <v>#N/A</v>
      </c>
      <c r="CV116" s="150" t="str">
        <f t="shared" si="42"/>
        <v>#N/A</v>
      </c>
      <c r="CW116" s="161" t="str">
        <f t="shared" si="14"/>
        <v>#N/A</v>
      </c>
      <c r="CX116" s="153" t="str">
        <f t="shared" si="15"/>
        <v>#N/A</v>
      </c>
      <c r="CY116" s="153" t="str">
        <f>AVERAGE(OFFSET($CX$3,0,0,'Données projet'!$E$13+1,1))-AVERAGE(OFFSET($H$3,0,0,'Données projet'!$E$13+1,1))</f>
        <v>#N/A</v>
      </c>
      <c r="CZ116" s="153" t="str">
        <f t="shared" si="43"/>
        <v>#N/A</v>
      </c>
      <c r="DA116" s="154">
        <f>IF(ISNA(VLOOKUP(A116,'Données projet'!$A$139:$I$159,3,0)),0,VLOOKUP(A116,'Données projet'!$A$139:$I$159,3,0))</f>
        <v>0</v>
      </c>
      <c r="DB116" s="154">
        <f>IF(ISNA(VLOOKUP(A116,'Données projet'!$A$139:$I$159,4,0)),0,VLOOKUP(A116,'Données projet'!$A$139:$I$159,4,0))</f>
        <v>0</v>
      </c>
      <c r="DC116" s="155">
        <f>IF(ISNA(VLOOKUP(A116,'Données projet'!$A$139:$I$159,5,0)),0%,VLOOKUP(A116,'Données projet'!$A$139:$I$159,5,0)*VLOOKUP('Données projet'!$B$13,'Paramètres'!$A$1:$I$88,7,0))</f>
        <v>0</v>
      </c>
      <c r="DD116" s="155">
        <f>IF(ISNA(VLOOKUP(A116,'Données projet'!$A$139:$I$159,6,0)),0%,VLOOKUP(A116,'Données projet'!$A$139:$I$159,6,0)*VLOOKUP('Données projet'!$B$13,'Paramètres'!$A$1:$I$88,7,0))</f>
        <v>0</v>
      </c>
      <c r="DE116" s="155">
        <f>IF(ISNA(VLOOKUP(A116,'Données projet'!$A$139:$I$159,7,0)),0%,VLOOKUP(A116,'Données projet'!$A$139:$I$159,7,0))</f>
        <v>0</v>
      </c>
      <c r="DF116" s="162" t="str">
        <f>EXP(-LN(2)/35)*DF115+(1-EXP(-LN(2)/35))/(LN(2)/35)*DB116*DC116*VLOOKUP('Données projet'!$B$13,'Paramètres'!$A$1:$I$88,3,0)*0.475*44/12</f>
        <v>#N/A</v>
      </c>
      <c r="DG116" s="162" t="str">
        <f>EXP(-LN(2)/25)*DG115+(1-EXP(-LN(2)/25))/(LN(2)/25)*Calculateur!DB116*Calculateur!DD116*VLOOKUP('Données projet'!$B$13,'Paramètres'!$A$1:$I$88,3,0)*0.475*44/12</f>
        <v>#N/A</v>
      </c>
      <c r="DH116" s="162" t="str">
        <f>EXP(-LN(2)/2)*DH115+(1-EXP(-LN(2)/2))/(LN(2)/2)*DB116*DE116*VLOOKUP('Données projet'!$B$13,'Paramètres'!$A$1:$I$88,3,0)*0.475*44/12</f>
        <v>#N/A</v>
      </c>
      <c r="DI116" s="163" t="str">
        <f t="shared" si="16"/>
        <v>#N/A</v>
      </c>
      <c r="DJ116" s="159">
        <f>('Scénario référence'!$F$8+'Scénario référence'!$F$9+'Scénario référence'!$B$17+'Scénario référence'!$B$9+'Scénario référence'!$B$10)*70+IF((45+25*(1-EXP(-0.0175*A116)))&lt;70,'Scénario référence'!$B$16*(45+25*(1-EXP(-0.0175*A116))),70*'Scénario référence'!$B$16)+IF((32+38*(1-EXP(-0.0175*A116)))&lt;70,'Scénario référence'!$B$18*(32+38*(1-EXP(-0.0175*A116))),70*'Scénario référence'!$B$18)</f>
        <v>70</v>
      </c>
      <c r="DK116" s="151">
        <f>IF(A116&gt;30,10,('Scénario référence'!$B$16+'Scénario référence'!$B$17+'Scénario référence'!$B$18+'Scénario référence'!$B$9+'Scénario référence'!$B$10)*A116*10/30+('Scénario référence'!$F$8+'Scénario référence'!$F$9)*10)</f>
        <v>10</v>
      </c>
      <c r="DL116" s="151" t="str">
        <f>VLOOKUP(A116,'Données projet'!$A$165:$I$185,2,0)</f>
        <v>#N/A</v>
      </c>
      <c r="DM116" s="151" t="str">
        <f>VLOOKUP(A116,'Données projet'!$A$165:$I$185,9,0)</f>
        <v>#N/A</v>
      </c>
      <c r="DN116" s="151" t="str">
        <f t="array" ref="DN116">INDEX(DM:DM,MIN(IF(ISNUMBER(DM116:DM312),ROW(DM116:DM312),"")))</f>
        <v/>
      </c>
      <c r="DO116" s="151">
        <f>IF('Données projet'!$A$166&gt;35,DO115+DN116-DW115,IF(A116&lt;'Données projet'!$A$166,$DL$205^A116,IF(A116='Données projet'!$A$166,'Données projet'!$B$166,DO115+DN116-DW115)))</f>
        <v>0</v>
      </c>
      <c r="DP116" s="158" t="str">
        <f>DO116*VLOOKUP('Données projet'!$B$14,'Paramètres'!$A$1:$I$88,3,0)*VLOOKUP('Données projet'!$B$14,'Paramètres'!$A$1:$I$88,5,0)</f>
        <v>#N/A</v>
      </c>
      <c r="DQ116" s="150" t="str">
        <f t="shared" si="44"/>
        <v>#N/A</v>
      </c>
      <c r="DR116" s="161" t="str">
        <f t="shared" si="17"/>
        <v>#N/A</v>
      </c>
      <c r="DS116" s="153" t="str">
        <f t="shared" si="18"/>
        <v>#N/A</v>
      </c>
      <c r="DT116" s="153" t="str">
        <f>AVERAGE(OFFSET($DS$3,0,0,'Données projet'!$E$14+1,1))-AVERAGE(OFFSET($H$3,0,0,'Données projet'!$E$14+1,1))</f>
        <v>#N/A</v>
      </c>
      <c r="DU116" s="153" t="str">
        <f t="shared" si="45"/>
        <v>#N/A</v>
      </c>
      <c r="DV116" s="154">
        <f>IF(ISNA(VLOOKUP(A116,'Données projet'!$A$165:$I$185,3,0)),0,VLOOKUP(A116,'Données projet'!$A$165:$I$185,3,0))</f>
        <v>0</v>
      </c>
      <c r="DW116" s="154">
        <f>IF(ISNA(VLOOKUP(A116,'Données projet'!$A$165:$I$185,4,0)),0,VLOOKUP(A116,'Données projet'!$A$165:$I$185,4,0))</f>
        <v>0</v>
      </c>
      <c r="DX116" s="155">
        <f>IF(ISNA(VLOOKUP(A116,'Données projet'!$A$165:$I$185,5,0)),0%,VLOOKUP(A116,'Données projet'!$A$165:$I$185,5,0)*VLOOKUP('Données projet'!$B$14,'Paramètres'!$A$1:$I$88,7,0))</f>
        <v>0</v>
      </c>
      <c r="DY116" s="155">
        <f>IF(ISNA(VLOOKUP(A116,'Données projet'!$A$165:$I$185,6,0)),0%,VLOOKUP(A116,'Données projet'!$A$165:$I$185,6,0)*VLOOKUP('Données projet'!$B$14,'Paramètres'!$A$1:$I$88,7,0))</f>
        <v>0</v>
      </c>
      <c r="DZ116" s="155">
        <f>IF(ISNA(VLOOKUP(A116,'Données projet'!$A$165:$I$185,7,0)),0%,VLOOKUP(A116,'Données projet'!$A$165:$I$185,7,0))</f>
        <v>0</v>
      </c>
      <c r="EA116" s="162" t="str">
        <f>EXP(-LN(2)/35)*EA115+(1-EXP(-LN(2)/35))/(LN(2)/35)*DW116*DX116*VLOOKUP('Données projet'!$B$14,'Paramètres'!$A$1:$I$88,3,0)*0.475*44/12</f>
        <v>#N/A</v>
      </c>
      <c r="EB116" s="162" t="str">
        <f>EXP(-LN(2)/25)*EB115+(1-EXP(-LN(2)/25))/(LN(2)/25)*Calculateur!DW116*Calculateur!DY116*VLOOKUP('Données projet'!$B$14,'Paramètres'!$A$1:$I$88,3,0)*0.475*44/12</f>
        <v>#N/A</v>
      </c>
      <c r="EC116" s="162" t="str">
        <f>EXP(-LN(2)/2)*EC115+(1-EXP(-LN(2)/2))/(LN(2)/2)*DW116*DZ116*VLOOKUP('Données projet'!$B$14,'Paramètres'!$A$1:$I$88,3,0)*0.475*44/12</f>
        <v>#N/A</v>
      </c>
      <c r="ED116" s="163" t="str">
        <f t="shared" si="19"/>
        <v>#N/A</v>
      </c>
      <c r="EE116" s="159">
        <f>('Scénario référence'!$F$8+'Scénario référence'!$F$9+'Scénario référence'!$B$17+'Scénario référence'!$B$9+'Scénario référence'!$B$10)*70+IF((45+25*(1-EXP(-0.0175*A116)))&lt;70,'Scénario référence'!$B$16*(45+25*(1-EXP(-0.0175*A116))),70*'Scénario référence'!$B$16)+IF((32+38*(1-EXP(-0.0175*A116)))&lt;70,'Scénario référence'!$B$18*(32+38*(1-EXP(-0.0175*A116))),70*'Scénario référence'!$B$18)</f>
        <v>70</v>
      </c>
      <c r="EF116" s="151">
        <f>IF(A116&gt;30,10,('Scénario référence'!$B$16+'Scénario référence'!$B$17+'Scénario référence'!$B$18+'Scénario référence'!$B$9+'Scénario référence'!$B$10)*A116*10/30+('Scénario référence'!$F$8+'Scénario référence'!$F$9)*10)</f>
        <v>10</v>
      </c>
      <c r="EG116" s="151" t="str">
        <f>VLOOKUP(A116,'Données projet'!$A$191:$I$211,2,0)</f>
        <v>#N/A</v>
      </c>
      <c r="EH116" s="151" t="str">
        <f>VLOOKUP(A116,'Données projet'!$A$191:$I$211,9,0)</f>
        <v>#N/A</v>
      </c>
      <c r="EI116" s="151" t="str">
        <f t="array" ref="EI116">INDEX(EH:EH,MIN(IF(ISNUMBER(EH116:EH312),ROW(EH116:EH312),"")))</f>
        <v/>
      </c>
      <c r="EJ116" s="151">
        <f>IF('Données projet'!$A$192&gt;35,EJ115+EI116-ER115,IF(A116&lt;'Données projet'!$A$192,$EG$205^A116,IF(A116='Données projet'!$A$192,'Données projet'!$B$192,EJ115+EI116-ER115)))</f>
        <v>0</v>
      </c>
      <c r="EK116" s="158" t="str">
        <f>EJ116*VLOOKUP('Données projet'!$B$15,'Paramètres'!$A$1:$I$88,3,0)*VLOOKUP('Données projet'!$B$15,'Paramètres'!$A$1:$I$88,5,0)</f>
        <v>#N/A</v>
      </c>
      <c r="EL116" s="150" t="str">
        <f t="shared" si="46"/>
        <v>#N/A</v>
      </c>
      <c r="EM116" s="161" t="str">
        <f t="shared" si="20"/>
        <v>#N/A</v>
      </c>
      <c r="EN116" s="153" t="str">
        <f t="shared" si="21"/>
        <v>#N/A</v>
      </c>
      <c r="EO116" s="153" t="str">
        <f>AVERAGE(OFFSET($EN$3,0,0,'Données projet'!$E$15+1,1))-AVERAGE(OFFSET($H$3,0,0,'Données projet'!$E$15+1,1))</f>
        <v>#N/A</v>
      </c>
      <c r="EP116" s="153" t="str">
        <f t="shared" si="47"/>
        <v>#N/A</v>
      </c>
      <c r="EQ116" s="154">
        <f>IF(ISNA(VLOOKUP(A116,'Données projet'!$A$191:$I$211,3,0)),0,VLOOKUP(A116,'Données projet'!$A$191:$I$211,3,0))</f>
        <v>0</v>
      </c>
      <c r="ER116" s="154">
        <f>IF(ISNA(VLOOKUP(A116,'Données projet'!$A$191:$I$211,4,0)),0,VLOOKUP(A116,'Données projet'!$A$191:$I$211,4,0))</f>
        <v>0</v>
      </c>
      <c r="ES116" s="155">
        <f>IF(ISNA(VLOOKUP(A116,'Données projet'!$A$191:$I$211,5,0)),0%,VLOOKUP(A116,'Données projet'!$A$191:$I$211,5,0)*VLOOKUP('Données projet'!$B$15,'Paramètres'!$A$1:$I$88,7,0))</f>
        <v>0</v>
      </c>
      <c r="ET116" s="155">
        <f>IF(ISNA(VLOOKUP(A116,'Données projet'!$A$191:$I$211,6,0)),0%,VLOOKUP(A116,'Données projet'!$A$191:$I$211,6,0)*VLOOKUP('Données projet'!$B$15,'Paramètres'!$A$1:$I$88,7,0))</f>
        <v>0</v>
      </c>
      <c r="EU116" s="155">
        <f>IF(ISNA(VLOOKUP(A116,'Données projet'!$A$191:$I$211,7,0)),0%,VLOOKUP(A116,'Données projet'!$A$191:$I$211,7,0))</f>
        <v>0</v>
      </c>
      <c r="EV116" s="162" t="str">
        <f>EXP(-LN(2)/35)*EV115+(1-EXP(-LN(2)/35))/(LN(2)/35)*ER116*ES116*VLOOKUP('Données projet'!$B$15,'Paramètres'!$A$1:$I$88,3,0)*0.475*44/12</f>
        <v>#N/A</v>
      </c>
      <c r="EW116" s="162" t="str">
        <f>EXP(-LN(2)/25)*EW115+(1-EXP(-LN(2)/25))/(LN(2)/25)*Calculateur!ER116*Calculateur!ET116*VLOOKUP('Données projet'!$B$15,'Paramètres'!$A$1:$I$88,3,0)*0.475*44/12</f>
        <v>#N/A</v>
      </c>
      <c r="EX116" s="162" t="str">
        <f>EXP(-LN(2)/2)*EX115+(1-EXP(-LN(2)/2))/(LN(2)/2)*ER116*EU116*VLOOKUP('Données projet'!$B$15,'Paramètres'!$A$1:$I$88,3,0)*0.475*44/12</f>
        <v>#N/A</v>
      </c>
      <c r="EY116" s="163" t="str">
        <f t="shared" si="22"/>
        <v>#N/A</v>
      </c>
      <c r="EZ116" s="159">
        <f>('Scénario référence'!$F$8+'Scénario référence'!$F$9+'Scénario référence'!$B$17+'Scénario référence'!$B$9+'Scénario référence'!$B$10)*70+IF((45+25*(1-EXP(-0.0175*A116)))&lt;70,'Scénario référence'!$B$16*(45+25*(1-EXP(-0.0175*A116))),70*'Scénario référence'!$B$16)+IF((32+38*(1-EXP(-0.0175*A116)))&lt;70,'Scénario référence'!$B$18*(32+38*(1-EXP(-0.0175*A116))),70*'Scénario référence'!$B$18)</f>
        <v>70</v>
      </c>
      <c r="FA116" s="151">
        <f>IF(A116&gt;30,10,('Scénario référence'!$B$16+'Scénario référence'!$B$17+'Scénario référence'!$B$18+'Scénario référence'!$B$9+'Scénario référence'!$B$10)*A116*10/30+('Scénario référence'!$F$8+'Scénario référence'!$F$9)*10)</f>
        <v>10</v>
      </c>
      <c r="FB116" s="151" t="str">
        <f>VLOOKUP(A116,'Données projet'!$A$217:$I$237,2,0)</f>
        <v>#N/A</v>
      </c>
      <c r="FC116" s="151" t="str">
        <f>VLOOKUP(A116,'Données projet'!$A$217:$I$237,9,0)</f>
        <v>#N/A</v>
      </c>
      <c r="FD116" s="151" t="str">
        <f t="array" ref="FD116">INDEX(FC:FC,MIN(IF(ISNUMBER(FC116:FC312),ROW(FC116:FC312),"")))</f>
        <v/>
      </c>
      <c r="FE116" s="151">
        <f>IF('Données projet'!$A$218&gt;35,FE115+FD116-FM115,IF(A116&lt;'Données projet'!$A$218,$FB$205^A116,IF(A116='Données projet'!$A$218,'Données projet'!$B$218,FE115+FD116-FM115)))</f>
        <v>0</v>
      </c>
      <c r="FF116" s="158" t="str">
        <f>FE116*VLOOKUP('Données projet'!$B$16,'Paramètres'!$A$1:$I$88,3,0)*VLOOKUP('Données projet'!$B$16,'Paramètres'!$A$1:$I$88,5,0)</f>
        <v>#N/A</v>
      </c>
      <c r="FG116" s="150" t="str">
        <f t="shared" si="48"/>
        <v>#N/A</v>
      </c>
      <c r="FH116" s="161" t="str">
        <f t="shared" si="23"/>
        <v>#N/A</v>
      </c>
      <c r="FI116" s="153" t="str">
        <f t="shared" si="24"/>
        <v>#N/A</v>
      </c>
      <c r="FJ116" s="153" t="str">
        <f>AVERAGE(OFFSET($FI$3,0,0,'Données projet'!$E$16+1,1))-AVERAGE(OFFSET($H$3,0,0,'Données projet'!$E$16+1,1))</f>
        <v>#N/A</v>
      </c>
      <c r="FK116" s="153" t="str">
        <f t="shared" si="49"/>
        <v>#N/A</v>
      </c>
      <c r="FL116" s="154">
        <f>IF(ISNA(VLOOKUP(A116,'Données projet'!$A$217:$I$237,3,0)),0,VLOOKUP(A116,'Données projet'!$A$217:$I$237,3,0))</f>
        <v>0</v>
      </c>
      <c r="FM116" s="154">
        <f>IF(ISNA(VLOOKUP(A116,'Données projet'!$A$217:$I$237,4,0)),0,VLOOKUP(A116,'Données projet'!$A$217:$I$237,4,0))</f>
        <v>0</v>
      </c>
      <c r="FN116" s="155">
        <f>IF(ISNA(VLOOKUP(A116,'Données projet'!$A$217:$I$237,5,0)),0%,VLOOKUP(A116,'Données projet'!$A$217:$I$237,5,0)*VLOOKUP('Données projet'!$B$16,'Paramètres'!$A$1:$I$88,7,0))</f>
        <v>0</v>
      </c>
      <c r="FO116" s="155">
        <f>IF(ISNA(VLOOKUP(A116,'Données projet'!$A$217:$I$237,6,0)),0%,VLOOKUP(A116,'Données projet'!$A$217:$I$237,6,0)*VLOOKUP('Données projet'!$B$16,'Paramètres'!$A$1:$I$88,7,0))</f>
        <v>0</v>
      </c>
      <c r="FP116" s="155">
        <f>IF(ISNA(VLOOKUP(A116,'Données projet'!$A$217:$I$237,7,0)),0%,VLOOKUP(A116,'Données projet'!$A$217:$I$237,7,0))</f>
        <v>0</v>
      </c>
      <c r="FQ116" s="162" t="str">
        <f>EXP(-LN(2)/35)*FQ115+(1-EXP(-LN(2)/35))/(LN(2)/35)*FM116*FN116*VLOOKUP('Données projet'!$B$16,'Paramètres'!$A$1:$I$88,3,0)*0.475*44/12</f>
        <v>#N/A</v>
      </c>
      <c r="FR116" s="162" t="str">
        <f>EXP(-LN(2)/25)*FR115+(1-EXP(-LN(2)/25))/(LN(2)/25)*Calculateur!FM116*Calculateur!FO116*VLOOKUP('Données projet'!$B$16,'Paramètres'!$A$1:$I$88,3,0)*0.475*44/12</f>
        <v>#N/A</v>
      </c>
      <c r="FS116" s="162" t="str">
        <f>EXP(-LN(2)/2)*FS115+(1-EXP(-LN(2)/2))/(LN(2)/2)*FM116*FP116*VLOOKUP('Données projet'!$B$16,'Paramètres'!$A$1:$I$88,3,0)*0.475*44/12</f>
        <v>#N/A</v>
      </c>
      <c r="FT116" s="163" t="str">
        <f t="shared" si="25"/>
        <v>#N/A</v>
      </c>
      <c r="FU116" s="159">
        <f>('Scénario référence'!$F$8+'Scénario référence'!$F$9+'Scénario référence'!$B$17+'Scénario référence'!$B$9+'Scénario référence'!$B$10)*70+IF((45+25*(1-EXP(-0.0175*A116)))&lt;70,'Scénario référence'!$B$16*(45+25*(1-EXP(-0.0175*A116))),70*'Scénario référence'!$B$16)+IF((32+38*(1-EXP(-0.0175*A116)))&lt;70,'Scénario référence'!$B$18*(32+38*(1-EXP(-0.0175*A116))),70*'Scénario référence'!$B$18)</f>
        <v>70</v>
      </c>
      <c r="FV116" s="151">
        <f>IF(A116&gt;30,10,('Scénario référence'!$B$16+'Scénario référence'!$B$17+'Scénario référence'!$B$18+'Scénario référence'!$B$9+'Scénario référence'!$B$10)*A116*10/30+('Scénario référence'!$F$8+'Scénario référence'!$F$9)*10)</f>
        <v>10</v>
      </c>
      <c r="FW116" s="151" t="str">
        <f>VLOOKUP(A116,'Données projet'!$A$243:$I$263,2,0)</f>
        <v>#N/A</v>
      </c>
      <c r="FX116" s="151" t="str">
        <f>VLOOKUP(A116,'Données projet'!$A$243:$I$263,9,0)</f>
        <v>#N/A</v>
      </c>
      <c r="FY116" s="151" t="str">
        <f t="array" ref="FY116">INDEX(FX:FX,MIN(IF(ISNUMBER(FX116:FX312),ROW(FX116:FX312),"")))</f>
        <v/>
      </c>
      <c r="FZ116" s="151">
        <f>IF('Données projet'!$A$244&gt;35,FZ115+FY116-GH115,IF(A116&lt;'Données projet'!$A$244,$FW$205^A116,IF(A116='Données projet'!$A$244,'Données projet'!$B$244,FZ115+FY116-GH115)))</f>
        <v>0</v>
      </c>
      <c r="GA116" s="158" t="str">
        <f>FZ116*VLOOKUP('Données projet'!$B$17,'Paramètres'!$A$1:$I$88,3,0)*VLOOKUP('Données projet'!$B$17,'Paramètres'!$A$1:$I$88,5,0)</f>
        <v>#N/A</v>
      </c>
      <c r="GB116" s="150" t="str">
        <f t="shared" si="50"/>
        <v>#N/A</v>
      </c>
      <c r="GC116" s="161" t="str">
        <f t="shared" si="26"/>
        <v>#N/A</v>
      </c>
      <c r="GD116" s="153" t="str">
        <f t="shared" si="27"/>
        <v>#N/A</v>
      </c>
      <c r="GE116" s="153" t="str">
        <f>AVERAGE(OFFSET($GD$3,0,0,'Données projet'!$E$17+1,1))-AVERAGE(OFFSET($H$3,0,0,'Données projet'!$E$17+1,1))</f>
        <v>#N/A</v>
      </c>
      <c r="GF116" s="153" t="str">
        <f t="shared" si="51"/>
        <v>#N/A</v>
      </c>
      <c r="GG116" s="154">
        <f>IF(ISNA(VLOOKUP(A116,'Données projet'!$A$243:$I$263,3,0)),0,VLOOKUP(A116,'Données projet'!$A$243:$I$263,3,0))</f>
        <v>0</v>
      </c>
      <c r="GH116" s="154">
        <f>IF(ISNA(VLOOKUP(A116,'Données projet'!$A$243:$I$263,4,0)),0,VLOOKUP(A116,'Données projet'!$A$243:$I$263,4,0))</f>
        <v>0</v>
      </c>
      <c r="GI116" s="155">
        <f>IF(ISNA(VLOOKUP(A116,'Données projet'!$A$243:$I$263,5,0)),0%,VLOOKUP(A116,'Données projet'!$A$243:$I$263,5,0)*VLOOKUP('Données projet'!$B$17,'Paramètres'!$A$1:$I$88,7,0))</f>
        <v>0</v>
      </c>
      <c r="GJ116" s="155">
        <f>IF(ISNA(VLOOKUP(A116,'Données projet'!$A$243:$I$263,6,0)),0%,VLOOKUP(A116,'Données projet'!$A$243:$I$263,6,0)*VLOOKUP('Données projet'!$B$17,'Paramètres'!$A$1:$I$88,7,0))</f>
        <v>0</v>
      </c>
      <c r="GK116" s="155">
        <f>IF(ISNA(VLOOKUP(A116,'Données projet'!$A$243:$I$263,7,0)),0%,VLOOKUP(A116,'Données projet'!$A$243:$I$263,7,0))</f>
        <v>0</v>
      </c>
      <c r="GL116" s="162" t="str">
        <f>EXP(-LN(2)/35)*GL115+(1-EXP(-LN(2)/35))/(LN(2)/35)*GH116*GI116*VLOOKUP('Données projet'!$B$17,'Paramètres'!$A$1:$I$88,3,0)*0.475*44/12</f>
        <v>#N/A</v>
      </c>
      <c r="GM116" s="162" t="str">
        <f>EXP(-LN(2)/25)*GM115+(1-EXP(-LN(2)/25))/(LN(2)/25)*Calculateur!GH116*Calculateur!GJ116*VLOOKUP('Données projet'!$B$17,'Paramètres'!$A$1:$I$88,3,0)*0.475*44/12</f>
        <v>#N/A</v>
      </c>
      <c r="GN116" s="162" t="str">
        <f>EXP(-LN(2)/2)*GN115+(1-EXP(-LN(2)/2))/(LN(2)/2)*GH116*GK116*VLOOKUP('Données projet'!$B$17,'Paramètres'!$A$1:$I$88,3,0)*0.475*44/12</f>
        <v>#N/A</v>
      </c>
      <c r="GO116" s="162" t="str">
        <f t="shared" si="28"/>
        <v>#N/A</v>
      </c>
      <c r="GP116" s="159">
        <f>('Scénario référence'!$F$8+'Scénario référence'!$F$9+'Scénario référence'!$B$17+'Scénario référence'!$B$9+'Scénario référence'!$B$10)*70+IF((45+25*(1-EXP(-0.0175*A116)))&lt;70,'Scénario référence'!$B$16*(45+25*(1-EXP(-0.0175*A116))),70*'Scénario référence'!$B$16)+IF((32+38*(1-EXP(-0.0175*A116)))&lt;70,'Scénario référence'!$B$18*(32+38*(1-EXP(-0.0175*A116))),70*'Scénario référence'!$B$18)</f>
        <v>70</v>
      </c>
      <c r="GQ116" s="151">
        <f>IF(A116&gt;30,10,('Scénario référence'!$B$16+'Scénario référence'!$B$17+'Scénario référence'!$B$18+'Scénario référence'!$B$9+'Scénario référence'!$B$10)*A116*10/30+('Scénario référence'!$F$8+'Scénario référence'!$F$9)*10)</f>
        <v>10</v>
      </c>
      <c r="GR116" s="151" t="str">
        <f>VLOOKUP(A116,'Données projet'!$A$269:$I$289,2,0)</f>
        <v>#N/A</v>
      </c>
      <c r="GS116" s="151" t="str">
        <f>VLOOKUP(A116,'Données projet'!$A$269:$I$289,9,0)</f>
        <v>#N/A</v>
      </c>
      <c r="GT116" s="151" t="str">
        <f t="array" ref="GT116">INDEX(GS:GS,MIN(IF(ISNUMBER(GS116:GS312),ROW(GS116:GS312),"")))</f>
        <v/>
      </c>
      <c r="GU116" s="151">
        <f>IF('Données projet'!$A$270&gt;35,GU115+GT116-HC115,IF(A116&lt;'Données projet'!$A$270,$GR$205^A116,IF(A116='Données projet'!$A$270,'Données projet'!$B$270,GU115+GT116-HC115)))</f>
        <v>0</v>
      </c>
      <c r="GV116" s="158" t="str">
        <f>GU116*VLOOKUP('Données projet'!$B$18,'Paramètres'!$A$1:$I$88,3,0)*VLOOKUP('Données projet'!$B$18,'Paramètres'!$A$1:$I$88,5,0)</f>
        <v>#N/A</v>
      </c>
      <c r="GW116" s="150" t="str">
        <f t="shared" si="52"/>
        <v>#N/A</v>
      </c>
      <c r="GX116" s="161" t="str">
        <f t="shared" si="29"/>
        <v>#N/A</v>
      </c>
      <c r="GY116" s="153" t="str">
        <f t="shared" si="30"/>
        <v>#N/A</v>
      </c>
      <c r="GZ116" s="153" t="str">
        <f>AVERAGE(OFFSET($GY$3,0,0,'Données projet'!$E$18+1,1))-AVERAGE(OFFSET($H$3,0,0,'Données projet'!$E$18+1,1))</f>
        <v>#N/A</v>
      </c>
      <c r="HA116" s="153" t="str">
        <f t="shared" si="53"/>
        <v>#N/A</v>
      </c>
      <c r="HB116" s="154">
        <f>IF(ISNA(VLOOKUP(A116,'Données projet'!$A$269:$I$289,3,0)),0,VLOOKUP(A116,'Données projet'!$A$269:$I$289,3,0))</f>
        <v>0</v>
      </c>
      <c r="HC116" s="154">
        <f>IF(ISNA(VLOOKUP(A116,'Données projet'!$A$269:$I$289,4,0)),0,VLOOKUP(A116,'Données projet'!$A$269:$I$289,4,0))</f>
        <v>0</v>
      </c>
      <c r="HD116" s="155">
        <f>IF(ISNA(VLOOKUP(A116,'Données projet'!$A$269:$I$289,5,0)),0%,VLOOKUP(A116,'Données projet'!$A$269:$I$289,5,0)*VLOOKUP('Données projet'!$B$18,'Paramètres'!$A$1:$I$88,7,0))</f>
        <v>0</v>
      </c>
      <c r="HE116" s="155">
        <f>IF(ISNA(VLOOKUP(A116,'Données projet'!$A$269:$I$289,6,0)),0%,VLOOKUP(A116,'Données projet'!$A$269:$I$289,6,0)*VLOOKUP('Données projet'!$B$18,'Paramètres'!$A$1:$I$88,7,0))</f>
        <v>0</v>
      </c>
      <c r="HF116" s="155">
        <f>IF(ISNA(VLOOKUP(A116,'Données projet'!$A$269:$I$289,7,0)),0%,VLOOKUP(A116,'Données projet'!$A$269:$I$289,7,0))</f>
        <v>0</v>
      </c>
      <c r="HG116" s="162" t="str">
        <f>EXP(-LN(2)/35)*HG115+(1-EXP(-LN(2)/35))/(LN(2)/35)*HC116*HD116*VLOOKUP('Données projet'!$B$18,'Paramètres'!$A$1:$I$88,3,0)*0.475*44/12</f>
        <v>#N/A</v>
      </c>
      <c r="HH116" s="162" t="str">
        <f>EXP(-LN(2)/25)*HH115+(1-EXP(-LN(2)/25))/(LN(2)/25)*Calculateur!HC116*Calculateur!HE116*VLOOKUP('Données projet'!$B$18,'Paramètres'!$A$1:$I$88,3,0)*0.475*44/12</f>
        <v>#N/A</v>
      </c>
      <c r="HI116" s="162" t="str">
        <f>EXP(-LN(2)/2)*HI115+(1-EXP(-LN(2)/2))/(LN(2)/2)*HC116*HF116*VLOOKUP('Données projet'!$B$18,'Paramètres'!$A$1:$I$88,3,0)*0.475*44/12</f>
        <v>#N/A</v>
      </c>
      <c r="HJ116" s="163" t="str">
        <f t="shared" si="31"/>
        <v>#N/A</v>
      </c>
    </row>
    <row r="117" ht="15.75" customHeight="1">
      <c r="A117" s="145">
        <f t="shared" si="32"/>
        <v>114</v>
      </c>
      <c r="B117" s="146">
        <f>'Scénario référence'!$B$16*5+'Scénario référence'!$B$17*0+'Scénario référence'!$B$18*5</f>
        <v>0</v>
      </c>
      <c r="C117" s="160">
        <f>Calculateur!C116+'Scénario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17" s="147">
        <f t="shared" si="33"/>
        <v>0</v>
      </c>
      <c r="E117" s="147">
        <f>'Scénario référence'!$B$16*45+('Scénario référence'!$B$17+'Scénario référence'!$F$8+'Scénario référence'!$F$9+'Scénario référence'!$B$10+'Scénario référence'!$B$9)*70+'Scénario référence'!$B$18*32</f>
        <v>70</v>
      </c>
      <c r="F117" s="147">
        <f>IF(OR('Scénario référence'!$F$8&gt;0,'Scénario référence'!$F$9&gt;0),('Scénario référence'!$F$8+'Scénario référence'!$F$9)*10,0)</f>
        <v>0</v>
      </c>
      <c r="G117" s="147">
        <f>'Scénario référence'!$B$8*B117*44/12+'Scénario référence'!$B$9*(C117+D117)/0.475*44/12+'Scénario référence'!$B$10*(C117+D117)/0.475*44/12+'Scénario référence'!$F$8*(C117+D117)/0.475*44/12+'Scénario référence'!$F$9*(C117+D117)/0.475*44/12</f>
        <v>0</v>
      </c>
      <c r="H117" s="148">
        <f t="shared" si="1"/>
        <v>256.6666667</v>
      </c>
      <c r="I117" s="149">
        <f>('Scénario référence'!$F$8+'Scénario référence'!$F$9+'Scénario référence'!$B$17+'Scénario référence'!$B$9+'Scénario référence'!$B$10)*70+IF((45+25*(1-EXP(-0.0175*A117)))&lt;70,'Scénario référence'!$B$16*(45+25*(1-EXP(-0.0175*A117))),70*'Scénario référence'!$B$16)+IF((32+38*(1-EXP(-0.0175*A117)))&lt;70,'Scénario référence'!$B$18*(32+38*(1-EXP(-0.0175*A117))),70*'Scénario référence'!$B$18)</f>
        <v>70</v>
      </c>
      <c r="J117" s="150">
        <f>IF(A117&gt;30,10,('Scénario référence'!$B$16+'Scénario référence'!$B$17+'Scénario référence'!$B$18+'Scénario référence'!$B$9+'Scénario référence'!$B$10)*A117*10/30+('Scénario référence'!$F$8+'Scénario référence'!$F$9)*10)</f>
        <v>10</v>
      </c>
      <c r="K117" s="151" t="str">
        <f>VLOOKUP(A117,'Données projet'!$A$35:$I$55,2,0)</f>
        <v>#N/A</v>
      </c>
      <c r="L117" s="151" t="str">
        <f>VLOOKUP(A117,'Données projet'!$A$35:$I$55,9,0)</f>
        <v>#N/A</v>
      </c>
      <c r="M117" s="150">
        <f t="array" ref="M117">INDEX(L:L,MIN(IF(ISNUMBER(L117:L313),ROW(L117:L313),"")))</f>
        <v>4.8</v>
      </c>
      <c r="N117" s="150">
        <f>IF('Données projet'!$A$36&gt;35,N116+M117-V116,IF(A117&lt;'Données projet'!$A$36,$K$205^A117,IF(A117='Données projet'!$A$36,'Données projet'!$B$36,N116+M117-V116)))</f>
        <v>326.2</v>
      </c>
      <c r="O117" s="150">
        <f>N117*VLOOKUP('Données projet'!$B$9,'Paramètres'!$A$1:$I$88,3,0)*VLOOKUP('Données projet'!$B$9,'Paramètres'!$A$1:$I$88,5,0)</f>
        <v>295.14576</v>
      </c>
      <c r="P117" s="150">
        <f t="shared" si="34"/>
        <v>70.15786417</v>
      </c>
      <c r="Q117" s="161">
        <f t="shared" si="2"/>
        <v>636.2371454</v>
      </c>
      <c r="R117" s="153">
        <f t="shared" si="3"/>
        <v>929.5704788</v>
      </c>
      <c r="S117" s="153">
        <f>AVERAGE(OFFSET($R$3,0,0,'Données projet'!$E$9+1,1))-AVERAGE(OFFSET($H$3,0,0,'Données projet'!$E$9+1,1))</f>
        <v>439.1985427</v>
      </c>
      <c r="T117" s="153">
        <f t="shared" si="35"/>
        <v>278.2174123</v>
      </c>
      <c r="U117" s="154">
        <f>IF(ISNA(VLOOKUP(A117,'Données projet'!$A$35:$I$55,3,0)),0,VLOOKUP(A117,'Données projet'!$A$35:$I$55,3,0))</f>
        <v>0</v>
      </c>
      <c r="V117" s="154">
        <f>IF(ISNA(VLOOKUP(A117,'Données projet'!$A$35:$I$55,4,0)),0,VLOOKUP(A117,'Données projet'!$A$35:$I$55,4,0))</f>
        <v>0</v>
      </c>
      <c r="W117" s="155">
        <f>IF(ISNA(VLOOKUP(A117,'Données projet'!$A$35:$I$55,5,0)),0%,VLOOKUP(A117,'Données projet'!$A$35:$I$55,5,0)*VLOOKUP('Données projet'!$B$9,'Paramètres'!$A$1:$I$88,7,0))</f>
        <v>0</v>
      </c>
      <c r="X117" s="155">
        <f>IF(ISNA(VLOOKUP(A117,'Données projet'!$A$35:$I$55,6,0)),0%,VLOOKUP(A117,'Données projet'!$A$35:$I$55,6,0)*VLOOKUP('Données projet'!$B$9,'Paramètres'!$A$1:$I$88,7,0))</f>
        <v>0</v>
      </c>
      <c r="Y117" s="155">
        <f>IF(ISNA(VLOOKUP(A117,'Données projet'!$A$35:$I$55,7,0)),0%,VLOOKUP(A117,'Données projet'!$A$35:$I$55,7,0))</f>
        <v>0</v>
      </c>
      <c r="Z117" s="162">
        <f>EXP(-LN(2)/35)*Z116+(1-EXP(-LN(2)/35))/(LN(2)/35)*V117*W117*VLOOKUP('Données projet'!$B$9,'Paramètres'!$A$1:$I$88,3,0)*0.475*44/12</f>
        <v>0</v>
      </c>
      <c r="AA117" s="162">
        <f>EXP(-LN(2)/25)*AA116+(1-EXP(-LN(2)/25))/(LN(2)/25)*Calculateur!V117*Calculateur!X117*VLOOKUP('Données projet'!$B$9,'Paramètres'!$A$1:$I$88,3,0)*0.475*44/12</f>
        <v>0.4370704987</v>
      </c>
      <c r="AB117" s="162">
        <f>EXP(-LN(2)/2)*AB116+(1-EXP(-LN(2)/2))/(LN(2)/2)*V117*Y117*VLOOKUP('Données projet'!$B$9,'Paramètres'!$A$1:$I$88,3,0)*0.475*44/12</f>
        <v>0</v>
      </c>
      <c r="AC117" s="163">
        <f t="shared" si="4"/>
        <v>0.4370704987</v>
      </c>
      <c r="AD117" s="150">
        <f>('Scénario référence'!$F$8+'Scénario référence'!$F$9+'Scénario référence'!$B$17+'Scénario référence'!$B$9+'Scénario référence'!$B$10)*70+IF((45+25*(1-EXP(-0.0175*A117)))&lt;70,'Scénario référence'!$B$16*(45+25*(1-EXP(-0.0175*A117))),70*'Scénario référence'!$B$16)+IF((32+38*(1-EXP(-0.0175*A117)))&lt;70,'Scénario référence'!$B$18*(32+38*(1-EXP(-0.0175*A117))),70*'Scénario référence'!$B$18)</f>
        <v>70</v>
      </c>
      <c r="AE117" s="150">
        <f>IF(A117&gt;30,10,('Scénario référence'!$B$16+'Scénario référence'!$B$17+'Scénario référence'!$B$18+'Scénario référence'!$B$9+'Scénario référence'!$B$10)*A117*10/30+('Scénario référence'!$F$8+'Scénario référence'!$F$9)*10)</f>
        <v>10</v>
      </c>
      <c r="AF117" s="151" t="str">
        <f>VLOOKUP(A117,'Données projet'!$A$61:$I$81,2,0)</f>
        <v>#N/A</v>
      </c>
      <c r="AG117" s="151" t="str">
        <f>VLOOKUP(A117,'Données projet'!$A$61:$I$81,9,0)</f>
        <v>#N/A</v>
      </c>
      <c r="AH117" s="151" t="str">
        <f t="array" ref="AH117">INDEX(AG:AG,MIN(IF(ISNUMBER(AG117:AG313),ROW(AG117:AG313),"")))</f>
        <v/>
      </c>
      <c r="AI117" s="150">
        <f>IF('Données projet'!$A$62&gt;35,AI116+AH117-AQ116,IF(A117&lt;'Données projet'!$A$62,$AF$205^A117,IF(A117='Données projet'!$A$62,'Données projet'!$B$62,AI116+AH117-AQ116)))</f>
        <v>369</v>
      </c>
      <c r="AJ117" s="150">
        <f>AI117*VLOOKUP('Données projet'!$B$10,'Paramètres'!$A$1:$I$88,3,0)*VLOOKUP('Données projet'!$B$10,'Paramètres'!$A$1:$I$88,5,0)</f>
        <v>293.5764</v>
      </c>
      <c r="AK117" s="150">
        <f t="shared" si="36"/>
        <v>69.82813851</v>
      </c>
      <c r="AL117" s="161">
        <f t="shared" si="5"/>
        <v>632.9295712</v>
      </c>
      <c r="AM117" s="153">
        <f t="shared" si="6"/>
        <v>926.2629046</v>
      </c>
      <c r="AN117" s="153">
        <f>AVERAGE(OFFSET($AM$3,0,0,'Données projet'!$E$10+1,1))-AVERAGE(OFFSET($H$3,0,0,'Données projet'!$E$10+1,1))</f>
        <v>405.6113614</v>
      </c>
      <c r="AO117" s="153">
        <f t="shared" si="37"/>
        <v>393.0787141</v>
      </c>
      <c r="AP117" s="154">
        <f>IF(ISNA(VLOOKUP(A117,'Données projet'!$A$61:$I$81,3,0)),0,VLOOKUP(A117,'Données projet'!$A$61:$I$81,3,0))</f>
        <v>0</v>
      </c>
      <c r="AQ117" s="154">
        <f>IF(ISNA(VLOOKUP(A117,'Données projet'!$A$61:$I$81,4,0)),0,VLOOKUP(A117,'Données projet'!$A$61:$I$81,4,0))</f>
        <v>0</v>
      </c>
      <c r="AR117" s="155">
        <f>IF(ISNA(VLOOKUP(A117,'Données projet'!$A$61:$I$81,5,0)),0%,VLOOKUP(A117,'Données projet'!$A$61:$I$81,5,0)*VLOOKUP('Données projet'!$B$10,'Paramètres'!$A$1:$I$88,7,0))</f>
        <v>0</v>
      </c>
      <c r="AS117" s="155">
        <f>IF(ISNA(VLOOKUP(A117,'Données projet'!$A$61:$I$81,6,0)),0%,VLOOKUP(A117,'Données projet'!$A$61:$I$81,6,0)*VLOOKUP('Données projet'!$B$10,'Paramètres'!$A$1:$I$88,7,0))</f>
        <v>0</v>
      </c>
      <c r="AT117" s="155">
        <f>IF(ISNA(VLOOKUP(A117,'Données projet'!$A$61:$I$81,7,0)),0%,VLOOKUP(A117,'Données projet'!$A$61:$I$81,7,0))</f>
        <v>0</v>
      </c>
      <c r="AU117" s="162">
        <f>EXP(-LN(2)/35)*AU116+(1-EXP(-LN(2)/35))/(LN(2)/35)*AQ117*AR117*VLOOKUP('Données projet'!$B$10,'Paramètres'!$A$1:$I$88,3,0)*0.475*44/12</f>
        <v>0</v>
      </c>
      <c r="AV117" s="162">
        <f>EXP(-LN(2)/25)*AV116+(1-EXP(-LN(2)/25))/(LN(2)/25)*Calculateur!AQ117*Calculateur!AS117*VLOOKUP('Données projet'!$B$10,'Paramètres'!$A$1:$I$88,3,0)*0.475*44/12</f>
        <v>1.776365614</v>
      </c>
      <c r="AW117" s="162">
        <f>EXP(-LN(2)/2)*AW116+(1-EXP(-LN(2)/2))/(LN(2)/2)*AQ117*AT117*VLOOKUP('Données projet'!$B$10,'Paramètres'!$A$1:$I$88,3,0)*0.475*44/12</f>
        <v>0</v>
      </c>
      <c r="AX117" s="162">
        <f t="shared" si="7"/>
        <v>1.776365614</v>
      </c>
      <c r="AY117" s="157">
        <f>('Scénario référence'!$F$8+'Scénario référence'!$F$9+'Scénario référence'!$B$17+'Scénario référence'!$B$9+'Scénario référence'!$B$10)*70+IF((45+25*(1-EXP(-0.0175*A117)))&lt;70,'Scénario référence'!$B$16*(45+25*(1-EXP(-0.0175*A117))),70*'Scénario référence'!$B$16)+IF((32+38*(1-EXP(-0.0175*A117)))&lt;70,'Scénario référence'!$B$18*(32+38*(1-EXP(-0.0175*A117))),70*'Scénario référence'!$B$18)</f>
        <v>70</v>
      </c>
      <c r="AZ117" s="151">
        <f>IF(A117&gt;30,10,('Scénario référence'!$B$16+'Scénario référence'!$B$17+'Scénario référence'!$B$18+'Scénario référence'!$B$9+'Scénario référence'!$B$10)*A117*10/30+('Scénario référence'!$F$8+'Scénario référence'!$F$9)*10)</f>
        <v>10</v>
      </c>
      <c r="BA117" s="151" t="str">
        <f>VLOOKUP(A117,'Données projet'!$A$87:$I$107,2,0)</f>
        <v>#N/A</v>
      </c>
      <c r="BB117" s="151" t="str">
        <f>VLOOKUP(A117,'Données projet'!$A$87:$I$107,9,0)</f>
        <v>#N/A</v>
      </c>
      <c r="BC117" s="151" t="str">
        <f t="array" ref="BC117">INDEX(BB:BB,MIN(IF(ISNUMBER(BB117:BB313),ROW(BB117:BB313),"")))</f>
        <v/>
      </c>
      <c r="BD117" s="150">
        <f>IF('Données projet'!$A$88&gt;35,BD116+BC117-BL116,IF(A117&lt;'Données projet'!$A$88,$BA$205^A117,IF(A117='Données projet'!$A$88,'Données projet'!$B$88,BD116+BC117-BL116)))</f>
        <v>0</v>
      </c>
      <c r="BE117" s="150">
        <f>BD117*VLOOKUP('Données projet'!$B$11,'Paramètres'!$A$1:$I$88,3,0)*VLOOKUP('Données projet'!$B$11,'Paramètres'!$A$1:$I$88,5,0)</f>
        <v>0</v>
      </c>
      <c r="BF117" s="150" t="str">
        <f t="shared" si="38"/>
        <v>#NUM!</v>
      </c>
      <c r="BG117" s="161" t="str">
        <f t="shared" si="8"/>
        <v>#NUM!</v>
      </c>
      <c r="BH117" s="153" t="str">
        <f t="shared" si="9"/>
        <v>#NUM!</v>
      </c>
      <c r="BI117" s="153">
        <f>AVERAGE(OFFSET($BH$3,0,0,'Données projet'!$E$11+1,1))-AVERAGE(OFFSET($H$3,0,0,'Données projet'!$E$11+1,1))</f>
        <v>0</v>
      </c>
      <c r="BJ117" s="153">
        <f t="shared" si="39"/>
        <v>0</v>
      </c>
      <c r="BK117" s="154">
        <f>IF(ISNA(VLOOKUP(A117,'Données projet'!$A$87:$I$107,3,0)),0,VLOOKUP(A117,'Données projet'!$A$87:$I$107,3,0))</f>
        <v>0</v>
      </c>
      <c r="BL117" s="154">
        <f>IF(ISNA(VLOOKUP(A117,'Données projet'!$A$87:$I$107,4,0)),0,VLOOKUP(A117,'Données projet'!$A$87:$I$107,4,0))</f>
        <v>0</v>
      </c>
      <c r="BM117" s="155">
        <f>IF(ISNA(VLOOKUP(A117,'Données projet'!$A$87:$I$107,5,0)),0%,VLOOKUP(A117,'Données projet'!$A$87:$I$107,5,0)*VLOOKUP('Données projet'!$B$11,'Paramètres'!$A$1:$I$88,7,0))</f>
        <v>0</v>
      </c>
      <c r="BN117" s="155">
        <f>IF(ISNA(VLOOKUP(A117,'Données projet'!$A$87:$I$107,6,0)),0%,VLOOKUP(A117,'Données projet'!$A$87:$I$107,6,0)*VLOOKUP('Données projet'!$B$11,'Paramètres'!$A$1:$I$88,7,0))</f>
        <v>0</v>
      </c>
      <c r="BO117" s="155">
        <f>IF(ISNA(VLOOKUP(A117,'Données projet'!$A$87:$I$107,7,0)),0%,VLOOKUP(A117,'Données projet'!$A$87:$I$107,7,0))</f>
        <v>0</v>
      </c>
      <c r="BP117" s="162">
        <f>EXP(-LN(2)/35)*BP116+(1-EXP(-LN(2)/35))/(LN(2)/35)*BL117*BM117*VLOOKUP('Données projet'!$B$11,'Paramètres'!$A$1:$I$88,3,0)*0.475*44/12</f>
        <v>0</v>
      </c>
      <c r="BQ117" s="162">
        <f>EXP(-LN(2)/25)*BQ116+(1-EXP(-LN(2)/25))/(LN(2)/25)*Calculateur!BL117*Calculateur!BN117*VLOOKUP('Données projet'!$B$11,'Paramètres'!$A$1:$I$88,3,0)*0.475*44/12</f>
        <v>0</v>
      </c>
      <c r="BR117" s="162">
        <f>EXP(-LN(2)/2)*BR116+(1-EXP(-LN(2)/2))/(LN(2)/2)*BL117*BO117*VLOOKUP('Données projet'!$B$11,'Paramètres'!$A$1:$I$88,3,0)*0.475*44/12</f>
        <v>0</v>
      </c>
      <c r="BS117" s="163">
        <f t="shared" si="10"/>
        <v>0</v>
      </c>
      <c r="BT117" s="159">
        <f>('Scénario référence'!$F$8+'Scénario référence'!$F$9+'Scénario référence'!$B$17+'Scénario référence'!$B$9+'Scénario référence'!$B$10)*70+IF((45+25*(1-EXP(-0.0175*A117)))&lt;70,'Scénario référence'!$B$16*(45+25*(1-EXP(-0.0175*A117))),70*'Scénario référence'!$B$16)+IF((32+38*(1-EXP(-0.0175*A117)))&lt;70,'Scénario référence'!$B$18*(32+38*(1-EXP(-0.0175*A117))),70*'Scénario référence'!$B$18)</f>
        <v>70</v>
      </c>
      <c r="BU117" s="151">
        <f>IF(A117&gt;30,10,('Scénario référence'!$B$16+'Scénario référence'!$B$17+'Scénario référence'!$B$18+'Scénario référence'!$B$9+'Scénario référence'!$B$10)*A117*10/30+('Scénario référence'!$F$8+'Scénario référence'!$F$9)*10)</f>
        <v>10</v>
      </c>
      <c r="BV117" s="151" t="str">
        <f>VLOOKUP(A117,'Données projet'!$A$113:$I$133,2,0)</f>
        <v>#N/A</v>
      </c>
      <c r="BW117" s="151" t="str">
        <f>VLOOKUP(A117,'Données projet'!$A$113:$I$133,9,0)</f>
        <v>#N/A</v>
      </c>
      <c r="BX117" s="151" t="str">
        <f t="array" ref="BX117">INDEX(BW:BW,MIN(IF(ISNUMBER(BW117:BW313),ROW(BW117:BW313),"")))</f>
        <v/>
      </c>
      <c r="BY117" s="150">
        <f>IF('Données projet'!$A$114&gt;35,BY116+BX117-CG116,IF(A117&lt;'Données projet'!$A$114,$BV$205^A117,IF(A117='Données projet'!$A$114,'Données projet'!$B$114,BY116+BX117-CG116)))</f>
        <v>0</v>
      </c>
      <c r="BZ117" s="150" t="str">
        <f>BY117*VLOOKUP('Données projet'!$B$12,'Paramètres'!$A$1:$I$88,3,0)*VLOOKUP('Données projet'!$B$12,'Paramètres'!$A$1:$I$88,5,0)</f>
        <v>#N/A</v>
      </c>
      <c r="CA117" s="150" t="str">
        <f t="shared" si="40"/>
        <v>#N/A</v>
      </c>
      <c r="CB117" s="161" t="str">
        <f t="shared" si="11"/>
        <v>#N/A</v>
      </c>
      <c r="CC117" s="153" t="str">
        <f t="shared" si="12"/>
        <v>#N/A</v>
      </c>
      <c r="CD117" s="153" t="str">
        <f>AVERAGE(OFFSET($CC$3,0,0,'Données projet'!$E$12+1,1))-AVERAGE(OFFSET($H$3,0,0,'Données projet'!$E$12+1,1))</f>
        <v>#N/A</v>
      </c>
      <c r="CE117" s="153" t="str">
        <f t="shared" si="41"/>
        <v>#N/A</v>
      </c>
      <c r="CF117" s="154">
        <f>IF(ISNA(VLOOKUP(A117,'Données projet'!$A$113:$I$133,3,0)),0,VLOOKUP(A117,'Données projet'!$A$113:$I$133,3,0))</f>
        <v>0</v>
      </c>
      <c r="CG117" s="154">
        <f>IF(ISNA(VLOOKUP(A117,'Données projet'!$A$113:$I$133,4,0)),0,VLOOKUP(A117,'Données projet'!$A$113:$I$133,4,0))</f>
        <v>0</v>
      </c>
      <c r="CH117" s="155">
        <f>IF(ISNA(VLOOKUP(A117,'Données projet'!$A$113:$I$133,5,0)),0%,VLOOKUP(A117,'Données projet'!$A$113:$I$133,5,0)*VLOOKUP('Données projet'!$B$12,'Paramètres'!$A$1:$I$88,7,0))</f>
        <v>0</v>
      </c>
      <c r="CI117" s="155">
        <f>IF(ISNA(VLOOKUP(A117,'Données projet'!$A$113:$I$133,6,0)),0%,VLOOKUP(A117,'Données projet'!$A$113:$I$133,6,0)*VLOOKUP('Données projet'!$B$12,'Paramètres'!$A$1:$I$88,7,0))</f>
        <v>0</v>
      </c>
      <c r="CJ117" s="155">
        <f>IF(ISNA(VLOOKUP(A117,'Données projet'!$A$113:$I$133,7,0)),0%,VLOOKUP(A117,'Données projet'!$A$113:$I$133,7,0))</f>
        <v>0</v>
      </c>
      <c r="CK117" s="162" t="str">
        <f>EXP(-LN(2)/35)*CK116+(1-EXP(-LN(2)/35))/(LN(2)/35)*CG117*CH117*VLOOKUP('Données projet'!$B$12,'Paramètres'!$A$1:$I$88,3,0)*0.475*44/12</f>
        <v>#N/A</v>
      </c>
      <c r="CL117" s="162" t="str">
        <f>EXP(-LN(2)/25)*CL116+(1-EXP(-LN(2)/25))/(LN(2)/25)*Calculateur!CG117*Calculateur!CI117*VLOOKUP('Données projet'!$B$12,'Paramètres'!$A$1:$I$88,3,0)*0.475*44/12</f>
        <v>#N/A</v>
      </c>
      <c r="CM117" s="162" t="str">
        <f>EXP(-LN(2)/2)*CM116+(1-EXP(-LN(2)/2))/(LN(2)/2)*CG117*CJ117*VLOOKUP('Données projet'!$B$12,'Paramètres'!$A$1:$I$88,3,0)*0.475*44/12</f>
        <v>#N/A</v>
      </c>
      <c r="CN117" s="163" t="str">
        <f t="shared" si="13"/>
        <v>#N/A</v>
      </c>
      <c r="CO117" s="159">
        <f>('Scénario référence'!$F$8+'Scénario référence'!$F$9+'Scénario référence'!$B$17+'Scénario référence'!$B$9+'Scénario référence'!$B$10)*70+IF((45+25*(1-EXP(-0.0175*A117)))&lt;70,'Scénario référence'!$B$16*(45+25*(1-EXP(-0.0175*A117))),70*'Scénario référence'!$B$16)+IF((32+38*(1-EXP(-0.0175*A117)))&lt;70,'Scénario référence'!$B$18*(32+38*(1-EXP(-0.0175*A117))),70*'Scénario référence'!$B$18)</f>
        <v>70</v>
      </c>
      <c r="CP117" s="151">
        <f>IF(A117&gt;30,10,('Scénario référence'!$B$16+'Scénario référence'!$B$17+'Scénario référence'!$B$18+'Scénario référence'!$B$9+'Scénario référence'!$B$10)*A117*10/30+('Scénario référence'!$F$8+'Scénario référence'!$F$9)*10)</f>
        <v>10</v>
      </c>
      <c r="CQ117" s="151" t="str">
        <f>VLOOKUP(A117,'Données projet'!$A$139:$I$159,2,0)</f>
        <v>#N/A</v>
      </c>
      <c r="CR117" s="151" t="str">
        <f>VLOOKUP(A117,'Données projet'!$A$139:$I$159,9,0)</f>
        <v>#N/A</v>
      </c>
      <c r="CS117" s="151" t="str">
        <f t="array" ref="CS117">INDEX(CR:CR,MIN(IF(ISNUMBER(CR117:CR313),ROW(CR117:CR313),"")))</f>
        <v/>
      </c>
      <c r="CT117" s="151">
        <f>IF('Données projet'!$A$140&gt;35,CT116+CS117-DB116,IF(A117&lt;'Données projet'!$A$140,$CQ$205^A117,IF(A117='Données projet'!$A$140,'Données projet'!$B$140,CT116+CS117-DB116)))</f>
        <v>0</v>
      </c>
      <c r="CU117" s="158" t="str">
        <f>CT117*VLOOKUP('Données projet'!$B$13,'Paramètres'!$A$1:$I$88,3,0)*VLOOKUP('Données projet'!$B$13,'Paramètres'!$A$1:$I$88,5,0)</f>
        <v>#N/A</v>
      </c>
      <c r="CV117" s="150" t="str">
        <f t="shared" si="42"/>
        <v>#N/A</v>
      </c>
      <c r="CW117" s="161" t="str">
        <f t="shared" si="14"/>
        <v>#N/A</v>
      </c>
      <c r="CX117" s="153" t="str">
        <f t="shared" si="15"/>
        <v>#N/A</v>
      </c>
      <c r="CY117" s="153" t="str">
        <f>AVERAGE(OFFSET($CX$3,0,0,'Données projet'!$E$13+1,1))-AVERAGE(OFFSET($H$3,0,0,'Données projet'!$E$13+1,1))</f>
        <v>#N/A</v>
      </c>
      <c r="CZ117" s="153" t="str">
        <f t="shared" si="43"/>
        <v>#N/A</v>
      </c>
      <c r="DA117" s="154">
        <f>IF(ISNA(VLOOKUP(A117,'Données projet'!$A$139:$I$159,3,0)),0,VLOOKUP(A117,'Données projet'!$A$139:$I$159,3,0))</f>
        <v>0</v>
      </c>
      <c r="DB117" s="154">
        <f>IF(ISNA(VLOOKUP(A117,'Données projet'!$A$139:$I$159,4,0)),0,VLOOKUP(A117,'Données projet'!$A$139:$I$159,4,0))</f>
        <v>0</v>
      </c>
      <c r="DC117" s="155">
        <f>IF(ISNA(VLOOKUP(A117,'Données projet'!$A$139:$I$159,5,0)),0%,VLOOKUP(A117,'Données projet'!$A$139:$I$159,5,0)*VLOOKUP('Données projet'!$B$13,'Paramètres'!$A$1:$I$88,7,0))</f>
        <v>0</v>
      </c>
      <c r="DD117" s="155">
        <f>IF(ISNA(VLOOKUP(A117,'Données projet'!$A$139:$I$159,6,0)),0%,VLOOKUP(A117,'Données projet'!$A$139:$I$159,6,0)*VLOOKUP('Données projet'!$B$13,'Paramètres'!$A$1:$I$88,7,0))</f>
        <v>0</v>
      </c>
      <c r="DE117" s="155">
        <f>IF(ISNA(VLOOKUP(A117,'Données projet'!$A$139:$I$159,7,0)),0%,VLOOKUP(A117,'Données projet'!$A$139:$I$159,7,0))</f>
        <v>0</v>
      </c>
      <c r="DF117" s="162" t="str">
        <f>EXP(-LN(2)/35)*DF116+(1-EXP(-LN(2)/35))/(LN(2)/35)*DB117*DC117*VLOOKUP('Données projet'!$B$13,'Paramètres'!$A$1:$I$88,3,0)*0.475*44/12</f>
        <v>#N/A</v>
      </c>
      <c r="DG117" s="162" t="str">
        <f>EXP(-LN(2)/25)*DG116+(1-EXP(-LN(2)/25))/(LN(2)/25)*Calculateur!DB117*Calculateur!DD117*VLOOKUP('Données projet'!$B$13,'Paramètres'!$A$1:$I$88,3,0)*0.475*44/12</f>
        <v>#N/A</v>
      </c>
      <c r="DH117" s="162" t="str">
        <f>EXP(-LN(2)/2)*DH116+(1-EXP(-LN(2)/2))/(LN(2)/2)*DB117*DE117*VLOOKUP('Données projet'!$B$13,'Paramètres'!$A$1:$I$88,3,0)*0.475*44/12</f>
        <v>#N/A</v>
      </c>
      <c r="DI117" s="163" t="str">
        <f t="shared" si="16"/>
        <v>#N/A</v>
      </c>
      <c r="DJ117" s="159">
        <f>('Scénario référence'!$F$8+'Scénario référence'!$F$9+'Scénario référence'!$B$17+'Scénario référence'!$B$9+'Scénario référence'!$B$10)*70+IF((45+25*(1-EXP(-0.0175*A117)))&lt;70,'Scénario référence'!$B$16*(45+25*(1-EXP(-0.0175*A117))),70*'Scénario référence'!$B$16)+IF((32+38*(1-EXP(-0.0175*A117)))&lt;70,'Scénario référence'!$B$18*(32+38*(1-EXP(-0.0175*A117))),70*'Scénario référence'!$B$18)</f>
        <v>70</v>
      </c>
      <c r="DK117" s="151">
        <f>IF(A117&gt;30,10,('Scénario référence'!$B$16+'Scénario référence'!$B$17+'Scénario référence'!$B$18+'Scénario référence'!$B$9+'Scénario référence'!$B$10)*A117*10/30+('Scénario référence'!$F$8+'Scénario référence'!$F$9)*10)</f>
        <v>10</v>
      </c>
      <c r="DL117" s="151" t="str">
        <f>VLOOKUP(A117,'Données projet'!$A$165:$I$185,2,0)</f>
        <v>#N/A</v>
      </c>
      <c r="DM117" s="151" t="str">
        <f>VLOOKUP(A117,'Données projet'!$A$165:$I$185,9,0)</f>
        <v>#N/A</v>
      </c>
      <c r="DN117" s="151" t="str">
        <f t="array" ref="DN117">INDEX(DM:DM,MIN(IF(ISNUMBER(DM117:DM313),ROW(DM117:DM313),"")))</f>
        <v/>
      </c>
      <c r="DO117" s="151">
        <f>IF('Données projet'!$A$166&gt;35,DO116+DN117-DW116,IF(A117&lt;'Données projet'!$A$166,$DL$205^A117,IF(A117='Données projet'!$A$166,'Données projet'!$B$166,DO116+DN117-DW116)))</f>
        <v>0</v>
      </c>
      <c r="DP117" s="158" t="str">
        <f>DO117*VLOOKUP('Données projet'!$B$14,'Paramètres'!$A$1:$I$88,3,0)*VLOOKUP('Données projet'!$B$14,'Paramètres'!$A$1:$I$88,5,0)</f>
        <v>#N/A</v>
      </c>
      <c r="DQ117" s="150" t="str">
        <f t="shared" si="44"/>
        <v>#N/A</v>
      </c>
      <c r="DR117" s="161" t="str">
        <f t="shared" si="17"/>
        <v>#N/A</v>
      </c>
      <c r="DS117" s="153" t="str">
        <f t="shared" si="18"/>
        <v>#N/A</v>
      </c>
      <c r="DT117" s="153" t="str">
        <f>AVERAGE(OFFSET($DS$3,0,0,'Données projet'!$E$14+1,1))-AVERAGE(OFFSET($H$3,0,0,'Données projet'!$E$14+1,1))</f>
        <v>#N/A</v>
      </c>
      <c r="DU117" s="153" t="str">
        <f t="shared" si="45"/>
        <v>#N/A</v>
      </c>
      <c r="DV117" s="154">
        <f>IF(ISNA(VLOOKUP(A117,'Données projet'!$A$165:$I$185,3,0)),0,VLOOKUP(A117,'Données projet'!$A$165:$I$185,3,0))</f>
        <v>0</v>
      </c>
      <c r="DW117" s="154">
        <f>IF(ISNA(VLOOKUP(A117,'Données projet'!$A$165:$I$185,4,0)),0,VLOOKUP(A117,'Données projet'!$A$165:$I$185,4,0))</f>
        <v>0</v>
      </c>
      <c r="DX117" s="155">
        <f>IF(ISNA(VLOOKUP(A117,'Données projet'!$A$165:$I$185,5,0)),0%,VLOOKUP(A117,'Données projet'!$A$165:$I$185,5,0)*VLOOKUP('Données projet'!$B$14,'Paramètres'!$A$1:$I$88,7,0))</f>
        <v>0</v>
      </c>
      <c r="DY117" s="155">
        <f>IF(ISNA(VLOOKUP(A117,'Données projet'!$A$165:$I$185,6,0)),0%,VLOOKUP(A117,'Données projet'!$A$165:$I$185,6,0)*VLOOKUP('Données projet'!$B$14,'Paramètres'!$A$1:$I$88,7,0))</f>
        <v>0</v>
      </c>
      <c r="DZ117" s="155">
        <f>IF(ISNA(VLOOKUP(A117,'Données projet'!$A$165:$I$185,7,0)),0%,VLOOKUP(A117,'Données projet'!$A$165:$I$185,7,0))</f>
        <v>0</v>
      </c>
      <c r="EA117" s="162" t="str">
        <f>EXP(-LN(2)/35)*EA116+(1-EXP(-LN(2)/35))/(LN(2)/35)*DW117*DX117*VLOOKUP('Données projet'!$B$14,'Paramètres'!$A$1:$I$88,3,0)*0.475*44/12</f>
        <v>#N/A</v>
      </c>
      <c r="EB117" s="162" t="str">
        <f>EXP(-LN(2)/25)*EB116+(1-EXP(-LN(2)/25))/(LN(2)/25)*Calculateur!DW117*Calculateur!DY117*VLOOKUP('Données projet'!$B$14,'Paramètres'!$A$1:$I$88,3,0)*0.475*44/12</f>
        <v>#N/A</v>
      </c>
      <c r="EC117" s="162" t="str">
        <f>EXP(-LN(2)/2)*EC116+(1-EXP(-LN(2)/2))/(LN(2)/2)*DW117*DZ117*VLOOKUP('Données projet'!$B$14,'Paramètres'!$A$1:$I$88,3,0)*0.475*44/12</f>
        <v>#N/A</v>
      </c>
      <c r="ED117" s="163" t="str">
        <f t="shared" si="19"/>
        <v>#N/A</v>
      </c>
      <c r="EE117" s="159">
        <f>('Scénario référence'!$F$8+'Scénario référence'!$F$9+'Scénario référence'!$B$17+'Scénario référence'!$B$9+'Scénario référence'!$B$10)*70+IF((45+25*(1-EXP(-0.0175*A117)))&lt;70,'Scénario référence'!$B$16*(45+25*(1-EXP(-0.0175*A117))),70*'Scénario référence'!$B$16)+IF((32+38*(1-EXP(-0.0175*A117)))&lt;70,'Scénario référence'!$B$18*(32+38*(1-EXP(-0.0175*A117))),70*'Scénario référence'!$B$18)</f>
        <v>70</v>
      </c>
      <c r="EF117" s="151">
        <f>IF(A117&gt;30,10,('Scénario référence'!$B$16+'Scénario référence'!$B$17+'Scénario référence'!$B$18+'Scénario référence'!$B$9+'Scénario référence'!$B$10)*A117*10/30+('Scénario référence'!$F$8+'Scénario référence'!$F$9)*10)</f>
        <v>10</v>
      </c>
      <c r="EG117" s="151" t="str">
        <f>VLOOKUP(A117,'Données projet'!$A$191:$I$211,2,0)</f>
        <v>#N/A</v>
      </c>
      <c r="EH117" s="151" t="str">
        <f>VLOOKUP(A117,'Données projet'!$A$191:$I$211,9,0)</f>
        <v>#N/A</v>
      </c>
      <c r="EI117" s="151" t="str">
        <f t="array" ref="EI117">INDEX(EH:EH,MIN(IF(ISNUMBER(EH117:EH313),ROW(EH117:EH313),"")))</f>
        <v/>
      </c>
      <c r="EJ117" s="151">
        <f>IF('Données projet'!$A$192&gt;35,EJ116+EI117-ER116,IF(A117&lt;'Données projet'!$A$192,$EG$205^A117,IF(A117='Données projet'!$A$192,'Données projet'!$B$192,EJ116+EI117-ER116)))</f>
        <v>0</v>
      </c>
      <c r="EK117" s="158" t="str">
        <f>EJ117*VLOOKUP('Données projet'!$B$15,'Paramètres'!$A$1:$I$88,3,0)*VLOOKUP('Données projet'!$B$15,'Paramètres'!$A$1:$I$88,5,0)</f>
        <v>#N/A</v>
      </c>
      <c r="EL117" s="150" t="str">
        <f t="shared" si="46"/>
        <v>#N/A</v>
      </c>
      <c r="EM117" s="161" t="str">
        <f t="shared" si="20"/>
        <v>#N/A</v>
      </c>
      <c r="EN117" s="153" t="str">
        <f t="shared" si="21"/>
        <v>#N/A</v>
      </c>
      <c r="EO117" s="153" t="str">
        <f>AVERAGE(OFFSET($EN$3,0,0,'Données projet'!$E$15+1,1))-AVERAGE(OFFSET($H$3,0,0,'Données projet'!$E$15+1,1))</f>
        <v>#N/A</v>
      </c>
      <c r="EP117" s="153" t="str">
        <f t="shared" si="47"/>
        <v>#N/A</v>
      </c>
      <c r="EQ117" s="154">
        <f>IF(ISNA(VLOOKUP(A117,'Données projet'!$A$191:$I$211,3,0)),0,VLOOKUP(A117,'Données projet'!$A$191:$I$211,3,0))</f>
        <v>0</v>
      </c>
      <c r="ER117" s="154">
        <f>IF(ISNA(VLOOKUP(A117,'Données projet'!$A$191:$I$211,4,0)),0,VLOOKUP(A117,'Données projet'!$A$191:$I$211,4,0))</f>
        <v>0</v>
      </c>
      <c r="ES117" s="155">
        <f>IF(ISNA(VLOOKUP(A117,'Données projet'!$A$191:$I$211,5,0)),0%,VLOOKUP(A117,'Données projet'!$A$191:$I$211,5,0)*VLOOKUP('Données projet'!$B$15,'Paramètres'!$A$1:$I$88,7,0))</f>
        <v>0</v>
      </c>
      <c r="ET117" s="155">
        <f>IF(ISNA(VLOOKUP(A117,'Données projet'!$A$191:$I$211,6,0)),0%,VLOOKUP(A117,'Données projet'!$A$191:$I$211,6,0)*VLOOKUP('Données projet'!$B$15,'Paramètres'!$A$1:$I$88,7,0))</f>
        <v>0</v>
      </c>
      <c r="EU117" s="155">
        <f>IF(ISNA(VLOOKUP(A117,'Données projet'!$A$191:$I$211,7,0)),0%,VLOOKUP(A117,'Données projet'!$A$191:$I$211,7,0))</f>
        <v>0</v>
      </c>
      <c r="EV117" s="162" t="str">
        <f>EXP(-LN(2)/35)*EV116+(1-EXP(-LN(2)/35))/(LN(2)/35)*ER117*ES117*VLOOKUP('Données projet'!$B$15,'Paramètres'!$A$1:$I$88,3,0)*0.475*44/12</f>
        <v>#N/A</v>
      </c>
      <c r="EW117" s="162" t="str">
        <f>EXP(-LN(2)/25)*EW116+(1-EXP(-LN(2)/25))/(LN(2)/25)*Calculateur!ER117*Calculateur!ET117*VLOOKUP('Données projet'!$B$15,'Paramètres'!$A$1:$I$88,3,0)*0.475*44/12</f>
        <v>#N/A</v>
      </c>
      <c r="EX117" s="162" t="str">
        <f>EXP(-LN(2)/2)*EX116+(1-EXP(-LN(2)/2))/(LN(2)/2)*ER117*EU117*VLOOKUP('Données projet'!$B$15,'Paramètres'!$A$1:$I$88,3,0)*0.475*44/12</f>
        <v>#N/A</v>
      </c>
      <c r="EY117" s="163" t="str">
        <f t="shared" si="22"/>
        <v>#N/A</v>
      </c>
      <c r="EZ117" s="159">
        <f>('Scénario référence'!$F$8+'Scénario référence'!$F$9+'Scénario référence'!$B$17+'Scénario référence'!$B$9+'Scénario référence'!$B$10)*70+IF((45+25*(1-EXP(-0.0175*A117)))&lt;70,'Scénario référence'!$B$16*(45+25*(1-EXP(-0.0175*A117))),70*'Scénario référence'!$B$16)+IF((32+38*(1-EXP(-0.0175*A117)))&lt;70,'Scénario référence'!$B$18*(32+38*(1-EXP(-0.0175*A117))),70*'Scénario référence'!$B$18)</f>
        <v>70</v>
      </c>
      <c r="FA117" s="151">
        <f>IF(A117&gt;30,10,('Scénario référence'!$B$16+'Scénario référence'!$B$17+'Scénario référence'!$B$18+'Scénario référence'!$B$9+'Scénario référence'!$B$10)*A117*10/30+('Scénario référence'!$F$8+'Scénario référence'!$F$9)*10)</f>
        <v>10</v>
      </c>
      <c r="FB117" s="151" t="str">
        <f>VLOOKUP(A117,'Données projet'!$A$217:$I$237,2,0)</f>
        <v>#N/A</v>
      </c>
      <c r="FC117" s="151" t="str">
        <f>VLOOKUP(A117,'Données projet'!$A$217:$I$237,9,0)</f>
        <v>#N/A</v>
      </c>
      <c r="FD117" s="151" t="str">
        <f t="array" ref="FD117">INDEX(FC:FC,MIN(IF(ISNUMBER(FC117:FC313),ROW(FC117:FC313),"")))</f>
        <v/>
      </c>
      <c r="FE117" s="151">
        <f>IF('Données projet'!$A$218&gt;35,FE116+FD117-FM116,IF(A117&lt;'Données projet'!$A$218,$FB$205^A117,IF(A117='Données projet'!$A$218,'Données projet'!$B$218,FE116+FD117-FM116)))</f>
        <v>0</v>
      </c>
      <c r="FF117" s="158" t="str">
        <f>FE117*VLOOKUP('Données projet'!$B$16,'Paramètres'!$A$1:$I$88,3,0)*VLOOKUP('Données projet'!$B$16,'Paramètres'!$A$1:$I$88,5,0)</f>
        <v>#N/A</v>
      </c>
      <c r="FG117" s="150" t="str">
        <f t="shared" si="48"/>
        <v>#N/A</v>
      </c>
      <c r="FH117" s="161" t="str">
        <f t="shared" si="23"/>
        <v>#N/A</v>
      </c>
      <c r="FI117" s="153" t="str">
        <f t="shared" si="24"/>
        <v>#N/A</v>
      </c>
      <c r="FJ117" s="153" t="str">
        <f>AVERAGE(OFFSET($FI$3,0,0,'Données projet'!$E$16+1,1))-AVERAGE(OFFSET($H$3,0,0,'Données projet'!$E$16+1,1))</f>
        <v>#N/A</v>
      </c>
      <c r="FK117" s="153" t="str">
        <f t="shared" si="49"/>
        <v>#N/A</v>
      </c>
      <c r="FL117" s="154">
        <f>IF(ISNA(VLOOKUP(A117,'Données projet'!$A$217:$I$237,3,0)),0,VLOOKUP(A117,'Données projet'!$A$217:$I$237,3,0))</f>
        <v>0</v>
      </c>
      <c r="FM117" s="154">
        <f>IF(ISNA(VLOOKUP(A117,'Données projet'!$A$217:$I$237,4,0)),0,VLOOKUP(A117,'Données projet'!$A$217:$I$237,4,0))</f>
        <v>0</v>
      </c>
      <c r="FN117" s="155">
        <f>IF(ISNA(VLOOKUP(A117,'Données projet'!$A$217:$I$237,5,0)),0%,VLOOKUP(A117,'Données projet'!$A$217:$I$237,5,0)*VLOOKUP('Données projet'!$B$16,'Paramètres'!$A$1:$I$88,7,0))</f>
        <v>0</v>
      </c>
      <c r="FO117" s="155">
        <f>IF(ISNA(VLOOKUP(A117,'Données projet'!$A$217:$I$237,6,0)),0%,VLOOKUP(A117,'Données projet'!$A$217:$I$237,6,0)*VLOOKUP('Données projet'!$B$16,'Paramètres'!$A$1:$I$88,7,0))</f>
        <v>0</v>
      </c>
      <c r="FP117" s="155">
        <f>IF(ISNA(VLOOKUP(A117,'Données projet'!$A$217:$I$237,7,0)),0%,VLOOKUP(A117,'Données projet'!$A$217:$I$237,7,0))</f>
        <v>0</v>
      </c>
      <c r="FQ117" s="162" t="str">
        <f>EXP(-LN(2)/35)*FQ116+(1-EXP(-LN(2)/35))/(LN(2)/35)*FM117*FN117*VLOOKUP('Données projet'!$B$16,'Paramètres'!$A$1:$I$88,3,0)*0.475*44/12</f>
        <v>#N/A</v>
      </c>
      <c r="FR117" s="162" t="str">
        <f>EXP(-LN(2)/25)*FR116+(1-EXP(-LN(2)/25))/(LN(2)/25)*Calculateur!FM117*Calculateur!FO117*VLOOKUP('Données projet'!$B$16,'Paramètres'!$A$1:$I$88,3,0)*0.475*44/12</f>
        <v>#N/A</v>
      </c>
      <c r="FS117" s="162" t="str">
        <f>EXP(-LN(2)/2)*FS116+(1-EXP(-LN(2)/2))/(LN(2)/2)*FM117*FP117*VLOOKUP('Données projet'!$B$16,'Paramètres'!$A$1:$I$88,3,0)*0.475*44/12</f>
        <v>#N/A</v>
      </c>
      <c r="FT117" s="163" t="str">
        <f t="shared" si="25"/>
        <v>#N/A</v>
      </c>
      <c r="FU117" s="159">
        <f>('Scénario référence'!$F$8+'Scénario référence'!$F$9+'Scénario référence'!$B$17+'Scénario référence'!$B$9+'Scénario référence'!$B$10)*70+IF((45+25*(1-EXP(-0.0175*A117)))&lt;70,'Scénario référence'!$B$16*(45+25*(1-EXP(-0.0175*A117))),70*'Scénario référence'!$B$16)+IF((32+38*(1-EXP(-0.0175*A117)))&lt;70,'Scénario référence'!$B$18*(32+38*(1-EXP(-0.0175*A117))),70*'Scénario référence'!$B$18)</f>
        <v>70</v>
      </c>
      <c r="FV117" s="151">
        <f>IF(A117&gt;30,10,('Scénario référence'!$B$16+'Scénario référence'!$B$17+'Scénario référence'!$B$18+'Scénario référence'!$B$9+'Scénario référence'!$B$10)*A117*10/30+('Scénario référence'!$F$8+'Scénario référence'!$F$9)*10)</f>
        <v>10</v>
      </c>
      <c r="FW117" s="151" t="str">
        <f>VLOOKUP(A117,'Données projet'!$A$243:$I$263,2,0)</f>
        <v>#N/A</v>
      </c>
      <c r="FX117" s="151" t="str">
        <f>VLOOKUP(A117,'Données projet'!$A$243:$I$263,9,0)</f>
        <v>#N/A</v>
      </c>
      <c r="FY117" s="151" t="str">
        <f t="array" ref="FY117">INDEX(FX:FX,MIN(IF(ISNUMBER(FX117:FX313),ROW(FX117:FX313),"")))</f>
        <v/>
      </c>
      <c r="FZ117" s="151">
        <f>IF('Données projet'!$A$244&gt;35,FZ116+FY117-GH116,IF(A117&lt;'Données projet'!$A$244,$FW$205^A117,IF(A117='Données projet'!$A$244,'Données projet'!$B$244,FZ116+FY117-GH116)))</f>
        <v>0</v>
      </c>
      <c r="GA117" s="158" t="str">
        <f>FZ117*VLOOKUP('Données projet'!$B$17,'Paramètres'!$A$1:$I$88,3,0)*VLOOKUP('Données projet'!$B$17,'Paramètres'!$A$1:$I$88,5,0)</f>
        <v>#N/A</v>
      </c>
      <c r="GB117" s="150" t="str">
        <f t="shared" si="50"/>
        <v>#N/A</v>
      </c>
      <c r="GC117" s="161" t="str">
        <f t="shared" si="26"/>
        <v>#N/A</v>
      </c>
      <c r="GD117" s="153" t="str">
        <f t="shared" si="27"/>
        <v>#N/A</v>
      </c>
      <c r="GE117" s="153" t="str">
        <f>AVERAGE(OFFSET($GD$3,0,0,'Données projet'!$E$17+1,1))-AVERAGE(OFFSET($H$3,0,0,'Données projet'!$E$17+1,1))</f>
        <v>#N/A</v>
      </c>
      <c r="GF117" s="153" t="str">
        <f t="shared" si="51"/>
        <v>#N/A</v>
      </c>
      <c r="GG117" s="154">
        <f>IF(ISNA(VLOOKUP(A117,'Données projet'!$A$243:$I$263,3,0)),0,VLOOKUP(A117,'Données projet'!$A$243:$I$263,3,0))</f>
        <v>0</v>
      </c>
      <c r="GH117" s="154">
        <f>IF(ISNA(VLOOKUP(A117,'Données projet'!$A$243:$I$263,4,0)),0,VLOOKUP(A117,'Données projet'!$A$243:$I$263,4,0))</f>
        <v>0</v>
      </c>
      <c r="GI117" s="155">
        <f>IF(ISNA(VLOOKUP(A117,'Données projet'!$A$243:$I$263,5,0)),0%,VLOOKUP(A117,'Données projet'!$A$243:$I$263,5,0)*VLOOKUP('Données projet'!$B$17,'Paramètres'!$A$1:$I$88,7,0))</f>
        <v>0</v>
      </c>
      <c r="GJ117" s="155">
        <f>IF(ISNA(VLOOKUP(A117,'Données projet'!$A$243:$I$263,6,0)),0%,VLOOKUP(A117,'Données projet'!$A$243:$I$263,6,0)*VLOOKUP('Données projet'!$B$17,'Paramètres'!$A$1:$I$88,7,0))</f>
        <v>0</v>
      </c>
      <c r="GK117" s="155">
        <f>IF(ISNA(VLOOKUP(A117,'Données projet'!$A$243:$I$263,7,0)),0%,VLOOKUP(A117,'Données projet'!$A$243:$I$263,7,0))</f>
        <v>0</v>
      </c>
      <c r="GL117" s="162" t="str">
        <f>EXP(-LN(2)/35)*GL116+(1-EXP(-LN(2)/35))/(LN(2)/35)*GH117*GI117*VLOOKUP('Données projet'!$B$17,'Paramètres'!$A$1:$I$88,3,0)*0.475*44/12</f>
        <v>#N/A</v>
      </c>
      <c r="GM117" s="162" t="str">
        <f>EXP(-LN(2)/25)*GM116+(1-EXP(-LN(2)/25))/(LN(2)/25)*Calculateur!GH117*Calculateur!GJ117*VLOOKUP('Données projet'!$B$17,'Paramètres'!$A$1:$I$88,3,0)*0.475*44/12</f>
        <v>#N/A</v>
      </c>
      <c r="GN117" s="162" t="str">
        <f>EXP(-LN(2)/2)*GN116+(1-EXP(-LN(2)/2))/(LN(2)/2)*GH117*GK117*VLOOKUP('Données projet'!$B$17,'Paramètres'!$A$1:$I$88,3,0)*0.475*44/12</f>
        <v>#N/A</v>
      </c>
      <c r="GO117" s="162" t="str">
        <f t="shared" si="28"/>
        <v>#N/A</v>
      </c>
      <c r="GP117" s="159">
        <f>('Scénario référence'!$F$8+'Scénario référence'!$F$9+'Scénario référence'!$B$17+'Scénario référence'!$B$9+'Scénario référence'!$B$10)*70+IF((45+25*(1-EXP(-0.0175*A117)))&lt;70,'Scénario référence'!$B$16*(45+25*(1-EXP(-0.0175*A117))),70*'Scénario référence'!$B$16)+IF((32+38*(1-EXP(-0.0175*A117)))&lt;70,'Scénario référence'!$B$18*(32+38*(1-EXP(-0.0175*A117))),70*'Scénario référence'!$B$18)</f>
        <v>70</v>
      </c>
      <c r="GQ117" s="151">
        <f>IF(A117&gt;30,10,('Scénario référence'!$B$16+'Scénario référence'!$B$17+'Scénario référence'!$B$18+'Scénario référence'!$B$9+'Scénario référence'!$B$10)*A117*10/30+('Scénario référence'!$F$8+'Scénario référence'!$F$9)*10)</f>
        <v>10</v>
      </c>
      <c r="GR117" s="151" t="str">
        <f>VLOOKUP(A117,'Données projet'!$A$269:$I$289,2,0)</f>
        <v>#N/A</v>
      </c>
      <c r="GS117" s="151" t="str">
        <f>VLOOKUP(A117,'Données projet'!$A$269:$I$289,9,0)</f>
        <v>#N/A</v>
      </c>
      <c r="GT117" s="151" t="str">
        <f t="array" ref="GT117">INDEX(GS:GS,MIN(IF(ISNUMBER(GS117:GS313),ROW(GS117:GS313),"")))</f>
        <v/>
      </c>
      <c r="GU117" s="151">
        <f>IF('Données projet'!$A$270&gt;35,GU116+GT117-HC116,IF(A117&lt;'Données projet'!$A$270,$GR$205^A117,IF(A117='Données projet'!$A$270,'Données projet'!$B$270,GU116+GT117-HC116)))</f>
        <v>0</v>
      </c>
      <c r="GV117" s="158" t="str">
        <f>GU117*VLOOKUP('Données projet'!$B$18,'Paramètres'!$A$1:$I$88,3,0)*VLOOKUP('Données projet'!$B$18,'Paramètres'!$A$1:$I$88,5,0)</f>
        <v>#N/A</v>
      </c>
      <c r="GW117" s="150" t="str">
        <f t="shared" si="52"/>
        <v>#N/A</v>
      </c>
      <c r="GX117" s="161" t="str">
        <f t="shared" si="29"/>
        <v>#N/A</v>
      </c>
      <c r="GY117" s="153" t="str">
        <f t="shared" si="30"/>
        <v>#N/A</v>
      </c>
      <c r="GZ117" s="153" t="str">
        <f>AVERAGE(OFFSET($GY$3,0,0,'Données projet'!$E$18+1,1))-AVERAGE(OFFSET($H$3,0,0,'Données projet'!$E$18+1,1))</f>
        <v>#N/A</v>
      </c>
      <c r="HA117" s="153" t="str">
        <f t="shared" si="53"/>
        <v>#N/A</v>
      </c>
      <c r="HB117" s="154">
        <f>IF(ISNA(VLOOKUP(A117,'Données projet'!$A$269:$I$289,3,0)),0,VLOOKUP(A117,'Données projet'!$A$269:$I$289,3,0))</f>
        <v>0</v>
      </c>
      <c r="HC117" s="154">
        <f>IF(ISNA(VLOOKUP(A117,'Données projet'!$A$269:$I$289,4,0)),0,VLOOKUP(A117,'Données projet'!$A$269:$I$289,4,0))</f>
        <v>0</v>
      </c>
      <c r="HD117" s="155">
        <f>IF(ISNA(VLOOKUP(A117,'Données projet'!$A$269:$I$289,5,0)),0%,VLOOKUP(A117,'Données projet'!$A$269:$I$289,5,0)*VLOOKUP('Données projet'!$B$18,'Paramètres'!$A$1:$I$88,7,0))</f>
        <v>0</v>
      </c>
      <c r="HE117" s="155">
        <f>IF(ISNA(VLOOKUP(A117,'Données projet'!$A$269:$I$289,6,0)),0%,VLOOKUP(A117,'Données projet'!$A$269:$I$289,6,0)*VLOOKUP('Données projet'!$B$18,'Paramètres'!$A$1:$I$88,7,0))</f>
        <v>0</v>
      </c>
      <c r="HF117" s="155">
        <f>IF(ISNA(VLOOKUP(A117,'Données projet'!$A$269:$I$289,7,0)),0%,VLOOKUP(A117,'Données projet'!$A$269:$I$289,7,0))</f>
        <v>0</v>
      </c>
      <c r="HG117" s="162" t="str">
        <f>EXP(-LN(2)/35)*HG116+(1-EXP(-LN(2)/35))/(LN(2)/35)*HC117*HD117*VLOOKUP('Données projet'!$B$18,'Paramètres'!$A$1:$I$88,3,0)*0.475*44/12</f>
        <v>#N/A</v>
      </c>
      <c r="HH117" s="162" t="str">
        <f>EXP(-LN(2)/25)*HH116+(1-EXP(-LN(2)/25))/(LN(2)/25)*Calculateur!HC117*Calculateur!HE117*VLOOKUP('Données projet'!$B$18,'Paramètres'!$A$1:$I$88,3,0)*0.475*44/12</f>
        <v>#N/A</v>
      </c>
      <c r="HI117" s="162" t="str">
        <f>EXP(-LN(2)/2)*HI116+(1-EXP(-LN(2)/2))/(LN(2)/2)*HC117*HF117*VLOOKUP('Données projet'!$B$18,'Paramètres'!$A$1:$I$88,3,0)*0.475*44/12</f>
        <v>#N/A</v>
      </c>
      <c r="HJ117" s="163" t="str">
        <f t="shared" si="31"/>
        <v>#N/A</v>
      </c>
    </row>
    <row r="118" ht="15.75" customHeight="1">
      <c r="A118" s="145">
        <f t="shared" si="32"/>
        <v>115</v>
      </c>
      <c r="B118" s="146">
        <f>'Scénario référence'!$B$16*5+'Scénario référence'!$B$17*0+'Scénario référence'!$B$18*5</f>
        <v>0</v>
      </c>
      <c r="C118" s="160">
        <f>Calculateur!C117+'Scénario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18" s="147">
        <f t="shared" si="33"/>
        <v>0</v>
      </c>
      <c r="E118" s="147">
        <f>'Scénario référence'!$B$16*45+('Scénario référence'!$B$17+'Scénario référence'!$F$8+'Scénario référence'!$F$9+'Scénario référence'!$B$10+'Scénario référence'!$B$9)*70+'Scénario référence'!$B$18*32</f>
        <v>70</v>
      </c>
      <c r="F118" s="147">
        <f>IF(OR('Scénario référence'!$F$8&gt;0,'Scénario référence'!$F$9&gt;0),('Scénario référence'!$F$8+'Scénario référence'!$F$9)*10,0)</f>
        <v>0</v>
      </c>
      <c r="G118" s="147">
        <f>'Scénario référence'!$B$8*B118*44/12+'Scénario référence'!$B$9*(C118+D118)/0.475*44/12+'Scénario référence'!$B$10*(C118+D118)/0.475*44/12+'Scénario référence'!$F$8*(C118+D118)/0.475*44/12+'Scénario référence'!$F$9*(C118+D118)/0.475*44/12</f>
        <v>0</v>
      </c>
      <c r="H118" s="148">
        <f t="shared" si="1"/>
        <v>256.6666667</v>
      </c>
      <c r="I118" s="149">
        <f>('Scénario référence'!$F$8+'Scénario référence'!$F$9+'Scénario référence'!$B$17+'Scénario référence'!$B$9+'Scénario référence'!$B$10)*70+IF((45+25*(1-EXP(-0.0175*A118)))&lt;70,'Scénario référence'!$B$16*(45+25*(1-EXP(-0.0175*A118))),70*'Scénario référence'!$B$16)+IF((32+38*(1-EXP(-0.0175*A118)))&lt;70,'Scénario référence'!$B$18*(32+38*(1-EXP(-0.0175*A118))),70*'Scénario référence'!$B$18)</f>
        <v>70</v>
      </c>
      <c r="J118" s="150">
        <f>IF(A118&gt;30,10,('Scénario référence'!$B$16+'Scénario référence'!$B$17+'Scénario référence'!$B$18+'Scénario référence'!$B$9+'Scénario référence'!$B$10)*A118*10/30+('Scénario référence'!$F$8+'Scénario référence'!$F$9)*10)</f>
        <v>10</v>
      </c>
      <c r="K118" s="165">
        <f>VLOOKUP(A118,'Données projet'!$A$35:$I$55,2,0)</f>
        <v>331</v>
      </c>
      <c r="L118" s="151">
        <f>VLOOKUP(A118,'Données projet'!$A$35:$I$55,9,0)</f>
        <v>4.8</v>
      </c>
      <c r="M118" s="150">
        <f t="array" ref="M118">INDEX(L:L,MIN(IF(ISNUMBER(L118:L314),ROW(L118:L314),"")))</f>
        <v>4.8</v>
      </c>
      <c r="N118" s="150">
        <f>IF('Données projet'!$A$36&gt;35,N117+M118-V117,IF(A118&lt;'Données projet'!$A$36,$K$205^A118,IF(A118='Données projet'!$A$36,'Données projet'!$B$36,N117+M118-V117)))</f>
        <v>331</v>
      </c>
      <c r="O118" s="150">
        <f>N118*VLOOKUP('Données projet'!$B$9,'Paramètres'!$A$1:$I$88,3,0)*VLOOKUP('Données projet'!$B$9,'Paramètres'!$A$1:$I$88,5,0)</f>
        <v>299.4888</v>
      </c>
      <c r="P118" s="150">
        <f t="shared" si="34"/>
        <v>71.06928569</v>
      </c>
      <c r="Q118" s="161">
        <f t="shared" si="2"/>
        <v>645.3886659</v>
      </c>
      <c r="R118" s="153">
        <f t="shared" si="3"/>
        <v>938.7219992</v>
      </c>
      <c r="S118" s="153">
        <f>AVERAGE(OFFSET($R$3,0,0,'Données projet'!$E$9+1,1))-AVERAGE(OFFSET($H$3,0,0,'Données projet'!$E$9+1,1))</f>
        <v>439.1985427</v>
      </c>
      <c r="T118" s="153">
        <f t="shared" si="35"/>
        <v>278.2174123</v>
      </c>
      <c r="U118" s="154">
        <f>IF(ISNA(VLOOKUP(A118,'Données projet'!$A$35:$I$55,3,0)),0,VLOOKUP(A118,'Données projet'!$A$35:$I$55,3,0))</f>
        <v>20</v>
      </c>
      <c r="V118" s="164">
        <f>IF(ISNA(VLOOKUP(A118,'Données projet'!$A$35:$I$55,4,0)),0,VLOOKUP(A118,'Données projet'!$A$35:$I$55,4,0))</f>
        <v>24</v>
      </c>
      <c r="W118" s="155">
        <f>IF(ISNA(VLOOKUP(A118,'Données projet'!$A$35:$I$55,5,0)),0%,VLOOKUP(A118,'Données projet'!$A$35:$I$55,5,0)*VLOOKUP('Données projet'!$B$9,'Paramètres'!$A$1:$I$88,7,0))</f>
        <v>0</v>
      </c>
      <c r="X118" s="155">
        <f>IF(ISNA(VLOOKUP(A118,'Données projet'!$A$35:$I$55,6,0)),0%,VLOOKUP(A118,'Données projet'!$A$35:$I$55,6,0)*VLOOKUP('Données projet'!$B$9,'Paramètres'!$A$1:$I$88,7,0))</f>
        <v>0</v>
      </c>
      <c r="Y118" s="155" t="str">
        <f>IF(ISNA(VLOOKUP(A118,'Données projet'!$A$35:$I$55,7,0)),0%,VLOOKUP(A118,'Données projet'!$A$35:$I$55,7,0))</f>
        <v/>
      </c>
      <c r="Z118" s="162">
        <f>EXP(-LN(2)/35)*Z117+(1-EXP(-LN(2)/35))/(LN(2)/35)*V118*W118*VLOOKUP('Données projet'!$B$9,'Paramètres'!$A$1:$I$88,3,0)*0.475*44/12</f>
        <v>0</v>
      </c>
      <c r="AA118" s="162">
        <f>EXP(-LN(2)/25)*AA117+(1-EXP(-LN(2)/25))/(LN(2)/25)*Calculateur!V118*Calculateur!X118*VLOOKUP('Données projet'!$B$9,'Paramètres'!$A$1:$I$88,3,0)*0.475*44/12</f>
        <v>0.4251187829</v>
      </c>
      <c r="AB118" s="162">
        <f>EXP(-LN(2)/2)*AB117+(1-EXP(-LN(2)/2))/(LN(2)/2)*V118*Y118*VLOOKUP('Données projet'!$B$9,'Paramètres'!$A$1:$I$88,3,0)*0.475*44/12</f>
        <v>0</v>
      </c>
      <c r="AC118" s="163">
        <f t="shared" si="4"/>
        <v>0.4251187829</v>
      </c>
      <c r="AD118" s="150">
        <f>('Scénario référence'!$F$8+'Scénario référence'!$F$9+'Scénario référence'!$B$17+'Scénario référence'!$B$9+'Scénario référence'!$B$10)*70+IF((45+25*(1-EXP(-0.0175*A118)))&lt;70,'Scénario référence'!$B$16*(45+25*(1-EXP(-0.0175*A118))),70*'Scénario référence'!$B$16)+IF((32+38*(1-EXP(-0.0175*A118)))&lt;70,'Scénario référence'!$B$18*(32+38*(1-EXP(-0.0175*A118))),70*'Scénario référence'!$B$18)</f>
        <v>70</v>
      </c>
      <c r="AE118" s="150">
        <f>IF(A118&gt;30,10,('Scénario référence'!$B$16+'Scénario référence'!$B$17+'Scénario référence'!$B$18+'Scénario référence'!$B$9+'Scénario référence'!$B$10)*A118*10/30+('Scénario référence'!$F$8+'Scénario référence'!$F$9)*10)</f>
        <v>10</v>
      </c>
      <c r="AF118" s="151" t="str">
        <f>VLOOKUP(A118,'Données projet'!$A$61:$I$81,2,0)</f>
        <v>#N/A</v>
      </c>
      <c r="AG118" s="151" t="str">
        <f>VLOOKUP(A118,'Données projet'!$A$61:$I$81,9,0)</f>
        <v>#N/A</v>
      </c>
      <c r="AH118" s="151" t="str">
        <f t="array" ref="AH118">INDEX(AG:AG,MIN(IF(ISNUMBER(AG118:AG314),ROW(AG118:AG314),"")))</f>
        <v/>
      </c>
      <c r="AI118" s="150">
        <f>IF('Données projet'!$A$62&gt;35,AI117+AH118-AQ117,IF(A118&lt;'Données projet'!$A$62,$AF$205^A118,IF(A118='Données projet'!$A$62,'Données projet'!$B$62,AI117+AH118-AQ117)))</f>
        <v>369</v>
      </c>
      <c r="AJ118" s="150">
        <f>AI118*VLOOKUP('Données projet'!$B$10,'Paramètres'!$A$1:$I$88,3,0)*VLOOKUP('Données projet'!$B$10,'Paramètres'!$A$1:$I$88,5,0)</f>
        <v>293.5764</v>
      </c>
      <c r="AK118" s="150">
        <f t="shared" si="36"/>
        <v>69.82813851</v>
      </c>
      <c r="AL118" s="161">
        <f t="shared" si="5"/>
        <v>632.9295712</v>
      </c>
      <c r="AM118" s="153">
        <f t="shared" si="6"/>
        <v>926.2629046</v>
      </c>
      <c r="AN118" s="153">
        <f>AVERAGE(OFFSET($AM$3,0,0,'Données projet'!$E$10+1,1))-AVERAGE(OFFSET($H$3,0,0,'Données projet'!$E$10+1,1))</f>
        <v>405.6113614</v>
      </c>
      <c r="AO118" s="153">
        <f t="shared" si="37"/>
        <v>393.0787141</v>
      </c>
      <c r="AP118" s="154">
        <f>IF(ISNA(VLOOKUP(A118,'Données projet'!$A$61:$I$81,3,0)),0,VLOOKUP(A118,'Données projet'!$A$61:$I$81,3,0))</f>
        <v>0</v>
      </c>
      <c r="AQ118" s="154">
        <f>IF(ISNA(VLOOKUP(A118,'Données projet'!$A$61:$I$81,4,0)),0,VLOOKUP(A118,'Données projet'!$A$61:$I$81,4,0))</f>
        <v>0</v>
      </c>
      <c r="AR118" s="155">
        <f>IF(ISNA(VLOOKUP(A118,'Données projet'!$A$61:$I$81,5,0)),0%,VLOOKUP(A118,'Données projet'!$A$61:$I$81,5,0)*VLOOKUP('Données projet'!$B$10,'Paramètres'!$A$1:$I$88,7,0))</f>
        <v>0</v>
      </c>
      <c r="AS118" s="155">
        <f>IF(ISNA(VLOOKUP(A118,'Données projet'!$A$61:$I$81,6,0)),0%,VLOOKUP(A118,'Données projet'!$A$61:$I$81,6,0)*VLOOKUP('Données projet'!$B$10,'Paramètres'!$A$1:$I$88,7,0))</f>
        <v>0</v>
      </c>
      <c r="AT118" s="155">
        <f>IF(ISNA(VLOOKUP(A118,'Données projet'!$A$61:$I$81,7,0)),0%,VLOOKUP(A118,'Données projet'!$A$61:$I$81,7,0))</f>
        <v>0</v>
      </c>
      <c r="AU118" s="162">
        <f>EXP(-LN(2)/35)*AU117+(1-EXP(-LN(2)/35))/(LN(2)/35)*AQ118*AR118*VLOOKUP('Données projet'!$B$10,'Paramètres'!$A$1:$I$88,3,0)*0.475*44/12</f>
        <v>0</v>
      </c>
      <c r="AV118" s="162">
        <f>EXP(-LN(2)/25)*AV117+(1-EXP(-LN(2)/25))/(LN(2)/25)*Calculateur!AQ118*Calculateur!AS118*VLOOKUP('Données projet'!$B$10,'Paramètres'!$A$1:$I$88,3,0)*0.475*44/12</f>
        <v>1.727790803</v>
      </c>
      <c r="AW118" s="162">
        <f>EXP(-LN(2)/2)*AW117+(1-EXP(-LN(2)/2))/(LN(2)/2)*AQ118*AT118*VLOOKUP('Données projet'!$B$10,'Paramètres'!$A$1:$I$88,3,0)*0.475*44/12</f>
        <v>0</v>
      </c>
      <c r="AX118" s="162">
        <f t="shared" si="7"/>
        <v>1.727790803</v>
      </c>
      <c r="AY118" s="157">
        <f>('Scénario référence'!$F$8+'Scénario référence'!$F$9+'Scénario référence'!$B$17+'Scénario référence'!$B$9+'Scénario référence'!$B$10)*70+IF((45+25*(1-EXP(-0.0175*A118)))&lt;70,'Scénario référence'!$B$16*(45+25*(1-EXP(-0.0175*A118))),70*'Scénario référence'!$B$16)+IF((32+38*(1-EXP(-0.0175*A118)))&lt;70,'Scénario référence'!$B$18*(32+38*(1-EXP(-0.0175*A118))),70*'Scénario référence'!$B$18)</f>
        <v>70</v>
      </c>
      <c r="AZ118" s="151">
        <f>IF(A118&gt;30,10,('Scénario référence'!$B$16+'Scénario référence'!$B$17+'Scénario référence'!$B$18+'Scénario référence'!$B$9+'Scénario référence'!$B$10)*A118*10/30+('Scénario référence'!$F$8+'Scénario référence'!$F$9)*10)</f>
        <v>10</v>
      </c>
      <c r="BA118" s="151" t="str">
        <f>VLOOKUP(A118,'Données projet'!$A$87:$I$107,2,0)</f>
        <v>#N/A</v>
      </c>
      <c r="BB118" s="151" t="str">
        <f>VLOOKUP(A118,'Données projet'!$A$87:$I$107,9,0)</f>
        <v>#N/A</v>
      </c>
      <c r="BC118" s="151" t="str">
        <f t="array" ref="BC118">INDEX(BB:BB,MIN(IF(ISNUMBER(BB118:BB314),ROW(BB118:BB314),"")))</f>
        <v/>
      </c>
      <c r="BD118" s="150">
        <f>IF('Données projet'!$A$88&gt;35,BD117+BC118-BL117,IF(A118&lt;'Données projet'!$A$88,$BA$205^A118,IF(A118='Données projet'!$A$88,'Données projet'!$B$88,BD117+BC118-BL117)))</f>
        <v>0</v>
      </c>
      <c r="BE118" s="150">
        <f>BD118*VLOOKUP('Données projet'!$B$11,'Paramètres'!$A$1:$I$88,3,0)*VLOOKUP('Données projet'!$B$11,'Paramètres'!$A$1:$I$88,5,0)</f>
        <v>0</v>
      </c>
      <c r="BF118" s="150" t="str">
        <f t="shared" si="38"/>
        <v>#NUM!</v>
      </c>
      <c r="BG118" s="161" t="str">
        <f t="shared" si="8"/>
        <v>#NUM!</v>
      </c>
      <c r="BH118" s="153" t="str">
        <f t="shared" si="9"/>
        <v>#NUM!</v>
      </c>
      <c r="BI118" s="153">
        <f>AVERAGE(OFFSET($BH$3,0,0,'Données projet'!$E$11+1,1))-AVERAGE(OFFSET($H$3,0,0,'Données projet'!$E$11+1,1))</f>
        <v>0</v>
      </c>
      <c r="BJ118" s="153">
        <f t="shared" si="39"/>
        <v>0</v>
      </c>
      <c r="BK118" s="154">
        <f>IF(ISNA(VLOOKUP(A118,'Données projet'!$A$87:$I$107,3,0)),0,VLOOKUP(A118,'Données projet'!$A$87:$I$107,3,0))</f>
        <v>0</v>
      </c>
      <c r="BL118" s="154">
        <f>IF(ISNA(VLOOKUP(A118,'Données projet'!$A$87:$I$107,4,0)),0,VLOOKUP(A118,'Données projet'!$A$87:$I$107,4,0))</f>
        <v>0</v>
      </c>
      <c r="BM118" s="155">
        <f>IF(ISNA(VLOOKUP(A118,'Données projet'!$A$87:$I$107,5,0)),0%,VLOOKUP(A118,'Données projet'!$A$87:$I$107,5,0)*VLOOKUP('Données projet'!$B$11,'Paramètres'!$A$1:$I$88,7,0))</f>
        <v>0</v>
      </c>
      <c r="BN118" s="155">
        <f>IF(ISNA(VLOOKUP(A118,'Données projet'!$A$87:$I$107,6,0)),0%,VLOOKUP(A118,'Données projet'!$A$87:$I$107,6,0)*VLOOKUP('Données projet'!$B$11,'Paramètres'!$A$1:$I$88,7,0))</f>
        <v>0</v>
      </c>
      <c r="BO118" s="155">
        <f>IF(ISNA(VLOOKUP(A118,'Données projet'!$A$87:$I$107,7,0)),0%,VLOOKUP(A118,'Données projet'!$A$87:$I$107,7,0))</f>
        <v>0</v>
      </c>
      <c r="BP118" s="162">
        <f>EXP(-LN(2)/35)*BP117+(1-EXP(-LN(2)/35))/(LN(2)/35)*BL118*BM118*VLOOKUP('Données projet'!$B$11,'Paramètres'!$A$1:$I$88,3,0)*0.475*44/12</f>
        <v>0</v>
      </c>
      <c r="BQ118" s="162">
        <f>EXP(-LN(2)/25)*BQ117+(1-EXP(-LN(2)/25))/(LN(2)/25)*Calculateur!BL118*Calculateur!BN118*VLOOKUP('Données projet'!$B$11,'Paramètres'!$A$1:$I$88,3,0)*0.475*44/12</f>
        <v>0</v>
      </c>
      <c r="BR118" s="162">
        <f>EXP(-LN(2)/2)*BR117+(1-EXP(-LN(2)/2))/(LN(2)/2)*BL118*BO118*VLOOKUP('Données projet'!$B$11,'Paramètres'!$A$1:$I$88,3,0)*0.475*44/12</f>
        <v>0</v>
      </c>
      <c r="BS118" s="163">
        <f t="shared" si="10"/>
        <v>0</v>
      </c>
      <c r="BT118" s="159">
        <f>('Scénario référence'!$F$8+'Scénario référence'!$F$9+'Scénario référence'!$B$17+'Scénario référence'!$B$9+'Scénario référence'!$B$10)*70+IF((45+25*(1-EXP(-0.0175*A118)))&lt;70,'Scénario référence'!$B$16*(45+25*(1-EXP(-0.0175*A118))),70*'Scénario référence'!$B$16)+IF((32+38*(1-EXP(-0.0175*A118)))&lt;70,'Scénario référence'!$B$18*(32+38*(1-EXP(-0.0175*A118))),70*'Scénario référence'!$B$18)</f>
        <v>70</v>
      </c>
      <c r="BU118" s="151">
        <f>IF(A118&gt;30,10,('Scénario référence'!$B$16+'Scénario référence'!$B$17+'Scénario référence'!$B$18+'Scénario référence'!$B$9+'Scénario référence'!$B$10)*A118*10/30+('Scénario référence'!$F$8+'Scénario référence'!$F$9)*10)</f>
        <v>10</v>
      </c>
      <c r="BV118" s="151" t="str">
        <f>VLOOKUP(A118,'Données projet'!$A$113:$I$133,2,0)</f>
        <v>#N/A</v>
      </c>
      <c r="BW118" s="151" t="str">
        <f>VLOOKUP(A118,'Données projet'!$A$113:$I$133,9,0)</f>
        <v>#N/A</v>
      </c>
      <c r="BX118" s="151" t="str">
        <f t="array" ref="BX118">INDEX(BW:BW,MIN(IF(ISNUMBER(BW118:BW314),ROW(BW118:BW314),"")))</f>
        <v/>
      </c>
      <c r="BY118" s="150">
        <f>IF('Données projet'!$A$114&gt;35,BY117+BX118-CG117,IF(A118&lt;'Données projet'!$A$114,$BV$205^A118,IF(A118='Données projet'!$A$114,'Données projet'!$B$114,BY117+BX118-CG117)))</f>
        <v>0</v>
      </c>
      <c r="BZ118" s="150" t="str">
        <f>BY118*VLOOKUP('Données projet'!$B$12,'Paramètres'!$A$1:$I$88,3,0)*VLOOKUP('Données projet'!$B$12,'Paramètres'!$A$1:$I$88,5,0)</f>
        <v>#N/A</v>
      </c>
      <c r="CA118" s="150" t="str">
        <f t="shared" si="40"/>
        <v>#N/A</v>
      </c>
      <c r="CB118" s="161" t="str">
        <f t="shared" si="11"/>
        <v>#N/A</v>
      </c>
      <c r="CC118" s="153" t="str">
        <f t="shared" si="12"/>
        <v>#N/A</v>
      </c>
      <c r="CD118" s="153" t="str">
        <f>AVERAGE(OFFSET($CC$3,0,0,'Données projet'!$E$12+1,1))-AVERAGE(OFFSET($H$3,0,0,'Données projet'!$E$12+1,1))</f>
        <v>#N/A</v>
      </c>
      <c r="CE118" s="153" t="str">
        <f t="shared" si="41"/>
        <v>#N/A</v>
      </c>
      <c r="CF118" s="154">
        <f>IF(ISNA(VLOOKUP(A118,'Données projet'!$A$113:$I$133,3,0)),0,VLOOKUP(A118,'Données projet'!$A$113:$I$133,3,0))</f>
        <v>0</v>
      </c>
      <c r="CG118" s="154">
        <f>IF(ISNA(VLOOKUP(A118,'Données projet'!$A$113:$I$133,4,0)),0,VLOOKUP(A118,'Données projet'!$A$113:$I$133,4,0))</f>
        <v>0</v>
      </c>
      <c r="CH118" s="155">
        <f>IF(ISNA(VLOOKUP(A118,'Données projet'!$A$113:$I$133,5,0)),0%,VLOOKUP(A118,'Données projet'!$A$113:$I$133,5,0)*VLOOKUP('Données projet'!$B$12,'Paramètres'!$A$1:$I$88,7,0))</f>
        <v>0</v>
      </c>
      <c r="CI118" s="155">
        <f>IF(ISNA(VLOOKUP(A118,'Données projet'!$A$113:$I$133,6,0)),0%,VLOOKUP(A118,'Données projet'!$A$113:$I$133,6,0)*VLOOKUP('Données projet'!$B$12,'Paramètres'!$A$1:$I$88,7,0))</f>
        <v>0</v>
      </c>
      <c r="CJ118" s="155">
        <f>IF(ISNA(VLOOKUP(A118,'Données projet'!$A$113:$I$133,7,0)),0%,VLOOKUP(A118,'Données projet'!$A$113:$I$133,7,0))</f>
        <v>0</v>
      </c>
      <c r="CK118" s="162" t="str">
        <f>EXP(-LN(2)/35)*CK117+(1-EXP(-LN(2)/35))/(LN(2)/35)*CG118*CH118*VLOOKUP('Données projet'!$B$12,'Paramètres'!$A$1:$I$88,3,0)*0.475*44/12</f>
        <v>#N/A</v>
      </c>
      <c r="CL118" s="162" t="str">
        <f>EXP(-LN(2)/25)*CL117+(1-EXP(-LN(2)/25))/(LN(2)/25)*Calculateur!CG118*Calculateur!CI118*VLOOKUP('Données projet'!$B$12,'Paramètres'!$A$1:$I$88,3,0)*0.475*44/12</f>
        <v>#N/A</v>
      </c>
      <c r="CM118" s="162" t="str">
        <f>EXP(-LN(2)/2)*CM117+(1-EXP(-LN(2)/2))/(LN(2)/2)*CG118*CJ118*VLOOKUP('Données projet'!$B$12,'Paramètres'!$A$1:$I$88,3,0)*0.475*44/12</f>
        <v>#N/A</v>
      </c>
      <c r="CN118" s="163" t="str">
        <f t="shared" si="13"/>
        <v>#N/A</v>
      </c>
      <c r="CO118" s="159">
        <f>('Scénario référence'!$F$8+'Scénario référence'!$F$9+'Scénario référence'!$B$17+'Scénario référence'!$B$9+'Scénario référence'!$B$10)*70+IF((45+25*(1-EXP(-0.0175*A118)))&lt;70,'Scénario référence'!$B$16*(45+25*(1-EXP(-0.0175*A118))),70*'Scénario référence'!$B$16)+IF((32+38*(1-EXP(-0.0175*A118)))&lt;70,'Scénario référence'!$B$18*(32+38*(1-EXP(-0.0175*A118))),70*'Scénario référence'!$B$18)</f>
        <v>70</v>
      </c>
      <c r="CP118" s="151">
        <f>IF(A118&gt;30,10,('Scénario référence'!$B$16+'Scénario référence'!$B$17+'Scénario référence'!$B$18+'Scénario référence'!$B$9+'Scénario référence'!$B$10)*A118*10/30+('Scénario référence'!$F$8+'Scénario référence'!$F$9)*10)</f>
        <v>10</v>
      </c>
      <c r="CQ118" s="151" t="str">
        <f>VLOOKUP(A118,'Données projet'!$A$139:$I$159,2,0)</f>
        <v>#N/A</v>
      </c>
      <c r="CR118" s="151" t="str">
        <f>VLOOKUP(A118,'Données projet'!$A$139:$I$159,9,0)</f>
        <v>#N/A</v>
      </c>
      <c r="CS118" s="151" t="str">
        <f t="array" ref="CS118">INDEX(CR:CR,MIN(IF(ISNUMBER(CR118:CR314),ROW(CR118:CR314),"")))</f>
        <v/>
      </c>
      <c r="CT118" s="151">
        <f>IF('Données projet'!$A$140&gt;35,CT117+CS118-DB117,IF(A118&lt;'Données projet'!$A$140,$CQ$205^A118,IF(A118='Données projet'!$A$140,'Données projet'!$B$140,CT117+CS118-DB117)))</f>
        <v>0</v>
      </c>
      <c r="CU118" s="158" t="str">
        <f>CT118*VLOOKUP('Données projet'!$B$13,'Paramètres'!$A$1:$I$88,3,0)*VLOOKUP('Données projet'!$B$13,'Paramètres'!$A$1:$I$88,5,0)</f>
        <v>#N/A</v>
      </c>
      <c r="CV118" s="150" t="str">
        <f t="shared" si="42"/>
        <v>#N/A</v>
      </c>
      <c r="CW118" s="161" t="str">
        <f t="shared" si="14"/>
        <v>#N/A</v>
      </c>
      <c r="CX118" s="153" t="str">
        <f t="shared" si="15"/>
        <v>#N/A</v>
      </c>
      <c r="CY118" s="153" t="str">
        <f>AVERAGE(OFFSET($CX$3,0,0,'Données projet'!$E$13+1,1))-AVERAGE(OFFSET($H$3,0,0,'Données projet'!$E$13+1,1))</f>
        <v>#N/A</v>
      </c>
      <c r="CZ118" s="153" t="str">
        <f t="shared" si="43"/>
        <v>#N/A</v>
      </c>
      <c r="DA118" s="154">
        <f>IF(ISNA(VLOOKUP(A118,'Données projet'!$A$139:$I$159,3,0)),0,VLOOKUP(A118,'Données projet'!$A$139:$I$159,3,0))</f>
        <v>0</v>
      </c>
      <c r="DB118" s="154">
        <f>IF(ISNA(VLOOKUP(A118,'Données projet'!$A$139:$I$159,4,0)),0,VLOOKUP(A118,'Données projet'!$A$139:$I$159,4,0))</f>
        <v>0</v>
      </c>
      <c r="DC118" s="155">
        <f>IF(ISNA(VLOOKUP(A118,'Données projet'!$A$139:$I$159,5,0)),0%,VLOOKUP(A118,'Données projet'!$A$139:$I$159,5,0)*VLOOKUP('Données projet'!$B$13,'Paramètres'!$A$1:$I$88,7,0))</f>
        <v>0</v>
      </c>
      <c r="DD118" s="155">
        <f>IF(ISNA(VLOOKUP(A118,'Données projet'!$A$139:$I$159,6,0)),0%,VLOOKUP(A118,'Données projet'!$A$139:$I$159,6,0)*VLOOKUP('Données projet'!$B$13,'Paramètres'!$A$1:$I$88,7,0))</f>
        <v>0</v>
      </c>
      <c r="DE118" s="155">
        <f>IF(ISNA(VLOOKUP(A118,'Données projet'!$A$139:$I$159,7,0)),0%,VLOOKUP(A118,'Données projet'!$A$139:$I$159,7,0))</f>
        <v>0</v>
      </c>
      <c r="DF118" s="162" t="str">
        <f>EXP(-LN(2)/35)*DF117+(1-EXP(-LN(2)/35))/(LN(2)/35)*DB118*DC118*VLOOKUP('Données projet'!$B$13,'Paramètres'!$A$1:$I$88,3,0)*0.475*44/12</f>
        <v>#N/A</v>
      </c>
      <c r="DG118" s="162" t="str">
        <f>EXP(-LN(2)/25)*DG117+(1-EXP(-LN(2)/25))/(LN(2)/25)*Calculateur!DB118*Calculateur!DD118*VLOOKUP('Données projet'!$B$13,'Paramètres'!$A$1:$I$88,3,0)*0.475*44/12</f>
        <v>#N/A</v>
      </c>
      <c r="DH118" s="162" t="str">
        <f>EXP(-LN(2)/2)*DH117+(1-EXP(-LN(2)/2))/(LN(2)/2)*DB118*DE118*VLOOKUP('Données projet'!$B$13,'Paramètres'!$A$1:$I$88,3,0)*0.475*44/12</f>
        <v>#N/A</v>
      </c>
      <c r="DI118" s="163" t="str">
        <f t="shared" si="16"/>
        <v>#N/A</v>
      </c>
      <c r="DJ118" s="159">
        <f>('Scénario référence'!$F$8+'Scénario référence'!$F$9+'Scénario référence'!$B$17+'Scénario référence'!$B$9+'Scénario référence'!$B$10)*70+IF((45+25*(1-EXP(-0.0175*A118)))&lt;70,'Scénario référence'!$B$16*(45+25*(1-EXP(-0.0175*A118))),70*'Scénario référence'!$B$16)+IF((32+38*(1-EXP(-0.0175*A118)))&lt;70,'Scénario référence'!$B$18*(32+38*(1-EXP(-0.0175*A118))),70*'Scénario référence'!$B$18)</f>
        <v>70</v>
      </c>
      <c r="DK118" s="151">
        <f>IF(A118&gt;30,10,('Scénario référence'!$B$16+'Scénario référence'!$B$17+'Scénario référence'!$B$18+'Scénario référence'!$B$9+'Scénario référence'!$B$10)*A118*10/30+('Scénario référence'!$F$8+'Scénario référence'!$F$9)*10)</f>
        <v>10</v>
      </c>
      <c r="DL118" s="151" t="str">
        <f>VLOOKUP(A118,'Données projet'!$A$165:$I$185,2,0)</f>
        <v>#N/A</v>
      </c>
      <c r="DM118" s="151" t="str">
        <f>VLOOKUP(A118,'Données projet'!$A$165:$I$185,9,0)</f>
        <v>#N/A</v>
      </c>
      <c r="DN118" s="151" t="str">
        <f t="array" ref="DN118">INDEX(DM:DM,MIN(IF(ISNUMBER(DM118:DM314),ROW(DM118:DM314),"")))</f>
        <v/>
      </c>
      <c r="DO118" s="151">
        <f>IF('Données projet'!$A$166&gt;35,DO117+DN118-DW117,IF(A118&lt;'Données projet'!$A$166,$DL$205^A118,IF(A118='Données projet'!$A$166,'Données projet'!$B$166,DO117+DN118-DW117)))</f>
        <v>0</v>
      </c>
      <c r="DP118" s="158" t="str">
        <f>DO118*VLOOKUP('Données projet'!$B$14,'Paramètres'!$A$1:$I$88,3,0)*VLOOKUP('Données projet'!$B$14,'Paramètres'!$A$1:$I$88,5,0)</f>
        <v>#N/A</v>
      </c>
      <c r="DQ118" s="150" t="str">
        <f t="shared" si="44"/>
        <v>#N/A</v>
      </c>
      <c r="DR118" s="161" t="str">
        <f t="shared" si="17"/>
        <v>#N/A</v>
      </c>
      <c r="DS118" s="153" t="str">
        <f t="shared" si="18"/>
        <v>#N/A</v>
      </c>
      <c r="DT118" s="153" t="str">
        <f>AVERAGE(OFFSET($DS$3,0,0,'Données projet'!$E$14+1,1))-AVERAGE(OFFSET($H$3,0,0,'Données projet'!$E$14+1,1))</f>
        <v>#N/A</v>
      </c>
      <c r="DU118" s="153" t="str">
        <f t="shared" si="45"/>
        <v>#N/A</v>
      </c>
      <c r="DV118" s="154">
        <f>IF(ISNA(VLOOKUP(A118,'Données projet'!$A$165:$I$185,3,0)),0,VLOOKUP(A118,'Données projet'!$A$165:$I$185,3,0))</f>
        <v>0</v>
      </c>
      <c r="DW118" s="154">
        <f>IF(ISNA(VLOOKUP(A118,'Données projet'!$A$165:$I$185,4,0)),0,VLOOKUP(A118,'Données projet'!$A$165:$I$185,4,0))</f>
        <v>0</v>
      </c>
      <c r="DX118" s="155">
        <f>IF(ISNA(VLOOKUP(A118,'Données projet'!$A$165:$I$185,5,0)),0%,VLOOKUP(A118,'Données projet'!$A$165:$I$185,5,0)*VLOOKUP('Données projet'!$B$14,'Paramètres'!$A$1:$I$88,7,0))</f>
        <v>0</v>
      </c>
      <c r="DY118" s="155">
        <f>IF(ISNA(VLOOKUP(A118,'Données projet'!$A$165:$I$185,6,0)),0%,VLOOKUP(A118,'Données projet'!$A$165:$I$185,6,0)*VLOOKUP('Données projet'!$B$14,'Paramètres'!$A$1:$I$88,7,0))</f>
        <v>0</v>
      </c>
      <c r="DZ118" s="155">
        <f>IF(ISNA(VLOOKUP(A118,'Données projet'!$A$165:$I$185,7,0)),0%,VLOOKUP(A118,'Données projet'!$A$165:$I$185,7,0))</f>
        <v>0</v>
      </c>
      <c r="EA118" s="162" t="str">
        <f>EXP(-LN(2)/35)*EA117+(1-EXP(-LN(2)/35))/(LN(2)/35)*DW118*DX118*VLOOKUP('Données projet'!$B$14,'Paramètres'!$A$1:$I$88,3,0)*0.475*44/12</f>
        <v>#N/A</v>
      </c>
      <c r="EB118" s="162" t="str">
        <f>EXP(-LN(2)/25)*EB117+(1-EXP(-LN(2)/25))/(LN(2)/25)*Calculateur!DW118*Calculateur!DY118*VLOOKUP('Données projet'!$B$14,'Paramètres'!$A$1:$I$88,3,0)*0.475*44/12</f>
        <v>#N/A</v>
      </c>
      <c r="EC118" s="162" t="str">
        <f>EXP(-LN(2)/2)*EC117+(1-EXP(-LN(2)/2))/(LN(2)/2)*DW118*DZ118*VLOOKUP('Données projet'!$B$14,'Paramètres'!$A$1:$I$88,3,0)*0.475*44/12</f>
        <v>#N/A</v>
      </c>
      <c r="ED118" s="163" t="str">
        <f t="shared" si="19"/>
        <v>#N/A</v>
      </c>
      <c r="EE118" s="159">
        <f>('Scénario référence'!$F$8+'Scénario référence'!$F$9+'Scénario référence'!$B$17+'Scénario référence'!$B$9+'Scénario référence'!$B$10)*70+IF((45+25*(1-EXP(-0.0175*A118)))&lt;70,'Scénario référence'!$B$16*(45+25*(1-EXP(-0.0175*A118))),70*'Scénario référence'!$B$16)+IF((32+38*(1-EXP(-0.0175*A118)))&lt;70,'Scénario référence'!$B$18*(32+38*(1-EXP(-0.0175*A118))),70*'Scénario référence'!$B$18)</f>
        <v>70</v>
      </c>
      <c r="EF118" s="151">
        <f>IF(A118&gt;30,10,('Scénario référence'!$B$16+'Scénario référence'!$B$17+'Scénario référence'!$B$18+'Scénario référence'!$B$9+'Scénario référence'!$B$10)*A118*10/30+('Scénario référence'!$F$8+'Scénario référence'!$F$9)*10)</f>
        <v>10</v>
      </c>
      <c r="EG118" s="151" t="str">
        <f>VLOOKUP(A118,'Données projet'!$A$191:$I$211,2,0)</f>
        <v>#N/A</v>
      </c>
      <c r="EH118" s="151" t="str">
        <f>VLOOKUP(A118,'Données projet'!$A$191:$I$211,9,0)</f>
        <v>#N/A</v>
      </c>
      <c r="EI118" s="151" t="str">
        <f t="array" ref="EI118">INDEX(EH:EH,MIN(IF(ISNUMBER(EH118:EH314),ROW(EH118:EH314),"")))</f>
        <v/>
      </c>
      <c r="EJ118" s="151">
        <f>IF('Données projet'!$A$192&gt;35,EJ117+EI118-ER117,IF(A118&lt;'Données projet'!$A$192,$EG$205^A118,IF(A118='Données projet'!$A$192,'Données projet'!$B$192,EJ117+EI118-ER117)))</f>
        <v>0</v>
      </c>
      <c r="EK118" s="158" t="str">
        <f>EJ118*VLOOKUP('Données projet'!$B$15,'Paramètres'!$A$1:$I$88,3,0)*VLOOKUP('Données projet'!$B$15,'Paramètres'!$A$1:$I$88,5,0)</f>
        <v>#N/A</v>
      </c>
      <c r="EL118" s="150" t="str">
        <f t="shared" si="46"/>
        <v>#N/A</v>
      </c>
      <c r="EM118" s="161" t="str">
        <f t="shared" si="20"/>
        <v>#N/A</v>
      </c>
      <c r="EN118" s="153" t="str">
        <f t="shared" si="21"/>
        <v>#N/A</v>
      </c>
      <c r="EO118" s="153" t="str">
        <f>AVERAGE(OFFSET($EN$3,0,0,'Données projet'!$E$15+1,1))-AVERAGE(OFFSET($H$3,0,0,'Données projet'!$E$15+1,1))</f>
        <v>#N/A</v>
      </c>
      <c r="EP118" s="153" t="str">
        <f t="shared" si="47"/>
        <v>#N/A</v>
      </c>
      <c r="EQ118" s="154">
        <f>IF(ISNA(VLOOKUP(A118,'Données projet'!$A$191:$I$211,3,0)),0,VLOOKUP(A118,'Données projet'!$A$191:$I$211,3,0))</f>
        <v>0</v>
      </c>
      <c r="ER118" s="154">
        <f>IF(ISNA(VLOOKUP(A118,'Données projet'!$A$191:$I$211,4,0)),0,VLOOKUP(A118,'Données projet'!$A$191:$I$211,4,0))</f>
        <v>0</v>
      </c>
      <c r="ES118" s="155">
        <f>IF(ISNA(VLOOKUP(A118,'Données projet'!$A$191:$I$211,5,0)),0%,VLOOKUP(A118,'Données projet'!$A$191:$I$211,5,0)*VLOOKUP('Données projet'!$B$15,'Paramètres'!$A$1:$I$88,7,0))</f>
        <v>0</v>
      </c>
      <c r="ET118" s="155">
        <f>IF(ISNA(VLOOKUP(A118,'Données projet'!$A$191:$I$211,6,0)),0%,VLOOKUP(A118,'Données projet'!$A$191:$I$211,6,0)*VLOOKUP('Données projet'!$B$15,'Paramètres'!$A$1:$I$88,7,0))</f>
        <v>0</v>
      </c>
      <c r="EU118" s="155">
        <f>IF(ISNA(VLOOKUP(A118,'Données projet'!$A$191:$I$211,7,0)),0%,VLOOKUP(A118,'Données projet'!$A$191:$I$211,7,0))</f>
        <v>0</v>
      </c>
      <c r="EV118" s="162" t="str">
        <f>EXP(-LN(2)/35)*EV117+(1-EXP(-LN(2)/35))/(LN(2)/35)*ER118*ES118*VLOOKUP('Données projet'!$B$15,'Paramètres'!$A$1:$I$88,3,0)*0.475*44/12</f>
        <v>#N/A</v>
      </c>
      <c r="EW118" s="162" t="str">
        <f>EXP(-LN(2)/25)*EW117+(1-EXP(-LN(2)/25))/(LN(2)/25)*Calculateur!ER118*Calculateur!ET118*VLOOKUP('Données projet'!$B$15,'Paramètres'!$A$1:$I$88,3,0)*0.475*44/12</f>
        <v>#N/A</v>
      </c>
      <c r="EX118" s="162" t="str">
        <f>EXP(-LN(2)/2)*EX117+(1-EXP(-LN(2)/2))/(LN(2)/2)*ER118*EU118*VLOOKUP('Données projet'!$B$15,'Paramètres'!$A$1:$I$88,3,0)*0.475*44/12</f>
        <v>#N/A</v>
      </c>
      <c r="EY118" s="163" t="str">
        <f t="shared" si="22"/>
        <v>#N/A</v>
      </c>
      <c r="EZ118" s="159">
        <f>('Scénario référence'!$F$8+'Scénario référence'!$F$9+'Scénario référence'!$B$17+'Scénario référence'!$B$9+'Scénario référence'!$B$10)*70+IF((45+25*(1-EXP(-0.0175*A118)))&lt;70,'Scénario référence'!$B$16*(45+25*(1-EXP(-0.0175*A118))),70*'Scénario référence'!$B$16)+IF((32+38*(1-EXP(-0.0175*A118)))&lt;70,'Scénario référence'!$B$18*(32+38*(1-EXP(-0.0175*A118))),70*'Scénario référence'!$B$18)</f>
        <v>70</v>
      </c>
      <c r="FA118" s="151">
        <f>IF(A118&gt;30,10,('Scénario référence'!$B$16+'Scénario référence'!$B$17+'Scénario référence'!$B$18+'Scénario référence'!$B$9+'Scénario référence'!$B$10)*A118*10/30+('Scénario référence'!$F$8+'Scénario référence'!$F$9)*10)</f>
        <v>10</v>
      </c>
      <c r="FB118" s="151" t="str">
        <f>VLOOKUP(A118,'Données projet'!$A$217:$I$237,2,0)</f>
        <v>#N/A</v>
      </c>
      <c r="FC118" s="151" t="str">
        <f>VLOOKUP(A118,'Données projet'!$A$217:$I$237,9,0)</f>
        <v>#N/A</v>
      </c>
      <c r="FD118" s="151" t="str">
        <f t="array" ref="FD118">INDEX(FC:FC,MIN(IF(ISNUMBER(FC118:FC314),ROW(FC118:FC314),"")))</f>
        <v/>
      </c>
      <c r="FE118" s="151">
        <f>IF('Données projet'!$A$218&gt;35,FE117+FD118-FM117,IF(A118&lt;'Données projet'!$A$218,$FB$205^A118,IF(A118='Données projet'!$A$218,'Données projet'!$B$218,FE117+FD118-FM117)))</f>
        <v>0</v>
      </c>
      <c r="FF118" s="158" t="str">
        <f>FE118*VLOOKUP('Données projet'!$B$16,'Paramètres'!$A$1:$I$88,3,0)*VLOOKUP('Données projet'!$B$16,'Paramètres'!$A$1:$I$88,5,0)</f>
        <v>#N/A</v>
      </c>
      <c r="FG118" s="150" t="str">
        <f t="shared" si="48"/>
        <v>#N/A</v>
      </c>
      <c r="FH118" s="161" t="str">
        <f t="shared" si="23"/>
        <v>#N/A</v>
      </c>
      <c r="FI118" s="153" t="str">
        <f t="shared" si="24"/>
        <v>#N/A</v>
      </c>
      <c r="FJ118" s="153" t="str">
        <f>AVERAGE(OFFSET($FI$3,0,0,'Données projet'!$E$16+1,1))-AVERAGE(OFFSET($H$3,0,0,'Données projet'!$E$16+1,1))</f>
        <v>#N/A</v>
      </c>
      <c r="FK118" s="153" t="str">
        <f t="shared" si="49"/>
        <v>#N/A</v>
      </c>
      <c r="FL118" s="154">
        <f>IF(ISNA(VLOOKUP(A118,'Données projet'!$A$217:$I$237,3,0)),0,VLOOKUP(A118,'Données projet'!$A$217:$I$237,3,0))</f>
        <v>0</v>
      </c>
      <c r="FM118" s="154">
        <f>IF(ISNA(VLOOKUP(A118,'Données projet'!$A$217:$I$237,4,0)),0,VLOOKUP(A118,'Données projet'!$A$217:$I$237,4,0))</f>
        <v>0</v>
      </c>
      <c r="FN118" s="155">
        <f>IF(ISNA(VLOOKUP(A118,'Données projet'!$A$217:$I$237,5,0)),0%,VLOOKUP(A118,'Données projet'!$A$217:$I$237,5,0)*VLOOKUP('Données projet'!$B$16,'Paramètres'!$A$1:$I$88,7,0))</f>
        <v>0</v>
      </c>
      <c r="FO118" s="155">
        <f>IF(ISNA(VLOOKUP(A118,'Données projet'!$A$217:$I$237,6,0)),0%,VLOOKUP(A118,'Données projet'!$A$217:$I$237,6,0)*VLOOKUP('Données projet'!$B$16,'Paramètres'!$A$1:$I$88,7,0))</f>
        <v>0</v>
      </c>
      <c r="FP118" s="155">
        <f>IF(ISNA(VLOOKUP(A118,'Données projet'!$A$217:$I$237,7,0)),0%,VLOOKUP(A118,'Données projet'!$A$217:$I$237,7,0))</f>
        <v>0</v>
      </c>
      <c r="FQ118" s="162" t="str">
        <f>EXP(-LN(2)/35)*FQ117+(1-EXP(-LN(2)/35))/(LN(2)/35)*FM118*FN118*VLOOKUP('Données projet'!$B$16,'Paramètres'!$A$1:$I$88,3,0)*0.475*44/12</f>
        <v>#N/A</v>
      </c>
      <c r="FR118" s="162" t="str">
        <f>EXP(-LN(2)/25)*FR117+(1-EXP(-LN(2)/25))/(LN(2)/25)*Calculateur!FM118*Calculateur!FO118*VLOOKUP('Données projet'!$B$16,'Paramètres'!$A$1:$I$88,3,0)*0.475*44/12</f>
        <v>#N/A</v>
      </c>
      <c r="FS118" s="162" t="str">
        <f>EXP(-LN(2)/2)*FS117+(1-EXP(-LN(2)/2))/(LN(2)/2)*FM118*FP118*VLOOKUP('Données projet'!$B$16,'Paramètres'!$A$1:$I$88,3,0)*0.475*44/12</f>
        <v>#N/A</v>
      </c>
      <c r="FT118" s="163" t="str">
        <f t="shared" si="25"/>
        <v>#N/A</v>
      </c>
      <c r="FU118" s="159">
        <f>('Scénario référence'!$F$8+'Scénario référence'!$F$9+'Scénario référence'!$B$17+'Scénario référence'!$B$9+'Scénario référence'!$B$10)*70+IF((45+25*(1-EXP(-0.0175*A118)))&lt;70,'Scénario référence'!$B$16*(45+25*(1-EXP(-0.0175*A118))),70*'Scénario référence'!$B$16)+IF((32+38*(1-EXP(-0.0175*A118)))&lt;70,'Scénario référence'!$B$18*(32+38*(1-EXP(-0.0175*A118))),70*'Scénario référence'!$B$18)</f>
        <v>70</v>
      </c>
      <c r="FV118" s="151">
        <f>IF(A118&gt;30,10,('Scénario référence'!$B$16+'Scénario référence'!$B$17+'Scénario référence'!$B$18+'Scénario référence'!$B$9+'Scénario référence'!$B$10)*A118*10/30+('Scénario référence'!$F$8+'Scénario référence'!$F$9)*10)</f>
        <v>10</v>
      </c>
      <c r="FW118" s="151" t="str">
        <f>VLOOKUP(A118,'Données projet'!$A$243:$I$263,2,0)</f>
        <v>#N/A</v>
      </c>
      <c r="FX118" s="151" t="str">
        <f>VLOOKUP(A118,'Données projet'!$A$243:$I$263,9,0)</f>
        <v>#N/A</v>
      </c>
      <c r="FY118" s="151" t="str">
        <f t="array" ref="FY118">INDEX(FX:FX,MIN(IF(ISNUMBER(FX118:FX314),ROW(FX118:FX314),"")))</f>
        <v/>
      </c>
      <c r="FZ118" s="151">
        <f>IF('Données projet'!$A$244&gt;35,FZ117+FY118-GH117,IF(A118&lt;'Données projet'!$A$244,$FW$205^A118,IF(A118='Données projet'!$A$244,'Données projet'!$B$244,FZ117+FY118-GH117)))</f>
        <v>0</v>
      </c>
      <c r="GA118" s="158" t="str">
        <f>FZ118*VLOOKUP('Données projet'!$B$17,'Paramètres'!$A$1:$I$88,3,0)*VLOOKUP('Données projet'!$B$17,'Paramètres'!$A$1:$I$88,5,0)</f>
        <v>#N/A</v>
      </c>
      <c r="GB118" s="150" t="str">
        <f t="shared" si="50"/>
        <v>#N/A</v>
      </c>
      <c r="GC118" s="161" t="str">
        <f t="shared" si="26"/>
        <v>#N/A</v>
      </c>
      <c r="GD118" s="153" t="str">
        <f t="shared" si="27"/>
        <v>#N/A</v>
      </c>
      <c r="GE118" s="153" t="str">
        <f>AVERAGE(OFFSET($GD$3,0,0,'Données projet'!$E$17+1,1))-AVERAGE(OFFSET($H$3,0,0,'Données projet'!$E$17+1,1))</f>
        <v>#N/A</v>
      </c>
      <c r="GF118" s="153" t="str">
        <f t="shared" si="51"/>
        <v>#N/A</v>
      </c>
      <c r="GG118" s="154">
        <f>IF(ISNA(VLOOKUP(A118,'Données projet'!$A$243:$I$263,3,0)),0,VLOOKUP(A118,'Données projet'!$A$243:$I$263,3,0))</f>
        <v>0</v>
      </c>
      <c r="GH118" s="154">
        <f>IF(ISNA(VLOOKUP(A118,'Données projet'!$A$243:$I$263,4,0)),0,VLOOKUP(A118,'Données projet'!$A$243:$I$263,4,0))</f>
        <v>0</v>
      </c>
      <c r="GI118" s="155">
        <f>IF(ISNA(VLOOKUP(A118,'Données projet'!$A$243:$I$263,5,0)),0%,VLOOKUP(A118,'Données projet'!$A$243:$I$263,5,0)*VLOOKUP('Données projet'!$B$17,'Paramètres'!$A$1:$I$88,7,0))</f>
        <v>0</v>
      </c>
      <c r="GJ118" s="155">
        <f>IF(ISNA(VLOOKUP(A118,'Données projet'!$A$243:$I$263,6,0)),0%,VLOOKUP(A118,'Données projet'!$A$243:$I$263,6,0)*VLOOKUP('Données projet'!$B$17,'Paramètres'!$A$1:$I$88,7,0))</f>
        <v>0</v>
      </c>
      <c r="GK118" s="155">
        <f>IF(ISNA(VLOOKUP(A118,'Données projet'!$A$243:$I$263,7,0)),0%,VLOOKUP(A118,'Données projet'!$A$243:$I$263,7,0))</f>
        <v>0</v>
      </c>
      <c r="GL118" s="162" t="str">
        <f>EXP(-LN(2)/35)*GL117+(1-EXP(-LN(2)/35))/(LN(2)/35)*GH118*GI118*VLOOKUP('Données projet'!$B$17,'Paramètres'!$A$1:$I$88,3,0)*0.475*44/12</f>
        <v>#N/A</v>
      </c>
      <c r="GM118" s="162" t="str">
        <f>EXP(-LN(2)/25)*GM117+(1-EXP(-LN(2)/25))/(LN(2)/25)*Calculateur!GH118*Calculateur!GJ118*VLOOKUP('Données projet'!$B$17,'Paramètres'!$A$1:$I$88,3,0)*0.475*44/12</f>
        <v>#N/A</v>
      </c>
      <c r="GN118" s="162" t="str">
        <f>EXP(-LN(2)/2)*GN117+(1-EXP(-LN(2)/2))/(LN(2)/2)*GH118*GK118*VLOOKUP('Données projet'!$B$17,'Paramètres'!$A$1:$I$88,3,0)*0.475*44/12</f>
        <v>#N/A</v>
      </c>
      <c r="GO118" s="162" t="str">
        <f t="shared" si="28"/>
        <v>#N/A</v>
      </c>
      <c r="GP118" s="159">
        <f>('Scénario référence'!$F$8+'Scénario référence'!$F$9+'Scénario référence'!$B$17+'Scénario référence'!$B$9+'Scénario référence'!$B$10)*70+IF((45+25*(1-EXP(-0.0175*A118)))&lt;70,'Scénario référence'!$B$16*(45+25*(1-EXP(-0.0175*A118))),70*'Scénario référence'!$B$16)+IF((32+38*(1-EXP(-0.0175*A118)))&lt;70,'Scénario référence'!$B$18*(32+38*(1-EXP(-0.0175*A118))),70*'Scénario référence'!$B$18)</f>
        <v>70</v>
      </c>
      <c r="GQ118" s="151">
        <f>IF(A118&gt;30,10,('Scénario référence'!$B$16+'Scénario référence'!$B$17+'Scénario référence'!$B$18+'Scénario référence'!$B$9+'Scénario référence'!$B$10)*A118*10/30+('Scénario référence'!$F$8+'Scénario référence'!$F$9)*10)</f>
        <v>10</v>
      </c>
      <c r="GR118" s="151" t="str">
        <f>VLOOKUP(A118,'Données projet'!$A$269:$I$289,2,0)</f>
        <v>#N/A</v>
      </c>
      <c r="GS118" s="151" t="str">
        <f>VLOOKUP(A118,'Données projet'!$A$269:$I$289,9,0)</f>
        <v>#N/A</v>
      </c>
      <c r="GT118" s="151" t="str">
        <f t="array" ref="GT118">INDEX(GS:GS,MIN(IF(ISNUMBER(GS118:GS314),ROW(GS118:GS314),"")))</f>
        <v/>
      </c>
      <c r="GU118" s="151">
        <f>IF('Données projet'!$A$270&gt;35,GU117+GT118-HC117,IF(A118&lt;'Données projet'!$A$270,$GR$205^A118,IF(A118='Données projet'!$A$270,'Données projet'!$B$270,GU117+GT118-HC117)))</f>
        <v>0</v>
      </c>
      <c r="GV118" s="158" t="str">
        <f>GU118*VLOOKUP('Données projet'!$B$18,'Paramètres'!$A$1:$I$88,3,0)*VLOOKUP('Données projet'!$B$18,'Paramètres'!$A$1:$I$88,5,0)</f>
        <v>#N/A</v>
      </c>
      <c r="GW118" s="150" t="str">
        <f t="shared" si="52"/>
        <v>#N/A</v>
      </c>
      <c r="GX118" s="161" t="str">
        <f t="shared" si="29"/>
        <v>#N/A</v>
      </c>
      <c r="GY118" s="153" t="str">
        <f t="shared" si="30"/>
        <v>#N/A</v>
      </c>
      <c r="GZ118" s="153" t="str">
        <f>AVERAGE(OFFSET($GY$3,0,0,'Données projet'!$E$18+1,1))-AVERAGE(OFFSET($H$3,0,0,'Données projet'!$E$18+1,1))</f>
        <v>#N/A</v>
      </c>
      <c r="HA118" s="153" t="str">
        <f t="shared" si="53"/>
        <v>#N/A</v>
      </c>
      <c r="HB118" s="154">
        <f>IF(ISNA(VLOOKUP(A118,'Données projet'!$A$269:$I$289,3,0)),0,VLOOKUP(A118,'Données projet'!$A$269:$I$289,3,0))</f>
        <v>0</v>
      </c>
      <c r="HC118" s="154">
        <f>IF(ISNA(VLOOKUP(A118,'Données projet'!$A$269:$I$289,4,0)),0,VLOOKUP(A118,'Données projet'!$A$269:$I$289,4,0))</f>
        <v>0</v>
      </c>
      <c r="HD118" s="155">
        <f>IF(ISNA(VLOOKUP(A118,'Données projet'!$A$269:$I$289,5,0)),0%,VLOOKUP(A118,'Données projet'!$A$269:$I$289,5,0)*VLOOKUP('Données projet'!$B$18,'Paramètres'!$A$1:$I$88,7,0))</f>
        <v>0</v>
      </c>
      <c r="HE118" s="155">
        <f>IF(ISNA(VLOOKUP(A118,'Données projet'!$A$269:$I$289,6,0)),0%,VLOOKUP(A118,'Données projet'!$A$269:$I$289,6,0)*VLOOKUP('Données projet'!$B$18,'Paramètres'!$A$1:$I$88,7,0))</f>
        <v>0</v>
      </c>
      <c r="HF118" s="155">
        <f>IF(ISNA(VLOOKUP(A118,'Données projet'!$A$269:$I$289,7,0)),0%,VLOOKUP(A118,'Données projet'!$A$269:$I$289,7,0))</f>
        <v>0</v>
      </c>
      <c r="HG118" s="162" t="str">
        <f>EXP(-LN(2)/35)*HG117+(1-EXP(-LN(2)/35))/(LN(2)/35)*HC118*HD118*VLOOKUP('Données projet'!$B$18,'Paramètres'!$A$1:$I$88,3,0)*0.475*44/12</f>
        <v>#N/A</v>
      </c>
      <c r="HH118" s="162" t="str">
        <f>EXP(-LN(2)/25)*HH117+(1-EXP(-LN(2)/25))/(LN(2)/25)*Calculateur!HC118*Calculateur!HE118*VLOOKUP('Données projet'!$B$18,'Paramètres'!$A$1:$I$88,3,0)*0.475*44/12</f>
        <v>#N/A</v>
      </c>
      <c r="HI118" s="162" t="str">
        <f>EXP(-LN(2)/2)*HI117+(1-EXP(-LN(2)/2))/(LN(2)/2)*HC118*HF118*VLOOKUP('Données projet'!$B$18,'Paramètres'!$A$1:$I$88,3,0)*0.475*44/12</f>
        <v>#N/A</v>
      </c>
      <c r="HJ118" s="163" t="str">
        <f t="shared" si="31"/>
        <v>#N/A</v>
      </c>
    </row>
    <row r="119" ht="15.75" customHeight="1">
      <c r="A119" s="145">
        <f t="shared" si="32"/>
        <v>116</v>
      </c>
      <c r="B119" s="146">
        <f>'Scénario référence'!$B$16*5+'Scénario référence'!$B$17*0+'Scénario référence'!$B$18*5</f>
        <v>0</v>
      </c>
      <c r="C119" s="160">
        <f>Calculateur!C118+'Scénario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19" s="147">
        <f t="shared" si="33"/>
        <v>0</v>
      </c>
      <c r="E119" s="147">
        <f>'Scénario référence'!$B$16*45+('Scénario référence'!$B$17+'Scénario référence'!$F$8+'Scénario référence'!$F$9+'Scénario référence'!$B$10+'Scénario référence'!$B$9)*70+'Scénario référence'!$B$18*32</f>
        <v>70</v>
      </c>
      <c r="F119" s="147">
        <f>IF(OR('Scénario référence'!$F$8&gt;0,'Scénario référence'!$F$9&gt;0),('Scénario référence'!$F$8+'Scénario référence'!$F$9)*10,0)</f>
        <v>0</v>
      </c>
      <c r="G119" s="147">
        <f>'Scénario référence'!$B$8*B119*44/12+'Scénario référence'!$B$9*(C119+D119)/0.475*44/12+'Scénario référence'!$B$10*(C119+D119)/0.475*44/12+'Scénario référence'!$F$8*(C119+D119)/0.475*44/12+'Scénario référence'!$F$9*(C119+D119)/0.475*44/12</f>
        <v>0</v>
      </c>
      <c r="H119" s="148">
        <f t="shared" si="1"/>
        <v>256.6666667</v>
      </c>
      <c r="I119" s="149">
        <f>('Scénario référence'!$F$8+'Scénario référence'!$F$9+'Scénario référence'!$B$17+'Scénario référence'!$B$9+'Scénario référence'!$B$10)*70+IF((45+25*(1-EXP(-0.0175*A119)))&lt;70,'Scénario référence'!$B$16*(45+25*(1-EXP(-0.0175*A119))),70*'Scénario référence'!$B$16)+IF((32+38*(1-EXP(-0.0175*A119)))&lt;70,'Scénario référence'!$B$18*(32+38*(1-EXP(-0.0175*A119))),70*'Scénario référence'!$B$18)</f>
        <v>70</v>
      </c>
      <c r="J119" s="150">
        <f>IF(A119&gt;30,10,('Scénario référence'!$B$16+'Scénario référence'!$B$17+'Scénario référence'!$B$18+'Scénario référence'!$B$9+'Scénario référence'!$B$10)*A119*10/30+('Scénario référence'!$F$8+'Scénario référence'!$F$9)*10)</f>
        <v>10</v>
      </c>
      <c r="K119" s="151" t="str">
        <f>VLOOKUP(A119,'Données projet'!$A$35:$I$55,2,0)</f>
        <v>#N/A</v>
      </c>
      <c r="L119" s="151" t="str">
        <f>VLOOKUP(A119,'Données projet'!$A$35:$I$55,9,0)</f>
        <v>#N/A</v>
      </c>
      <c r="M119" s="150" t="str">
        <f t="array" ref="M119">INDEX(L:L,MIN(IF(ISNUMBER(L119:L315),ROW(L119:L315),"")))</f>
        <v/>
      </c>
      <c r="N119" s="150">
        <f>IF('Données projet'!$A$36&gt;35,N118+M119-V118,IF(A119&lt;'Données projet'!$A$36,$K$205^A119,IF(A119='Données projet'!$A$36,'Données projet'!$B$36,N118+M119-V118)))</f>
        <v>307</v>
      </c>
      <c r="O119" s="150">
        <f>N119*VLOOKUP('Données projet'!$B$9,'Paramètres'!$A$1:$I$88,3,0)*VLOOKUP('Données projet'!$B$9,'Paramètres'!$A$1:$I$88,5,0)</f>
        <v>277.7736</v>
      </c>
      <c r="P119" s="150">
        <f t="shared" si="34"/>
        <v>66.49628818</v>
      </c>
      <c r="Q119" s="161">
        <f t="shared" si="2"/>
        <v>599.6033886</v>
      </c>
      <c r="R119" s="153">
        <f t="shared" si="3"/>
        <v>892.9367219</v>
      </c>
      <c r="S119" s="153">
        <f>AVERAGE(OFFSET($R$3,0,0,'Données projet'!$E$9+1,1))-AVERAGE(OFFSET($H$3,0,0,'Données projet'!$E$9+1,1))</f>
        <v>439.1985427</v>
      </c>
      <c r="T119" s="153">
        <f t="shared" si="35"/>
        <v>278.2174123</v>
      </c>
      <c r="U119" s="154">
        <f>IF(ISNA(VLOOKUP(A119,'Données projet'!$A$35:$I$55,3,0)),0,VLOOKUP(A119,'Données projet'!$A$35:$I$55,3,0))</f>
        <v>0</v>
      </c>
      <c r="V119" s="154">
        <f>IF(ISNA(VLOOKUP(A119,'Données projet'!$A$35:$I$55,4,0)),0,VLOOKUP(A119,'Données projet'!$A$35:$I$55,4,0))</f>
        <v>0</v>
      </c>
      <c r="W119" s="155">
        <f>IF(ISNA(VLOOKUP(A119,'Données projet'!$A$35:$I$55,5,0)),0%,VLOOKUP(A119,'Données projet'!$A$35:$I$55,5,0)*VLOOKUP('Données projet'!$B$9,'Paramètres'!$A$1:$I$88,7,0))</f>
        <v>0</v>
      </c>
      <c r="X119" s="155">
        <f>IF(ISNA(VLOOKUP(A119,'Données projet'!$A$35:$I$55,6,0)),0%,VLOOKUP(A119,'Données projet'!$A$35:$I$55,6,0)*VLOOKUP('Données projet'!$B$9,'Paramètres'!$A$1:$I$88,7,0))</f>
        <v>0</v>
      </c>
      <c r="Y119" s="155">
        <f>IF(ISNA(VLOOKUP(A119,'Données projet'!$A$35:$I$55,7,0)),0%,VLOOKUP(A119,'Données projet'!$A$35:$I$55,7,0))</f>
        <v>0</v>
      </c>
      <c r="Z119" s="162">
        <f>EXP(-LN(2)/35)*Z118+(1-EXP(-LN(2)/35))/(LN(2)/35)*V119*W119*VLOOKUP('Données projet'!$B$9,'Paramètres'!$A$1:$I$88,3,0)*0.475*44/12</f>
        <v>0</v>
      </c>
      <c r="AA119" s="162">
        <f>EXP(-LN(2)/25)*AA118+(1-EXP(-LN(2)/25))/(LN(2)/25)*Calculateur!V119*Calculateur!X119*VLOOKUP('Données projet'!$B$9,'Paramètres'!$A$1:$I$88,3,0)*0.475*44/12</f>
        <v>0.4134938874</v>
      </c>
      <c r="AB119" s="162">
        <f>EXP(-LN(2)/2)*AB118+(1-EXP(-LN(2)/2))/(LN(2)/2)*V119*Y119*VLOOKUP('Données projet'!$B$9,'Paramètres'!$A$1:$I$88,3,0)*0.475*44/12</f>
        <v>0</v>
      </c>
      <c r="AC119" s="163">
        <f t="shared" si="4"/>
        <v>0.4134938874</v>
      </c>
      <c r="AD119" s="150">
        <f>('Scénario référence'!$F$8+'Scénario référence'!$F$9+'Scénario référence'!$B$17+'Scénario référence'!$B$9+'Scénario référence'!$B$10)*70+IF((45+25*(1-EXP(-0.0175*A119)))&lt;70,'Scénario référence'!$B$16*(45+25*(1-EXP(-0.0175*A119))),70*'Scénario référence'!$B$16)+IF((32+38*(1-EXP(-0.0175*A119)))&lt;70,'Scénario référence'!$B$18*(32+38*(1-EXP(-0.0175*A119))),70*'Scénario référence'!$B$18)</f>
        <v>70</v>
      </c>
      <c r="AE119" s="150">
        <f>IF(A119&gt;30,10,('Scénario référence'!$B$16+'Scénario référence'!$B$17+'Scénario référence'!$B$18+'Scénario référence'!$B$9+'Scénario référence'!$B$10)*A119*10/30+('Scénario référence'!$F$8+'Scénario référence'!$F$9)*10)</f>
        <v>10</v>
      </c>
      <c r="AF119" s="151" t="str">
        <f>VLOOKUP(A119,'Données projet'!$A$61:$I$81,2,0)</f>
        <v>#N/A</v>
      </c>
      <c r="AG119" s="151" t="str">
        <f>VLOOKUP(A119,'Données projet'!$A$61:$I$81,9,0)</f>
        <v>#N/A</v>
      </c>
      <c r="AH119" s="151" t="str">
        <f t="array" ref="AH119">INDEX(AG:AG,MIN(IF(ISNUMBER(AG119:AG315),ROW(AG119:AG315),"")))</f>
        <v/>
      </c>
      <c r="AI119" s="150">
        <f>IF('Données projet'!$A$62&gt;35,AI118+AH119-AQ118,IF(A119&lt;'Données projet'!$A$62,$AF$205^A119,IF(A119='Données projet'!$A$62,'Données projet'!$B$62,AI118+AH119-AQ118)))</f>
        <v>369</v>
      </c>
      <c r="AJ119" s="150">
        <f>AI119*VLOOKUP('Données projet'!$B$10,'Paramètres'!$A$1:$I$88,3,0)*VLOOKUP('Données projet'!$B$10,'Paramètres'!$A$1:$I$88,5,0)</f>
        <v>293.5764</v>
      </c>
      <c r="AK119" s="150">
        <f t="shared" si="36"/>
        <v>69.82813851</v>
      </c>
      <c r="AL119" s="161">
        <f t="shared" si="5"/>
        <v>632.9295712</v>
      </c>
      <c r="AM119" s="153">
        <f t="shared" si="6"/>
        <v>926.2629046</v>
      </c>
      <c r="AN119" s="153">
        <f>AVERAGE(OFFSET($AM$3,0,0,'Données projet'!$E$10+1,1))-AVERAGE(OFFSET($H$3,0,0,'Données projet'!$E$10+1,1))</f>
        <v>405.6113614</v>
      </c>
      <c r="AO119" s="153">
        <f t="shared" si="37"/>
        <v>393.0787141</v>
      </c>
      <c r="AP119" s="154">
        <f>IF(ISNA(VLOOKUP(A119,'Données projet'!$A$61:$I$81,3,0)),0,VLOOKUP(A119,'Données projet'!$A$61:$I$81,3,0))</f>
        <v>0</v>
      </c>
      <c r="AQ119" s="154">
        <f>IF(ISNA(VLOOKUP(A119,'Données projet'!$A$61:$I$81,4,0)),0,VLOOKUP(A119,'Données projet'!$A$61:$I$81,4,0))</f>
        <v>0</v>
      </c>
      <c r="AR119" s="155">
        <f>IF(ISNA(VLOOKUP(A119,'Données projet'!$A$61:$I$81,5,0)),0%,VLOOKUP(A119,'Données projet'!$A$61:$I$81,5,0)*VLOOKUP('Données projet'!$B$10,'Paramètres'!$A$1:$I$88,7,0))</f>
        <v>0</v>
      </c>
      <c r="AS119" s="155">
        <f>IF(ISNA(VLOOKUP(A119,'Données projet'!$A$61:$I$81,6,0)),0%,VLOOKUP(A119,'Données projet'!$A$61:$I$81,6,0)*VLOOKUP('Données projet'!$B$10,'Paramètres'!$A$1:$I$88,7,0))</f>
        <v>0</v>
      </c>
      <c r="AT119" s="155">
        <f>IF(ISNA(VLOOKUP(A119,'Données projet'!$A$61:$I$81,7,0)),0%,VLOOKUP(A119,'Données projet'!$A$61:$I$81,7,0))</f>
        <v>0</v>
      </c>
      <c r="AU119" s="162">
        <f>EXP(-LN(2)/35)*AU118+(1-EXP(-LN(2)/35))/(LN(2)/35)*AQ119*AR119*VLOOKUP('Données projet'!$B$10,'Paramètres'!$A$1:$I$88,3,0)*0.475*44/12</f>
        <v>0</v>
      </c>
      <c r="AV119" s="162">
        <f>EXP(-LN(2)/25)*AV118+(1-EXP(-LN(2)/25))/(LN(2)/25)*Calculateur!AQ119*Calculateur!AS119*VLOOKUP('Données projet'!$B$10,'Paramètres'!$A$1:$I$88,3,0)*0.475*44/12</f>
        <v>1.680544273</v>
      </c>
      <c r="AW119" s="162">
        <f>EXP(-LN(2)/2)*AW118+(1-EXP(-LN(2)/2))/(LN(2)/2)*AQ119*AT119*VLOOKUP('Données projet'!$B$10,'Paramètres'!$A$1:$I$88,3,0)*0.475*44/12</f>
        <v>0</v>
      </c>
      <c r="AX119" s="162">
        <f t="shared" si="7"/>
        <v>1.680544273</v>
      </c>
      <c r="AY119" s="157">
        <f>('Scénario référence'!$F$8+'Scénario référence'!$F$9+'Scénario référence'!$B$17+'Scénario référence'!$B$9+'Scénario référence'!$B$10)*70+IF((45+25*(1-EXP(-0.0175*A119)))&lt;70,'Scénario référence'!$B$16*(45+25*(1-EXP(-0.0175*A119))),70*'Scénario référence'!$B$16)+IF((32+38*(1-EXP(-0.0175*A119)))&lt;70,'Scénario référence'!$B$18*(32+38*(1-EXP(-0.0175*A119))),70*'Scénario référence'!$B$18)</f>
        <v>70</v>
      </c>
      <c r="AZ119" s="151">
        <f>IF(A119&gt;30,10,('Scénario référence'!$B$16+'Scénario référence'!$B$17+'Scénario référence'!$B$18+'Scénario référence'!$B$9+'Scénario référence'!$B$10)*A119*10/30+('Scénario référence'!$F$8+'Scénario référence'!$F$9)*10)</f>
        <v>10</v>
      </c>
      <c r="BA119" s="151" t="str">
        <f>VLOOKUP(A119,'Données projet'!$A$87:$I$107,2,0)</f>
        <v>#N/A</v>
      </c>
      <c r="BB119" s="151" t="str">
        <f>VLOOKUP(A119,'Données projet'!$A$87:$I$107,9,0)</f>
        <v>#N/A</v>
      </c>
      <c r="BC119" s="151" t="str">
        <f t="array" ref="BC119">INDEX(BB:BB,MIN(IF(ISNUMBER(BB119:BB315),ROW(BB119:BB315),"")))</f>
        <v/>
      </c>
      <c r="BD119" s="150">
        <f>IF('Données projet'!$A$88&gt;35,BD118+BC119-BL118,IF(A119&lt;'Données projet'!$A$88,$BA$205^A119,IF(A119='Données projet'!$A$88,'Données projet'!$B$88,BD118+BC119-BL118)))</f>
        <v>0</v>
      </c>
      <c r="BE119" s="150">
        <f>BD119*VLOOKUP('Données projet'!$B$11,'Paramètres'!$A$1:$I$88,3,0)*VLOOKUP('Données projet'!$B$11,'Paramètres'!$A$1:$I$88,5,0)</f>
        <v>0</v>
      </c>
      <c r="BF119" s="150" t="str">
        <f t="shared" si="38"/>
        <v>#NUM!</v>
      </c>
      <c r="BG119" s="161" t="str">
        <f t="shared" si="8"/>
        <v>#NUM!</v>
      </c>
      <c r="BH119" s="153" t="str">
        <f t="shared" si="9"/>
        <v>#NUM!</v>
      </c>
      <c r="BI119" s="153">
        <f>AVERAGE(OFFSET($BH$3,0,0,'Données projet'!$E$11+1,1))-AVERAGE(OFFSET($H$3,0,0,'Données projet'!$E$11+1,1))</f>
        <v>0</v>
      </c>
      <c r="BJ119" s="153">
        <f t="shared" si="39"/>
        <v>0</v>
      </c>
      <c r="BK119" s="154">
        <f>IF(ISNA(VLOOKUP(A119,'Données projet'!$A$87:$I$107,3,0)),0,VLOOKUP(A119,'Données projet'!$A$87:$I$107,3,0))</f>
        <v>0</v>
      </c>
      <c r="BL119" s="154">
        <f>IF(ISNA(VLOOKUP(A119,'Données projet'!$A$87:$I$107,4,0)),0,VLOOKUP(A119,'Données projet'!$A$87:$I$107,4,0))</f>
        <v>0</v>
      </c>
      <c r="BM119" s="155">
        <f>IF(ISNA(VLOOKUP(A119,'Données projet'!$A$87:$I$107,5,0)),0%,VLOOKUP(A119,'Données projet'!$A$87:$I$107,5,0)*VLOOKUP('Données projet'!$B$11,'Paramètres'!$A$1:$I$88,7,0))</f>
        <v>0</v>
      </c>
      <c r="BN119" s="155">
        <f>IF(ISNA(VLOOKUP(A119,'Données projet'!$A$87:$I$107,6,0)),0%,VLOOKUP(A119,'Données projet'!$A$87:$I$107,6,0)*VLOOKUP('Données projet'!$B$11,'Paramètres'!$A$1:$I$88,7,0))</f>
        <v>0</v>
      </c>
      <c r="BO119" s="155">
        <f>IF(ISNA(VLOOKUP(A119,'Données projet'!$A$87:$I$107,7,0)),0%,VLOOKUP(A119,'Données projet'!$A$87:$I$107,7,0))</f>
        <v>0</v>
      </c>
      <c r="BP119" s="162">
        <f>EXP(-LN(2)/35)*BP118+(1-EXP(-LN(2)/35))/(LN(2)/35)*BL119*BM119*VLOOKUP('Données projet'!$B$11,'Paramètres'!$A$1:$I$88,3,0)*0.475*44/12</f>
        <v>0</v>
      </c>
      <c r="BQ119" s="162">
        <f>EXP(-LN(2)/25)*BQ118+(1-EXP(-LN(2)/25))/(LN(2)/25)*Calculateur!BL119*Calculateur!BN119*VLOOKUP('Données projet'!$B$11,'Paramètres'!$A$1:$I$88,3,0)*0.475*44/12</f>
        <v>0</v>
      </c>
      <c r="BR119" s="162">
        <f>EXP(-LN(2)/2)*BR118+(1-EXP(-LN(2)/2))/(LN(2)/2)*BL119*BO119*VLOOKUP('Données projet'!$B$11,'Paramètres'!$A$1:$I$88,3,0)*0.475*44/12</f>
        <v>0</v>
      </c>
      <c r="BS119" s="163">
        <f t="shared" si="10"/>
        <v>0</v>
      </c>
      <c r="BT119" s="159">
        <f>('Scénario référence'!$F$8+'Scénario référence'!$F$9+'Scénario référence'!$B$17+'Scénario référence'!$B$9+'Scénario référence'!$B$10)*70+IF((45+25*(1-EXP(-0.0175*A119)))&lt;70,'Scénario référence'!$B$16*(45+25*(1-EXP(-0.0175*A119))),70*'Scénario référence'!$B$16)+IF((32+38*(1-EXP(-0.0175*A119)))&lt;70,'Scénario référence'!$B$18*(32+38*(1-EXP(-0.0175*A119))),70*'Scénario référence'!$B$18)</f>
        <v>70</v>
      </c>
      <c r="BU119" s="151">
        <f>IF(A119&gt;30,10,('Scénario référence'!$B$16+'Scénario référence'!$B$17+'Scénario référence'!$B$18+'Scénario référence'!$B$9+'Scénario référence'!$B$10)*A119*10/30+('Scénario référence'!$F$8+'Scénario référence'!$F$9)*10)</f>
        <v>10</v>
      </c>
      <c r="BV119" s="151" t="str">
        <f>VLOOKUP(A119,'Données projet'!$A$113:$I$133,2,0)</f>
        <v>#N/A</v>
      </c>
      <c r="BW119" s="151" t="str">
        <f>VLOOKUP(A119,'Données projet'!$A$113:$I$133,9,0)</f>
        <v>#N/A</v>
      </c>
      <c r="BX119" s="151" t="str">
        <f t="array" ref="BX119">INDEX(BW:BW,MIN(IF(ISNUMBER(BW119:BW315),ROW(BW119:BW315),"")))</f>
        <v/>
      </c>
      <c r="BY119" s="150">
        <f>IF('Données projet'!$A$114&gt;35,BY118+BX119-CG118,IF(A119&lt;'Données projet'!$A$114,$BV$205^A119,IF(A119='Données projet'!$A$114,'Données projet'!$B$114,BY118+BX119-CG118)))</f>
        <v>0</v>
      </c>
      <c r="BZ119" s="150" t="str">
        <f>BY119*VLOOKUP('Données projet'!$B$12,'Paramètres'!$A$1:$I$88,3,0)*VLOOKUP('Données projet'!$B$12,'Paramètres'!$A$1:$I$88,5,0)</f>
        <v>#N/A</v>
      </c>
      <c r="CA119" s="150" t="str">
        <f t="shared" si="40"/>
        <v>#N/A</v>
      </c>
      <c r="CB119" s="161" t="str">
        <f t="shared" si="11"/>
        <v>#N/A</v>
      </c>
      <c r="CC119" s="153" t="str">
        <f t="shared" si="12"/>
        <v>#N/A</v>
      </c>
      <c r="CD119" s="153" t="str">
        <f>AVERAGE(OFFSET($CC$3,0,0,'Données projet'!$E$12+1,1))-AVERAGE(OFFSET($H$3,0,0,'Données projet'!$E$12+1,1))</f>
        <v>#N/A</v>
      </c>
      <c r="CE119" s="153" t="str">
        <f t="shared" si="41"/>
        <v>#N/A</v>
      </c>
      <c r="CF119" s="154">
        <f>IF(ISNA(VLOOKUP(A119,'Données projet'!$A$113:$I$133,3,0)),0,VLOOKUP(A119,'Données projet'!$A$113:$I$133,3,0))</f>
        <v>0</v>
      </c>
      <c r="CG119" s="154">
        <f>IF(ISNA(VLOOKUP(A119,'Données projet'!$A$113:$I$133,4,0)),0,VLOOKUP(A119,'Données projet'!$A$113:$I$133,4,0))</f>
        <v>0</v>
      </c>
      <c r="CH119" s="155">
        <f>IF(ISNA(VLOOKUP(A119,'Données projet'!$A$113:$I$133,5,0)),0%,VLOOKUP(A119,'Données projet'!$A$113:$I$133,5,0)*VLOOKUP('Données projet'!$B$12,'Paramètres'!$A$1:$I$88,7,0))</f>
        <v>0</v>
      </c>
      <c r="CI119" s="155">
        <f>IF(ISNA(VLOOKUP(A119,'Données projet'!$A$113:$I$133,6,0)),0%,VLOOKUP(A119,'Données projet'!$A$113:$I$133,6,0)*VLOOKUP('Données projet'!$B$12,'Paramètres'!$A$1:$I$88,7,0))</f>
        <v>0</v>
      </c>
      <c r="CJ119" s="155">
        <f>IF(ISNA(VLOOKUP(A119,'Données projet'!$A$113:$I$133,7,0)),0%,VLOOKUP(A119,'Données projet'!$A$113:$I$133,7,0))</f>
        <v>0</v>
      </c>
      <c r="CK119" s="162" t="str">
        <f>EXP(-LN(2)/35)*CK118+(1-EXP(-LN(2)/35))/(LN(2)/35)*CG119*CH119*VLOOKUP('Données projet'!$B$12,'Paramètres'!$A$1:$I$88,3,0)*0.475*44/12</f>
        <v>#N/A</v>
      </c>
      <c r="CL119" s="162" t="str">
        <f>EXP(-LN(2)/25)*CL118+(1-EXP(-LN(2)/25))/(LN(2)/25)*Calculateur!CG119*Calculateur!CI119*VLOOKUP('Données projet'!$B$12,'Paramètres'!$A$1:$I$88,3,0)*0.475*44/12</f>
        <v>#N/A</v>
      </c>
      <c r="CM119" s="162" t="str">
        <f>EXP(-LN(2)/2)*CM118+(1-EXP(-LN(2)/2))/(LN(2)/2)*CG119*CJ119*VLOOKUP('Données projet'!$B$12,'Paramètres'!$A$1:$I$88,3,0)*0.475*44/12</f>
        <v>#N/A</v>
      </c>
      <c r="CN119" s="163" t="str">
        <f t="shared" si="13"/>
        <v>#N/A</v>
      </c>
      <c r="CO119" s="159">
        <f>('Scénario référence'!$F$8+'Scénario référence'!$F$9+'Scénario référence'!$B$17+'Scénario référence'!$B$9+'Scénario référence'!$B$10)*70+IF((45+25*(1-EXP(-0.0175*A119)))&lt;70,'Scénario référence'!$B$16*(45+25*(1-EXP(-0.0175*A119))),70*'Scénario référence'!$B$16)+IF((32+38*(1-EXP(-0.0175*A119)))&lt;70,'Scénario référence'!$B$18*(32+38*(1-EXP(-0.0175*A119))),70*'Scénario référence'!$B$18)</f>
        <v>70</v>
      </c>
      <c r="CP119" s="151">
        <f>IF(A119&gt;30,10,('Scénario référence'!$B$16+'Scénario référence'!$B$17+'Scénario référence'!$B$18+'Scénario référence'!$B$9+'Scénario référence'!$B$10)*A119*10/30+('Scénario référence'!$F$8+'Scénario référence'!$F$9)*10)</f>
        <v>10</v>
      </c>
      <c r="CQ119" s="151" t="str">
        <f>VLOOKUP(A119,'Données projet'!$A$139:$I$159,2,0)</f>
        <v>#N/A</v>
      </c>
      <c r="CR119" s="151" t="str">
        <f>VLOOKUP(A119,'Données projet'!$A$139:$I$159,9,0)</f>
        <v>#N/A</v>
      </c>
      <c r="CS119" s="151" t="str">
        <f t="array" ref="CS119">INDEX(CR:CR,MIN(IF(ISNUMBER(CR119:CR315),ROW(CR119:CR315),"")))</f>
        <v/>
      </c>
      <c r="CT119" s="151">
        <f>IF('Données projet'!$A$140&gt;35,CT118+CS119-DB118,IF(A119&lt;'Données projet'!$A$140,$CQ$205^A119,IF(A119='Données projet'!$A$140,'Données projet'!$B$140,CT118+CS119-DB118)))</f>
        <v>0</v>
      </c>
      <c r="CU119" s="158" t="str">
        <f>CT119*VLOOKUP('Données projet'!$B$13,'Paramètres'!$A$1:$I$88,3,0)*VLOOKUP('Données projet'!$B$13,'Paramètres'!$A$1:$I$88,5,0)</f>
        <v>#N/A</v>
      </c>
      <c r="CV119" s="150" t="str">
        <f t="shared" si="42"/>
        <v>#N/A</v>
      </c>
      <c r="CW119" s="161" t="str">
        <f t="shared" si="14"/>
        <v>#N/A</v>
      </c>
      <c r="CX119" s="153" t="str">
        <f t="shared" si="15"/>
        <v>#N/A</v>
      </c>
      <c r="CY119" s="153" t="str">
        <f>AVERAGE(OFFSET($CX$3,0,0,'Données projet'!$E$13+1,1))-AVERAGE(OFFSET($H$3,0,0,'Données projet'!$E$13+1,1))</f>
        <v>#N/A</v>
      </c>
      <c r="CZ119" s="153" t="str">
        <f t="shared" si="43"/>
        <v>#N/A</v>
      </c>
      <c r="DA119" s="154">
        <f>IF(ISNA(VLOOKUP(A119,'Données projet'!$A$139:$I$159,3,0)),0,VLOOKUP(A119,'Données projet'!$A$139:$I$159,3,0))</f>
        <v>0</v>
      </c>
      <c r="DB119" s="154">
        <f>IF(ISNA(VLOOKUP(A119,'Données projet'!$A$139:$I$159,4,0)),0,VLOOKUP(A119,'Données projet'!$A$139:$I$159,4,0))</f>
        <v>0</v>
      </c>
      <c r="DC119" s="155">
        <f>IF(ISNA(VLOOKUP(A119,'Données projet'!$A$139:$I$159,5,0)),0%,VLOOKUP(A119,'Données projet'!$A$139:$I$159,5,0)*VLOOKUP('Données projet'!$B$13,'Paramètres'!$A$1:$I$88,7,0))</f>
        <v>0</v>
      </c>
      <c r="DD119" s="155">
        <f>IF(ISNA(VLOOKUP(A119,'Données projet'!$A$139:$I$159,6,0)),0%,VLOOKUP(A119,'Données projet'!$A$139:$I$159,6,0)*VLOOKUP('Données projet'!$B$13,'Paramètres'!$A$1:$I$88,7,0))</f>
        <v>0</v>
      </c>
      <c r="DE119" s="155">
        <f>IF(ISNA(VLOOKUP(A119,'Données projet'!$A$139:$I$159,7,0)),0%,VLOOKUP(A119,'Données projet'!$A$139:$I$159,7,0))</f>
        <v>0</v>
      </c>
      <c r="DF119" s="162" t="str">
        <f>EXP(-LN(2)/35)*DF118+(1-EXP(-LN(2)/35))/(LN(2)/35)*DB119*DC119*VLOOKUP('Données projet'!$B$13,'Paramètres'!$A$1:$I$88,3,0)*0.475*44/12</f>
        <v>#N/A</v>
      </c>
      <c r="DG119" s="162" t="str">
        <f>EXP(-LN(2)/25)*DG118+(1-EXP(-LN(2)/25))/(LN(2)/25)*Calculateur!DB119*Calculateur!DD119*VLOOKUP('Données projet'!$B$13,'Paramètres'!$A$1:$I$88,3,0)*0.475*44/12</f>
        <v>#N/A</v>
      </c>
      <c r="DH119" s="162" t="str">
        <f>EXP(-LN(2)/2)*DH118+(1-EXP(-LN(2)/2))/(LN(2)/2)*DB119*DE119*VLOOKUP('Données projet'!$B$13,'Paramètres'!$A$1:$I$88,3,0)*0.475*44/12</f>
        <v>#N/A</v>
      </c>
      <c r="DI119" s="163" t="str">
        <f t="shared" si="16"/>
        <v>#N/A</v>
      </c>
      <c r="DJ119" s="159">
        <f>('Scénario référence'!$F$8+'Scénario référence'!$F$9+'Scénario référence'!$B$17+'Scénario référence'!$B$9+'Scénario référence'!$B$10)*70+IF((45+25*(1-EXP(-0.0175*A119)))&lt;70,'Scénario référence'!$B$16*(45+25*(1-EXP(-0.0175*A119))),70*'Scénario référence'!$B$16)+IF((32+38*(1-EXP(-0.0175*A119)))&lt;70,'Scénario référence'!$B$18*(32+38*(1-EXP(-0.0175*A119))),70*'Scénario référence'!$B$18)</f>
        <v>70</v>
      </c>
      <c r="DK119" s="151">
        <f>IF(A119&gt;30,10,('Scénario référence'!$B$16+'Scénario référence'!$B$17+'Scénario référence'!$B$18+'Scénario référence'!$B$9+'Scénario référence'!$B$10)*A119*10/30+('Scénario référence'!$F$8+'Scénario référence'!$F$9)*10)</f>
        <v>10</v>
      </c>
      <c r="DL119" s="151" t="str">
        <f>VLOOKUP(A119,'Données projet'!$A$165:$I$185,2,0)</f>
        <v>#N/A</v>
      </c>
      <c r="DM119" s="151" t="str">
        <f>VLOOKUP(A119,'Données projet'!$A$165:$I$185,9,0)</f>
        <v>#N/A</v>
      </c>
      <c r="DN119" s="151" t="str">
        <f t="array" ref="DN119">INDEX(DM:DM,MIN(IF(ISNUMBER(DM119:DM315),ROW(DM119:DM315),"")))</f>
        <v/>
      </c>
      <c r="DO119" s="151">
        <f>IF('Données projet'!$A$166&gt;35,DO118+DN119-DW118,IF(A119&lt;'Données projet'!$A$166,$DL$205^A119,IF(A119='Données projet'!$A$166,'Données projet'!$B$166,DO118+DN119-DW118)))</f>
        <v>0</v>
      </c>
      <c r="DP119" s="158" t="str">
        <f>DO119*VLOOKUP('Données projet'!$B$14,'Paramètres'!$A$1:$I$88,3,0)*VLOOKUP('Données projet'!$B$14,'Paramètres'!$A$1:$I$88,5,0)</f>
        <v>#N/A</v>
      </c>
      <c r="DQ119" s="150" t="str">
        <f t="shared" si="44"/>
        <v>#N/A</v>
      </c>
      <c r="DR119" s="161" t="str">
        <f t="shared" si="17"/>
        <v>#N/A</v>
      </c>
      <c r="DS119" s="153" t="str">
        <f t="shared" si="18"/>
        <v>#N/A</v>
      </c>
      <c r="DT119" s="153" t="str">
        <f>AVERAGE(OFFSET($DS$3,0,0,'Données projet'!$E$14+1,1))-AVERAGE(OFFSET($H$3,0,0,'Données projet'!$E$14+1,1))</f>
        <v>#N/A</v>
      </c>
      <c r="DU119" s="153" t="str">
        <f t="shared" si="45"/>
        <v>#N/A</v>
      </c>
      <c r="DV119" s="154">
        <f>IF(ISNA(VLOOKUP(A119,'Données projet'!$A$165:$I$185,3,0)),0,VLOOKUP(A119,'Données projet'!$A$165:$I$185,3,0))</f>
        <v>0</v>
      </c>
      <c r="DW119" s="154">
        <f>IF(ISNA(VLOOKUP(A119,'Données projet'!$A$165:$I$185,4,0)),0,VLOOKUP(A119,'Données projet'!$A$165:$I$185,4,0))</f>
        <v>0</v>
      </c>
      <c r="DX119" s="155">
        <f>IF(ISNA(VLOOKUP(A119,'Données projet'!$A$165:$I$185,5,0)),0%,VLOOKUP(A119,'Données projet'!$A$165:$I$185,5,0)*VLOOKUP('Données projet'!$B$14,'Paramètres'!$A$1:$I$88,7,0))</f>
        <v>0</v>
      </c>
      <c r="DY119" s="155">
        <f>IF(ISNA(VLOOKUP(A119,'Données projet'!$A$165:$I$185,6,0)),0%,VLOOKUP(A119,'Données projet'!$A$165:$I$185,6,0)*VLOOKUP('Données projet'!$B$14,'Paramètres'!$A$1:$I$88,7,0))</f>
        <v>0</v>
      </c>
      <c r="DZ119" s="155">
        <f>IF(ISNA(VLOOKUP(A119,'Données projet'!$A$165:$I$185,7,0)),0%,VLOOKUP(A119,'Données projet'!$A$165:$I$185,7,0))</f>
        <v>0</v>
      </c>
      <c r="EA119" s="162" t="str">
        <f>EXP(-LN(2)/35)*EA118+(1-EXP(-LN(2)/35))/(LN(2)/35)*DW119*DX119*VLOOKUP('Données projet'!$B$14,'Paramètres'!$A$1:$I$88,3,0)*0.475*44/12</f>
        <v>#N/A</v>
      </c>
      <c r="EB119" s="162" t="str">
        <f>EXP(-LN(2)/25)*EB118+(1-EXP(-LN(2)/25))/(LN(2)/25)*Calculateur!DW119*Calculateur!DY119*VLOOKUP('Données projet'!$B$14,'Paramètres'!$A$1:$I$88,3,0)*0.475*44/12</f>
        <v>#N/A</v>
      </c>
      <c r="EC119" s="162" t="str">
        <f>EXP(-LN(2)/2)*EC118+(1-EXP(-LN(2)/2))/(LN(2)/2)*DW119*DZ119*VLOOKUP('Données projet'!$B$14,'Paramètres'!$A$1:$I$88,3,0)*0.475*44/12</f>
        <v>#N/A</v>
      </c>
      <c r="ED119" s="163" t="str">
        <f t="shared" si="19"/>
        <v>#N/A</v>
      </c>
      <c r="EE119" s="159">
        <f>('Scénario référence'!$F$8+'Scénario référence'!$F$9+'Scénario référence'!$B$17+'Scénario référence'!$B$9+'Scénario référence'!$B$10)*70+IF((45+25*(1-EXP(-0.0175*A119)))&lt;70,'Scénario référence'!$B$16*(45+25*(1-EXP(-0.0175*A119))),70*'Scénario référence'!$B$16)+IF((32+38*(1-EXP(-0.0175*A119)))&lt;70,'Scénario référence'!$B$18*(32+38*(1-EXP(-0.0175*A119))),70*'Scénario référence'!$B$18)</f>
        <v>70</v>
      </c>
      <c r="EF119" s="151">
        <f>IF(A119&gt;30,10,('Scénario référence'!$B$16+'Scénario référence'!$B$17+'Scénario référence'!$B$18+'Scénario référence'!$B$9+'Scénario référence'!$B$10)*A119*10/30+('Scénario référence'!$F$8+'Scénario référence'!$F$9)*10)</f>
        <v>10</v>
      </c>
      <c r="EG119" s="151" t="str">
        <f>VLOOKUP(A119,'Données projet'!$A$191:$I$211,2,0)</f>
        <v>#N/A</v>
      </c>
      <c r="EH119" s="151" t="str">
        <f>VLOOKUP(A119,'Données projet'!$A$191:$I$211,9,0)</f>
        <v>#N/A</v>
      </c>
      <c r="EI119" s="151" t="str">
        <f t="array" ref="EI119">INDEX(EH:EH,MIN(IF(ISNUMBER(EH119:EH315),ROW(EH119:EH315),"")))</f>
        <v/>
      </c>
      <c r="EJ119" s="151">
        <f>IF('Données projet'!$A$192&gt;35,EJ118+EI119-ER118,IF(A119&lt;'Données projet'!$A$192,$EG$205^A119,IF(A119='Données projet'!$A$192,'Données projet'!$B$192,EJ118+EI119-ER118)))</f>
        <v>0</v>
      </c>
      <c r="EK119" s="158" t="str">
        <f>EJ119*VLOOKUP('Données projet'!$B$15,'Paramètres'!$A$1:$I$88,3,0)*VLOOKUP('Données projet'!$B$15,'Paramètres'!$A$1:$I$88,5,0)</f>
        <v>#N/A</v>
      </c>
      <c r="EL119" s="150" t="str">
        <f t="shared" si="46"/>
        <v>#N/A</v>
      </c>
      <c r="EM119" s="161" t="str">
        <f t="shared" si="20"/>
        <v>#N/A</v>
      </c>
      <c r="EN119" s="153" t="str">
        <f t="shared" si="21"/>
        <v>#N/A</v>
      </c>
      <c r="EO119" s="153" t="str">
        <f>AVERAGE(OFFSET($EN$3,0,0,'Données projet'!$E$15+1,1))-AVERAGE(OFFSET($H$3,0,0,'Données projet'!$E$15+1,1))</f>
        <v>#N/A</v>
      </c>
      <c r="EP119" s="153" t="str">
        <f t="shared" si="47"/>
        <v>#N/A</v>
      </c>
      <c r="EQ119" s="154">
        <f>IF(ISNA(VLOOKUP(A119,'Données projet'!$A$191:$I$211,3,0)),0,VLOOKUP(A119,'Données projet'!$A$191:$I$211,3,0))</f>
        <v>0</v>
      </c>
      <c r="ER119" s="154">
        <f>IF(ISNA(VLOOKUP(A119,'Données projet'!$A$191:$I$211,4,0)),0,VLOOKUP(A119,'Données projet'!$A$191:$I$211,4,0))</f>
        <v>0</v>
      </c>
      <c r="ES119" s="155">
        <f>IF(ISNA(VLOOKUP(A119,'Données projet'!$A$191:$I$211,5,0)),0%,VLOOKUP(A119,'Données projet'!$A$191:$I$211,5,0)*VLOOKUP('Données projet'!$B$15,'Paramètres'!$A$1:$I$88,7,0))</f>
        <v>0</v>
      </c>
      <c r="ET119" s="155">
        <f>IF(ISNA(VLOOKUP(A119,'Données projet'!$A$191:$I$211,6,0)),0%,VLOOKUP(A119,'Données projet'!$A$191:$I$211,6,0)*VLOOKUP('Données projet'!$B$15,'Paramètres'!$A$1:$I$88,7,0))</f>
        <v>0</v>
      </c>
      <c r="EU119" s="155">
        <f>IF(ISNA(VLOOKUP(A119,'Données projet'!$A$191:$I$211,7,0)),0%,VLOOKUP(A119,'Données projet'!$A$191:$I$211,7,0))</f>
        <v>0</v>
      </c>
      <c r="EV119" s="162" t="str">
        <f>EXP(-LN(2)/35)*EV118+(1-EXP(-LN(2)/35))/(LN(2)/35)*ER119*ES119*VLOOKUP('Données projet'!$B$15,'Paramètres'!$A$1:$I$88,3,0)*0.475*44/12</f>
        <v>#N/A</v>
      </c>
      <c r="EW119" s="162" t="str">
        <f>EXP(-LN(2)/25)*EW118+(1-EXP(-LN(2)/25))/(LN(2)/25)*Calculateur!ER119*Calculateur!ET119*VLOOKUP('Données projet'!$B$15,'Paramètres'!$A$1:$I$88,3,0)*0.475*44/12</f>
        <v>#N/A</v>
      </c>
      <c r="EX119" s="162" t="str">
        <f>EXP(-LN(2)/2)*EX118+(1-EXP(-LN(2)/2))/(LN(2)/2)*ER119*EU119*VLOOKUP('Données projet'!$B$15,'Paramètres'!$A$1:$I$88,3,0)*0.475*44/12</f>
        <v>#N/A</v>
      </c>
      <c r="EY119" s="163" t="str">
        <f t="shared" si="22"/>
        <v>#N/A</v>
      </c>
      <c r="EZ119" s="159">
        <f>('Scénario référence'!$F$8+'Scénario référence'!$F$9+'Scénario référence'!$B$17+'Scénario référence'!$B$9+'Scénario référence'!$B$10)*70+IF((45+25*(1-EXP(-0.0175*A119)))&lt;70,'Scénario référence'!$B$16*(45+25*(1-EXP(-0.0175*A119))),70*'Scénario référence'!$B$16)+IF((32+38*(1-EXP(-0.0175*A119)))&lt;70,'Scénario référence'!$B$18*(32+38*(1-EXP(-0.0175*A119))),70*'Scénario référence'!$B$18)</f>
        <v>70</v>
      </c>
      <c r="FA119" s="151">
        <f>IF(A119&gt;30,10,('Scénario référence'!$B$16+'Scénario référence'!$B$17+'Scénario référence'!$B$18+'Scénario référence'!$B$9+'Scénario référence'!$B$10)*A119*10/30+('Scénario référence'!$F$8+'Scénario référence'!$F$9)*10)</f>
        <v>10</v>
      </c>
      <c r="FB119" s="151" t="str">
        <f>VLOOKUP(A119,'Données projet'!$A$217:$I$237,2,0)</f>
        <v>#N/A</v>
      </c>
      <c r="FC119" s="151" t="str">
        <f>VLOOKUP(A119,'Données projet'!$A$217:$I$237,9,0)</f>
        <v>#N/A</v>
      </c>
      <c r="FD119" s="151" t="str">
        <f t="array" ref="FD119">INDEX(FC:FC,MIN(IF(ISNUMBER(FC119:FC315),ROW(FC119:FC315),"")))</f>
        <v/>
      </c>
      <c r="FE119" s="151">
        <f>IF('Données projet'!$A$218&gt;35,FE118+FD119-FM118,IF(A119&lt;'Données projet'!$A$218,$FB$205^A119,IF(A119='Données projet'!$A$218,'Données projet'!$B$218,FE118+FD119-FM118)))</f>
        <v>0</v>
      </c>
      <c r="FF119" s="158" t="str">
        <f>FE119*VLOOKUP('Données projet'!$B$16,'Paramètres'!$A$1:$I$88,3,0)*VLOOKUP('Données projet'!$B$16,'Paramètres'!$A$1:$I$88,5,0)</f>
        <v>#N/A</v>
      </c>
      <c r="FG119" s="150" t="str">
        <f t="shared" si="48"/>
        <v>#N/A</v>
      </c>
      <c r="FH119" s="161" t="str">
        <f t="shared" si="23"/>
        <v>#N/A</v>
      </c>
      <c r="FI119" s="153" t="str">
        <f t="shared" si="24"/>
        <v>#N/A</v>
      </c>
      <c r="FJ119" s="153" t="str">
        <f>AVERAGE(OFFSET($FI$3,0,0,'Données projet'!$E$16+1,1))-AVERAGE(OFFSET($H$3,0,0,'Données projet'!$E$16+1,1))</f>
        <v>#N/A</v>
      </c>
      <c r="FK119" s="153" t="str">
        <f t="shared" si="49"/>
        <v>#N/A</v>
      </c>
      <c r="FL119" s="154">
        <f>IF(ISNA(VLOOKUP(A119,'Données projet'!$A$217:$I$237,3,0)),0,VLOOKUP(A119,'Données projet'!$A$217:$I$237,3,0))</f>
        <v>0</v>
      </c>
      <c r="FM119" s="154">
        <f>IF(ISNA(VLOOKUP(A119,'Données projet'!$A$217:$I$237,4,0)),0,VLOOKUP(A119,'Données projet'!$A$217:$I$237,4,0))</f>
        <v>0</v>
      </c>
      <c r="FN119" s="155">
        <f>IF(ISNA(VLOOKUP(A119,'Données projet'!$A$217:$I$237,5,0)),0%,VLOOKUP(A119,'Données projet'!$A$217:$I$237,5,0)*VLOOKUP('Données projet'!$B$16,'Paramètres'!$A$1:$I$88,7,0))</f>
        <v>0</v>
      </c>
      <c r="FO119" s="155">
        <f>IF(ISNA(VLOOKUP(A119,'Données projet'!$A$217:$I$237,6,0)),0%,VLOOKUP(A119,'Données projet'!$A$217:$I$237,6,0)*VLOOKUP('Données projet'!$B$16,'Paramètres'!$A$1:$I$88,7,0))</f>
        <v>0</v>
      </c>
      <c r="FP119" s="155">
        <f>IF(ISNA(VLOOKUP(A119,'Données projet'!$A$217:$I$237,7,0)),0%,VLOOKUP(A119,'Données projet'!$A$217:$I$237,7,0))</f>
        <v>0</v>
      </c>
      <c r="FQ119" s="162" t="str">
        <f>EXP(-LN(2)/35)*FQ118+(1-EXP(-LN(2)/35))/(LN(2)/35)*FM119*FN119*VLOOKUP('Données projet'!$B$16,'Paramètres'!$A$1:$I$88,3,0)*0.475*44/12</f>
        <v>#N/A</v>
      </c>
      <c r="FR119" s="162" t="str">
        <f>EXP(-LN(2)/25)*FR118+(1-EXP(-LN(2)/25))/(LN(2)/25)*Calculateur!FM119*Calculateur!FO119*VLOOKUP('Données projet'!$B$16,'Paramètres'!$A$1:$I$88,3,0)*0.475*44/12</f>
        <v>#N/A</v>
      </c>
      <c r="FS119" s="162" t="str">
        <f>EXP(-LN(2)/2)*FS118+(1-EXP(-LN(2)/2))/(LN(2)/2)*FM119*FP119*VLOOKUP('Données projet'!$B$16,'Paramètres'!$A$1:$I$88,3,0)*0.475*44/12</f>
        <v>#N/A</v>
      </c>
      <c r="FT119" s="163" t="str">
        <f t="shared" si="25"/>
        <v>#N/A</v>
      </c>
      <c r="FU119" s="159">
        <f>('Scénario référence'!$F$8+'Scénario référence'!$F$9+'Scénario référence'!$B$17+'Scénario référence'!$B$9+'Scénario référence'!$B$10)*70+IF((45+25*(1-EXP(-0.0175*A119)))&lt;70,'Scénario référence'!$B$16*(45+25*(1-EXP(-0.0175*A119))),70*'Scénario référence'!$B$16)+IF((32+38*(1-EXP(-0.0175*A119)))&lt;70,'Scénario référence'!$B$18*(32+38*(1-EXP(-0.0175*A119))),70*'Scénario référence'!$B$18)</f>
        <v>70</v>
      </c>
      <c r="FV119" s="151">
        <f>IF(A119&gt;30,10,('Scénario référence'!$B$16+'Scénario référence'!$B$17+'Scénario référence'!$B$18+'Scénario référence'!$B$9+'Scénario référence'!$B$10)*A119*10/30+('Scénario référence'!$F$8+'Scénario référence'!$F$9)*10)</f>
        <v>10</v>
      </c>
      <c r="FW119" s="151" t="str">
        <f>VLOOKUP(A119,'Données projet'!$A$243:$I$263,2,0)</f>
        <v>#N/A</v>
      </c>
      <c r="FX119" s="151" t="str">
        <f>VLOOKUP(A119,'Données projet'!$A$243:$I$263,9,0)</f>
        <v>#N/A</v>
      </c>
      <c r="FY119" s="151" t="str">
        <f t="array" ref="FY119">INDEX(FX:FX,MIN(IF(ISNUMBER(FX119:FX315),ROW(FX119:FX315),"")))</f>
        <v/>
      </c>
      <c r="FZ119" s="151">
        <f>IF('Données projet'!$A$244&gt;35,FZ118+FY119-GH118,IF(A119&lt;'Données projet'!$A$244,$FW$205^A119,IF(A119='Données projet'!$A$244,'Données projet'!$B$244,FZ118+FY119-GH118)))</f>
        <v>0</v>
      </c>
      <c r="GA119" s="158" t="str">
        <f>FZ119*VLOOKUP('Données projet'!$B$17,'Paramètres'!$A$1:$I$88,3,0)*VLOOKUP('Données projet'!$B$17,'Paramètres'!$A$1:$I$88,5,0)</f>
        <v>#N/A</v>
      </c>
      <c r="GB119" s="150" t="str">
        <f t="shared" si="50"/>
        <v>#N/A</v>
      </c>
      <c r="GC119" s="161" t="str">
        <f t="shared" si="26"/>
        <v>#N/A</v>
      </c>
      <c r="GD119" s="153" t="str">
        <f t="shared" si="27"/>
        <v>#N/A</v>
      </c>
      <c r="GE119" s="153" t="str">
        <f>AVERAGE(OFFSET($GD$3,0,0,'Données projet'!$E$17+1,1))-AVERAGE(OFFSET($H$3,0,0,'Données projet'!$E$17+1,1))</f>
        <v>#N/A</v>
      </c>
      <c r="GF119" s="153" t="str">
        <f t="shared" si="51"/>
        <v>#N/A</v>
      </c>
      <c r="GG119" s="154">
        <f>IF(ISNA(VLOOKUP(A119,'Données projet'!$A$243:$I$263,3,0)),0,VLOOKUP(A119,'Données projet'!$A$243:$I$263,3,0))</f>
        <v>0</v>
      </c>
      <c r="GH119" s="154">
        <f>IF(ISNA(VLOOKUP(A119,'Données projet'!$A$243:$I$263,4,0)),0,VLOOKUP(A119,'Données projet'!$A$243:$I$263,4,0))</f>
        <v>0</v>
      </c>
      <c r="GI119" s="155">
        <f>IF(ISNA(VLOOKUP(A119,'Données projet'!$A$243:$I$263,5,0)),0%,VLOOKUP(A119,'Données projet'!$A$243:$I$263,5,0)*VLOOKUP('Données projet'!$B$17,'Paramètres'!$A$1:$I$88,7,0))</f>
        <v>0</v>
      </c>
      <c r="GJ119" s="155">
        <f>IF(ISNA(VLOOKUP(A119,'Données projet'!$A$243:$I$263,6,0)),0%,VLOOKUP(A119,'Données projet'!$A$243:$I$263,6,0)*VLOOKUP('Données projet'!$B$17,'Paramètres'!$A$1:$I$88,7,0))</f>
        <v>0</v>
      </c>
      <c r="GK119" s="155">
        <f>IF(ISNA(VLOOKUP(A119,'Données projet'!$A$243:$I$263,7,0)),0%,VLOOKUP(A119,'Données projet'!$A$243:$I$263,7,0))</f>
        <v>0</v>
      </c>
      <c r="GL119" s="162" t="str">
        <f>EXP(-LN(2)/35)*GL118+(1-EXP(-LN(2)/35))/(LN(2)/35)*GH119*GI119*VLOOKUP('Données projet'!$B$17,'Paramètres'!$A$1:$I$88,3,0)*0.475*44/12</f>
        <v>#N/A</v>
      </c>
      <c r="GM119" s="162" t="str">
        <f>EXP(-LN(2)/25)*GM118+(1-EXP(-LN(2)/25))/(LN(2)/25)*Calculateur!GH119*Calculateur!GJ119*VLOOKUP('Données projet'!$B$17,'Paramètres'!$A$1:$I$88,3,0)*0.475*44/12</f>
        <v>#N/A</v>
      </c>
      <c r="GN119" s="162" t="str">
        <f>EXP(-LN(2)/2)*GN118+(1-EXP(-LN(2)/2))/(LN(2)/2)*GH119*GK119*VLOOKUP('Données projet'!$B$17,'Paramètres'!$A$1:$I$88,3,0)*0.475*44/12</f>
        <v>#N/A</v>
      </c>
      <c r="GO119" s="162" t="str">
        <f t="shared" si="28"/>
        <v>#N/A</v>
      </c>
      <c r="GP119" s="159">
        <f>('Scénario référence'!$F$8+'Scénario référence'!$F$9+'Scénario référence'!$B$17+'Scénario référence'!$B$9+'Scénario référence'!$B$10)*70+IF((45+25*(1-EXP(-0.0175*A119)))&lt;70,'Scénario référence'!$B$16*(45+25*(1-EXP(-0.0175*A119))),70*'Scénario référence'!$B$16)+IF((32+38*(1-EXP(-0.0175*A119)))&lt;70,'Scénario référence'!$B$18*(32+38*(1-EXP(-0.0175*A119))),70*'Scénario référence'!$B$18)</f>
        <v>70</v>
      </c>
      <c r="GQ119" s="151">
        <f>IF(A119&gt;30,10,('Scénario référence'!$B$16+'Scénario référence'!$B$17+'Scénario référence'!$B$18+'Scénario référence'!$B$9+'Scénario référence'!$B$10)*A119*10/30+('Scénario référence'!$F$8+'Scénario référence'!$F$9)*10)</f>
        <v>10</v>
      </c>
      <c r="GR119" s="151" t="str">
        <f>VLOOKUP(A119,'Données projet'!$A$269:$I$289,2,0)</f>
        <v>#N/A</v>
      </c>
      <c r="GS119" s="151" t="str">
        <f>VLOOKUP(A119,'Données projet'!$A$269:$I$289,9,0)</f>
        <v>#N/A</v>
      </c>
      <c r="GT119" s="151" t="str">
        <f t="array" ref="GT119">INDEX(GS:GS,MIN(IF(ISNUMBER(GS119:GS315),ROW(GS119:GS315),"")))</f>
        <v/>
      </c>
      <c r="GU119" s="151">
        <f>IF('Données projet'!$A$270&gt;35,GU118+GT119-HC118,IF(A119&lt;'Données projet'!$A$270,$GR$205^A119,IF(A119='Données projet'!$A$270,'Données projet'!$B$270,GU118+GT119-HC118)))</f>
        <v>0</v>
      </c>
      <c r="GV119" s="158" t="str">
        <f>GU119*VLOOKUP('Données projet'!$B$18,'Paramètres'!$A$1:$I$88,3,0)*VLOOKUP('Données projet'!$B$18,'Paramètres'!$A$1:$I$88,5,0)</f>
        <v>#N/A</v>
      </c>
      <c r="GW119" s="150" t="str">
        <f t="shared" si="52"/>
        <v>#N/A</v>
      </c>
      <c r="GX119" s="161" t="str">
        <f t="shared" si="29"/>
        <v>#N/A</v>
      </c>
      <c r="GY119" s="153" t="str">
        <f t="shared" si="30"/>
        <v>#N/A</v>
      </c>
      <c r="GZ119" s="153" t="str">
        <f>AVERAGE(OFFSET($GY$3,0,0,'Données projet'!$E$18+1,1))-AVERAGE(OFFSET($H$3,0,0,'Données projet'!$E$18+1,1))</f>
        <v>#N/A</v>
      </c>
      <c r="HA119" s="153" t="str">
        <f t="shared" si="53"/>
        <v>#N/A</v>
      </c>
      <c r="HB119" s="154">
        <f>IF(ISNA(VLOOKUP(A119,'Données projet'!$A$269:$I$289,3,0)),0,VLOOKUP(A119,'Données projet'!$A$269:$I$289,3,0))</f>
        <v>0</v>
      </c>
      <c r="HC119" s="154">
        <f>IF(ISNA(VLOOKUP(A119,'Données projet'!$A$269:$I$289,4,0)),0,VLOOKUP(A119,'Données projet'!$A$269:$I$289,4,0))</f>
        <v>0</v>
      </c>
      <c r="HD119" s="155">
        <f>IF(ISNA(VLOOKUP(A119,'Données projet'!$A$269:$I$289,5,0)),0%,VLOOKUP(A119,'Données projet'!$A$269:$I$289,5,0)*VLOOKUP('Données projet'!$B$18,'Paramètres'!$A$1:$I$88,7,0))</f>
        <v>0</v>
      </c>
      <c r="HE119" s="155">
        <f>IF(ISNA(VLOOKUP(A119,'Données projet'!$A$269:$I$289,6,0)),0%,VLOOKUP(A119,'Données projet'!$A$269:$I$289,6,0)*VLOOKUP('Données projet'!$B$18,'Paramètres'!$A$1:$I$88,7,0))</f>
        <v>0</v>
      </c>
      <c r="HF119" s="155">
        <f>IF(ISNA(VLOOKUP(A119,'Données projet'!$A$269:$I$289,7,0)),0%,VLOOKUP(A119,'Données projet'!$A$269:$I$289,7,0))</f>
        <v>0</v>
      </c>
      <c r="HG119" s="162" t="str">
        <f>EXP(-LN(2)/35)*HG118+(1-EXP(-LN(2)/35))/(LN(2)/35)*HC119*HD119*VLOOKUP('Données projet'!$B$18,'Paramètres'!$A$1:$I$88,3,0)*0.475*44/12</f>
        <v>#N/A</v>
      </c>
      <c r="HH119" s="162" t="str">
        <f>EXP(-LN(2)/25)*HH118+(1-EXP(-LN(2)/25))/(LN(2)/25)*Calculateur!HC119*Calculateur!HE119*VLOOKUP('Données projet'!$B$18,'Paramètres'!$A$1:$I$88,3,0)*0.475*44/12</f>
        <v>#N/A</v>
      </c>
      <c r="HI119" s="162" t="str">
        <f>EXP(-LN(2)/2)*HI118+(1-EXP(-LN(2)/2))/(LN(2)/2)*HC119*HF119*VLOOKUP('Données projet'!$B$18,'Paramètres'!$A$1:$I$88,3,0)*0.475*44/12</f>
        <v>#N/A</v>
      </c>
      <c r="HJ119" s="163" t="str">
        <f t="shared" si="31"/>
        <v>#N/A</v>
      </c>
    </row>
    <row r="120" ht="15.75" customHeight="1">
      <c r="A120" s="145">
        <f t="shared" si="32"/>
        <v>117</v>
      </c>
      <c r="B120" s="146">
        <f>'Scénario référence'!$B$16*5+'Scénario référence'!$B$17*0+'Scénario référence'!$B$18*5</f>
        <v>0</v>
      </c>
      <c r="C120" s="160">
        <f>Calculateur!C119+'Scénario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20" s="147">
        <f t="shared" si="33"/>
        <v>0</v>
      </c>
      <c r="E120" s="147">
        <f>'Scénario référence'!$B$16*45+('Scénario référence'!$B$17+'Scénario référence'!$F$8+'Scénario référence'!$F$9+'Scénario référence'!$B$10+'Scénario référence'!$B$9)*70+'Scénario référence'!$B$18*32</f>
        <v>70</v>
      </c>
      <c r="F120" s="147">
        <f>IF(OR('Scénario référence'!$F$8&gt;0,'Scénario référence'!$F$9&gt;0),('Scénario référence'!$F$8+'Scénario référence'!$F$9)*10,0)</f>
        <v>0</v>
      </c>
      <c r="G120" s="147">
        <f>'Scénario référence'!$B$8*B120*44/12+'Scénario référence'!$B$9*(C120+D120)/0.475*44/12+'Scénario référence'!$B$10*(C120+D120)/0.475*44/12+'Scénario référence'!$F$8*(C120+D120)/0.475*44/12+'Scénario référence'!$F$9*(C120+D120)/0.475*44/12</f>
        <v>0</v>
      </c>
      <c r="H120" s="148">
        <f t="shared" si="1"/>
        <v>256.6666667</v>
      </c>
      <c r="I120" s="149">
        <f>('Scénario référence'!$F$8+'Scénario référence'!$F$9+'Scénario référence'!$B$17+'Scénario référence'!$B$9+'Scénario référence'!$B$10)*70+IF((45+25*(1-EXP(-0.0175*A120)))&lt;70,'Scénario référence'!$B$16*(45+25*(1-EXP(-0.0175*A120))),70*'Scénario référence'!$B$16)+IF((32+38*(1-EXP(-0.0175*A120)))&lt;70,'Scénario référence'!$B$18*(32+38*(1-EXP(-0.0175*A120))),70*'Scénario référence'!$B$18)</f>
        <v>70</v>
      </c>
      <c r="J120" s="150">
        <f>IF(A120&gt;30,10,('Scénario référence'!$B$16+'Scénario référence'!$B$17+'Scénario référence'!$B$18+'Scénario référence'!$B$9+'Scénario référence'!$B$10)*A120*10/30+('Scénario référence'!$F$8+'Scénario référence'!$F$9)*10)</f>
        <v>10</v>
      </c>
      <c r="K120" s="151" t="str">
        <f>VLOOKUP(A120,'Données projet'!$A$35:$I$55,2,0)</f>
        <v>#N/A</v>
      </c>
      <c r="L120" s="151" t="str">
        <f>VLOOKUP(A120,'Données projet'!$A$35:$I$55,9,0)</f>
        <v>#N/A</v>
      </c>
      <c r="M120" s="150" t="str">
        <f t="array" ref="M120">INDEX(L:L,MIN(IF(ISNUMBER(L120:L316),ROW(L120:L316),"")))</f>
        <v/>
      </c>
      <c r="N120" s="150">
        <f>IF('Données projet'!$A$36&gt;35,N119+M120-V119,IF(A120&lt;'Données projet'!$A$36,$K$205^A120,IF(A120='Données projet'!$A$36,'Données projet'!$B$36,N119+M120-V119)))</f>
        <v>307</v>
      </c>
      <c r="O120" s="150">
        <f>N120*VLOOKUP('Données projet'!$B$9,'Paramètres'!$A$1:$I$88,3,0)*VLOOKUP('Données projet'!$B$9,'Paramètres'!$A$1:$I$88,5,0)</f>
        <v>277.7736</v>
      </c>
      <c r="P120" s="150">
        <f t="shared" si="34"/>
        <v>66.49628818</v>
      </c>
      <c r="Q120" s="161">
        <f t="shared" si="2"/>
        <v>599.6033886</v>
      </c>
      <c r="R120" s="153">
        <f t="shared" si="3"/>
        <v>892.9367219</v>
      </c>
      <c r="S120" s="153">
        <f>AVERAGE(OFFSET($R$3,0,0,'Données projet'!$E$9+1,1))-AVERAGE(OFFSET($H$3,0,0,'Données projet'!$E$9+1,1))</f>
        <v>439.1985427</v>
      </c>
      <c r="T120" s="153">
        <f t="shared" si="35"/>
        <v>278.2174123</v>
      </c>
      <c r="U120" s="154">
        <f>IF(ISNA(VLOOKUP(A120,'Données projet'!$A$35:$I$55,3,0)),0,VLOOKUP(A120,'Données projet'!$A$35:$I$55,3,0))</f>
        <v>0</v>
      </c>
      <c r="V120" s="154">
        <f>IF(ISNA(VLOOKUP(A120,'Données projet'!$A$35:$I$55,4,0)),0,VLOOKUP(A120,'Données projet'!$A$35:$I$55,4,0))</f>
        <v>0</v>
      </c>
      <c r="W120" s="155">
        <f>IF(ISNA(VLOOKUP(A120,'Données projet'!$A$35:$I$55,5,0)),0%,VLOOKUP(A120,'Données projet'!$A$35:$I$55,5,0)*VLOOKUP('Données projet'!$B$9,'Paramètres'!$A$1:$I$88,7,0))</f>
        <v>0</v>
      </c>
      <c r="X120" s="155">
        <f>IF(ISNA(VLOOKUP(A120,'Données projet'!$A$35:$I$55,6,0)),0%,VLOOKUP(A120,'Données projet'!$A$35:$I$55,6,0)*VLOOKUP('Données projet'!$B$9,'Paramètres'!$A$1:$I$88,7,0))</f>
        <v>0</v>
      </c>
      <c r="Y120" s="155">
        <f>IF(ISNA(VLOOKUP(A120,'Données projet'!$A$35:$I$55,7,0)),0%,VLOOKUP(A120,'Données projet'!$A$35:$I$55,7,0))</f>
        <v>0</v>
      </c>
      <c r="Z120" s="162">
        <f>EXP(-LN(2)/35)*Z119+(1-EXP(-LN(2)/35))/(LN(2)/35)*V120*W120*VLOOKUP('Données projet'!$B$9,'Paramètres'!$A$1:$I$88,3,0)*0.475*44/12</f>
        <v>0</v>
      </c>
      <c r="AA120" s="162">
        <f>EXP(-LN(2)/25)*AA119+(1-EXP(-LN(2)/25))/(LN(2)/25)*Calculateur!V120*Calculateur!X120*VLOOKUP('Données projet'!$B$9,'Paramètres'!$A$1:$I$88,3,0)*0.475*44/12</f>
        <v>0.4021868753</v>
      </c>
      <c r="AB120" s="162">
        <f>EXP(-LN(2)/2)*AB119+(1-EXP(-LN(2)/2))/(LN(2)/2)*V120*Y120*VLOOKUP('Données projet'!$B$9,'Paramètres'!$A$1:$I$88,3,0)*0.475*44/12</f>
        <v>0</v>
      </c>
      <c r="AC120" s="163">
        <f t="shared" si="4"/>
        <v>0.4021868753</v>
      </c>
      <c r="AD120" s="150">
        <f>('Scénario référence'!$F$8+'Scénario référence'!$F$9+'Scénario référence'!$B$17+'Scénario référence'!$B$9+'Scénario référence'!$B$10)*70+IF((45+25*(1-EXP(-0.0175*A120)))&lt;70,'Scénario référence'!$B$16*(45+25*(1-EXP(-0.0175*A120))),70*'Scénario référence'!$B$16)+IF((32+38*(1-EXP(-0.0175*A120)))&lt;70,'Scénario référence'!$B$18*(32+38*(1-EXP(-0.0175*A120))),70*'Scénario référence'!$B$18)</f>
        <v>70</v>
      </c>
      <c r="AE120" s="150">
        <f>IF(A120&gt;30,10,('Scénario référence'!$B$16+'Scénario référence'!$B$17+'Scénario référence'!$B$18+'Scénario référence'!$B$9+'Scénario référence'!$B$10)*A120*10/30+('Scénario référence'!$F$8+'Scénario référence'!$F$9)*10)</f>
        <v>10</v>
      </c>
      <c r="AF120" s="151" t="str">
        <f>VLOOKUP(A120,'Données projet'!$A$61:$I$81,2,0)</f>
        <v>#N/A</v>
      </c>
      <c r="AG120" s="151" t="str">
        <f>VLOOKUP(A120,'Données projet'!$A$61:$I$81,9,0)</f>
        <v>#N/A</v>
      </c>
      <c r="AH120" s="151" t="str">
        <f t="array" ref="AH120">INDEX(AG:AG,MIN(IF(ISNUMBER(AG120:AG316),ROW(AG120:AG316),"")))</f>
        <v/>
      </c>
      <c r="AI120" s="150">
        <f>IF('Données projet'!$A$62&gt;35,AI119+AH120-AQ119,IF(A120&lt;'Données projet'!$A$62,$AF$205^A120,IF(A120='Données projet'!$A$62,'Données projet'!$B$62,AI119+AH120-AQ119)))</f>
        <v>369</v>
      </c>
      <c r="AJ120" s="150">
        <f>AI120*VLOOKUP('Données projet'!$B$10,'Paramètres'!$A$1:$I$88,3,0)*VLOOKUP('Données projet'!$B$10,'Paramètres'!$A$1:$I$88,5,0)</f>
        <v>293.5764</v>
      </c>
      <c r="AK120" s="150">
        <f t="shared" si="36"/>
        <v>69.82813851</v>
      </c>
      <c r="AL120" s="161">
        <f t="shared" si="5"/>
        <v>632.9295712</v>
      </c>
      <c r="AM120" s="153">
        <f t="shared" si="6"/>
        <v>926.2629046</v>
      </c>
      <c r="AN120" s="153">
        <f>AVERAGE(OFFSET($AM$3,0,0,'Données projet'!$E$10+1,1))-AVERAGE(OFFSET($H$3,0,0,'Données projet'!$E$10+1,1))</f>
        <v>405.6113614</v>
      </c>
      <c r="AO120" s="153">
        <f t="shared" si="37"/>
        <v>393.0787141</v>
      </c>
      <c r="AP120" s="154">
        <f>IF(ISNA(VLOOKUP(A120,'Données projet'!$A$61:$I$81,3,0)),0,VLOOKUP(A120,'Données projet'!$A$61:$I$81,3,0))</f>
        <v>0</v>
      </c>
      <c r="AQ120" s="154">
        <f>IF(ISNA(VLOOKUP(A120,'Données projet'!$A$61:$I$81,4,0)),0,VLOOKUP(A120,'Données projet'!$A$61:$I$81,4,0))</f>
        <v>0</v>
      </c>
      <c r="AR120" s="155">
        <f>IF(ISNA(VLOOKUP(A120,'Données projet'!$A$61:$I$81,5,0)),0%,VLOOKUP(A120,'Données projet'!$A$61:$I$81,5,0)*VLOOKUP('Données projet'!$B$10,'Paramètres'!$A$1:$I$88,7,0))</f>
        <v>0</v>
      </c>
      <c r="AS120" s="155">
        <f>IF(ISNA(VLOOKUP(A120,'Données projet'!$A$61:$I$81,6,0)),0%,VLOOKUP(A120,'Données projet'!$A$61:$I$81,6,0)*VLOOKUP('Données projet'!$B$10,'Paramètres'!$A$1:$I$88,7,0))</f>
        <v>0</v>
      </c>
      <c r="AT120" s="155">
        <f>IF(ISNA(VLOOKUP(A120,'Données projet'!$A$61:$I$81,7,0)),0%,VLOOKUP(A120,'Données projet'!$A$61:$I$81,7,0))</f>
        <v>0</v>
      </c>
      <c r="AU120" s="162">
        <f>EXP(-LN(2)/35)*AU119+(1-EXP(-LN(2)/35))/(LN(2)/35)*AQ120*AR120*VLOOKUP('Données projet'!$B$10,'Paramètres'!$A$1:$I$88,3,0)*0.475*44/12</f>
        <v>0</v>
      </c>
      <c r="AV120" s="162">
        <f>EXP(-LN(2)/25)*AV119+(1-EXP(-LN(2)/25))/(LN(2)/25)*Calculateur!AQ120*Calculateur!AS120*VLOOKUP('Données projet'!$B$10,'Paramètres'!$A$1:$I$88,3,0)*0.475*44/12</f>
        <v>1.634589701</v>
      </c>
      <c r="AW120" s="162">
        <f>EXP(-LN(2)/2)*AW119+(1-EXP(-LN(2)/2))/(LN(2)/2)*AQ120*AT120*VLOOKUP('Données projet'!$B$10,'Paramètres'!$A$1:$I$88,3,0)*0.475*44/12</f>
        <v>0</v>
      </c>
      <c r="AX120" s="162">
        <f t="shared" si="7"/>
        <v>1.634589701</v>
      </c>
      <c r="AY120" s="157">
        <f>('Scénario référence'!$F$8+'Scénario référence'!$F$9+'Scénario référence'!$B$17+'Scénario référence'!$B$9+'Scénario référence'!$B$10)*70+IF((45+25*(1-EXP(-0.0175*A120)))&lt;70,'Scénario référence'!$B$16*(45+25*(1-EXP(-0.0175*A120))),70*'Scénario référence'!$B$16)+IF((32+38*(1-EXP(-0.0175*A120)))&lt;70,'Scénario référence'!$B$18*(32+38*(1-EXP(-0.0175*A120))),70*'Scénario référence'!$B$18)</f>
        <v>70</v>
      </c>
      <c r="AZ120" s="151">
        <f>IF(A120&gt;30,10,('Scénario référence'!$B$16+'Scénario référence'!$B$17+'Scénario référence'!$B$18+'Scénario référence'!$B$9+'Scénario référence'!$B$10)*A120*10/30+('Scénario référence'!$F$8+'Scénario référence'!$F$9)*10)</f>
        <v>10</v>
      </c>
      <c r="BA120" s="151" t="str">
        <f>VLOOKUP(A120,'Données projet'!$A$87:$I$107,2,0)</f>
        <v>#N/A</v>
      </c>
      <c r="BB120" s="151" t="str">
        <f>VLOOKUP(A120,'Données projet'!$A$87:$I$107,9,0)</f>
        <v>#N/A</v>
      </c>
      <c r="BC120" s="151" t="str">
        <f t="array" ref="BC120">INDEX(BB:BB,MIN(IF(ISNUMBER(BB120:BB316),ROW(BB120:BB316),"")))</f>
        <v/>
      </c>
      <c r="BD120" s="150">
        <f>IF('Données projet'!$A$88&gt;35,BD119+BC120-BL119,IF(A120&lt;'Données projet'!$A$88,$BA$205^A120,IF(A120='Données projet'!$A$88,'Données projet'!$B$88,BD119+BC120-BL119)))</f>
        <v>0</v>
      </c>
      <c r="BE120" s="150">
        <f>BD120*VLOOKUP('Données projet'!$B$11,'Paramètres'!$A$1:$I$88,3,0)*VLOOKUP('Données projet'!$B$11,'Paramètres'!$A$1:$I$88,5,0)</f>
        <v>0</v>
      </c>
      <c r="BF120" s="150" t="str">
        <f t="shared" si="38"/>
        <v>#NUM!</v>
      </c>
      <c r="BG120" s="161" t="str">
        <f t="shared" si="8"/>
        <v>#NUM!</v>
      </c>
      <c r="BH120" s="153" t="str">
        <f t="shared" si="9"/>
        <v>#NUM!</v>
      </c>
      <c r="BI120" s="153">
        <f>AVERAGE(OFFSET($BH$3,0,0,'Données projet'!$E$11+1,1))-AVERAGE(OFFSET($H$3,0,0,'Données projet'!$E$11+1,1))</f>
        <v>0</v>
      </c>
      <c r="BJ120" s="153">
        <f t="shared" si="39"/>
        <v>0</v>
      </c>
      <c r="BK120" s="154">
        <f>IF(ISNA(VLOOKUP(A120,'Données projet'!$A$87:$I$107,3,0)),0,VLOOKUP(A120,'Données projet'!$A$87:$I$107,3,0))</f>
        <v>0</v>
      </c>
      <c r="BL120" s="154">
        <f>IF(ISNA(VLOOKUP(A120,'Données projet'!$A$87:$I$107,4,0)),0,VLOOKUP(A120,'Données projet'!$A$87:$I$107,4,0))</f>
        <v>0</v>
      </c>
      <c r="BM120" s="155">
        <f>IF(ISNA(VLOOKUP(A120,'Données projet'!$A$87:$I$107,5,0)),0%,VLOOKUP(A120,'Données projet'!$A$87:$I$107,5,0)*VLOOKUP('Données projet'!$B$11,'Paramètres'!$A$1:$I$88,7,0))</f>
        <v>0</v>
      </c>
      <c r="BN120" s="155">
        <f>IF(ISNA(VLOOKUP(A120,'Données projet'!$A$87:$I$107,6,0)),0%,VLOOKUP(A120,'Données projet'!$A$87:$I$107,6,0)*VLOOKUP('Données projet'!$B$11,'Paramètres'!$A$1:$I$88,7,0))</f>
        <v>0</v>
      </c>
      <c r="BO120" s="155">
        <f>IF(ISNA(VLOOKUP(A120,'Données projet'!$A$87:$I$107,7,0)),0%,VLOOKUP(A120,'Données projet'!$A$87:$I$107,7,0))</f>
        <v>0</v>
      </c>
      <c r="BP120" s="162">
        <f>EXP(-LN(2)/35)*BP119+(1-EXP(-LN(2)/35))/(LN(2)/35)*BL120*BM120*VLOOKUP('Données projet'!$B$11,'Paramètres'!$A$1:$I$88,3,0)*0.475*44/12</f>
        <v>0</v>
      </c>
      <c r="BQ120" s="162">
        <f>EXP(-LN(2)/25)*BQ119+(1-EXP(-LN(2)/25))/(LN(2)/25)*Calculateur!BL120*Calculateur!BN120*VLOOKUP('Données projet'!$B$11,'Paramètres'!$A$1:$I$88,3,0)*0.475*44/12</f>
        <v>0</v>
      </c>
      <c r="BR120" s="162">
        <f>EXP(-LN(2)/2)*BR119+(1-EXP(-LN(2)/2))/(LN(2)/2)*BL120*BO120*VLOOKUP('Données projet'!$B$11,'Paramètres'!$A$1:$I$88,3,0)*0.475*44/12</f>
        <v>0</v>
      </c>
      <c r="BS120" s="163">
        <f t="shared" si="10"/>
        <v>0</v>
      </c>
      <c r="BT120" s="159">
        <f>('Scénario référence'!$F$8+'Scénario référence'!$F$9+'Scénario référence'!$B$17+'Scénario référence'!$B$9+'Scénario référence'!$B$10)*70+IF((45+25*(1-EXP(-0.0175*A120)))&lt;70,'Scénario référence'!$B$16*(45+25*(1-EXP(-0.0175*A120))),70*'Scénario référence'!$B$16)+IF((32+38*(1-EXP(-0.0175*A120)))&lt;70,'Scénario référence'!$B$18*(32+38*(1-EXP(-0.0175*A120))),70*'Scénario référence'!$B$18)</f>
        <v>70</v>
      </c>
      <c r="BU120" s="151">
        <f>IF(A120&gt;30,10,('Scénario référence'!$B$16+'Scénario référence'!$B$17+'Scénario référence'!$B$18+'Scénario référence'!$B$9+'Scénario référence'!$B$10)*A120*10/30+('Scénario référence'!$F$8+'Scénario référence'!$F$9)*10)</f>
        <v>10</v>
      </c>
      <c r="BV120" s="151" t="str">
        <f>VLOOKUP(A120,'Données projet'!$A$113:$I$133,2,0)</f>
        <v>#N/A</v>
      </c>
      <c r="BW120" s="151" t="str">
        <f>VLOOKUP(A120,'Données projet'!$A$113:$I$133,9,0)</f>
        <v>#N/A</v>
      </c>
      <c r="BX120" s="151" t="str">
        <f t="array" ref="BX120">INDEX(BW:BW,MIN(IF(ISNUMBER(BW120:BW316),ROW(BW120:BW316),"")))</f>
        <v/>
      </c>
      <c r="BY120" s="150">
        <f>IF('Données projet'!$A$114&gt;35,BY119+BX120-CG119,IF(A120&lt;'Données projet'!$A$114,$BV$205^A120,IF(A120='Données projet'!$A$114,'Données projet'!$B$114,BY119+BX120-CG119)))</f>
        <v>0</v>
      </c>
      <c r="BZ120" s="150" t="str">
        <f>BY120*VLOOKUP('Données projet'!$B$12,'Paramètres'!$A$1:$I$88,3,0)*VLOOKUP('Données projet'!$B$12,'Paramètres'!$A$1:$I$88,5,0)</f>
        <v>#N/A</v>
      </c>
      <c r="CA120" s="150" t="str">
        <f t="shared" si="40"/>
        <v>#N/A</v>
      </c>
      <c r="CB120" s="161" t="str">
        <f t="shared" si="11"/>
        <v>#N/A</v>
      </c>
      <c r="CC120" s="153" t="str">
        <f t="shared" si="12"/>
        <v>#N/A</v>
      </c>
      <c r="CD120" s="153" t="str">
        <f>AVERAGE(OFFSET($CC$3,0,0,'Données projet'!$E$12+1,1))-AVERAGE(OFFSET($H$3,0,0,'Données projet'!$E$12+1,1))</f>
        <v>#N/A</v>
      </c>
      <c r="CE120" s="153" t="str">
        <f t="shared" si="41"/>
        <v>#N/A</v>
      </c>
      <c r="CF120" s="154">
        <f>IF(ISNA(VLOOKUP(A120,'Données projet'!$A$113:$I$133,3,0)),0,VLOOKUP(A120,'Données projet'!$A$113:$I$133,3,0))</f>
        <v>0</v>
      </c>
      <c r="CG120" s="154">
        <f>IF(ISNA(VLOOKUP(A120,'Données projet'!$A$113:$I$133,4,0)),0,VLOOKUP(A120,'Données projet'!$A$113:$I$133,4,0))</f>
        <v>0</v>
      </c>
      <c r="CH120" s="155">
        <f>IF(ISNA(VLOOKUP(A120,'Données projet'!$A$113:$I$133,5,0)),0%,VLOOKUP(A120,'Données projet'!$A$113:$I$133,5,0)*VLOOKUP('Données projet'!$B$12,'Paramètres'!$A$1:$I$88,7,0))</f>
        <v>0</v>
      </c>
      <c r="CI120" s="155">
        <f>IF(ISNA(VLOOKUP(A120,'Données projet'!$A$113:$I$133,6,0)),0%,VLOOKUP(A120,'Données projet'!$A$113:$I$133,6,0)*VLOOKUP('Données projet'!$B$12,'Paramètres'!$A$1:$I$88,7,0))</f>
        <v>0</v>
      </c>
      <c r="CJ120" s="155">
        <f>IF(ISNA(VLOOKUP(A120,'Données projet'!$A$113:$I$133,7,0)),0%,VLOOKUP(A120,'Données projet'!$A$113:$I$133,7,0))</f>
        <v>0</v>
      </c>
      <c r="CK120" s="162" t="str">
        <f>EXP(-LN(2)/35)*CK119+(1-EXP(-LN(2)/35))/(LN(2)/35)*CG120*CH120*VLOOKUP('Données projet'!$B$12,'Paramètres'!$A$1:$I$88,3,0)*0.475*44/12</f>
        <v>#N/A</v>
      </c>
      <c r="CL120" s="162" t="str">
        <f>EXP(-LN(2)/25)*CL119+(1-EXP(-LN(2)/25))/(LN(2)/25)*Calculateur!CG120*Calculateur!CI120*VLOOKUP('Données projet'!$B$12,'Paramètres'!$A$1:$I$88,3,0)*0.475*44/12</f>
        <v>#N/A</v>
      </c>
      <c r="CM120" s="162" t="str">
        <f>EXP(-LN(2)/2)*CM119+(1-EXP(-LN(2)/2))/(LN(2)/2)*CG120*CJ120*VLOOKUP('Données projet'!$B$12,'Paramètres'!$A$1:$I$88,3,0)*0.475*44/12</f>
        <v>#N/A</v>
      </c>
      <c r="CN120" s="163" t="str">
        <f t="shared" si="13"/>
        <v>#N/A</v>
      </c>
      <c r="CO120" s="159">
        <f>('Scénario référence'!$F$8+'Scénario référence'!$F$9+'Scénario référence'!$B$17+'Scénario référence'!$B$9+'Scénario référence'!$B$10)*70+IF((45+25*(1-EXP(-0.0175*A120)))&lt;70,'Scénario référence'!$B$16*(45+25*(1-EXP(-0.0175*A120))),70*'Scénario référence'!$B$16)+IF((32+38*(1-EXP(-0.0175*A120)))&lt;70,'Scénario référence'!$B$18*(32+38*(1-EXP(-0.0175*A120))),70*'Scénario référence'!$B$18)</f>
        <v>70</v>
      </c>
      <c r="CP120" s="151">
        <f>IF(A120&gt;30,10,('Scénario référence'!$B$16+'Scénario référence'!$B$17+'Scénario référence'!$B$18+'Scénario référence'!$B$9+'Scénario référence'!$B$10)*A120*10/30+('Scénario référence'!$F$8+'Scénario référence'!$F$9)*10)</f>
        <v>10</v>
      </c>
      <c r="CQ120" s="151" t="str">
        <f>VLOOKUP(A120,'Données projet'!$A$139:$I$159,2,0)</f>
        <v>#N/A</v>
      </c>
      <c r="CR120" s="151" t="str">
        <f>VLOOKUP(A120,'Données projet'!$A$139:$I$159,9,0)</f>
        <v>#N/A</v>
      </c>
      <c r="CS120" s="151" t="str">
        <f t="array" ref="CS120">INDEX(CR:CR,MIN(IF(ISNUMBER(CR120:CR316),ROW(CR120:CR316),"")))</f>
        <v/>
      </c>
      <c r="CT120" s="151">
        <f>IF('Données projet'!$A$140&gt;35,CT119+CS120-DB119,IF(A120&lt;'Données projet'!$A$140,$CQ$205^A120,IF(A120='Données projet'!$A$140,'Données projet'!$B$140,CT119+CS120-DB119)))</f>
        <v>0</v>
      </c>
      <c r="CU120" s="158" t="str">
        <f>CT120*VLOOKUP('Données projet'!$B$13,'Paramètres'!$A$1:$I$88,3,0)*VLOOKUP('Données projet'!$B$13,'Paramètres'!$A$1:$I$88,5,0)</f>
        <v>#N/A</v>
      </c>
      <c r="CV120" s="150" t="str">
        <f t="shared" si="42"/>
        <v>#N/A</v>
      </c>
      <c r="CW120" s="161" t="str">
        <f t="shared" si="14"/>
        <v>#N/A</v>
      </c>
      <c r="CX120" s="153" t="str">
        <f t="shared" si="15"/>
        <v>#N/A</v>
      </c>
      <c r="CY120" s="153" t="str">
        <f>AVERAGE(OFFSET($CX$3,0,0,'Données projet'!$E$13+1,1))-AVERAGE(OFFSET($H$3,0,0,'Données projet'!$E$13+1,1))</f>
        <v>#N/A</v>
      </c>
      <c r="CZ120" s="153" t="str">
        <f t="shared" si="43"/>
        <v>#N/A</v>
      </c>
      <c r="DA120" s="154">
        <f>IF(ISNA(VLOOKUP(A120,'Données projet'!$A$139:$I$159,3,0)),0,VLOOKUP(A120,'Données projet'!$A$139:$I$159,3,0))</f>
        <v>0</v>
      </c>
      <c r="DB120" s="154">
        <f>IF(ISNA(VLOOKUP(A120,'Données projet'!$A$139:$I$159,4,0)),0,VLOOKUP(A120,'Données projet'!$A$139:$I$159,4,0))</f>
        <v>0</v>
      </c>
      <c r="DC120" s="155">
        <f>IF(ISNA(VLOOKUP(A120,'Données projet'!$A$139:$I$159,5,0)),0%,VLOOKUP(A120,'Données projet'!$A$139:$I$159,5,0)*VLOOKUP('Données projet'!$B$13,'Paramètres'!$A$1:$I$88,7,0))</f>
        <v>0</v>
      </c>
      <c r="DD120" s="155">
        <f>IF(ISNA(VLOOKUP(A120,'Données projet'!$A$139:$I$159,6,0)),0%,VLOOKUP(A120,'Données projet'!$A$139:$I$159,6,0)*VLOOKUP('Données projet'!$B$13,'Paramètres'!$A$1:$I$88,7,0))</f>
        <v>0</v>
      </c>
      <c r="DE120" s="155">
        <f>IF(ISNA(VLOOKUP(A120,'Données projet'!$A$139:$I$159,7,0)),0%,VLOOKUP(A120,'Données projet'!$A$139:$I$159,7,0))</f>
        <v>0</v>
      </c>
      <c r="DF120" s="162" t="str">
        <f>EXP(-LN(2)/35)*DF119+(1-EXP(-LN(2)/35))/(LN(2)/35)*DB120*DC120*VLOOKUP('Données projet'!$B$13,'Paramètres'!$A$1:$I$88,3,0)*0.475*44/12</f>
        <v>#N/A</v>
      </c>
      <c r="DG120" s="162" t="str">
        <f>EXP(-LN(2)/25)*DG119+(1-EXP(-LN(2)/25))/(LN(2)/25)*Calculateur!DB120*Calculateur!DD120*VLOOKUP('Données projet'!$B$13,'Paramètres'!$A$1:$I$88,3,0)*0.475*44/12</f>
        <v>#N/A</v>
      </c>
      <c r="DH120" s="162" t="str">
        <f>EXP(-LN(2)/2)*DH119+(1-EXP(-LN(2)/2))/(LN(2)/2)*DB120*DE120*VLOOKUP('Données projet'!$B$13,'Paramètres'!$A$1:$I$88,3,0)*0.475*44/12</f>
        <v>#N/A</v>
      </c>
      <c r="DI120" s="163" t="str">
        <f t="shared" si="16"/>
        <v>#N/A</v>
      </c>
      <c r="DJ120" s="159">
        <f>('Scénario référence'!$F$8+'Scénario référence'!$F$9+'Scénario référence'!$B$17+'Scénario référence'!$B$9+'Scénario référence'!$B$10)*70+IF((45+25*(1-EXP(-0.0175*A120)))&lt;70,'Scénario référence'!$B$16*(45+25*(1-EXP(-0.0175*A120))),70*'Scénario référence'!$B$16)+IF((32+38*(1-EXP(-0.0175*A120)))&lt;70,'Scénario référence'!$B$18*(32+38*(1-EXP(-0.0175*A120))),70*'Scénario référence'!$B$18)</f>
        <v>70</v>
      </c>
      <c r="DK120" s="151">
        <f>IF(A120&gt;30,10,('Scénario référence'!$B$16+'Scénario référence'!$B$17+'Scénario référence'!$B$18+'Scénario référence'!$B$9+'Scénario référence'!$B$10)*A120*10/30+('Scénario référence'!$F$8+'Scénario référence'!$F$9)*10)</f>
        <v>10</v>
      </c>
      <c r="DL120" s="151" t="str">
        <f>VLOOKUP(A120,'Données projet'!$A$165:$I$185,2,0)</f>
        <v>#N/A</v>
      </c>
      <c r="DM120" s="151" t="str">
        <f>VLOOKUP(A120,'Données projet'!$A$165:$I$185,9,0)</f>
        <v>#N/A</v>
      </c>
      <c r="DN120" s="151" t="str">
        <f t="array" ref="DN120">INDEX(DM:DM,MIN(IF(ISNUMBER(DM120:DM316),ROW(DM120:DM316),"")))</f>
        <v/>
      </c>
      <c r="DO120" s="151">
        <f>IF('Données projet'!$A$166&gt;35,DO119+DN120-DW119,IF(A120&lt;'Données projet'!$A$166,$DL$205^A120,IF(A120='Données projet'!$A$166,'Données projet'!$B$166,DO119+DN120-DW119)))</f>
        <v>0</v>
      </c>
      <c r="DP120" s="158" t="str">
        <f>DO120*VLOOKUP('Données projet'!$B$14,'Paramètres'!$A$1:$I$88,3,0)*VLOOKUP('Données projet'!$B$14,'Paramètres'!$A$1:$I$88,5,0)</f>
        <v>#N/A</v>
      </c>
      <c r="DQ120" s="150" t="str">
        <f t="shared" si="44"/>
        <v>#N/A</v>
      </c>
      <c r="DR120" s="161" t="str">
        <f t="shared" si="17"/>
        <v>#N/A</v>
      </c>
      <c r="DS120" s="153" t="str">
        <f t="shared" si="18"/>
        <v>#N/A</v>
      </c>
      <c r="DT120" s="153" t="str">
        <f>AVERAGE(OFFSET($DS$3,0,0,'Données projet'!$E$14+1,1))-AVERAGE(OFFSET($H$3,0,0,'Données projet'!$E$14+1,1))</f>
        <v>#N/A</v>
      </c>
      <c r="DU120" s="153" t="str">
        <f t="shared" si="45"/>
        <v>#N/A</v>
      </c>
      <c r="DV120" s="154">
        <f>IF(ISNA(VLOOKUP(A120,'Données projet'!$A$165:$I$185,3,0)),0,VLOOKUP(A120,'Données projet'!$A$165:$I$185,3,0))</f>
        <v>0</v>
      </c>
      <c r="DW120" s="154">
        <f>IF(ISNA(VLOOKUP(A120,'Données projet'!$A$165:$I$185,4,0)),0,VLOOKUP(A120,'Données projet'!$A$165:$I$185,4,0))</f>
        <v>0</v>
      </c>
      <c r="DX120" s="155">
        <f>IF(ISNA(VLOOKUP(A120,'Données projet'!$A$165:$I$185,5,0)),0%,VLOOKUP(A120,'Données projet'!$A$165:$I$185,5,0)*VLOOKUP('Données projet'!$B$14,'Paramètres'!$A$1:$I$88,7,0))</f>
        <v>0</v>
      </c>
      <c r="DY120" s="155">
        <f>IF(ISNA(VLOOKUP(A120,'Données projet'!$A$165:$I$185,6,0)),0%,VLOOKUP(A120,'Données projet'!$A$165:$I$185,6,0)*VLOOKUP('Données projet'!$B$14,'Paramètres'!$A$1:$I$88,7,0))</f>
        <v>0</v>
      </c>
      <c r="DZ120" s="155">
        <f>IF(ISNA(VLOOKUP(A120,'Données projet'!$A$165:$I$185,7,0)),0%,VLOOKUP(A120,'Données projet'!$A$165:$I$185,7,0))</f>
        <v>0</v>
      </c>
      <c r="EA120" s="162" t="str">
        <f>EXP(-LN(2)/35)*EA119+(1-EXP(-LN(2)/35))/(LN(2)/35)*DW120*DX120*VLOOKUP('Données projet'!$B$14,'Paramètres'!$A$1:$I$88,3,0)*0.475*44/12</f>
        <v>#N/A</v>
      </c>
      <c r="EB120" s="162" t="str">
        <f>EXP(-LN(2)/25)*EB119+(1-EXP(-LN(2)/25))/(LN(2)/25)*Calculateur!DW120*Calculateur!DY120*VLOOKUP('Données projet'!$B$14,'Paramètres'!$A$1:$I$88,3,0)*0.475*44/12</f>
        <v>#N/A</v>
      </c>
      <c r="EC120" s="162" t="str">
        <f>EXP(-LN(2)/2)*EC119+(1-EXP(-LN(2)/2))/(LN(2)/2)*DW120*DZ120*VLOOKUP('Données projet'!$B$14,'Paramètres'!$A$1:$I$88,3,0)*0.475*44/12</f>
        <v>#N/A</v>
      </c>
      <c r="ED120" s="163" t="str">
        <f t="shared" si="19"/>
        <v>#N/A</v>
      </c>
      <c r="EE120" s="159">
        <f>('Scénario référence'!$F$8+'Scénario référence'!$F$9+'Scénario référence'!$B$17+'Scénario référence'!$B$9+'Scénario référence'!$B$10)*70+IF((45+25*(1-EXP(-0.0175*A120)))&lt;70,'Scénario référence'!$B$16*(45+25*(1-EXP(-0.0175*A120))),70*'Scénario référence'!$B$16)+IF((32+38*(1-EXP(-0.0175*A120)))&lt;70,'Scénario référence'!$B$18*(32+38*(1-EXP(-0.0175*A120))),70*'Scénario référence'!$B$18)</f>
        <v>70</v>
      </c>
      <c r="EF120" s="151">
        <f>IF(A120&gt;30,10,('Scénario référence'!$B$16+'Scénario référence'!$B$17+'Scénario référence'!$B$18+'Scénario référence'!$B$9+'Scénario référence'!$B$10)*A120*10/30+('Scénario référence'!$F$8+'Scénario référence'!$F$9)*10)</f>
        <v>10</v>
      </c>
      <c r="EG120" s="151" t="str">
        <f>VLOOKUP(A120,'Données projet'!$A$191:$I$211,2,0)</f>
        <v>#N/A</v>
      </c>
      <c r="EH120" s="151" t="str">
        <f>VLOOKUP(A120,'Données projet'!$A$191:$I$211,9,0)</f>
        <v>#N/A</v>
      </c>
      <c r="EI120" s="151" t="str">
        <f t="array" ref="EI120">INDEX(EH:EH,MIN(IF(ISNUMBER(EH120:EH316),ROW(EH120:EH316),"")))</f>
        <v/>
      </c>
      <c r="EJ120" s="151">
        <f>IF('Données projet'!$A$192&gt;35,EJ119+EI120-ER119,IF(A120&lt;'Données projet'!$A$192,$EG$205^A120,IF(A120='Données projet'!$A$192,'Données projet'!$B$192,EJ119+EI120-ER119)))</f>
        <v>0</v>
      </c>
      <c r="EK120" s="158" t="str">
        <f>EJ120*VLOOKUP('Données projet'!$B$15,'Paramètres'!$A$1:$I$88,3,0)*VLOOKUP('Données projet'!$B$15,'Paramètres'!$A$1:$I$88,5,0)</f>
        <v>#N/A</v>
      </c>
      <c r="EL120" s="150" t="str">
        <f t="shared" si="46"/>
        <v>#N/A</v>
      </c>
      <c r="EM120" s="161" t="str">
        <f t="shared" si="20"/>
        <v>#N/A</v>
      </c>
      <c r="EN120" s="153" t="str">
        <f t="shared" si="21"/>
        <v>#N/A</v>
      </c>
      <c r="EO120" s="153" t="str">
        <f>AVERAGE(OFFSET($EN$3,0,0,'Données projet'!$E$15+1,1))-AVERAGE(OFFSET($H$3,0,0,'Données projet'!$E$15+1,1))</f>
        <v>#N/A</v>
      </c>
      <c r="EP120" s="153" t="str">
        <f t="shared" si="47"/>
        <v>#N/A</v>
      </c>
      <c r="EQ120" s="154">
        <f>IF(ISNA(VLOOKUP(A120,'Données projet'!$A$191:$I$211,3,0)),0,VLOOKUP(A120,'Données projet'!$A$191:$I$211,3,0))</f>
        <v>0</v>
      </c>
      <c r="ER120" s="154">
        <f>IF(ISNA(VLOOKUP(A120,'Données projet'!$A$191:$I$211,4,0)),0,VLOOKUP(A120,'Données projet'!$A$191:$I$211,4,0))</f>
        <v>0</v>
      </c>
      <c r="ES120" s="155">
        <f>IF(ISNA(VLOOKUP(A120,'Données projet'!$A$191:$I$211,5,0)),0%,VLOOKUP(A120,'Données projet'!$A$191:$I$211,5,0)*VLOOKUP('Données projet'!$B$15,'Paramètres'!$A$1:$I$88,7,0))</f>
        <v>0</v>
      </c>
      <c r="ET120" s="155">
        <f>IF(ISNA(VLOOKUP(A120,'Données projet'!$A$191:$I$211,6,0)),0%,VLOOKUP(A120,'Données projet'!$A$191:$I$211,6,0)*VLOOKUP('Données projet'!$B$15,'Paramètres'!$A$1:$I$88,7,0))</f>
        <v>0</v>
      </c>
      <c r="EU120" s="155">
        <f>IF(ISNA(VLOOKUP(A120,'Données projet'!$A$191:$I$211,7,0)),0%,VLOOKUP(A120,'Données projet'!$A$191:$I$211,7,0))</f>
        <v>0</v>
      </c>
      <c r="EV120" s="162" t="str">
        <f>EXP(-LN(2)/35)*EV119+(1-EXP(-LN(2)/35))/(LN(2)/35)*ER120*ES120*VLOOKUP('Données projet'!$B$15,'Paramètres'!$A$1:$I$88,3,0)*0.475*44/12</f>
        <v>#N/A</v>
      </c>
      <c r="EW120" s="162" t="str">
        <f>EXP(-LN(2)/25)*EW119+(1-EXP(-LN(2)/25))/(LN(2)/25)*Calculateur!ER120*Calculateur!ET120*VLOOKUP('Données projet'!$B$15,'Paramètres'!$A$1:$I$88,3,0)*0.475*44/12</f>
        <v>#N/A</v>
      </c>
      <c r="EX120" s="162" t="str">
        <f>EXP(-LN(2)/2)*EX119+(1-EXP(-LN(2)/2))/(LN(2)/2)*ER120*EU120*VLOOKUP('Données projet'!$B$15,'Paramètres'!$A$1:$I$88,3,0)*0.475*44/12</f>
        <v>#N/A</v>
      </c>
      <c r="EY120" s="163" t="str">
        <f t="shared" si="22"/>
        <v>#N/A</v>
      </c>
      <c r="EZ120" s="159">
        <f>('Scénario référence'!$F$8+'Scénario référence'!$F$9+'Scénario référence'!$B$17+'Scénario référence'!$B$9+'Scénario référence'!$B$10)*70+IF((45+25*(1-EXP(-0.0175*A120)))&lt;70,'Scénario référence'!$B$16*(45+25*(1-EXP(-0.0175*A120))),70*'Scénario référence'!$B$16)+IF((32+38*(1-EXP(-0.0175*A120)))&lt;70,'Scénario référence'!$B$18*(32+38*(1-EXP(-0.0175*A120))),70*'Scénario référence'!$B$18)</f>
        <v>70</v>
      </c>
      <c r="FA120" s="151">
        <f>IF(A120&gt;30,10,('Scénario référence'!$B$16+'Scénario référence'!$B$17+'Scénario référence'!$B$18+'Scénario référence'!$B$9+'Scénario référence'!$B$10)*A120*10/30+('Scénario référence'!$F$8+'Scénario référence'!$F$9)*10)</f>
        <v>10</v>
      </c>
      <c r="FB120" s="151" t="str">
        <f>VLOOKUP(A120,'Données projet'!$A$217:$I$237,2,0)</f>
        <v>#N/A</v>
      </c>
      <c r="FC120" s="151" t="str">
        <f>VLOOKUP(A120,'Données projet'!$A$217:$I$237,9,0)</f>
        <v>#N/A</v>
      </c>
      <c r="FD120" s="151" t="str">
        <f t="array" ref="FD120">INDEX(FC:FC,MIN(IF(ISNUMBER(FC120:FC316),ROW(FC120:FC316),"")))</f>
        <v/>
      </c>
      <c r="FE120" s="151">
        <f>IF('Données projet'!$A$218&gt;35,FE119+FD120-FM119,IF(A120&lt;'Données projet'!$A$218,$FB$205^A120,IF(A120='Données projet'!$A$218,'Données projet'!$B$218,FE119+FD120-FM119)))</f>
        <v>0</v>
      </c>
      <c r="FF120" s="158" t="str">
        <f>FE120*VLOOKUP('Données projet'!$B$16,'Paramètres'!$A$1:$I$88,3,0)*VLOOKUP('Données projet'!$B$16,'Paramètres'!$A$1:$I$88,5,0)</f>
        <v>#N/A</v>
      </c>
      <c r="FG120" s="150" t="str">
        <f t="shared" si="48"/>
        <v>#N/A</v>
      </c>
      <c r="FH120" s="161" t="str">
        <f t="shared" si="23"/>
        <v>#N/A</v>
      </c>
      <c r="FI120" s="153" t="str">
        <f t="shared" si="24"/>
        <v>#N/A</v>
      </c>
      <c r="FJ120" s="153" t="str">
        <f>AVERAGE(OFFSET($FI$3,0,0,'Données projet'!$E$16+1,1))-AVERAGE(OFFSET($H$3,0,0,'Données projet'!$E$16+1,1))</f>
        <v>#N/A</v>
      </c>
      <c r="FK120" s="153" t="str">
        <f t="shared" si="49"/>
        <v>#N/A</v>
      </c>
      <c r="FL120" s="154">
        <f>IF(ISNA(VLOOKUP(A120,'Données projet'!$A$217:$I$237,3,0)),0,VLOOKUP(A120,'Données projet'!$A$217:$I$237,3,0))</f>
        <v>0</v>
      </c>
      <c r="FM120" s="154">
        <f>IF(ISNA(VLOOKUP(A120,'Données projet'!$A$217:$I$237,4,0)),0,VLOOKUP(A120,'Données projet'!$A$217:$I$237,4,0))</f>
        <v>0</v>
      </c>
      <c r="FN120" s="155">
        <f>IF(ISNA(VLOOKUP(A120,'Données projet'!$A$217:$I$237,5,0)),0%,VLOOKUP(A120,'Données projet'!$A$217:$I$237,5,0)*VLOOKUP('Données projet'!$B$16,'Paramètres'!$A$1:$I$88,7,0))</f>
        <v>0</v>
      </c>
      <c r="FO120" s="155">
        <f>IF(ISNA(VLOOKUP(A120,'Données projet'!$A$217:$I$237,6,0)),0%,VLOOKUP(A120,'Données projet'!$A$217:$I$237,6,0)*VLOOKUP('Données projet'!$B$16,'Paramètres'!$A$1:$I$88,7,0))</f>
        <v>0</v>
      </c>
      <c r="FP120" s="155">
        <f>IF(ISNA(VLOOKUP(A120,'Données projet'!$A$217:$I$237,7,0)),0%,VLOOKUP(A120,'Données projet'!$A$217:$I$237,7,0))</f>
        <v>0</v>
      </c>
      <c r="FQ120" s="162" t="str">
        <f>EXP(-LN(2)/35)*FQ119+(1-EXP(-LN(2)/35))/(LN(2)/35)*FM120*FN120*VLOOKUP('Données projet'!$B$16,'Paramètres'!$A$1:$I$88,3,0)*0.475*44/12</f>
        <v>#N/A</v>
      </c>
      <c r="FR120" s="162" t="str">
        <f>EXP(-LN(2)/25)*FR119+(1-EXP(-LN(2)/25))/(LN(2)/25)*Calculateur!FM120*Calculateur!FO120*VLOOKUP('Données projet'!$B$16,'Paramètres'!$A$1:$I$88,3,0)*0.475*44/12</f>
        <v>#N/A</v>
      </c>
      <c r="FS120" s="162" t="str">
        <f>EXP(-LN(2)/2)*FS119+(1-EXP(-LN(2)/2))/(LN(2)/2)*FM120*FP120*VLOOKUP('Données projet'!$B$16,'Paramètres'!$A$1:$I$88,3,0)*0.475*44/12</f>
        <v>#N/A</v>
      </c>
      <c r="FT120" s="163" t="str">
        <f t="shared" si="25"/>
        <v>#N/A</v>
      </c>
      <c r="FU120" s="159">
        <f>('Scénario référence'!$F$8+'Scénario référence'!$F$9+'Scénario référence'!$B$17+'Scénario référence'!$B$9+'Scénario référence'!$B$10)*70+IF((45+25*(1-EXP(-0.0175*A120)))&lt;70,'Scénario référence'!$B$16*(45+25*(1-EXP(-0.0175*A120))),70*'Scénario référence'!$B$16)+IF((32+38*(1-EXP(-0.0175*A120)))&lt;70,'Scénario référence'!$B$18*(32+38*(1-EXP(-0.0175*A120))),70*'Scénario référence'!$B$18)</f>
        <v>70</v>
      </c>
      <c r="FV120" s="151">
        <f>IF(A120&gt;30,10,('Scénario référence'!$B$16+'Scénario référence'!$B$17+'Scénario référence'!$B$18+'Scénario référence'!$B$9+'Scénario référence'!$B$10)*A120*10/30+('Scénario référence'!$F$8+'Scénario référence'!$F$9)*10)</f>
        <v>10</v>
      </c>
      <c r="FW120" s="151" t="str">
        <f>VLOOKUP(A120,'Données projet'!$A$243:$I$263,2,0)</f>
        <v>#N/A</v>
      </c>
      <c r="FX120" s="151" t="str">
        <f>VLOOKUP(A120,'Données projet'!$A$243:$I$263,9,0)</f>
        <v>#N/A</v>
      </c>
      <c r="FY120" s="151" t="str">
        <f t="array" ref="FY120">INDEX(FX:FX,MIN(IF(ISNUMBER(FX120:FX316),ROW(FX120:FX316),"")))</f>
        <v/>
      </c>
      <c r="FZ120" s="151">
        <f>IF('Données projet'!$A$244&gt;35,FZ119+FY120-GH119,IF(A120&lt;'Données projet'!$A$244,$FW$205^A120,IF(A120='Données projet'!$A$244,'Données projet'!$B$244,FZ119+FY120-GH119)))</f>
        <v>0</v>
      </c>
      <c r="GA120" s="158" t="str">
        <f>FZ120*VLOOKUP('Données projet'!$B$17,'Paramètres'!$A$1:$I$88,3,0)*VLOOKUP('Données projet'!$B$17,'Paramètres'!$A$1:$I$88,5,0)</f>
        <v>#N/A</v>
      </c>
      <c r="GB120" s="150" t="str">
        <f t="shared" si="50"/>
        <v>#N/A</v>
      </c>
      <c r="GC120" s="161" t="str">
        <f t="shared" si="26"/>
        <v>#N/A</v>
      </c>
      <c r="GD120" s="153" t="str">
        <f t="shared" si="27"/>
        <v>#N/A</v>
      </c>
      <c r="GE120" s="153" t="str">
        <f>AVERAGE(OFFSET($GD$3,0,0,'Données projet'!$E$17+1,1))-AVERAGE(OFFSET($H$3,0,0,'Données projet'!$E$17+1,1))</f>
        <v>#N/A</v>
      </c>
      <c r="GF120" s="153" t="str">
        <f t="shared" si="51"/>
        <v>#N/A</v>
      </c>
      <c r="GG120" s="154">
        <f>IF(ISNA(VLOOKUP(A120,'Données projet'!$A$243:$I$263,3,0)),0,VLOOKUP(A120,'Données projet'!$A$243:$I$263,3,0))</f>
        <v>0</v>
      </c>
      <c r="GH120" s="154">
        <f>IF(ISNA(VLOOKUP(A120,'Données projet'!$A$243:$I$263,4,0)),0,VLOOKUP(A120,'Données projet'!$A$243:$I$263,4,0))</f>
        <v>0</v>
      </c>
      <c r="GI120" s="155">
        <f>IF(ISNA(VLOOKUP(A120,'Données projet'!$A$243:$I$263,5,0)),0%,VLOOKUP(A120,'Données projet'!$A$243:$I$263,5,0)*VLOOKUP('Données projet'!$B$17,'Paramètres'!$A$1:$I$88,7,0))</f>
        <v>0</v>
      </c>
      <c r="GJ120" s="155">
        <f>IF(ISNA(VLOOKUP(A120,'Données projet'!$A$243:$I$263,6,0)),0%,VLOOKUP(A120,'Données projet'!$A$243:$I$263,6,0)*VLOOKUP('Données projet'!$B$17,'Paramètres'!$A$1:$I$88,7,0))</f>
        <v>0</v>
      </c>
      <c r="GK120" s="155">
        <f>IF(ISNA(VLOOKUP(A120,'Données projet'!$A$243:$I$263,7,0)),0%,VLOOKUP(A120,'Données projet'!$A$243:$I$263,7,0))</f>
        <v>0</v>
      </c>
      <c r="GL120" s="162" t="str">
        <f>EXP(-LN(2)/35)*GL119+(1-EXP(-LN(2)/35))/(LN(2)/35)*GH120*GI120*VLOOKUP('Données projet'!$B$17,'Paramètres'!$A$1:$I$88,3,0)*0.475*44/12</f>
        <v>#N/A</v>
      </c>
      <c r="GM120" s="162" t="str">
        <f>EXP(-LN(2)/25)*GM119+(1-EXP(-LN(2)/25))/(LN(2)/25)*Calculateur!GH120*Calculateur!GJ120*VLOOKUP('Données projet'!$B$17,'Paramètres'!$A$1:$I$88,3,0)*0.475*44/12</f>
        <v>#N/A</v>
      </c>
      <c r="GN120" s="162" t="str">
        <f>EXP(-LN(2)/2)*GN119+(1-EXP(-LN(2)/2))/(LN(2)/2)*GH120*GK120*VLOOKUP('Données projet'!$B$17,'Paramètres'!$A$1:$I$88,3,0)*0.475*44/12</f>
        <v>#N/A</v>
      </c>
      <c r="GO120" s="162" t="str">
        <f t="shared" si="28"/>
        <v>#N/A</v>
      </c>
      <c r="GP120" s="159">
        <f>('Scénario référence'!$F$8+'Scénario référence'!$F$9+'Scénario référence'!$B$17+'Scénario référence'!$B$9+'Scénario référence'!$B$10)*70+IF((45+25*(1-EXP(-0.0175*A120)))&lt;70,'Scénario référence'!$B$16*(45+25*(1-EXP(-0.0175*A120))),70*'Scénario référence'!$B$16)+IF((32+38*(1-EXP(-0.0175*A120)))&lt;70,'Scénario référence'!$B$18*(32+38*(1-EXP(-0.0175*A120))),70*'Scénario référence'!$B$18)</f>
        <v>70</v>
      </c>
      <c r="GQ120" s="151">
        <f>IF(A120&gt;30,10,('Scénario référence'!$B$16+'Scénario référence'!$B$17+'Scénario référence'!$B$18+'Scénario référence'!$B$9+'Scénario référence'!$B$10)*A120*10/30+('Scénario référence'!$F$8+'Scénario référence'!$F$9)*10)</f>
        <v>10</v>
      </c>
      <c r="GR120" s="151" t="str">
        <f>VLOOKUP(A120,'Données projet'!$A$269:$I$289,2,0)</f>
        <v>#N/A</v>
      </c>
      <c r="GS120" s="151" t="str">
        <f>VLOOKUP(A120,'Données projet'!$A$269:$I$289,9,0)</f>
        <v>#N/A</v>
      </c>
      <c r="GT120" s="151" t="str">
        <f t="array" ref="GT120">INDEX(GS:GS,MIN(IF(ISNUMBER(GS120:GS316),ROW(GS120:GS316),"")))</f>
        <v/>
      </c>
      <c r="GU120" s="151">
        <f>IF('Données projet'!$A$270&gt;35,GU119+GT120-HC119,IF(A120&lt;'Données projet'!$A$270,$GR$205^A120,IF(A120='Données projet'!$A$270,'Données projet'!$B$270,GU119+GT120-HC119)))</f>
        <v>0</v>
      </c>
      <c r="GV120" s="158" t="str">
        <f>GU120*VLOOKUP('Données projet'!$B$18,'Paramètres'!$A$1:$I$88,3,0)*VLOOKUP('Données projet'!$B$18,'Paramètres'!$A$1:$I$88,5,0)</f>
        <v>#N/A</v>
      </c>
      <c r="GW120" s="150" t="str">
        <f t="shared" si="52"/>
        <v>#N/A</v>
      </c>
      <c r="GX120" s="161" t="str">
        <f t="shared" si="29"/>
        <v>#N/A</v>
      </c>
      <c r="GY120" s="153" t="str">
        <f t="shared" si="30"/>
        <v>#N/A</v>
      </c>
      <c r="GZ120" s="153" t="str">
        <f>AVERAGE(OFFSET($GY$3,0,0,'Données projet'!$E$18+1,1))-AVERAGE(OFFSET($H$3,0,0,'Données projet'!$E$18+1,1))</f>
        <v>#N/A</v>
      </c>
      <c r="HA120" s="153" t="str">
        <f t="shared" si="53"/>
        <v>#N/A</v>
      </c>
      <c r="HB120" s="154">
        <f>IF(ISNA(VLOOKUP(A120,'Données projet'!$A$269:$I$289,3,0)),0,VLOOKUP(A120,'Données projet'!$A$269:$I$289,3,0))</f>
        <v>0</v>
      </c>
      <c r="HC120" s="154">
        <f>IF(ISNA(VLOOKUP(A120,'Données projet'!$A$269:$I$289,4,0)),0,VLOOKUP(A120,'Données projet'!$A$269:$I$289,4,0))</f>
        <v>0</v>
      </c>
      <c r="HD120" s="155">
        <f>IF(ISNA(VLOOKUP(A120,'Données projet'!$A$269:$I$289,5,0)),0%,VLOOKUP(A120,'Données projet'!$A$269:$I$289,5,0)*VLOOKUP('Données projet'!$B$18,'Paramètres'!$A$1:$I$88,7,0))</f>
        <v>0</v>
      </c>
      <c r="HE120" s="155">
        <f>IF(ISNA(VLOOKUP(A120,'Données projet'!$A$269:$I$289,6,0)),0%,VLOOKUP(A120,'Données projet'!$A$269:$I$289,6,0)*VLOOKUP('Données projet'!$B$18,'Paramètres'!$A$1:$I$88,7,0))</f>
        <v>0</v>
      </c>
      <c r="HF120" s="155">
        <f>IF(ISNA(VLOOKUP(A120,'Données projet'!$A$269:$I$289,7,0)),0%,VLOOKUP(A120,'Données projet'!$A$269:$I$289,7,0))</f>
        <v>0</v>
      </c>
      <c r="HG120" s="162" t="str">
        <f>EXP(-LN(2)/35)*HG119+(1-EXP(-LN(2)/35))/(LN(2)/35)*HC120*HD120*VLOOKUP('Données projet'!$B$18,'Paramètres'!$A$1:$I$88,3,0)*0.475*44/12</f>
        <v>#N/A</v>
      </c>
      <c r="HH120" s="162" t="str">
        <f>EXP(-LN(2)/25)*HH119+(1-EXP(-LN(2)/25))/(LN(2)/25)*Calculateur!HC120*Calculateur!HE120*VLOOKUP('Données projet'!$B$18,'Paramètres'!$A$1:$I$88,3,0)*0.475*44/12</f>
        <v>#N/A</v>
      </c>
      <c r="HI120" s="162" t="str">
        <f>EXP(-LN(2)/2)*HI119+(1-EXP(-LN(2)/2))/(LN(2)/2)*HC120*HF120*VLOOKUP('Données projet'!$B$18,'Paramètres'!$A$1:$I$88,3,0)*0.475*44/12</f>
        <v>#N/A</v>
      </c>
      <c r="HJ120" s="163" t="str">
        <f t="shared" si="31"/>
        <v>#N/A</v>
      </c>
    </row>
    <row r="121" ht="15.75" customHeight="1">
      <c r="A121" s="145">
        <f t="shared" si="32"/>
        <v>118</v>
      </c>
      <c r="B121" s="146">
        <f>'Scénario référence'!$B$16*5+'Scénario référence'!$B$17*0+'Scénario référence'!$B$18*5</f>
        <v>0</v>
      </c>
      <c r="C121" s="160">
        <f>Calculateur!C120+'Scénario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21" s="147">
        <f t="shared" si="33"/>
        <v>0</v>
      </c>
      <c r="E121" s="147">
        <f>'Scénario référence'!$B$16*45+('Scénario référence'!$B$17+'Scénario référence'!$F$8+'Scénario référence'!$F$9+'Scénario référence'!$B$10+'Scénario référence'!$B$9)*70+'Scénario référence'!$B$18*32</f>
        <v>70</v>
      </c>
      <c r="F121" s="147">
        <f>IF(OR('Scénario référence'!$F$8&gt;0,'Scénario référence'!$F$9&gt;0),('Scénario référence'!$F$8+'Scénario référence'!$F$9)*10,0)</f>
        <v>0</v>
      </c>
      <c r="G121" s="147">
        <f>'Scénario référence'!$B$8*B121*44/12+'Scénario référence'!$B$9*(C121+D121)/0.475*44/12+'Scénario référence'!$B$10*(C121+D121)/0.475*44/12+'Scénario référence'!$F$8*(C121+D121)/0.475*44/12+'Scénario référence'!$F$9*(C121+D121)/0.475*44/12</f>
        <v>0</v>
      </c>
      <c r="H121" s="148">
        <f t="shared" si="1"/>
        <v>256.6666667</v>
      </c>
      <c r="I121" s="149">
        <f>('Scénario référence'!$F$8+'Scénario référence'!$F$9+'Scénario référence'!$B$17+'Scénario référence'!$B$9+'Scénario référence'!$B$10)*70+IF((45+25*(1-EXP(-0.0175*A121)))&lt;70,'Scénario référence'!$B$16*(45+25*(1-EXP(-0.0175*A121))),70*'Scénario référence'!$B$16)+IF((32+38*(1-EXP(-0.0175*A121)))&lt;70,'Scénario référence'!$B$18*(32+38*(1-EXP(-0.0175*A121))),70*'Scénario référence'!$B$18)</f>
        <v>70</v>
      </c>
      <c r="J121" s="150">
        <f>IF(A121&gt;30,10,('Scénario référence'!$B$16+'Scénario référence'!$B$17+'Scénario référence'!$B$18+'Scénario référence'!$B$9+'Scénario référence'!$B$10)*A121*10/30+('Scénario référence'!$F$8+'Scénario référence'!$F$9)*10)</f>
        <v>10</v>
      </c>
      <c r="K121" s="151" t="str">
        <f>VLOOKUP(A121,'Données projet'!$A$35:$I$55,2,0)</f>
        <v>#N/A</v>
      </c>
      <c r="L121" s="151" t="str">
        <f>VLOOKUP(A121,'Données projet'!$A$35:$I$55,9,0)</f>
        <v>#N/A</v>
      </c>
      <c r="M121" s="150" t="str">
        <f t="array" ref="M121">INDEX(L:L,MIN(IF(ISNUMBER(L121:L317),ROW(L121:L317),"")))</f>
        <v/>
      </c>
      <c r="N121" s="150">
        <f>IF('Données projet'!$A$36&gt;35,N120+M121-V120,IF(A121&lt;'Données projet'!$A$36,$K$205^A121,IF(A121='Données projet'!$A$36,'Données projet'!$B$36,N120+M121-V120)))</f>
        <v>307</v>
      </c>
      <c r="O121" s="150">
        <f>N121*VLOOKUP('Données projet'!$B$9,'Paramètres'!$A$1:$I$88,3,0)*VLOOKUP('Données projet'!$B$9,'Paramètres'!$A$1:$I$88,5,0)</f>
        <v>277.7736</v>
      </c>
      <c r="P121" s="150">
        <f t="shared" si="34"/>
        <v>66.49628818</v>
      </c>
      <c r="Q121" s="161">
        <f t="shared" si="2"/>
        <v>599.6033886</v>
      </c>
      <c r="R121" s="153">
        <f t="shared" si="3"/>
        <v>892.9367219</v>
      </c>
      <c r="S121" s="153">
        <f>AVERAGE(OFFSET($R$3,0,0,'Données projet'!$E$9+1,1))-AVERAGE(OFFSET($H$3,0,0,'Données projet'!$E$9+1,1))</f>
        <v>439.1985427</v>
      </c>
      <c r="T121" s="153">
        <f t="shared" si="35"/>
        <v>278.2174123</v>
      </c>
      <c r="U121" s="154">
        <f>IF(ISNA(VLOOKUP(A121,'Données projet'!$A$35:$I$55,3,0)),0,VLOOKUP(A121,'Données projet'!$A$35:$I$55,3,0))</f>
        <v>0</v>
      </c>
      <c r="V121" s="154">
        <f>IF(ISNA(VLOOKUP(A121,'Données projet'!$A$35:$I$55,4,0)),0,VLOOKUP(A121,'Données projet'!$A$35:$I$55,4,0))</f>
        <v>0</v>
      </c>
      <c r="W121" s="155">
        <f>IF(ISNA(VLOOKUP(A121,'Données projet'!$A$35:$I$55,5,0)),0%,VLOOKUP(A121,'Données projet'!$A$35:$I$55,5,0)*VLOOKUP('Données projet'!$B$9,'Paramètres'!$A$1:$I$88,7,0))</f>
        <v>0</v>
      </c>
      <c r="X121" s="155">
        <f>IF(ISNA(VLOOKUP(A121,'Données projet'!$A$35:$I$55,6,0)),0%,VLOOKUP(A121,'Données projet'!$A$35:$I$55,6,0)*VLOOKUP('Données projet'!$B$9,'Paramètres'!$A$1:$I$88,7,0))</f>
        <v>0</v>
      </c>
      <c r="Y121" s="155">
        <f>IF(ISNA(VLOOKUP(A121,'Données projet'!$A$35:$I$55,7,0)),0%,VLOOKUP(A121,'Données projet'!$A$35:$I$55,7,0))</f>
        <v>0</v>
      </c>
      <c r="Z121" s="162">
        <f>EXP(-LN(2)/35)*Z120+(1-EXP(-LN(2)/35))/(LN(2)/35)*V121*W121*VLOOKUP('Données projet'!$B$9,'Paramètres'!$A$1:$I$88,3,0)*0.475*44/12</f>
        <v>0</v>
      </c>
      <c r="AA121" s="162">
        <f>EXP(-LN(2)/25)*AA120+(1-EXP(-LN(2)/25))/(LN(2)/25)*Calculateur!V121*Calculateur!X121*VLOOKUP('Données projet'!$B$9,'Paramètres'!$A$1:$I$88,3,0)*0.475*44/12</f>
        <v>0.3911890541</v>
      </c>
      <c r="AB121" s="162">
        <f>EXP(-LN(2)/2)*AB120+(1-EXP(-LN(2)/2))/(LN(2)/2)*V121*Y121*VLOOKUP('Données projet'!$B$9,'Paramètres'!$A$1:$I$88,3,0)*0.475*44/12</f>
        <v>0</v>
      </c>
      <c r="AC121" s="163">
        <f t="shared" si="4"/>
        <v>0.3911890541</v>
      </c>
      <c r="AD121" s="150">
        <f>('Scénario référence'!$F$8+'Scénario référence'!$F$9+'Scénario référence'!$B$17+'Scénario référence'!$B$9+'Scénario référence'!$B$10)*70+IF((45+25*(1-EXP(-0.0175*A121)))&lt;70,'Scénario référence'!$B$16*(45+25*(1-EXP(-0.0175*A121))),70*'Scénario référence'!$B$16)+IF((32+38*(1-EXP(-0.0175*A121)))&lt;70,'Scénario référence'!$B$18*(32+38*(1-EXP(-0.0175*A121))),70*'Scénario référence'!$B$18)</f>
        <v>70</v>
      </c>
      <c r="AE121" s="150">
        <f>IF(A121&gt;30,10,('Scénario référence'!$B$16+'Scénario référence'!$B$17+'Scénario référence'!$B$18+'Scénario référence'!$B$9+'Scénario référence'!$B$10)*A121*10/30+('Scénario référence'!$F$8+'Scénario référence'!$F$9)*10)</f>
        <v>10</v>
      </c>
      <c r="AF121" s="151" t="str">
        <f>VLOOKUP(A121,'Données projet'!$A$61:$I$81,2,0)</f>
        <v>#N/A</v>
      </c>
      <c r="AG121" s="151" t="str">
        <f>VLOOKUP(A121,'Données projet'!$A$61:$I$81,9,0)</f>
        <v>#N/A</v>
      </c>
      <c r="AH121" s="151" t="str">
        <f t="array" ref="AH121">INDEX(AG:AG,MIN(IF(ISNUMBER(AG121:AG317),ROW(AG121:AG317),"")))</f>
        <v/>
      </c>
      <c r="AI121" s="150">
        <f>IF('Données projet'!$A$62&gt;35,AI120+AH121-AQ120,IF(A121&lt;'Données projet'!$A$62,$AF$205^A121,IF(A121='Données projet'!$A$62,'Données projet'!$B$62,AI120+AH121-AQ120)))</f>
        <v>369</v>
      </c>
      <c r="AJ121" s="150">
        <f>AI121*VLOOKUP('Données projet'!$B$10,'Paramètres'!$A$1:$I$88,3,0)*VLOOKUP('Données projet'!$B$10,'Paramètres'!$A$1:$I$88,5,0)</f>
        <v>293.5764</v>
      </c>
      <c r="AK121" s="150">
        <f t="shared" si="36"/>
        <v>69.82813851</v>
      </c>
      <c r="AL121" s="161">
        <f t="shared" si="5"/>
        <v>632.9295712</v>
      </c>
      <c r="AM121" s="153">
        <f t="shared" si="6"/>
        <v>926.2629046</v>
      </c>
      <c r="AN121" s="153">
        <f>AVERAGE(OFFSET($AM$3,0,0,'Données projet'!$E$10+1,1))-AVERAGE(OFFSET($H$3,0,0,'Données projet'!$E$10+1,1))</f>
        <v>405.6113614</v>
      </c>
      <c r="AO121" s="153">
        <f t="shared" si="37"/>
        <v>393.0787141</v>
      </c>
      <c r="AP121" s="154">
        <f>IF(ISNA(VLOOKUP(A121,'Données projet'!$A$61:$I$81,3,0)),0,VLOOKUP(A121,'Données projet'!$A$61:$I$81,3,0))</f>
        <v>0</v>
      </c>
      <c r="AQ121" s="154">
        <f>IF(ISNA(VLOOKUP(A121,'Données projet'!$A$61:$I$81,4,0)),0,VLOOKUP(A121,'Données projet'!$A$61:$I$81,4,0))</f>
        <v>0</v>
      </c>
      <c r="AR121" s="155">
        <f>IF(ISNA(VLOOKUP(A121,'Données projet'!$A$61:$I$81,5,0)),0%,VLOOKUP(A121,'Données projet'!$A$61:$I$81,5,0)*VLOOKUP('Données projet'!$B$10,'Paramètres'!$A$1:$I$88,7,0))</f>
        <v>0</v>
      </c>
      <c r="AS121" s="155">
        <f>IF(ISNA(VLOOKUP(A121,'Données projet'!$A$61:$I$81,6,0)),0%,VLOOKUP(A121,'Données projet'!$A$61:$I$81,6,0)*VLOOKUP('Données projet'!$B$10,'Paramètres'!$A$1:$I$88,7,0))</f>
        <v>0</v>
      </c>
      <c r="AT121" s="155">
        <f>IF(ISNA(VLOOKUP(A121,'Données projet'!$A$61:$I$81,7,0)),0%,VLOOKUP(A121,'Données projet'!$A$61:$I$81,7,0))</f>
        <v>0</v>
      </c>
      <c r="AU121" s="162">
        <f>EXP(-LN(2)/35)*AU120+(1-EXP(-LN(2)/35))/(LN(2)/35)*AQ121*AR121*VLOOKUP('Données projet'!$B$10,'Paramètres'!$A$1:$I$88,3,0)*0.475*44/12</f>
        <v>0</v>
      </c>
      <c r="AV121" s="162">
        <f>EXP(-LN(2)/25)*AV120+(1-EXP(-LN(2)/25))/(LN(2)/25)*Calculateur!AQ121*Calculateur!AS121*VLOOKUP('Données projet'!$B$10,'Paramètres'!$A$1:$I$88,3,0)*0.475*44/12</f>
        <v>1.58989176</v>
      </c>
      <c r="AW121" s="162">
        <f>EXP(-LN(2)/2)*AW120+(1-EXP(-LN(2)/2))/(LN(2)/2)*AQ121*AT121*VLOOKUP('Données projet'!$B$10,'Paramètres'!$A$1:$I$88,3,0)*0.475*44/12</f>
        <v>0</v>
      </c>
      <c r="AX121" s="162">
        <f t="shared" si="7"/>
        <v>1.58989176</v>
      </c>
      <c r="AY121" s="157">
        <f>('Scénario référence'!$F$8+'Scénario référence'!$F$9+'Scénario référence'!$B$17+'Scénario référence'!$B$9+'Scénario référence'!$B$10)*70+IF((45+25*(1-EXP(-0.0175*A121)))&lt;70,'Scénario référence'!$B$16*(45+25*(1-EXP(-0.0175*A121))),70*'Scénario référence'!$B$16)+IF((32+38*(1-EXP(-0.0175*A121)))&lt;70,'Scénario référence'!$B$18*(32+38*(1-EXP(-0.0175*A121))),70*'Scénario référence'!$B$18)</f>
        <v>70</v>
      </c>
      <c r="AZ121" s="151">
        <f>IF(A121&gt;30,10,('Scénario référence'!$B$16+'Scénario référence'!$B$17+'Scénario référence'!$B$18+'Scénario référence'!$B$9+'Scénario référence'!$B$10)*A121*10/30+('Scénario référence'!$F$8+'Scénario référence'!$F$9)*10)</f>
        <v>10</v>
      </c>
      <c r="BA121" s="151" t="str">
        <f>VLOOKUP(A121,'Données projet'!$A$87:$I$107,2,0)</f>
        <v>#N/A</v>
      </c>
      <c r="BB121" s="151" t="str">
        <f>VLOOKUP(A121,'Données projet'!$A$87:$I$107,9,0)</f>
        <v>#N/A</v>
      </c>
      <c r="BC121" s="151" t="str">
        <f t="array" ref="BC121">INDEX(BB:BB,MIN(IF(ISNUMBER(BB121:BB317),ROW(BB121:BB317),"")))</f>
        <v/>
      </c>
      <c r="BD121" s="150">
        <f>IF('Données projet'!$A$88&gt;35,BD120+BC121-BL120,IF(A121&lt;'Données projet'!$A$88,$BA$205^A121,IF(A121='Données projet'!$A$88,'Données projet'!$B$88,BD120+BC121-BL120)))</f>
        <v>0</v>
      </c>
      <c r="BE121" s="150">
        <f>BD121*VLOOKUP('Données projet'!$B$11,'Paramètres'!$A$1:$I$88,3,0)*VLOOKUP('Données projet'!$B$11,'Paramètres'!$A$1:$I$88,5,0)</f>
        <v>0</v>
      </c>
      <c r="BF121" s="150" t="str">
        <f t="shared" si="38"/>
        <v>#NUM!</v>
      </c>
      <c r="BG121" s="161" t="str">
        <f t="shared" si="8"/>
        <v>#NUM!</v>
      </c>
      <c r="BH121" s="153" t="str">
        <f t="shared" si="9"/>
        <v>#NUM!</v>
      </c>
      <c r="BI121" s="153">
        <f>AVERAGE(OFFSET($BH$3,0,0,'Données projet'!$E$11+1,1))-AVERAGE(OFFSET($H$3,0,0,'Données projet'!$E$11+1,1))</f>
        <v>0</v>
      </c>
      <c r="BJ121" s="153">
        <f t="shared" si="39"/>
        <v>0</v>
      </c>
      <c r="BK121" s="154">
        <f>IF(ISNA(VLOOKUP(A121,'Données projet'!$A$87:$I$107,3,0)),0,VLOOKUP(A121,'Données projet'!$A$87:$I$107,3,0))</f>
        <v>0</v>
      </c>
      <c r="BL121" s="154">
        <f>IF(ISNA(VLOOKUP(A121,'Données projet'!$A$87:$I$107,4,0)),0,VLOOKUP(A121,'Données projet'!$A$87:$I$107,4,0))</f>
        <v>0</v>
      </c>
      <c r="BM121" s="155">
        <f>IF(ISNA(VLOOKUP(A121,'Données projet'!$A$87:$I$107,5,0)),0%,VLOOKUP(A121,'Données projet'!$A$87:$I$107,5,0)*VLOOKUP('Données projet'!$B$11,'Paramètres'!$A$1:$I$88,7,0))</f>
        <v>0</v>
      </c>
      <c r="BN121" s="155">
        <f>IF(ISNA(VLOOKUP(A121,'Données projet'!$A$87:$I$107,6,0)),0%,VLOOKUP(A121,'Données projet'!$A$87:$I$107,6,0)*VLOOKUP('Données projet'!$B$11,'Paramètres'!$A$1:$I$88,7,0))</f>
        <v>0</v>
      </c>
      <c r="BO121" s="155">
        <f>IF(ISNA(VLOOKUP(A121,'Données projet'!$A$87:$I$107,7,0)),0%,VLOOKUP(A121,'Données projet'!$A$87:$I$107,7,0))</f>
        <v>0</v>
      </c>
      <c r="BP121" s="162">
        <f>EXP(-LN(2)/35)*BP120+(1-EXP(-LN(2)/35))/(LN(2)/35)*BL121*BM121*VLOOKUP('Données projet'!$B$11,'Paramètres'!$A$1:$I$88,3,0)*0.475*44/12</f>
        <v>0</v>
      </c>
      <c r="BQ121" s="162">
        <f>EXP(-LN(2)/25)*BQ120+(1-EXP(-LN(2)/25))/(LN(2)/25)*Calculateur!BL121*Calculateur!BN121*VLOOKUP('Données projet'!$B$11,'Paramètres'!$A$1:$I$88,3,0)*0.475*44/12</f>
        <v>0</v>
      </c>
      <c r="BR121" s="162">
        <f>EXP(-LN(2)/2)*BR120+(1-EXP(-LN(2)/2))/(LN(2)/2)*BL121*BO121*VLOOKUP('Données projet'!$B$11,'Paramètres'!$A$1:$I$88,3,0)*0.475*44/12</f>
        <v>0</v>
      </c>
      <c r="BS121" s="163">
        <f t="shared" si="10"/>
        <v>0</v>
      </c>
      <c r="BT121" s="159">
        <f>('Scénario référence'!$F$8+'Scénario référence'!$F$9+'Scénario référence'!$B$17+'Scénario référence'!$B$9+'Scénario référence'!$B$10)*70+IF((45+25*(1-EXP(-0.0175*A121)))&lt;70,'Scénario référence'!$B$16*(45+25*(1-EXP(-0.0175*A121))),70*'Scénario référence'!$B$16)+IF((32+38*(1-EXP(-0.0175*A121)))&lt;70,'Scénario référence'!$B$18*(32+38*(1-EXP(-0.0175*A121))),70*'Scénario référence'!$B$18)</f>
        <v>70</v>
      </c>
      <c r="BU121" s="151">
        <f>IF(A121&gt;30,10,('Scénario référence'!$B$16+'Scénario référence'!$B$17+'Scénario référence'!$B$18+'Scénario référence'!$B$9+'Scénario référence'!$B$10)*A121*10/30+('Scénario référence'!$F$8+'Scénario référence'!$F$9)*10)</f>
        <v>10</v>
      </c>
      <c r="BV121" s="151" t="str">
        <f>VLOOKUP(A121,'Données projet'!$A$113:$I$133,2,0)</f>
        <v>#N/A</v>
      </c>
      <c r="BW121" s="151" t="str">
        <f>VLOOKUP(A121,'Données projet'!$A$113:$I$133,9,0)</f>
        <v>#N/A</v>
      </c>
      <c r="BX121" s="151" t="str">
        <f t="array" ref="BX121">INDEX(BW:BW,MIN(IF(ISNUMBER(BW121:BW317),ROW(BW121:BW317),"")))</f>
        <v/>
      </c>
      <c r="BY121" s="150">
        <f>IF('Données projet'!$A$114&gt;35,BY120+BX121-CG120,IF(A121&lt;'Données projet'!$A$114,$BV$205^A121,IF(A121='Données projet'!$A$114,'Données projet'!$B$114,BY120+BX121-CG120)))</f>
        <v>0</v>
      </c>
      <c r="BZ121" s="150" t="str">
        <f>BY121*VLOOKUP('Données projet'!$B$12,'Paramètres'!$A$1:$I$88,3,0)*VLOOKUP('Données projet'!$B$12,'Paramètres'!$A$1:$I$88,5,0)</f>
        <v>#N/A</v>
      </c>
      <c r="CA121" s="150" t="str">
        <f t="shared" si="40"/>
        <v>#N/A</v>
      </c>
      <c r="CB121" s="161" t="str">
        <f t="shared" si="11"/>
        <v>#N/A</v>
      </c>
      <c r="CC121" s="153" t="str">
        <f t="shared" si="12"/>
        <v>#N/A</v>
      </c>
      <c r="CD121" s="153" t="str">
        <f>AVERAGE(OFFSET($CC$3,0,0,'Données projet'!$E$12+1,1))-AVERAGE(OFFSET($H$3,0,0,'Données projet'!$E$12+1,1))</f>
        <v>#N/A</v>
      </c>
      <c r="CE121" s="153" t="str">
        <f t="shared" si="41"/>
        <v>#N/A</v>
      </c>
      <c r="CF121" s="154">
        <f>IF(ISNA(VLOOKUP(A121,'Données projet'!$A$113:$I$133,3,0)),0,VLOOKUP(A121,'Données projet'!$A$113:$I$133,3,0))</f>
        <v>0</v>
      </c>
      <c r="CG121" s="154">
        <f>IF(ISNA(VLOOKUP(A121,'Données projet'!$A$113:$I$133,4,0)),0,VLOOKUP(A121,'Données projet'!$A$113:$I$133,4,0))</f>
        <v>0</v>
      </c>
      <c r="CH121" s="155">
        <f>IF(ISNA(VLOOKUP(A121,'Données projet'!$A$113:$I$133,5,0)),0%,VLOOKUP(A121,'Données projet'!$A$113:$I$133,5,0)*VLOOKUP('Données projet'!$B$12,'Paramètres'!$A$1:$I$88,7,0))</f>
        <v>0</v>
      </c>
      <c r="CI121" s="155">
        <f>IF(ISNA(VLOOKUP(A121,'Données projet'!$A$113:$I$133,6,0)),0%,VLOOKUP(A121,'Données projet'!$A$113:$I$133,6,0)*VLOOKUP('Données projet'!$B$12,'Paramètres'!$A$1:$I$88,7,0))</f>
        <v>0</v>
      </c>
      <c r="CJ121" s="155">
        <f>IF(ISNA(VLOOKUP(A121,'Données projet'!$A$113:$I$133,7,0)),0%,VLOOKUP(A121,'Données projet'!$A$113:$I$133,7,0))</f>
        <v>0</v>
      </c>
      <c r="CK121" s="162" t="str">
        <f>EXP(-LN(2)/35)*CK120+(1-EXP(-LN(2)/35))/(LN(2)/35)*CG121*CH121*VLOOKUP('Données projet'!$B$12,'Paramètres'!$A$1:$I$88,3,0)*0.475*44/12</f>
        <v>#N/A</v>
      </c>
      <c r="CL121" s="162" t="str">
        <f>EXP(-LN(2)/25)*CL120+(1-EXP(-LN(2)/25))/(LN(2)/25)*Calculateur!CG121*Calculateur!CI121*VLOOKUP('Données projet'!$B$12,'Paramètres'!$A$1:$I$88,3,0)*0.475*44/12</f>
        <v>#N/A</v>
      </c>
      <c r="CM121" s="162" t="str">
        <f>EXP(-LN(2)/2)*CM120+(1-EXP(-LN(2)/2))/(LN(2)/2)*CG121*CJ121*VLOOKUP('Données projet'!$B$12,'Paramètres'!$A$1:$I$88,3,0)*0.475*44/12</f>
        <v>#N/A</v>
      </c>
      <c r="CN121" s="163" t="str">
        <f t="shared" si="13"/>
        <v>#N/A</v>
      </c>
      <c r="CO121" s="159">
        <f>('Scénario référence'!$F$8+'Scénario référence'!$F$9+'Scénario référence'!$B$17+'Scénario référence'!$B$9+'Scénario référence'!$B$10)*70+IF((45+25*(1-EXP(-0.0175*A121)))&lt;70,'Scénario référence'!$B$16*(45+25*(1-EXP(-0.0175*A121))),70*'Scénario référence'!$B$16)+IF((32+38*(1-EXP(-0.0175*A121)))&lt;70,'Scénario référence'!$B$18*(32+38*(1-EXP(-0.0175*A121))),70*'Scénario référence'!$B$18)</f>
        <v>70</v>
      </c>
      <c r="CP121" s="151">
        <f>IF(A121&gt;30,10,('Scénario référence'!$B$16+'Scénario référence'!$B$17+'Scénario référence'!$B$18+'Scénario référence'!$B$9+'Scénario référence'!$B$10)*A121*10/30+('Scénario référence'!$F$8+'Scénario référence'!$F$9)*10)</f>
        <v>10</v>
      </c>
      <c r="CQ121" s="151" t="str">
        <f>VLOOKUP(A121,'Données projet'!$A$139:$I$159,2,0)</f>
        <v>#N/A</v>
      </c>
      <c r="CR121" s="151" t="str">
        <f>VLOOKUP(A121,'Données projet'!$A$139:$I$159,9,0)</f>
        <v>#N/A</v>
      </c>
      <c r="CS121" s="151" t="str">
        <f t="array" ref="CS121">INDEX(CR:CR,MIN(IF(ISNUMBER(CR121:CR317),ROW(CR121:CR317),"")))</f>
        <v/>
      </c>
      <c r="CT121" s="151">
        <f>IF('Données projet'!$A$140&gt;35,CT120+CS121-DB120,IF(A121&lt;'Données projet'!$A$140,$CQ$205^A121,IF(A121='Données projet'!$A$140,'Données projet'!$B$140,CT120+CS121-DB120)))</f>
        <v>0</v>
      </c>
      <c r="CU121" s="158" t="str">
        <f>CT121*VLOOKUP('Données projet'!$B$13,'Paramètres'!$A$1:$I$88,3,0)*VLOOKUP('Données projet'!$B$13,'Paramètres'!$A$1:$I$88,5,0)</f>
        <v>#N/A</v>
      </c>
      <c r="CV121" s="150" t="str">
        <f t="shared" si="42"/>
        <v>#N/A</v>
      </c>
      <c r="CW121" s="161" t="str">
        <f t="shared" si="14"/>
        <v>#N/A</v>
      </c>
      <c r="CX121" s="153" t="str">
        <f t="shared" si="15"/>
        <v>#N/A</v>
      </c>
      <c r="CY121" s="153" t="str">
        <f>AVERAGE(OFFSET($CX$3,0,0,'Données projet'!$E$13+1,1))-AVERAGE(OFFSET($H$3,0,0,'Données projet'!$E$13+1,1))</f>
        <v>#N/A</v>
      </c>
      <c r="CZ121" s="153" t="str">
        <f t="shared" si="43"/>
        <v>#N/A</v>
      </c>
      <c r="DA121" s="154">
        <f>IF(ISNA(VLOOKUP(A121,'Données projet'!$A$139:$I$159,3,0)),0,VLOOKUP(A121,'Données projet'!$A$139:$I$159,3,0))</f>
        <v>0</v>
      </c>
      <c r="DB121" s="154">
        <f>IF(ISNA(VLOOKUP(A121,'Données projet'!$A$139:$I$159,4,0)),0,VLOOKUP(A121,'Données projet'!$A$139:$I$159,4,0))</f>
        <v>0</v>
      </c>
      <c r="DC121" s="155">
        <f>IF(ISNA(VLOOKUP(A121,'Données projet'!$A$139:$I$159,5,0)),0%,VLOOKUP(A121,'Données projet'!$A$139:$I$159,5,0)*VLOOKUP('Données projet'!$B$13,'Paramètres'!$A$1:$I$88,7,0))</f>
        <v>0</v>
      </c>
      <c r="DD121" s="155">
        <f>IF(ISNA(VLOOKUP(A121,'Données projet'!$A$139:$I$159,6,0)),0%,VLOOKUP(A121,'Données projet'!$A$139:$I$159,6,0)*VLOOKUP('Données projet'!$B$13,'Paramètres'!$A$1:$I$88,7,0))</f>
        <v>0</v>
      </c>
      <c r="DE121" s="155">
        <f>IF(ISNA(VLOOKUP(A121,'Données projet'!$A$139:$I$159,7,0)),0%,VLOOKUP(A121,'Données projet'!$A$139:$I$159,7,0))</f>
        <v>0</v>
      </c>
      <c r="DF121" s="162" t="str">
        <f>EXP(-LN(2)/35)*DF120+(1-EXP(-LN(2)/35))/(LN(2)/35)*DB121*DC121*VLOOKUP('Données projet'!$B$13,'Paramètres'!$A$1:$I$88,3,0)*0.475*44/12</f>
        <v>#N/A</v>
      </c>
      <c r="DG121" s="162" t="str">
        <f>EXP(-LN(2)/25)*DG120+(1-EXP(-LN(2)/25))/(LN(2)/25)*Calculateur!DB121*Calculateur!DD121*VLOOKUP('Données projet'!$B$13,'Paramètres'!$A$1:$I$88,3,0)*0.475*44/12</f>
        <v>#N/A</v>
      </c>
      <c r="DH121" s="162" t="str">
        <f>EXP(-LN(2)/2)*DH120+(1-EXP(-LN(2)/2))/(LN(2)/2)*DB121*DE121*VLOOKUP('Données projet'!$B$13,'Paramètres'!$A$1:$I$88,3,0)*0.475*44/12</f>
        <v>#N/A</v>
      </c>
      <c r="DI121" s="163" t="str">
        <f t="shared" si="16"/>
        <v>#N/A</v>
      </c>
      <c r="DJ121" s="159">
        <f>('Scénario référence'!$F$8+'Scénario référence'!$F$9+'Scénario référence'!$B$17+'Scénario référence'!$B$9+'Scénario référence'!$B$10)*70+IF((45+25*(1-EXP(-0.0175*A121)))&lt;70,'Scénario référence'!$B$16*(45+25*(1-EXP(-0.0175*A121))),70*'Scénario référence'!$B$16)+IF((32+38*(1-EXP(-0.0175*A121)))&lt;70,'Scénario référence'!$B$18*(32+38*(1-EXP(-0.0175*A121))),70*'Scénario référence'!$B$18)</f>
        <v>70</v>
      </c>
      <c r="DK121" s="151">
        <f>IF(A121&gt;30,10,('Scénario référence'!$B$16+'Scénario référence'!$B$17+'Scénario référence'!$B$18+'Scénario référence'!$B$9+'Scénario référence'!$B$10)*A121*10/30+('Scénario référence'!$F$8+'Scénario référence'!$F$9)*10)</f>
        <v>10</v>
      </c>
      <c r="DL121" s="151" t="str">
        <f>VLOOKUP(A121,'Données projet'!$A$165:$I$185,2,0)</f>
        <v>#N/A</v>
      </c>
      <c r="DM121" s="151" t="str">
        <f>VLOOKUP(A121,'Données projet'!$A$165:$I$185,9,0)</f>
        <v>#N/A</v>
      </c>
      <c r="DN121" s="151" t="str">
        <f t="array" ref="DN121">INDEX(DM:DM,MIN(IF(ISNUMBER(DM121:DM317),ROW(DM121:DM317),"")))</f>
        <v/>
      </c>
      <c r="DO121" s="151">
        <f>IF('Données projet'!$A$166&gt;35,DO120+DN121-DW120,IF(A121&lt;'Données projet'!$A$166,$DL$205^A121,IF(A121='Données projet'!$A$166,'Données projet'!$B$166,DO120+DN121-DW120)))</f>
        <v>0</v>
      </c>
      <c r="DP121" s="158" t="str">
        <f>DO121*VLOOKUP('Données projet'!$B$14,'Paramètres'!$A$1:$I$88,3,0)*VLOOKUP('Données projet'!$B$14,'Paramètres'!$A$1:$I$88,5,0)</f>
        <v>#N/A</v>
      </c>
      <c r="DQ121" s="150" t="str">
        <f t="shared" si="44"/>
        <v>#N/A</v>
      </c>
      <c r="DR121" s="161" t="str">
        <f t="shared" si="17"/>
        <v>#N/A</v>
      </c>
      <c r="DS121" s="153" t="str">
        <f t="shared" si="18"/>
        <v>#N/A</v>
      </c>
      <c r="DT121" s="153" t="str">
        <f>AVERAGE(OFFSET($DS$3,0,0,'Données projet'!$E$14+1,1))-AVERAGE(OFFSET($H$3,0,0,'Données projet'!$E$14+1,1))</f>
        <v>#N/A</v>
      </c>
      <c r="DU121" s="153" t="str">
        <f t="shared" si="45"/>
        <v>#N/A</v>
      </c>
      <c r="DV121" s="154">
        <f>IF(ISNA(VLOOKUP(A121,'Données projet'!$A$165:$I$185,3,0)),0,VLOOKUP(A121,'Données projet'!$A$165:$I$185,3,0))</f>
        <v>0</v>
      </c>
      <c r="DW121" s="154">
        <f>IF(ISNA(VLOOKUP(A121,'Données projet'!$A$165:$I$185,4,0)),0,VLOOKUP(A121,'Données projet'!$A$165:$I$185,4,0))</f>
        <v>0</v>
      </c>
      <c r="DX121" s="155">
        <f>IF(ISNA(VLOOKUP(A121,'Données projet'!$A$165:$I$185,5,0)),0%,VLOOKUP(A121,'Données projet'!$A$165:$I$185,5,0)*VLOOKUP('Données projet'!$B$14,'Paramètres'!$A$1:$I$88,7,0))</f>
        <v>0</v>
      </c>
      <c r="DY121" s="155">
        <f>IF(ISNA(VLOOKUP(A121,'Données projet'!$A$165:$I$185,6,0)),0%,VLOOKUP(A121,'Données projet'!$A$165:$I$185,6,0)*VLOOKUP('Données projet'!$B$14,'Paramètres'!$A$1:$I$88,7,0))</f>
        <v>0</v>
      </c>
      <c r="DZ121" s="155">
        <f>IF(ISNA(VLOOKUP(A121,'Données projet'!$A$165:$I$185,7,0)),0%,VLOOKUP(A121,'Données projet'!$A$165:$I$185,7,0))</f>
        <v>0</v>
      </c>
      <c r="EA121" s="162" t="str">
        <f>EXP(-LN(2)/35)*EA120+(1-EXP(-LN(2)/35))/(LN(2)/35)*DW121*DX121*VLOOKUP('Données projet'!$B$14,'Paramètres'!$A$1:$I$88,3,0)*0.475*44/12</f>
        <v>#N/A</v>
      </c>
      <c r="EB121" s="162" t="str">
        <f>EXP(-LN(2)/25)*EB120+(1-EXP(-LN(2)/25))/(LN(2)/25)*Calculateur!DW121*Calculateur!DY121*VLOOKUP('Données projet'!$B$14,'Paramètres'!$A$1:$I$88,3,0)*0.475*44/12</f>
        <v>#N/A</v>
      </c>
      <c r="EC121" s="162" t="str">
        <f>EXP(-LN(2)/2)*EC120+(1-EXP(-LN(2)/2))/(LN(2)/2)*DW121*DZ121*VLOOKUP('Données projet'!$B$14,'Paramètres'!$A$1:$I$88,3,0)*0.475*44/12</f>
        <v>#N/A</v>
      </c>
      <c r="ED121" s="163" t="str">
        <f t="shared" si="19"/>
        <v>#N/A</v>
      </c>
      <c r="EE121" s="159">
        <f>('Scénario référence'!$F$8+'Scénario référence'!$F$9+'Scénario référence'!$B$17+'Scénario référence'!$B$9+'Scénario référence'!$B$10)*70+IF((45+25*(1-EXP(-0.0175*A121)))&lt;70,'Scénario référence'!$B$16*(45+25*(1-EXP(-0.0175*A121))),70*'Scénario référence'!$B$16)+IF((32+38*(1-EXP(-0.0175*A121)))&lt;70,'Scénario référence'!$B$18*(32+38*(1-EXP(-0.0175*A121))),70*'Scénario référence'!$B$18)</f>
        <v>70</v>
      </c>
      <c r="EF121" s="151">
        <f>IF(A121&gt;30,10,('Scénario référence'!$B$16+'Scénario référence'!$B$17+'Scénario référence'!$B$18+'Scénario référence'!$B$9+'Scénario référence'!$B$10)*A121*10/30+('Scénario référence'!$F$8+'Scénario référence'!$F$9)*10)</f>
        <v>10</v>
      </c>
      <c r="EG121" s="151" t="str">
        <f>VLOOKUP(A121,'Données projet'!$A$191:$I$211,2,0)</f>
        <v>#N/A</v>
      </c>
      <c r="EH121" s="151" t="str">
        <f>VLOOKUP(A121,'Données projet'!$A$191:$I$211,9,0)</f>
        <v>#N/A</v>
      </c>
      <c r="EI121" s="151" t="str">
        <f t="array" ref="EI121">INDEX(EH:EH,MIN(IF(ISNUMBER(EH121:EH317),ROW(EH121:EH317),"")))</f>
        <v/>
      </c>
      <c r="EJ121" s="151">
        <f>IF('Données projet'!$A$192&gt;35,EJ120+EI121-ER120,IF(A121&lt;'Données projet'!$A$192,$EG$205^A121,IF(A121='Données projet'!$A$192,'Données projet'!$B$192,EJ120+EI121-ER120)))</f>
        <v>0</v>
      </c>
      <c r="EK121" s="158" t="str">
        <f>EJ121*VLOOKUP('Données projet'!$B$15,'Paramètres'!$A$1:$I$88,3,0)*VLOOKUP('Données projet'!$B$15,'Paramètres'!$A$1:$I$88,5,0)</f>
        <v>#N/A</v>
      </c>
      <c r="EL121" s="150" t="str">
        <f t="shared" si="46"/>
        <v>#N/A</v>
      </c>
      <c r="EM121" s="161" t="str">
        <f t="shared" si="20"/>
        <v>#N/A</v>
      </c>
      <c r="EN121" s="153" t="str">
        <f t="shared" si="21"/>
        <v>#N/A</v>
      </c>
      <c r="EO121" s="153" t="str">
        <f>AVERAGE(OFFSET($EN$3,0,0,'Données projet'!$E$15+1,1))-AVERAGE(OFFSET($H$3,0,0,'Données projet'!$E$15+1,1))</f>
        <v>#N/A</v>
      </c>
      <c r="EP121" s="153" t="str">
        <f t="shared" si="47"/>
        <v>#N/A</v>
      </c>
      <c r="EQ121" s="154">
        <f>IF(ISNA(VLOOKUP(A121,'Données projet'!$A$191:$I$211,3,0)),0,VLOOKUP(A121,'Données projet'!$A$191:$I$211,3,0))</f>
        <v>0</v>
      </c>
      <c r="ER121" s="154">
        <f>IF(ISNA(VLOOKUP(A121,'Données projet'!$A$191:$I$211,4,0)),0,VLOOKUP(A121,'Données projet'!$A$191:$I$211,4,0))</f>
        <v>0</v>
      </c>
      <c r="ES121" s="155">
        <f>IF(ISNA(VLOOKUP(A121,'Données projet'!$A$191:$I$211,5,0)),0%,VLOOKUP(A121,'Données projet'!$A$191:$I$211,5,0)*VLOOKUP('Données projet'!$B$15,'Paramètres'!$A$1:$I$88,7,0))</f>
        <v>0</v>
      </c>
      <c r="ET121" s="155">
        <f>IF(ISNA(VLOOKUP(A121,'Données projet'!$A$191:$I$211,6,0)),0%,VLOOKUP(A121,'Données projet'!$A$191:$I$211,6,0)*VLOOKUP('Données projet'!$B$15,'Paramètres'!$A$1:$I$88,7,0))</f>
        <v>0</v>
      </c>
      <c r="EU121" s="155">
        <f>IF(ISNA(VLOOKUP(A121,'Données projet'!$A$191:$I$211,7,0)),0%,VLOOKUP(A121,'Données projet'!$A$191:$I$211,7,0))</f>
        <v>0</v>
      </c>
      <c r="EV121" s="162" t="str">
        <f>EXP(-LN(2)/35)*EV120+(1-EXP(-LN(2)/35))/(LN(2)/35)*ER121*ES121*VLOOKUP('Données projet'!$B$15,'Paramètres'!$A$1:$I$88,3,0)*0.475*44/12</f>
        <v>#N/A</v>
      </c>
      <c r="EW121" s="162" t="str">
        <f>EXP(-LN(2)/25)*EW120+(1-EXP(-LN(2)/25))/(LN(2)/25)*Calculateur!ER121*Calculateur!ET121*VLOOKUP('Données projet'!$B$15,'Paramètres'!$A$1:$I$88,3,0)*0.475*44/12</f>
        <v>#N/A</v>
      </c>
      <c r="EX121" s="162" t="str">
        <f>EXP(-LN(2)/2)*EX120+(1-EXP(-LN(2)/2))/(LN(2)/2)*ER121*EU121*VLOOKUP('Données projet'!$B$15,'Paramètres'!$A$1:$I$88,3,0)*0.475*44/12</f>
        <v>#N/A</v>
      </c>
      <c r="EY121" s="163" t="str">
        <f t="shared" si="22"/>
        <v>#N/A</v>
      </c>
      <c r="EZ121" s="159">
        <f>('Scénario référence'!$F$8+'Scénario référence'!$F$9+'Scénario référence'!$B$17+'Scénario référence'!$B$9+'Scénario référence'!$B$10)*70+IF((45+25*(1-EXP(-0.0175*A121)))&lt;70,'Scénario référence'!$B$16*(45+25*(1-EXP(-0.0175*A121))),70*'Scénario référence'!$B$16)+IF((32+38*(1-EXP(-0.0175*A121)))&lt;70,'Scénario référence'!$B$18*(32+38*(1-EXP(-0.0175*A121))),70*'Scénario référence'!$B$18)</f>
        <v>70</v>
      </c>
      <c r="FA121" s="151">
        <f>IF(A121&gt;30,10,('Scénario référence'!$B$16+'Scénario référence'!$B$17+'Scénario référence'!$B$18+'Scénario référence'!$B$9+'Scénario référence'!$B$10)*A121*10/30+('Scénario référence'!$F$8+'Scénario référence'!$F$9)*10)</f>
        <v>10</v>
      </c>
      <c r="FB121" s="151" t="str">
        <f>VLOOKUP(A121,'Données projet'!$A$217:$I$237,2,0)</f>
        <v>#N/A</v>
      </c>
      <c r="FC121" s="151" t="str">
        <f>VLOOKUP(A121,'Données projet'!$A$217:$I$237,9,0)</f>
        <v>#N/A</v>
      </c>
      <c r="FD121" s="151" t="str">
        <f t="array" ref="FD121">INDEX(FC:FC,MIN(IF(ISNUMBER(FC121:FC317),ROW(FC121:FC317),"")))</f>
        <v/>
      </c>
      <c r="FE121" s="151">
        <f>IF('Données projet'!$A$218&gt;35,FE120+FD121-FM120,IF(A121&lt;'Données projet'!$A$218,$FB$205^A121,IF(A121='Données projet'!$A$218,'Données projet'!$B$218,FE120+FD121-FM120)))</f>
        <v>0</v>
      </c>
      <c r="FF121" s="158" t="str">
        <f>FE121*VLOOKUP('Données projet'!$B$16,'Paramètres'!$A$1:$I$88,3,0)*VLOOKUP('Données projet'!$B$16,'Paramètres'!$A$1:$I$88,5,0)</f>
        <v>#N/A</v>
      </c>
      <c r="FG121" s="150" t="str">
        <f t="shared" si="48"/>
        <v>#N/A</v>
      </c>
      <c r="FH121" s="161" t="str">
        <f t="shared" si="23"/>
        <v>#N/A</v>
      </c>
      <c r="FI121" s="153" t="str">
        <f t="shared" si="24"/>
        <v>#N/A</v>
      </c>
      <c r="FJ121" s="153" t="str">
        <f>AVERAGE(OFFSET($FI$3,0,0,'Données projet'!$E$16+1,1))-AVERAGE(OFFSET($H$3,0,0,'Données projet'!$E$16+1,1))</f>
        <v>#N/A</v>
      </c>
      <c r="FK121" s="153" t="str">
        <f t="shared" si="49"/>
        <v>#N/A</v>
      </c>
      <c r="FL121" s="154">
        <f>IF(ISNA(VLOOKUP(A121,'Données projet'!$A$217:$I$237,3,0)),0,VLOOKUP(A121,'Données projet'!$A$217:$I$237,3,0))</f>
        <v>0</v>
      </c>
      <c r="FM121" s="154">
        <f>IF(ISNA(VLOOKUP(A121,'Données projet'!$A$217:$I$237,4,0)),0,VLOOKUP(A121,'Données projet'!$A$217:$I$237,4,0))</f>
        <v>0</v>
      </c>
      <c r="FN121" s="155">
        <f>IF(ISNA(VLOOKUP(A121,'Données projet'!$A$217:$I$237,5,0)),0%,VLOOKUP(A121,'Données projet'!$A$217:$I$237,5,0)*VLOOKUP('Données projet'!$B$16,'Paramètres'!$A$1:$I$88,7,0))</f>
        <v>0</v>
      </c>
      <c r="FO121" s="155">
        <f>IF(ISNA(VLOOKUP(A121,'Données projet'!$A$217:$I$237,6,0)),0%,VLOOKUP(A121,'Données projet'!$A$217:$I$237,6,0)*VLOOKUP('Données projet'!$B$16,'Paramètres'!$A$1:$I$88,7,0))</f>
        <v>0</v>
      </c>
      <c r="FP121" s="155">
        <f>IF(ISNA(VLOOKUP(A121,'Données projet'!$A$217:$I$237,7,0)),0%,VLOOKUP(A121,'Données projet'!$A$217:$I$237,7,0))</f>
        <v>0</v>
      </c>
      <c r="FQ121" s="162" t="str">
        <f>EXP(-LN(2)/35)*FQ120+(1-EXP(-LN(2)/35))/(LN(2)/35)*FM121*FN121*VLOOKUP('Données projet'!$B$16,'Paramètres'!$A$1:$I$88,3,0)*0.475*44/12</f>
        <v>#N/A</v>
      </c>
      <c r="FR121" s="162" t="str">
        <f>EXP(-LN(2)/25)*FR120+(1-EXP(-LN(2)/25))/(LN(2)/25)*Calculateur!FM121*Calculateur!FO121*VLOOKUP('Données projet'!$B$16,'Paramètres'!$A$1:$I$88,3,0)*0.475*44/12</f>
        <v>#N/A</v>
      </c>
      <c r="FS121" s="162" t="str">
        <f>EXP(-LN(2)/2)*FS120+(1-EXP(-LN(2)/2))/(LN(2)/2)*FM121*FP121*VLOOKUP('Données projet'!$B$16,'Paramètres'!$A$1:$I$88,3,0)*0.475*44/12</f>
        <v>#N/A</v>
      </c>
      <c r="FT121" s="163" t="str">
        <f t="shared" si="25"/>
        <v>#N/A</v>
      </c>
      <c r="FU121" s="159">
        <f>('Scénario référence'!$F$8+'Scénario référence'!$F$9+'Scénario référence'!$B$17+'Scénario référence'!$B$9+'Scénario référence'!$B$10)*70+IF((45+25*(1-EXP(-0.0175*A121)))&lt;70,'Scénario référence'!$B$16*(45+25*(1-EXP(-0.0175*A121))),70*'Scénario référence'!$B$16)+IF((32+38*(1-EXP(-0.0175*A121)))&lt;70,'Scénario référence'!$B$18*(32+38*(1-EXP(-0.0175*A121))),70*'Scénario référence'!$B$18)</f>
        <v>70</v>
      </c>
      <c r="FV121" s="151">
        <f>IF(A121&gt;30,10,('Scénario référence'!$B$16+'Scénario référence'!$B$17+'Scénario référence'!$B$18+'Scénario référence'!$B$9+'Scénario référence'!$B$10)*A121*10/30+('Scénario référence'!$F$8+'Scénario référence'!$F$9)*10)</f>
        <v>10</v>
      </c>
      <c r="FW121" s="151" t="str">
        <f>VLOOKUP(A121,'Données projet'!$A$243:$I$263,2,0)</f>
        <v>#N/A</v>
      </c>
      <c r="FX121" s="151" t="str">
        <f>VLOOKUP(A121,'Données projet'!$A$243:$I$263,9,0)</f>
        <v>#N/A</v>
      </c>
      <c r="FY121" s="151" t="str">
        <f t="array" ref="FY121">INDEX(FX:FX,MIN(IF(ISNUMBER(FX121:FX317),ROW(FX121:FX317),"")))</f>
        <v/>
      </c>
      <c r="FZ121" s="151">
        <f>IF('Données projet'!$A$244&gt;35,FZ120+FY121-GH120,IF(A121&lt;'Données projet'!$A$244,$FW$205^A121,IF(A121='Données projet'!$A$244,'Données projet'!$B$244,FZ120+FY121-GH120)))</f>
        <v>0</v>
      </c>
      <c r="GA121" s="158" t="str">
        <f>FZ121*VLOOKUP('Données projet'!$B$17,'Paramètres'!$A$1:$I$88,3,0)*VLOOKUP('Données projet'!$B$17,'Paramètres'!$A$1:$I$88,5,0)</f>
        <v>#N/A</v>
      </c>
      <c r="GB121" s="150" t="str">
        <f t="shared" si="50"/>
        <v>#N/A</v>
      </c>
      <c r="GC121" s="161" t="str">
        <f t="shared" si="26"/>
        <v>#N/A</v>
      </c>
      <c r="GD121" s="153" t="str">
        <f t="shared" si="27"/>
        <v>#N/A</v>
      </c>
      <c r="GE121" s="153" t="str">
        <f>AVERAGE(OFFSET($GD$3,0,0,'Données projet'!$E$17+1,1))-AVERAGE(OFFSET($H$3,0,0,'Données projet'!$E$17+1,1))</f>
        <v>#N/A</v>
      </c>
      <c r="GF121" s="153" t="str">
        <f t="shared" si="51"/>
        <v>#N/A</v>
      </c>
      <c r="GG121" s="154">
        <f>IF(ISNA(VLOOKUP(A121,'Données projet'!$A$243:$I$263,3,0)),0,VLOOKUP(A121,'Données projet'!$A$243:$I$263,3,0))</f>
        <v>0</v>
      </c>
      <c r="GH121" s="154">
        <f>IF(ISNA(VLOOKUP(A121,'Données projet'!$A$243:$I$263,4,0)),0,VLOOKUP(A121,'Données projet'!$A$243:$I$263,4,0))</f>
        <v>0</v>
      </c>
      <c r="GI121" s="155">
        <f>IF(ISNA(VLOOKUP(A121,'Données projet'!$A$243:$I$263,5,0)),0%,VLOOKUP(A121,'Données projet'!$A$243:$I$263,5,0)*VLOOKUP('Données projet'!$B$17,'Paramètres'!$A$1:$I$88,7,0))</f>
        <v>0</v>
      </c>
      <c r="GJ121" s="155">
        <f>IF(ISNA(VLOOKUP(A121,'Données projet'!$A$243:$I$263,6,0)),0%,VLOOKUP(A121,'Données projet'!$A$243:$I$263,6,0)*VLOOKUP('Données projet'!$B$17,'Paramètres'!$A$1:$I$88,7,0))</f>
        <v>0</v>
      </c>
      <c r="GK121" s="155">
        <f>IF(ISNA(VLOOKUP(A121,'Données projet'!$A$243:$I$263,7,0)),0%,VLOOKUP(A121,'Données projet'!$A$243:$I$263,7,0))</f>
        <v>0</v>
      </c>
      <c r="GL121" s="162" t="str">
        <f>EXP(-LN(2)/35)*GL120+(1-EXP(-LN(2)/35))/(LN(2)/35)*GH121*GI121*VLOOKUP('Données projet'!$B$17,'Paramètres'!$A$1:$I$88,3,0)*0.475*44/12</f>
        <v>#N/A</v>
      </c>
      <c r="GM121" s="162" t="str">
        <f>EXP(-LN(2)/25)*GM120+(1-EXP(-LN(2)/25))/(LN(2)/25)*Calculateur!GH121*Calculateur!GJ121*VLOOKUP('Données projet'!$B$17,'Paramètres'!$A$1:$I$88,3,0)*0.475*44/12</f>
        <v>#N/A</v>
      </c>
      <c r="GN121" s="162" t="str">
        <f>EXP(-LN(2)/2)*GN120+(1-EXP(-LN(2)/2))/(LN(2)/2)*GH121*GK121*VLOOKUP('Données projet'!$B$17,'Paramètres'!$A$1:$I$88,3,0)*0.475*44/12</f>
        <v>#N/A</v>
      </c>
      <c r="GO121" s="162" t="str">
        <f t="shared" si="28"/>
        <v>#N/A</v>
      </c>
      <c r="GP121" s="159">
        <f>('Scénario référence'!$F$8+'Scénario référence'!$F$9+'Scénario référence'!$B$17+'Scénario référence'!$B$9+'Scénario référence'!$B$10)*70+IF((45+25*(1-EXP(-0.0175*A121)))&lt;70,'Scénario référence'!$B$16*(45+25*(1-EXP(-0.0175*A121))),70*'Scénario référence'!$B$16)+IF((32+38*(1-EXP(-0.0175*A121)))&lt;70,'Scénario référence'!$B$18*(32+38*(1-EXP(-0.0175*A121))),70*'Scénario référence'!$B$18)</f>
        <v>70</v>
      </c>
      <c r="GQ121" s="151">
        <f>IF(A121&gt;30,10,('Scénario référence'!$B$16+'Scénario référence'!$B$17+'Scénario référence'!$B$18+'Scénario référence'!$B$9+'Scénario référence'!$B$10)*A121*10/30+('Scénario référence'!$F$8+'Scénario référence'!$F$9)*10)</f>
        <v>10</v>
      </c>
      <c r="GR121" s="151" t="str">
        <f>VLOOKUP(A121,'Données projet'!$A$269:$I$289,2,0)</f>
        <v>#N/A</v>
      </c>
      <c r="GS121" s="151" t="str">
        <f>VLOOKUP(A121,'Données projet'!$A$269:$I$289,9,0)</f>
        <v>#N/A</v>
      </c>
      <c r="GT121" s="151" t="str">
        <f t="array" ref="GT121">INDEX(GS:GS,MIN(IF(ISNUMBER(GS121:GS317),ROW(GS121:GS317),"")))</f>
        <v/>
      </c>
      <c r="GU121" s="151">
        <f>IF('Données projet'!$A$270&gt;35,GU120+GT121-HC120,IF(A121&lt;'Données projet'!$A$270,$GR$205^A121,IF(A121='Données projet'!$A$270,'Données projet'!$B$270,GU120+GT121-HC120)))</f>
        <v>0</v>
      </c>
      <c r="GV121" s="158" t="str">
        <f>GU121*VLOOKUP('Données projet'!$B$18,'Paramètres'!$A$1:$I$88,3,0)*VLOOKUP('Données projet'!$B$18,'Paramètres'!$A$1:$I$88,5,0)</f>
        <v>#N/A</v>
      </c>
      <c r="GW121" s="150" t="str">
        <f t="shared" si="52"/>
        <v>#N/A</v>
      </c>
      <c r="GX121" s="161" t="str">
        <f t="shared" si="29"/>
        <v>#N/A</v>
      </c>
      <c r="GY121" s="153" t="str">
        <f t="shared" si="30"/>
        <v>#N/A</v>
      </c>
      <c r="GZ121" s="153" t="str">
        <f>AVERAGE(OFFSET($GY$3,0,0,'Données projet'!$E$18+1,1))-AVERAGE(OFFSET($H$3,0,0,'Données projet'!$E$18+1,1))</f>
        <v>#N/A</v>
      </c>
      <c r="HA121" s="153" t="str">
        <f t="shared" si="53"/>
        <v>#N/A</v>
      </c>
      <c r="HB121" s="154">
        <f>IF(ISNA(VLOOKUP(A121,'Données projet'!$A$269:$I$289,3,0)),0,VLOOKUP(A121,'Données projet'!$A$269:$I$289,3,0))</f>
        <v>0</v>
      </c>
      <c r="HC121" s="154">
        <f>IF(ISNA(VLOOKUP(A121,'Données projet'!$A$269:$I$289,4,0)),0,VLOOKUP(A121,'Données projet'!$A$269:$I$289,4,0))</f>
        <v>0</v>
      </c>
      <c r="HD121" s="155">
        <f>IF(ISNA(VLOOKUP(A121,'Données projet'!$A$269:$I$289,5,0)),0%,VLOOKUP(A121,'Données projet'!$A$269:$I$289,5,0)*VLOOKUP('Données projet'!$B$18,'Paramètres'!$A$1:$I$88,7,0))</f>
        <v>0</v>
      </c>
      <c r="HE121" s="155">
        <f>IF(ISNA(VLOOKUP(A121,'Données projet'!$A$269:$I$289,6,0)),0%,VLOOKUP(A121,'Données projet'!$A$269:$I$289,6,0)*VLOOKUP('Données projet'!$B$18,'Paramètres'!$A$1:$I$88,7,0))</f>
        <v>0</v>
      </c>
      <c r="HF121" s="155">
        <f>IF(ISNA(VLOOKUP(A121,'Données projet'!$A$269:$I$289,7,0)),0%,VLOOKUP(A121,'Données projet'!$A$269:$I$289,7,0))</f>
        <v>0</v>
      </c>
      <c r="HG121" s="162" t="str">
        <f>EXP(-LN(2)/35)*HG120+(1-EXP(-LN(2)/35))/(LN(2)/35)*HC121*HD121*VLOOKUP('Données projet'!$B$18,'Paramètres'!$A$1:$I$88,3,0)*0.475*44/12</f>
        <v>#N/A</v>
      </c>
      <c r="HH121" s="162" t="str">
        <f>EXP(-LN(2)/25)*HH120+(1-EXP(-LN(2)/25))/(LN(2)/25)*Calculateur!HC121*Calculateur!HE121*VLOOKUP('Données projet'!$B$18,'Paramètres'!$A$1:$I$88,3,0)*0.475*44/12</f>
        <v>#N/A</v>
      </c>
      <c r="HI121" s="162" t="str">
        <f>EXP(-LN(2)/2)*HI120+(1-EXP(-LN(2)/2))/(LN(2)/2)*HC121*HF121*VLOOKUP('Données projet'!$B$18,'Paramètres'!$A$1:$I$88,3,0)*0.475*44/12</f>
        <v>#N/A</v>
      </c>
      <c r="HJ121" s="163" t="str">
        <f t="shared" si="31"/>
        <v>#N/A</v>
      </c>
    </row>
    <row r="122" ht="15.75" customHeight="1">
      <c r="A122" s="145">
        <f t="shared" si="32"/>
        <v>119</v>
      </c>
      <c r="B122" s="146">
        <f>'Scénario référence'!$B$16*5+'Scénario référence'!$B$17*0+'Scénario référence'!$B$18*5</f>
        <v>0</v>
      </c>
      <c r="C122" s="160">
        <f>Calculateur!C121+'Scénario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22" s="147">
        <f t="shared" si="33"/>
        <v>0</v>
      </c>
      <c r="E122" s="147">
        <f>'Scénario référence'!$B$16*45+('Scénario référence'!$B$17+'Scénario référence'!$F$8+'Scénario référence'!$F$9+'Scénario référence'!$B$10+'Scénario référence'!$B$9)*70+'Scénario référence'!$B$18*32</f>
        <v>70</v>
      </c>
      <c r="F122" s="147">
        <f>IF(OR('Scénario référence'!$F$8&gt;0,'Scénario référence'!$F$9&gt;0),('Scénario référence'!$F$8+'Scénario référence'!$F$9)*10,0)</f>
        <v>0</v>
      </c>
      <c r="G122" s="147">
        <f>'Scénario référence'!$B$8*B122*44/12+'Scénario référence'!$B$9*(C122+D122)/0.475*44/12+'Scénario référence'!$B$10*(C122+D122)/0.475*44/12+'Scénario référence'!$F$8*(C122+D122)/0.475*44/12+'Scénario référence'!$F$9*(C122+D122)/0.475*44/12</f>
        <v>0</v>
      </c>
      <c r="H122" s="148">
        <f t="shared" si="1"/>
        <v>256.6666667</v>
      </c>
      <c r="I122" s="149">
        <f>('Scénario référence'!$F$8+'Scénario référence'!$F$9+'Scénario référence'!$B$17+'Scénario référence'!$B$9+'Scénario référence'!$B$10)*70+IF((45+25*(1-EXP(-0.0175*A122)))&lt;70,'Scénario référence'!$B$16*(45+25*(1-EXP(-0.0175*A122))),70*'Scénario référence'!$B$16)+IF((32+38*(1-EXP(-0.0175*A122)))&lt;70,'Scénario référence'!$B$18*(32+38*(1-EXP(-0.0175*A122))),70*'Scénario référence'!$B$18)</f>
        <v>70</v>
      </c>
      <c r="J122" s="150">
        <f>IF(A122&gt;30,10,('Scénario référence'!$B$16+'Scénario référence'!$B$17+'Scénario référence'!$B$18+'Scénario référence'!$B$9+'Scénario référence'!$B$10)*A122*10/30+('Scénario référence'!$F$8+'Scénario référence'!$F$9)*10)</f>
        <v>10</v>
      </c>
      <c r="K122" s="151" t="str">
        <f>VLOOKUP(A122,'Données projet'!$A$35:$I$55,2,0)</f>
        <v>#N/A</v>
      </c>
      <c r="L122" s="151" t="str">
        <f>VLOOKUP(A122,'Données projet'!$A$35:$I$55,9,0)</f>
        <v>#N/A</v>
      </c>
      <c r="M122" s="150" t="str">
        <f t="array" ref="M122">INDEX(L:L,MIN(IF(ISNUMBER(L122:L318),ROW(L122:L318),"")))</f>
        <v/>
      </c>
      <c r="N122" s="150">
        <f>IF('Données projet'!$A$36&gt;35,N121+M122-V121,IF(A122&lt;'Données projet'!$A$36,$K$205^A122,IF(A122='Données projet'!$A$36,'Données projet'!$B$36,N121+M122-V121)))</f>
        <v>307</v>
      </c>
      <c r="O122" s="150">
        <f>N122*VLOOKUP('Données projet'!$B$9,'Paramètres'!$A$1:$I$88,3,0)*VLOOKUP('Données projet'!$B$9,'Paramètres'!$A$1:$I$88,5,0)</f>
        <v>277.7736</v>
      </c>
      <c r="P122" s="150">
        <f t="shared" si="34"/>
        <v>66.49628818</v>
      </c>
      <c r="Q122" s="161">
        <f t="shared" si="2"/>
        <v>599.6033886</v>
      </c>
      <c r="R122" s="153">
        <f t="shared" si="3"/>
        <v>892.9367219</v>
      </c>
      <c r="S122" s="153">
        <f>AVERAGE(OFFSET($R$3,0,0,'Données projet'!$E$9+1,1))-AVERAGE(OFFSET($H$3,0,0,'Données projet'!$E$9+1,1))</f>
        <v>439.1985427</v>
      </c>
      <c r="T122" s="153">
        <f t="shared" si="35"/>
        <v>278.2174123</v>
      </c>
      <c r="U122" s="154">
        <f>IF(ISNA(VLOOKUP(A122,'Données projet'!$A$35:$I$55,3,0)),0,VLOOKUP(A122,'Données projet'!$A$35:$I$55,3,0))</f>
        <v>0</v>
      </c>
      <c r="V122" s="154">
        <f>IF(ISNA(VLOOKUP(A122,'Données projet'!$A$35:$I$55,4,0)),0,VLOOKUP(A122,'Données projet'!$A$35:$I$55,4,0))</f>
        <v>0</v>
      </c>
      <c r="W122" s="155">
        <f>IF(ISNA(VLOOKUP(A122,'Données projet'!$A$35:$I$55,5,0)),0%,VLOOKUP(A122,'Données projet'!$A$35:$I$55,5,0)*VLOOKUP('Données projet'!$B$9,'Paramètres'!$A$1:$I$88,7,0))</f>
        <v>0</v>
      </c>
      <c r="X122" s="155">
        <f>IF(ISNA(VLOOKUP(A122,'Données projet'!$A$35:$I$55,6,0)),0%,VLOOKUP(A122,'Données projet'!$A$35:$I$55,6,0)*VLOOKUP('Données projet'!$B$9,'Paramètres'!$A$1:$I$88,7,0))</f>
        <v>0</v>
      </c>
      <c r="Y122" s="155">
        <f>IF(ISNA(VLOOKUP(A122,'Données projet'!$A$35:$I$55,7,0)),0%,VLOOKUP(A122,'Données projet'!$A$35:$I$55,7,0))</f>
        <v>0</v>
      </c>
      <c r="Z122" s="162">
        <f>EXP(-LN(2)/35)*Z121+(1-EXP(-LN(2)/35))/(LN(2)/35)*V122*W122*VLOOKUP('Données projet'!$B$9,'Paramètres'!$A$1:$I$88,3,0)*0.475*44/12</f>
        <v>0</v>
      </c>
      <c r="AA122" s="162">
        <f>EXP(-LN(2)/25)*AA121+(1-EXP(-LN(2)/25))/(LN(2)/25)*Calculateur!V122*Calculateur!X122*VLOOKUP('Données projet'!$B$9,'Paramètres'!$A$1:$I$88,3,0)*0.475*44/12</f>
        <v>0.3804919688</v>
      </c>
      <c r="AB122" s="162">
        <f>EXP(-LN(2)/2)*AB121+(1-EXP(-LN(2)/2))/(LN(2)/2)*V122*Y122*VLOOKUP('Données projet'!$B$9,'Paramètres'!$A$1:$I$88,3,0)*0.475*44/12</f>
        <v>0</v>
      </c>
      <c r="AC122" s="163">
        <f t="shared" si="4"/>
        <v>0.3804919688</v>
      </c>
      <c r="AD122" s="150">
        <f>('Scénario référence'!$F$8+'Scénario référence'!$F$9+'Scénario référence'!$B$17+'Scénario référence'!$B$9+'Scénario référence'!$B$10)*70+IF((45+25*(1-EXP(-0.0175*A122)))&lt;70,'Scénario référence'!$B$16*(45+25*(1-EXP(-0.0175*A122))),70*'Scénario référence'!$B$16)+IF((32+38*(1-EXP(-0.0175*A122)))&lt;70,'Scénario référence'!$B$18*(32+38*(1-EXP(-0.0175*A122))),70*'Scénario référence'!$B$18)</f>
        <v>70</v>
      </c>
      <c r="AE122" s="150">
        <f>IF(A122&gt;30,10,('Scénario référence'!$B$16+'Scénario référence'!$B$17+'Scénario référence'!$B$18+'Scénario référence'!$B$9+'Scénario référence'!$B$10)*A122*10/30+('Scénario référence'!$F$8+'Scénario référence'!$F$9)*10)</f>
        <v>10</v>
      </c>
      <c r="AF122" s="151" t="str">
        <f>VLOOKUP(A122,'Données projet'!$A$61:$I$81,2,0)</f>
        <v>#N/A</v>
      </c>
      <c r="AG122" s="151" t="str">
        <f>VLOOKUP(A122,'Données projet'!$A$61:$I$81,9,0)</f>
        <v>#N/A</v>
      </c>
      <c r="AH122" s="151" t="str">
        <f t="array" ref="AH122">INDEX(AG:AG,MIN(IF(ISNUMBER(AG122:AG318),ROW(AG122:AG318),"")))</f>
        <v/>
      </c>
      <c r="AI122" s="150">
        <f>IF('Données projet'!$A$62&gt;35,AI121+AH122-AQ121,IF(A122&lt;'Données projet'!$A$62,$AF$205^A122,IF(A122='Données projet'!$A$62,'Données projet'!$B$62,AI121+AH122-AQ121)))</f>
        <v>369</v>
      </c>
      <c r="AJ122" s="150">
        <f>AI122*VLOOKUP('Données projet'!$B$10,'Paramètres'!$A$1:$I$88,3,0)*VLOOKUP('Données projet'!$B$10,'Paramètres'!$A$1:$I$88,5,0)</f>
        <v>293.5764</v>
      </c>
      <c r="AK122" s="150">
        <f t="shared" si="36"/>
        <v>69.82813851</v>
      </c>
      <c r="AL122" s="161">
        <f t="shared" si="5"/>
        <v>632.9295712</v>
      </c>
      <c r="AM122" s="153">
        <f t="shared" si="6"/>
        <v>926.2629046</v>
      </c>
      <c r="AN122" s="153">
        <f>AVERAGE(OFFSET($AM$3,0,0,'Données projet'!$E$10+1,1))-AVERAGE(OFFSET($H$3,0,0,'Données projet'!$E$10+1,1))</f>
        <v>405.6113614</v>
      </c>
      <c r="AO122" s="153">
        <f t="shared" si="37"/>
        <v>393.0787141</v>
      </c>
      <c r="AP122" s="154">
        <f>IF(ISNA(VLOOKUP(A122,'Données projet'!$A$61:$I$81,3,0)),0,VLOOKUP(A122,'Données projet'!$A$61:$I$81,3,0))</f>
        <v>0</v>
      </c>
      <c r="AQ122" s="154">
        <f>IF(ISNA(VLOOKUP(A122,'Données projet'!$A$61:$I$81,4,0)),0,VLOOKUP(A122,'Données projet'!$A$61:$I$81,4,0))</f>
        <v>0</v>
      </c>
      <c r="AR122" s="155">
        <f>IF(ISNA(VLOOKUP(A122,'Données projet'!$A$61:$I$81,5,0)),0%,VLOOKUP(A122,'Données projet'!$A$61:$I$81,5,0)*VLOOKUP('Données projet'!$B$10,'Paramètres'!$A$1:$I$88,7,0))</f>
        <v>0</v>
      </c>
      <c r="AS122" s="155">
        <f>IF(ISNA(VLOOKUP(A122,'Données projet'!$A$61:$I$81,6,0)),0%,VLOOKUP(A122,'Données projet'!$A$61:$I$81,6,0)*VLOOKUP('Données projet'!$B$10,'Paramètres'!$A$1:$I$88,7,0))</f>
        <v>0</v>
      </c>
      <c r="AT122" s="155">
        <f>IF(ISNA(VLOOKUP(A122,'Données projet'!$A$61:$I$81,7,0)),0%,VLOOKUP(A122,'Données projet'!$A$61:$I$81,7,0))</f>
        <v>0</v>
      </c>
      <c r="AU122" s="162">
        <f>EXP(-LN(2)/35)*AU121+(1-EXP(-LN(2)/35))/(LN(2)/35)*AQ122*AR122*VLOOKUP('Données projet'!$B$10,'Paramètres'!$A$1:$I$88,3,0)*0.475*44/12</f>
        <v>0</v>
      </c>
      <c r="AV122" s="162">
        <f>EXP(-LN(2)/25)*AV121+(1-EXP(-LN(2)/25))/(LN(2)/25)*Calculateur!AQ122*Calculateur!AS122*VLOOKUP('Données projet'!$B$10,'Paramètres'!$A$1:$I$88,3,0)*0.475*44/12</f>
        <v>1.546416086</v>
      </c>
      <c r="AW122" s="162">
        <f>EXP(-LN(2)/2)*AW121+(1-EXP(-LN(2)/2))/(LN(2)/2)*AQ122*AT122*VLOOKUP('Données projet'!$B$10,'Paramètres'!$A$1:$I$88,3,0)*0.475*44/12</f>
        <v>0</v>
      </c>
      <c r="AX122" s="162">
        <f t="shared" si="7"/>
        <v>1.546416086</v>
      </c>
      <c r="AY122" s="157">
        <f>('Scénario référence'!$F$8+'Scénario référence'!$F$9+'Scénario référence'!$B$17+'Scénario référence'!$B$9+'Scénario référence'!$B$10)*70+IF((45+25*(1-EXP(-0.0175*A122)))&lt;70,'Scénario référence'!$B$16*(45+25*(1-EXP(-0.0175*A122))),70*'Scénario référence'!$B$16)+IF((32+38*(1-EXP(-0.0175*A122)))&lt;70,'Scénario référence'!$B$18*(32+38*(1-EXP(-0.0175*A122))),70*'Scénario référence'!$B$18)</f>
        <v>70</v>
      </c>
      <c r="AZ122" s="151">
        <f>IF(A122&gt;30,10,('Scénario référence'!$B$16+'Scénario référence'!$B$17+'Scénario référence'!$B$18+'Scénario référence'!$B$9+'Scénario référence'!$B$10)*A122*10/30+('Scénario référence'!$F$8+'Scénario référence'!$F$9)*10)</f>
        <v>10</v>
      </c>
      <c r="BA122" s="151" t="str">
        <f>VLOOKUP(A122,'Données projet'!$A$87:$I$107,2,0)</f>
        <v>#N/A</v>
      </c>
      <c r="BB122" s="151" t="str">
        <f>VLOOKUP(A122,'Données projet'!$A$87:$I$107,9,0)</f>
        <v>#N/A</v>
      </c>
      <c r="BC122" s="151" t="str">
        <f t="array" ref="BC122">INDEX(BB:BB,MIN(IF(ISNUMBER(BB122:BB318),ROW(BB122:BB318),"")))</f>
        <v/>
      </c>
      <c r="BD122" s="150">
        <f>IF('Données projet'!$A$88&gt;35,BD121+BC122-BL121,IF(A122&lt;'Données projet'!$A$88,$BA$205^A122,IF(A122='Données projet'!$A$88,'Données projet'!$B$88,BD121+BC122-BL121)))</f>
        <v>0</v>
      </c>
      <c r="BE122" s="150">
        <f>BD122*VLOOKUP('Données projet'!$B$11,'Paramètres'!$A$1:$I$88,3,0)*VLOOKUP('Données projet'!$B$11,'Paramètres'!$A$1:$I$88,5,0)</f>
        <v>0</v>
      </c>
      <c r="BF122" s="150" t="str">
        <f t="shared" si="38"/>
        <v>#NUM!</v>
      </c>
      <c r="BG122" s="161" t="str">
        <f t="shared" si="8"/>
        <v>#NUM!</v>
      </c>
      <c r="BH122" s="153" t="str">
        <f t="shared" si="9"/>
        <v>#NUM!</v>
      </c>
      <c r="BI122" s="153">
        <f>AVERAGE(OFFSET($BH$3,0,0,'Données projet'!$E$11+1,1))-AVERAGE(OFFSET($H$3,0,0,'Données projet'!$E$11+1,1))</f>
        <v>0</v>
      </c>
      <c r="BJ122" s="153">
        <f t="shared" si="39"/>
        <v>0</v>
      </c>
      <c r="BK122" s="154">
        <f>IF(ISNA(VLOOKUP(A122,'Données projet'!$A$87:$I$107,3,0)),0,VLOOKUP(A122,'Données projet'!$A$87:$I$107,3,0))</f>
        <v>0</v>
      </c>
      <c r="BL122" s="154">
        <f>IF(ISNA(VLOOKUP(A122,'Données projet'!$A$87:$I$107,4,0)),0,VLOOKUP(A122,'Données projet'!$A$87:$I$107,4,0))</f>
        <v>0</v>
      </c>
      <c r="BM122" s="155">
        <f>IF(ISNA(VLOOKUP(A122,'Données projet'!$A$87:$I$107,5,0)),0%,VLOOKUP(A122,'Données projet'!$A$87:$I$107,5,0)*VLOOKUP('Données projet'!$B$11,'Paramètres'!$A$1:$I$88,7,0))</f>
        <v>0</v>
      </c>
      <c r="BN122" s="155">
        <f>IF(ISNA(VLOOKUP(A122,'Données projet'!$A$87:$I$107,6,0)),0%,VLOOKUP(A122,'Données projet'!$A$87:$I$107,6,0)*VLOOKUP('Données projet'!$B$11,'Paramètres'!$A$1:$I$88,7,0))</f>
        <v>0</v>
      </c>
      <c r="BO122" s="155">
        <f>IF(ISNA(VLOOKUP(A122,'Données projet'!$A$87:$I$107,7,0)),0%,VLOOKUP(A122,'Données projet'!$A$87:$I$107,7,0))</f>
        <v>0</v>
      </c>
      <c r="BP122" s="162">
        <f>EXP(-LN(2)/35)*BP121+(1-EXP(-LN(2)/35))/(LN(2)/35)*BL122*BM122*VLOOKUP('Données projet'!$B$11,'Paramètres'!$A$1:$I$88,3,0)*0.475*44/12</f>
        <v>0</v>
      </c>
      <c r="BQ122" s="162">
        <f>EXP(-LN(2)/25)*BQ121+(1-EXP(-LN(2)/25))/(LN(2)/25)*Calculateur!BL122*Calculateur!BN122*VLOOKUP('Données projet'!$B$11,'Paramètres'!$A$1:$I$88,3,0)*0.475*44/12</f>
        <v>0</v>
      </c>
      <c r="BR122" s="162">
        <f>EXP(-LN(2)/2)*BR121+(1-EXP(-LN(2)/2))/(LN(2)/2)*BL122*BO122*VLOOKUP('Données projet'!$B$11,'Paramètres'!$A$1:$I$88,3,0)*0.475*44/12</f>
        <v>0</v>
      </c>
      <c r="BS122" s="163">
        <f t="shared" si="10"/>
        <v>0</v>
      </c>
      <c r="BT122" s="159">
        <f>('Scénario référence'!$F$8+'Scénario référence'!$F$9+'Scénario référence'!$B$17+'Scénario référence'!$B$9+'Scénario référence'!$B$10)*70+IF((45+25*(1-EXP(-0.0175*A122)))&lt;70,'Scénario référence'!$B$16*(45+25*(1-EXP(-0.0175*A122))),70*'Scénario référence'!$B$16)+IF((32+38*(1-EXP(-0.0175*A122)))&lt;70,'Scénario référence'!$B$18*(32+38*(1-EXP(-0.0175*A122))),70*'Scénario référence'!$B$18)</f>
        <v>70</v>
      </c>
      <c r="BU122" s="151">
        <f>IF(A122&gt;30,10,('Scénario référence'!$B$16+'Scénario référence'!$B$17+'Scénario référence'!$B$18+'Scénario référence'!$B$9+'Scénario référence'!$B$10)*A122*10/30+('Scénario référence'!$F$8+'Scénario référence'!$F$9)*10)</f>
        <v>10</v>
      </c>
      <c r="BV122" s="151" t="str">
        <f>VLOOKUP(A122,'Données projet'!$A$113:$I$133,2,0)</f>
        <v>#N/A</v>
      </c>
      <c r="BW122" s="151" t="str">
        <f>VLOOKUP(A122,'Données projet'!$A$113:$I$133,9,0)</f>
        <v>#N/A</v>
      </c>
      <c r="BX122" s="151" t="str">
        <f t="array" ref="BX122">INDEX(BW:BW,MIN(IF(ISNUMBER(BW122:BW318),ROW(BW122:BW318),"")))</f>
        <v/>
      </c>
      <c r="BY122" s="150">
        <f>IF('Données projet'!$A$114&gt;35,BY121+BX122-CG121,IF(A122&lt;'Données projet'!$A$114,$BV$205^A122,IF(A122='Données projet'!$A$114,'Données projet'!$B$114,BY121+BX122-CG121)))</f>
        <v>0</v>
      </c>
      <c r="BZ122" s="150" t="str">
        <f>BY122*VLOOKUP('Données projet'!$B$12,'Paramètres'!$A$1:$I$88,3,0)*VLOOKUP('Données projet'!$B$12,'Paramètres'!$A$1:$I$88,5,0)</f>
        <v>#N/A</v>
      </c>
      <c r="CA122" s="150" t="str">
        <f t="shared" si="40"/>
        <v>#N/A</v>
      </c>
      <c r="CB122" s="161" t="str">
        <f t="shared" si="11"/>
        <v>#N/A</v>
      </c>
      <c r="CC122" s="153" t="str">
        <f t="shared" si="12"/>
        <v>#N/A</v>
      </c>
      <c r="CD122" s="153" t="str">
        <f>AVERAGE(OFFSET($CC$3,0,0,'Données projet'!$E$12+1,1))-AVERAGE(OFFSET($H$3,0,0,'Données projet'!$E$12+1,1))</f>
        <v>#N/A</v>
      </c>
      <c r="CE122" s="153" t="str">
        <f t="shared" si="41"/>
        <v>#N/A</v>
      </c>
      <c r="CF122" s="154">
        <f>IF(ISNA(VLOOKUP(A122,'Données projet'!$A$113:$I$133,3,0)),0,VLOOKUP(A122,'Données projet'!$A$113:$I$133,3,0))</f>
        <v>0</v>
      </c>
      <c r="CG122" s="154">
        <f>IF(ISNA(VLOOKUP(A122,'Données projet'!$A$113:$I$133,4,0)),0,VLOOKUP(A122,'Données projet'!$A$113:$I$133,4,0))</f>
        <v>0</v>
      </c>
      <c r="CH122" s="155">
        <f>IF(ISNA(VLOOKUP(A122,'Données projet'!$A$113:$I$133,5,0)),0%,VLOOKUP(A122,'Données projet'!$A$113:$I$133,5,0)*VLOOKUP('Données projet'!$B$12,'Paramètres'!$A$1:$I$88,7,0))</f>
        <v>0</v>
      </c>
      <c r="CI122" s="155">
        <f>IF(ISNA(VLOOKUP(A122,'Données projet'!$A$113:$I$133,6,0)),0%,VLOOKUP(A122,'Données projet'!$A$113:$I$133,6,0)*VLOOKUP('Données projet'!$B$12,'Paramètres'!$A$1:$I$88,7,0))</f>
        <v>0</v>
      </c>
      <c r="CJ122" s="155">
        <f>IF(ISNA(VLOOKUP(A122,'Données projet'!$A$113:$I$133,7,0)),0%,VLOOKUP(A122,'Données projet'!$A$113:$I$133,7,0))</f>
        <v>0</v>
      </c>
      <c r="CK122" s="162" t="str">
        <f>EXP(-LN(2)/35)*CK121+(1-EXP(-LN(2)/35))/(LN(2)/35)*CG122*CH122*VLOOKUP('Données projet'!$B$12,'Paramètres'!$A$1:$I$88,3,0)*0.475*44/12</f>
        <v>#N/A</v>
      </c>
      <c r="CL122" s="162" t="str">
        <f>EXP(-LN(2)/25)*CL121+(1-EXP(-LN(2)/25))/(LN(2)/25)*Calculateur!CG122*Calculateur!CI122*VLOOKUP('Données projet'!$B$12,'Paramètres'!$A$1:$I$88,3,0)*0.475*44/12</f>
        <v>#N/A</v>
      </c>
      <c r="CM122" s="162" t="str">
        <f>EXP(-LN(2)/2)*CM121+(1-EXP(-LN(2)/2))/(LN(2)/2)*CG122*CJ122*VLOOKUP('Données projet'!$B$12,'Paramètres'!$A$1:$I$88,3,0)*0.475*44/12</f>
        <v>#N/A</v>
      </c>
      <c r="CN122" s="163" t="str">
        <f t="shared" si="13"/>
        <v>#N/A</v>
      </c>
      <c r="CO122" s="159">
        <f>('Scénario référence'!$F$8+'Scénario référence'!$F$9+'Scénario référence'!$B$17+'Scénario référence'!$B$9+'Scénario référence'!$B$10)*70+IF((45+25*(1-EXP(-0.0175*A122)))&lt;70,'Scénario référence'!$B$16*(45+25*(1-EXP(-0.0175*A122))),70*'Scénario référence'!$B$16)+IF((32+38*(1-EXP(-0.0175*A122)))&lt;70,'Scénario référence'!$B$18*(32+38*(1-EXP(-0.0175*A122))),70*'Scénario référence'!$B$18)</f>
        <v>70</v>
      </c>
      <c r="CP122" s="151">
        <f>IF(A122&gt;30,10,('Scénario référence'!$B$16+'Scénario référence'!$B$17+'Scénario référence'!$B$18+'Scénario référence'!$B$9+'Scénario référence'!$B$10)*A122*10/30+('Scénario référence'!$F$8+'Scénario référence'!$F$9)*10)</f>
        <v>10</v>
      </c>
      <c r="CQ122" s="151" t="str">
        <f>VLOOKUP(A122,'Données projet'!$A$139:$I$159,2,0)</f>
        <v>#N/A</v>
      </c>
      <c r="CR122" s="151" t="str">
        <f>VLOOKUP(A122,'Données projet'!$A$139:$I$159,9,0)</f>
        <v>#N/A</v>
      </c>
      <c r="CS122" s="151" t="str">
        <f t="array" ref="CS122">INDEX(CR:CR,MIN(IF(ISNUMBER(CR122:CR318),ROW(CR122:CR318),"")))</f>
        <v/>
      </c>
      <c r="CT122" s="151">
        <f>IF('Données projet'!$A$140&gt;35,CT121+CS122-DB121,IF(A122&lt;'Données projet'!$A$140,$CQ$205^A122,IF(A122='Données projet'!$A$140,'Données projet'!$B$140,CT121+CS122-DB121)))</f>
        <v>0</v>
      </c>
      <c r="CU122" s="158" t="str">
        <f>CT122*VLOOKUP('Données projet'!$B$13,'Paramètres'!$A$1:$I$88,3,0)*VLOOKUP('Données projet'!$B$13,'Paramètres'!$A$1:$I$88,5,0)</f>
        <v>#N/A</v>
      </c>
      <c r="CV122" s="150" t="str">
        <f t="shared" si="42"/>
        <v>#N/A</v>
      </c>
      <c r="CW122" s="161" t="str">
        <f t="shared" si="14"/>
        <v>#N/A</v>
      </c>
      <c r="CX122" s="153" t="str">
        <f t="shared" si="15"/>
        <v>#N/A</v>
      </c>
      <c r="CY122" s="153" t="str">
        <f>AVERAGE(OFFSET($CX$3,0,0,'Données projet'!$E$13+1,1))-AVERAGE(OFFSET($H$3,0,0,'Données projet'!$E$13+1,1))</f>
        <v>#N/A</v>
      </c>
      <c r="CZ122" s="153" t="str">
        <f t="shared" si="43"/>
        <v>#N/A</v>
      </c>
      <c r="DA122" s="154">
        <f>IF(ISNA(VLOOKUP(A122,'Données projet'!$A$139:$I$159,3,0)),0,VLOOKUP(A122,'Données projet'!$A$139:$I$159,3,0))</f>
        <v>0</v>
      </c>
      <c r="DB122" s="154">
        <f>IF(ISNA(VLOOKUP(A122,'Données projet'!$A$139:$I$159,4,0)),0,VLOOKUP(A122,'Données projet'!$A$139:$I$159,4,0))</f>
        <v>0</v>
      </c>
      <c r="DC122" s="155">
        <f>IF(ISNA(VLOOKUP(A122,'Données projet'!$A$139:$I$159,5,0)),0%,VLOOKUP(A122,'Données projet'!$A$139:$I$159,5,0)*VLOOKUP('Données projet'!$B$13,'Paramètres'!$A$1:$I$88,7,0))</f>
        <v>0</v>
      </c>
      <c r="DD122" s="155">
        <f>IF(ISNA(VLOOKUP(A122,'Données projet'!$A$139:$I$159,6,0)),0%,VLOOKUP(A122,'Données projet'!$A$139:$I$159,6,0)*VLOOKUP('Données projet'!$B$13,'Paramètres'!$A$1:$I$88,7,0))</f>
        <v>0</v>
      </c>
      <c r="DE122" s="155">
        <f>IF(ISNA(VLOOKUP(A122,'Données projet'!$A$139:$I$159,7,0)),0%,VLOOKUP(A122,'Données projet'!$A$139:$I$159,7,0))</f>
        <v>0</v>
      </c>
      <c r="DF122" s="162" t="str">
        <f>EXP(-LN(2)/35)*DF121+(1-EXP(-LN(2)/35))/(LN(2)/35)*DB122*DC122*VLOOKUP('Données projet'!$B$13,'Paramètres'!$A$1:$I$88,3,0)*0.475*44/12</f>
        <v>#N/A</v>
      </c>
      <c r="DG122" s="162" t="str">
        <f>EXP(-LN(2)/25)*DG121+(1-EXP(-LN(2)/25))/(LN(2)/25)*Calculateur!DB122*Calculateur!DD122*VLOOKUP('Données projet'!$B$13,'Paramètres'!$A$1:$I$88,3,0)*0.475*44/12</f>
        <v>#N/A</v>
      </c>
      <c r="DH122" s="162" t="str">
        <f>EXP(-LN(2)/2)*DH121+(1-EXP(-LN(2)/2))/(LN(2)/2)*DB122*DE122*VLOOKUP('Données projet'!$B$13,'Paramètres'!$A$1:$I$88,3,0)*0.475*44/12</f>
        <v>#N/A</v>
      </c>
      <c r="DI122" s="163" t="str">
        <f t="shared" si="16"/>
        <v>#N/A</v>
      </c>
      <c r="DJ122" s="159">
        <f>('Scénario référence'!$F$8+'Scénario référence'!$F$9+'Scénario référence'!$B$17+'Scénario référence'!$B$9+'Scénario référence'!$B$10)*70+IF((45+25*(1-EXP(-0.0175*A122)))&lt;70,'Scénario référence'!$B$16*(45+25*(1-EXP(-0.0175*A122))),70*'Scénario référence'!$B$16)+IF((32+38*(1-EXP(-0.0175*A122)))&lt;70,'Scénario référence'!$B$18*(32+38*(1-EXP(-0.0175*A122))),70*'Scénario référence'!$B$18)</f>
        <v>70</v>
      </c>
      <c r="DK122" s="151">
        <f>IF(A122&gt;30,10,('Scénario référence'!$B$16+'Scénario référence'!$B$17+'Scénario référence'!$B$18+'Scénario référence'!$B$9+'Scénario référence'!$B$10)*A122*10/30+('Scénario référence'!$F$8+'Scénario référence'!$F$9)*10)</f>
        <v>10</v>
      </c>
      <c r="DL122" s="151" t="str">
        <f>VLOOKUP(A122,'Données projet'!$A$165:$I$185,2,0)</f>
        <v>#N/A</v>
      </c>
      <c r="DM122" s="151" t="str">
        <f>VLOOKUP(A122,'Données projet'!$A$165:$I$185,9,0)</f>
        <v>#N/A</v>
      </c>
      <c r="DN122" s="151" t="str">
        <f t="array" ref="DN122">INDEX(DM:DM,MIN(IF(ISNUMBER(DM122:DM318),ROW(DM122:DM318),"")))</f>
        <v/>
      </c>
      <c r="DO122" s="151">
        <f>IF('Données projet'!$A$166&gt;35,DO121+DN122-DW121,IF(A122&lt;'Données projet'!$A$166,$DL$205^A122,IF(A122='Données projet'!$A$166,'Données projet'!$B$166,DO121+DN122-DW121)))</f>
        <v>0</v>
      </c>
      <c r="DP122" s="158" t="str">
        <f>DO122*VLOOKUP('Données projet'!$B$14,'Paramètres'!$A$1:$I$88,3,0)*VLOOKUP('Données projet'!$B$14,'Paramètres'!$A$1:$I$88,5,0)</f>
        <v>#N/A</v>
      </c>
      <c r="DQ122" s="150" t="str">
        <f t="shared" si="44"/>
        <v>#N/A</v>
      </c>
      <c r="DR122" s="161" t="str">
        <f t="shared" si="17"/>
        <v>#N/A</v>
      </c>
      <c r="DS122" s="153" t="str">
        <f t="shared" si="18"/>
        <v>#N/A</v>
      </c>
      <c r="DT122" s="153" t="str">
        <f>AVERAGE(OFFSET($DS$3,0,0,'Données projet'!$E$14+1,1))-AVERAGE(OFFSET($H$3,0,0,'Données projet'!$E$14+1,1))</f>
        <v>#N/A</v>
      </c>
      <c r="DU122" s="153" t="str">
        <f t="shared" si="45"/>
        <v>#N/A</v>
      </c>
      <c r="DV122" s="154">
        <f>IF(ISNA(VLOOKUP(A122,'Données projet'!$A$165:$I$185,3,0)),0,VLOOKUP(A122,'Données projet'!$A$165:$I$185,3,0))</f>
        <v>0</v>
      </c>
      <c r="DW122" s="154">
        <f>IF(ISNA(VLOOKUP(A122,'Données projet'!$A$165:$I$185,4,0)),0,VLOOKUP(A122,'Données projet'!$A$165:$I$185,4,0))</f>
        <v>0</v>
      </c>
      <c r="DX122" s="155">
        <f>IF(ISNA(VLOOKUP(A122,'Données projet'!$A$165:$I$185,5,0)),0%,VLOOKUP(A122,'Données projet'!$A$165:$I$185,5,0)*VLOOKUP('Données projet'!$B$14,'Paramètres'!$A$1:$I$88,7,0))</f>
        <v>0</v>
      </c>
      <c r="DY122" s="155">
        <f>IF(ISNA(VLOOKUP(A122,'Données projet'!$A$165:$I$185,6,0)),0%,VLOOKUP(A122,'Données projet'!$A$165:$I$185,6,0)*VLOOKUP('Données projet'!$B$14,'Paramètres'!$A$1:$I$88,7,0))</f>
        <v>0</v>
      </c>
      <c r="DZ122" s="155">
        <f>IF(ISNA(VLOOKUP(A122,'Données projet'!$A$165:$I$185,7,0)),0%,VLOOKUP(A122,'Données projet'!$A$165:$I$185,7,0))</f>
        <v>0</v>
      </c>
      <c r="EA122" s="162" t="str">
        <f>EXP(-LN(2)/35)*EA121+(1-EXP(-LN(2)/35))/(LN(2)/35)*DW122*DX122*VLOOKUP('Données projet'!$B$14,'Paramètres'!$A$1:$I$88,3,0)*0.475*44/12</f>
        <v>#N/A</v>
      </c>
      <c r="EB122" s="162" t="str">
        <f>EXP(-LN(2)/25)*EB121+(1-EXP(-LN(2)/25))/(LN(2)/25)*Calculateur!DW122*Calculateur!DY122*VLOOKUP('Données projet'!$B$14,'Paramètres'!$A$1:$I$88,3,0)*0.475*44/12</f>
        <v>#N/A</v>
      </c>
      <c r="EC122" s="162" t="str">
        <f>EXP(-LN(2)/2)*EC121+(1-EXP(-LN(2)/2))/(LN(2)/2)*DW122*DZ122*VLOOKUP('Données projet'!$B$14,'Paramètres'!$A$1:$I$88,3,0)*0.475*44/12</f>
        <v>#N/A</v>
      </c>
      <c r="ED122" s="163" t="str">
        <f t="shared" si="19"/>
        <v>#N/A</v>
      </c>
      <c r="EE122" s="159">
        <f>('Scénario référence'!$F$8+'Scénario référence'!$F$9+'Scénario référence'!$B$17+'Scénario référence'!$B$9+'Scénario référence'!$B$10)*70+IF((45+25*(1-EXP(-0.0175*A122)))&lt;70,'Scénario référence'!$B$16*(45+25*(1-EXP(-0.0175*A122))),70*'Scénario référence'!$B$16)+IF((32+38*(1-EXP(-0.0175*A122)))&lt;70,'Scénario référence'!$B$18*(32+38*(1-EXP(-0.0175*A122))),70*'Scénario référence'!$B$18)</f>
        <v>70</v>
      </c>
      <c r="EF122" s="151">
        <f>IF(A122&gt;30,10,('Scénario référence'!$B$16+'Scénario référence'!$B$17+'Scénario référence'!$B$18+'Scénario référence'!$B$9+'Scénario référence'!$B$10)*A122*10/30+('Scénario référence'!$F$8+'Scénario référence'!$F$9)*10)</f>
        <v>10</v>
      </c>
      <c r="EG122" s="151" t="str">
        <f>VLOOKUP(A122,'Données projet'!$A$191:$I$211,2,0)</f>
        <v>#N/A</v>
      </c>
      <c r="EH122" s="151" t="str">
        <f>VLOOKUP(A122,'Données projet'!$A$191:$I$211,9,0)</f>
        <v>#N/A</v>
      </c>
      <c r="EI122" s="151" t="str">
        <f t="array" ref="EI122">INDEX(EH:EH,MIN(IF(ISNUMBER(EH122:EH318),ROW(EH122:EH318),"")))</f>
        <v/>
      </c>
      <c r="EJ122" s="151">
        <f>IF('Données projet'!$A$192&gt;35,EJ121+EI122-ER121,IF(A122&lt;'Données projet'!$A$192,$EG$205^A122,IF(A122='Données projet'!$A$192,'Données projet'!$B$192,EJ121+EI122-ER121)))</f>
        <v>0</v>
      </c>
      <c r="EK122" s="158" t="str">
        <f>EJ122*VLOOKUP('Données projet'!$B$15,'Paramètres'!$A$1:$I$88,3,0)*VLOOKUP('Données projet'!$B$15,'Paramètres'!$A$1:$I$88,5,0)</f>
        <v>#N/A</v>
      </c>
      <c r="EL122" s="150" t="str">
        <f t="shared" si="46"/>
        <v>#N/A</v>
      </c>
      <c r="EM122" s="161" t="str">
        <f t="shared" si="20"/>
        <v>#N/A</v>
      </c>
      <c r="EN122" s="153" t="str">
        <f t="shared" si="21"/>
        <v>#N/A</v>
      </c>
      <c r="EO122" s="153" t="str">
        <f>AVERAGE(OFFSET($EN$3,0,0,'Données projet'!$E$15+1,1))-AVERAGE(OFFSET($H$3,0,0,'Données projet'!$E$15+1,1))</f>
        <v>#N/A</v>
      </c>
      <c r="EP122" s="153" t="str">
        <f t="shared" si="47"/>
        <v>#N/A</v>
      </c>
      <c r="EQ122" s="154">
        <f>IF(ISNA(VLOOKUP(A122,'Données projet'!$A$191:$I$211,3,0)),0,VLOOKUP(A122,'Données projet'!$A$191:$I$211,3,0))</f>
        <v>0</v>
      </c>
      <c r="ER122" s="154">
        <f>IF(ISNA(VLOOKUP(A122,'Données projet'!$A$191:$I$211,4,0)),0,VLOOKUP(A122,'Données projet'!$A$191:$I$211,4,0))</f>
        <v>0</v>
      </c>
      <c r="ES122" s="155">
        <f>IF(ISNA(VLOOKUP(A122,'Données projet'!$A$191:$I$211,5,0)),0%,VLOOKUP(A122,'Données projet'!$A$191:$I$211,5,0)*VLOOKUP('Données projet'!$B$15,'Paramètres'!$A$1:$I$88,7,0))</f>
        <v>0</v>
      </c>
      <c r="ET122" s="155">
        <f>IF(ISNA(VLOOKUP(A122,'Données projet'!$A$191:$I$211,6,0)),0%,VLOOKUP(A122,'Données projet'!$A$191:$I$211,6,0)*VLOOKUP('Données projet'!$B$15,'Paramètres'!$A$1:$I$88,7,0))</f>
        <v>0</v>
      </c>
      <c r="EU122" s="155">
        <f>IF(ISNA(VLOOKUP(A122,'Données projet'!$A$191:$I$211,7,0)),0%,VLOOKUP(A122,'Données projet'!$A$191:$I$211,7,0))</f>
        <v>0</v>
      </c>
      <c r="EV122" s="162" t="str">
        <f>EXP(-LN(2)/35)*EV121+(1-EXP(-LN(2)/35))/(LN(2)/35)*ER122*ES122*VLOOKUP('Données projet'!$B$15,'Paramètres'!$A$1:$I$88,3,0)*0.475*44/12</f>
        <v>#N/A</v>
      </c>
      <c r="EW122" s="162" t="str">
        <f>EXP(-LN(2)/25)*EW121+(1-EXP(-LN(2)/25))/(LN(2)/25)*Calculateur!ER122*Calculateur!ET122*VLOOKUP('Données projet'!$B$15,'Paramètres'!$A$1:$I$88,3,0)*0.475*44/12</f>
        <v>#N/A</v>
      </c>
      <c r="EX122" s="162" t="str">
        <f>EXP(-LN(2)/2)*EX121+(1-EXP(-LN(2)/2))/(LN(2)/2)*ER122*EU122*VLOOKUP('Données projet'!$B$15,'Paramètres'!$A$1:$I$88,3,0)*0.475*44/12</f>
        <v>#N/A</v>
      </c>
      <c r="EY122" s="163" t="str">
        <f t="shared" si="22"/>
        <v>#N/A</v>
      </c>
      <c r="EZ122" s="159">
        <f>('Scénario référence'!$F$8+'Scénario référence'!$F$9+'Scénario référence'!$B$17+'Scénario référence'!$B$9+'Scénario référence'!$B$10)*70+IF((45+25*(1-EXP(-0.0175*A122)))&lt;70,'Scénario référence'!$B$16*(45+25*(1-EXP(-0.0175*A122))),70*'Scénario référence'!$B$16)+IF((32+38*(1-EXP(-0.0175*A122)))&lt;70,'Scénario référence'!$B$18*(32+38*(1-EXP(-0.0175*A122))),70*'Scénario référence'!$B$18)</f>
        <v>70</v>
      </c>
      <c r="FA122" s="151">
        <f>IF(A122&gt;30,10,('Scénario référence'!$B$16+'Scénario référence'!$B$17+'Scénario référence'!$B$18+'Scénario référence'!$B$9+'Scénario référence'!$B$10)*A122*10/30+('Scénario référence'!$F$8+'Scénario référence'!$F$9)*10)</f>
        <v>10</v>
      </c>
      <c r="FB122" s="151" t="str">
        <f>VLOOKUP(A122,'Données projet'!$A$217:$I$237,2,0)</f>
        <v>#N/A</v>
      </c>
      <c r="FC122" s="151" t="str">
        <f>VLOOKUP(A122,'Données projet'!$A$217:$I$237,9,0)</f>
        <v>#N/A</v>
      </c>
      <c r="FD122" s="151" t="str">
        <f t="array" ref="FD122">INDEX(FC:FC,MIN(IF(ISNUMBER(FC122:FC318),ROW(FC122:FC318),"")))</f>
        <v/>
      </c>
      <c r="FE122" s="151">
        <f>IF('Données projet'!$A$218&gt;35,FE121+FD122-FM121,IF(A122&lt;'Données projet'!$A$218,$FB$205^A122,IF(A122='Données projet'!$A$218,'Données projet'!$B$218,FE121+FD122-FM121)))</f>
        <v>0</v>
      </c>
      <c r="FF122" s="158" t="str">
        <f>FE122*VLOOKUP('Données projet'!$B$16,'Paramètres'!$A$1:$I$88,3,0)*VLOOKUP('Données projet'!$B$16,'Paramètres'!$A$1:$I$88,5,0)</f>
        <v>#N/A</v>
      </c>
      <c r="FG122" s="150" t="str">
        <f t="shared" si="48"/>
        <v>#N/A</v>
      </c>
      <c r="FH122" s="161" t="str">
        <f t="shared" si="23"/>
        <v>#N/A</v>
      </c>
      <c r="FI122" s="153" t="str">
        <f t="shared" si="24"/>
        <v>#N/A</v>
      </c>
      <c r="FJ122" s="153" t="str">
        <f>AVERAGE(OFFSET($FI$3,0,0,'Données projet'!$E$16+1,1))-AVERAGE(OFFSET($H$3,0,0,'Données projet'!$E$16+1,1))</f>
        <v>#N/A</v>
      </c>
      <c r="FK122" s="153" t="str">
        <f t="shared" si="49"/>
        <v>#N/A</v>
      </c>
      <c r="FL122" s="154">
        <f>IF(ISNA(VLOOKUP(A122,'Données projet'!$A$217:$I$237,3,0)),0,VLOOKUP(A122,'Données projet'!$A$217:$I$237,3,0))</f>
        <v>0</v>
      </c>
      <c r="FM122" s="154">
        <f>IF(ISNA(VLOOKUP(A122,'Données projet'!$A$217:$I$237,4,0)),0,VLOOKUP(A122,'Données projet'!$A$217:$I$237,4,0))</f>
        <v>0</v>
      </c>
      <c r="FN122" s="155">
        <f>IF(ISNA(VLOOKUP(A122,'Données projet'!$A$217:$I$237,5,0)),0%,VLOOKUP(A122,'Données projet'!$A$217:$I$237,5,0)*VLOOKUP('Données projet'!$B$16,'Paramètres'!$A$1:$I$88,7,0))</f>
        <v>0</v>
      </c>
      <c r="FO122" s="155">
        <f>IF(ISNA(VLOOKUP(A122,'Données projet'!$A$217:$I$237,6,0)),0%,VLOOKUP(A122,'Données projet'!$A$217:$I$237,6,0)*VLOOKUP('Données projet'!$B$16,'Paramètres'!$A$1:$I$88,7,0))</f>
        <v>0</v>
      </c>
      <c r="FP122" s="155">
        <f>IF(ISNA(VLOOKUP(A122,'Données projet'!$A$217:$I$237,7,0)),0%,VLOOKUP(A122,'Données projet'!$A$217:$I$237,7,0))</f>
        <v>0</v>
      </c>
      <c r="FQ122" s="162" t="str">
        <f>EXP(-LN(2)/35)*FQ121+(1-EXP(-LN(2)/35))/(LN(2)/35)*FM122*FN122*VLOOKUP('Données projet'!$B$16,'Paramètres'!$A$1:$I$88,3,0)*0.475*44/12</f>
        <v>#N/A</v>
      </c>
      <c r="FR122" s="162" t="str">
        <f>EXP(-LN(2)/25)*FR121+(1-EXP(-LN(2)/25))/(LN(2)/25)*Calculateur!FM122*Calculateur!FO122*VLOOKUP('Données projet'!$B$16,'Paramètres'!$A$1:$I$88,3,0)*0.475*44/12</f>
        <v>#N/A</v>
      </c>
      <c r="FS122" s="162" t="str">
        <f>EXP(-LN(2)/2)*FS121+(1-EXP(-LN(2)/2))/(LN(2)/2)*FM122*FP122*VLOOKUP('Données projet'!$B$16,'Paramètres'!$A$1:$I$88,3,0)*0.475*44/12</f>
        <v>#N/A</v>
      </c>
      <c r="FT122" s="163" t="str">
        <f t="shared" si="25"/>
        <v>#N/A</v>
      </c>
      <c r="FU122" s="159">
        <f>('Scénario référence'!$F$8+'Scénario référence'!$F$9+'Scénario référence'!$B$17+'Scénario référence'!$B$9+'Scénario référence'!$B$10)*70+IF((45+25*(1-EXP(-0.0175*A122)))&lt;70,'Scénario référence'!$B$16*(45+25*(1-EXP(-0.0175*A122))),70*'Scénario référence'!$B$16)+IF((32+38*(1-EXP(-0.0175*A122)))&lt;70,'Scénario référence'!$B$18*(32+38*(1-EXP(-0.0175*A122))),70*'Scénario référence'!$B$18)</f>
        <v>70</v>
      </c>
      <c r="FV122" s="151">
        <f>IF(A122&gt;30,10,('Scénario référence'!$B$16+'Scénario référence'!$B$17+'Scénario référence'!$B$18+'Scénario référence'!$B$9+'Scénario référence'!$B$10)*A122*10/30+('Scénario référence'!$F$8+'Scénario référence'!$F$9)*10)</f>
        <v>10</v>
      </c>
      <c r="FW122" s="151" t="str">
        <f>VLOOKUP(A122,'Données projet'!$A$243:$I$263,2,0)</f>
        <v>#N/A</v>
      </c>
      <c r="FX122" s="151" t="str">
        <f>VLOOKUP(A122,'Données projet'!$A$243:$I$263,9,0)</f>
        <v>#N/A</v>
      </c>
      <c r="FY122" s="151" t="str">
        <f t="array" ref="FY122">INDEX(FX:FX,MIN(IF(ISNUMBER(FX122:FX318),ROW(FX122:FX318),"")))</f>
        <v/>
      </c>
      <c r="FZ122" s="151">
        <f>IF('Données projet'!$A$244&gt;35,FZ121+FY122-GH121,IF(A122&lt;'Données projet'!$A$244,$FW$205^A122,IF(A122='Données projet'!$A$244,'Données projet'!$B$244,FZ121+FY122-GH121)))</f>
        <v>0</v>
      </c>
      <c r="GA122" s="158" t="str">
        <f>FZ122*VLOOKUP('Données projet'!$B$17,'Paramètres'!$A$1:$I$88,3,0)*VLOOKUP('Données projet'!$B$17,'Paramètres'!$A$1:$I$88,5,0)</f>
        <v>#N/A</v>
      </c>
      <c r="GB122" s="150" t="str">
        <f t="shared" si="50"/>
        <v>#N/A</v>
      </c>
      <c r="GC122" s="161" t="str">
        <f t="shared" si="26"/>
        <v>#N/A</v>
      </c>
      <c r="GD122" s="153" t="str">
        <f t="shared" si="27"/>
        <v>#N/A</v>
      </c>
      <c r="GE122" s="153" t="str">
        <f>AVERAGE(OFFSET($GD$3,0,0,'Données projet'!$E$17+1,1))-AVERAGE(OFFSET($H$3,0,0,'Données projet'!$E$17+1,1))</f>
        <v>#N/A</v>
      </c>
      <c r="GF122" s="153" t="str">
        <f t="shared" si="51"/>
        <v>#N/A</v>
      </c>
      <c r="GG122" s="154">
        <f>IF(ISNA(VLOOKUP(A122,'Données projet'!$A$243:$I$263,3,0)),0,VLOOKUP(A122,'Données projet'!$A$243:$I$263,3,0))</f>
        <v>0</v>
      </c>
      <c r="GH122" s="154">
        <f>IF(ISNA(VLOOKUP(A122,'Données projet'!$A$243:$I$263,4,0)),0,VLOOKUP(A122,'Données projet'!$A$243:$I$263,4,0))</f>
        <v>0</v>
      </c>
      <c r="GI122" s="155">
        <f>IF(ISNA(VLOOKUP(A122,'Données projet'!$A$243:$I$263,5,0)),0%,VLOOKUP(A122,'Données projet'!$A$243:$I$263,5,0)*VLOOKUP('Données projet'!$B$17,'Paramètres'!$A$1:$I$88,7,0))</f>
        <v>0</v>
      </c>
      <c r="GJ122" s="155">
        <f>IF(ISNA(VLOOKUP(A122,'Données projet'!$A$243:$I$263,6,0)),0%,VLOOKUP(A122,'Données projet'!$A$243:$I$263,6,0)*VLOOKUP('Données projet'!$B$17,'Paramètres'!$A$1:$I$88,7,0))</f>
        <v>0</v>
      </c>
      <c r="GK122" s="155">
        <f>IF(ISNA(VLOOKUP(A122,'Données projet'!$A$243:$I$263,7,0)),0%,VLOOKUP(A122,'Données projet'!$A$243:$I$263,7,0))</f>
        <v>0</v>
      </c>
      <c r="GL122" s="162" t="str">
        <f>EXP(-LN(2)/35)*GL121+(1-EXP(-LN(2)/35))/(LN(2)/35)*GH122*GI122*VLOOKUP('Données projet'!$B$17,'Paramètres'!$A$1:$I$88,3,0)*0.475*44/12</f>
        <v>#N/A</v>
      </c>
      <c r="GM122" s="162" t="str">
        <f>EXP(-LN(2)/25)*GM121+(1-EXP(-LN(2)/25))/(LN(2)/25)*Calculateur!GH122*Calculateur!GJ122*VLOOKUP('Données projet'!$B$17,'Paramètres'!$A$1:$I$88,3,0)*0.475*44/12</f>
        <v>#N/A</v>
      </c>
      <c r="GN122" s="162" t="str">
        <f>EXP(-LN(2)/2)*GN121+(1-EXP(-LN(2)/2))/(LN(2)/2)*GH122*GK122*VLOOKUP('Données projet'!$B$17,'Paramètres'!$A$1:$I$88,3,0)*0.475*44/12</f>
        <v>#N/A</v>
      </c>
      <c r="GO122" s="162" t="str">
        <f t="shared" si="28"/>
        <v>#N/A</v>
      </c>
      <c r="GP122" s="159">
        <f>('Scénario référence'!$F$8+'Scénario référence'!$F$9+'Scénario référence'!$B$17+'Scénario référence'!$B$9+'Scénario référence'!$B$10)*70+IF((45+25*(1-EXP(-0.0175*A122)))&lt;70,'Scénario référence'!$B$16*(45+25*(1-EXP(-0.0175*A122))),70*'Scénario référence'!$B$16)+IF((32+38*(1-EXP(-0.0175*A122)))&lt;70,'Scénario référence'!$B$18*(32+38*(1-EXP(-0.0175*A122))),70*'Scénario référence'!$B$18)</f>
        <v>70</v>
      </c>
      <c r="GQ122" s="151">
        <f>IF(A122&gt;30,10,('Scénario référence'!$B$16+'Scénario référence'!$B$17+'Scénario référence'!$B$18+'Scénario référence'!$B$9+'Scénario référence'!$B$10)*A122*10/30+('Scénario référence'!$F$8+'Scénario référence'!$F$9)*10)</f>
        <v>10</v>
      </c>
      <c r="GR122" s="151" t="str">
        <f>VLOOKUP(A122,'Données projet'!$A$269:$I$289,2,0)</f>
        <v>#N/A</v>
      </c>
      <c r="GS122" s="151" t="str">
        <f>VLOOKUP(A122,'Données projet'!$A$269:$I$289,9,0)</f>
        <v>#N/A</v>
      </c>
      <c r="GT122" s="151" t="str">
        <f t="array" ref="GT122">INDEX(GS:GS,MIN(IF(ISNUMBER(GS122:GS318),ROW(GS122:GS318),"")))</f>
        <v/>
      </c>
      <c r="GU122" s="151">
        <f>IF('Données projet'!$A$270&gt;35,GU121+GT122-HC121,IF(A122&lt;'Données projet'!$A$270,$GR$205^A122,IF(A122='Données projet'!$A$270,'Données projet'!$B$270,GU121+GT122-HC121)))</f>
        <v>0</v>
      </c>
      <c r="GV122" s="158" t="str">
        <f>GU122*VLOOKUP('Données projet'!$B$18,'Paramètres'!$A$1:$I$88,3,0)*VLOOKUP('Données projet'!$B$18,'Paramètres'!$A$1:$I$88,5,0)</f>
        <v>#N/A</v>
      </c>
      <c r="GW122" s="150" t="str">
        <f t="shared" si="52"/>
        <v>#N/A</v>
      </c>
      <c r="GX122" s="161" t="str">
        <f t="shared" si="29"/>
        <v>#N/A</v>
      </c>
      <c r="GY122" s="153" t="str">
        <f t="shared" si="30"/>
        <v>#N/A</v>
      </c>
      <c r="GZ122" s="153" t="str">
        <f>AVERAGE(OFFSET($GY$3,0,0,'Données projet'!$E$18+1,1))-AVERAGE(OFFSET($H$3,0,0,'Données projet'!$E$18+1,1))</f>
        <v>#N/A</v>
      </c>
      <c r="HA122" s="153" t="str">
        <f t="shared" si="53"/>
        <v>#N/A</v>
      </c>
      <c r="HB122" s="154">
        <f>IF(ISNA(VLOOKUP(A122,'Données projet'!$A$269:$I$289,3,0)),0,VLOOKUP(A122,'Données projet'!$A$269:$I$289,3,0))</f>
        <v>0</v>
      </c>
      <c r="HC122" s="154">
        <f>IF(ISNA(VLOOKUP(A122,'Données projet'!$A$269:$I$289,4,0)),0,VLOOKUP(A122,'Données projet'!$A$269:$I$289,4,0))</f>
        <v>0</v>
      </c>
      <c r="HD122" s="155">
        <f>IF(ISNA(VLOOKUP(A122,'Données projet'!$A$269:$I$289,5,0)),0%,VLOOKUP(A122,'Données projet'!$A$269:$I$289,5,0)*VLOOKUP('Données projet'!$B$18,'Paramètres'!$A$1:$I$88,7,0))</f>
        <v>0</v>
      </c>
      <c r="HE122" s="155">
        <f>IF(ISNA(VLOOKUP(A122,'Données projet'!$A$269:$I$289,6,0)),0%,VLOOKUP(A122,'Données projet'!$A$269:$I$289,6,0)*VLOOKUP('Données projet'!$B$18,'Paramètres'!$A$1:$I$88,7,0))</f>
        <v>0</v>
      </c>
      <c r="HF122" s="155">
        <f>IF(ISNA(VLOOKUP(A122,'Données projet'!$A$269:$I$289,7,0)),0%,VLOOKUP(A122,'Données projet'!$A$269:$I$289,7,0))</f>
        <v>0</v>
      </c>
      <c r="HG122" s="162" t="str">
        <f>EXP(-LN(2)/35)*HG121+(1-EXP(-LN(2)/35))/(LN(2)/35)*HC122*HD122*VLOOKUP('Données projet'!$B$18,'Paramètres'!$A$1:$I$88,3,0)*0.475*44/12</f>
        <v>#N/A</v>
      </c>
      <c r="HH122" s="162" t="str">
        <f>EXP(-LN(2)/25)*HH121+(1-EXP(-LN(2)/25))/(LN(2)/25)*Calculateur!HC122*Calculateur!HE122*VLOOKUP('Données projet'!$B$18,'Paramètres'!$A$1:$I$88,3,0)*0.475*44/12</f>
        <v>#N/A</v>
      </c>
      <c r="HI122" s="162" t="str">
        <f>EXP(-LN(2)/2)*HI121+(1-EXP(-LN(2)/2))/(LN(2)/2)*HC122*HF122*VLOOKUP('Données projet'!$B$18,'Paramètres'!$A$1:$I$88,3,0)*0.475*44/12</f>
        <v>#N/A</v>
      </c>
      <c r="HJ122" s="163" t="str">
        <f t="shared" si="31"/>
        <v>#N/A</v>
      </c>
    </row>
    <row r="123" ht="15.75" customHeight="1">
      <c r="A123" s="145">
        <f t="shared" si="32"/>
        <v>120</v>
      </c>
      <c r="B123" s="146">
        <f>'Scénario référence'!$B$16*5+'Scénario référence'!$B$17*0+'Scénario référence'!$B$18*5</f>
        <v>0</v>
      </c>
      <c r="C123" s="160">
        <f>Calculateur!C122+'Scénario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23" s="147">
        <f t="shared" si="33"/>
        <v>0</v>
      </c>
      <c r="E123" s="147">
        <f>'Scénario référence'!$B$16*45+('Scénario référence'!$B$17+'Scénario référence'!$F$8+'Scénario référence'!$F$9+'Scénario référence'!$B$10+'Scénario référence'!$B$9)*70+'Scénario référence'!$B$18*32</f>
        <v>70</v>
      </c>
      <c r="F123" s="147">
        <f>IF(OR('Scénario référence'!$F$8&gt;0,'Scénario référence'!$F$9&gt;0),('Scénario référence'!$F$8+'Scénario référence'!$F$9)*10,0)</f>
        <v>0</v>
      </c>
      <c r="G123" s="147">
        <f>'Scénario référence'!$B$8*B123*44/12+'Scénario référence'!$B$9*(C123+D123)/0.475*44/12+'Scénario référence'!$B$10*(C123+D123)/0.475*44/12+'Scénario référence'!$F$8*(C123+D123)/0.475*44/12+'Scénario référence'!$F$9*(C123+D123)/0.475*44/12</f>
        <v>0</v>
      </c>
      <c r="H123" s="148">
        <f t="shared" si="1"/>
        <v>256.6666667</v>
      </c>
      <c r="I123" s="149">
        <f>('Scénario référence'!$F$8+'Scénario référence'!$F$9+'Scénario référence'!$B$17+'Scénario référence'!$B$9+'Scénario référence'!$B$10)*70+IF((45+25*(1-EXP(-0.0175*A123)))&lt;70,'Scénario référence'!$B$16*(45+25*(1-EXP(-0.0175*A123))),70*'Scénario référence'!$B$16)+IF((32+38*(1-EXP(-0.0175*A123)))&lt;70,'Scénario référence'!$B$18*(32+38*(1-EXP(-0.0175*A123))),70*'Scénario référence'!$B$18)</f>
        <v>70</v>
      </c>
      <c r="J123" s="150">
        <f>IF(A123&gt;30,10,('Scénario référence'!$B$16+'Scénario référence'!$B$17+'Scénario référence'!$B$18+'Scénario référence'!$B$9+'Scénario référence'!$B$10)*A123*10/30+('Scénario référence'!$F$8+'Scénario référence'!$F$9)*10)</f>
        <v>10</v>
      </c>
      <c r="K123" s="151" t="str">
        <f>VLOOKUP(A123,'Données projet'!$A$35:$I$55,2,0)</f>
        <v>#N/A</v>
      </c>
      <c r="L123" s="150" t="str">
        <f>VLOOKUP(A123,'Données projet'!$A$35:$I$55,9,0)</f>
        <v>#N/A</v>
      </c>
      <c r="M123" s="150" t="str">
        <f t="array" ref="M123">INDEX(L:L,MIN(IF(ISNUMBER(L123:L319),ROW(L123:L319),"")))</f>
        <v/>
      </c>
      <c r="N123" s="150">
        <f>IF('Données projet'!$A$36&gt;35,N122+M123-V122,IF(A123&lt;'Données projet'!$A$36,$K$205^A123,IF(A123='Données projet'!$A$36,'Données projet'!$B$36,N122+M123-V122)))</f>
        <v>307</v>
      </c>
      <c r="O123" s="150">
        <f>N123*VLOOKUP('Données projet'!$B$9,'Paramètres'!$A$1:$I$88,3,0)*VLOOKUP('Données projet'!$B$9,'Paramètres'!$A$1:$I$88,5,0)</f>
        <v>277.7736</v>
      </c>
      <c r="P123" s="150">
        <f t="shared" si="34"/>
        <v>66.49628818</v>
      </c>
      <c r="Q123" s="161">
        <f t="shared" si="2"/>
        <v>599.6033886</v>
      </c>
      <c r="R123" s="153">
        <f t="shared" si="3"/>
        <v>892.9367219</v>
      </c>
      <c r="S123" s="153">
        <f>AVERAGE(OFFSET($R$3,0,0,'Données projet'!$E$9+1,1))-AVERAGE(OFFSET($H$3,0,0,'Données projet'!$E$9+1,1))</f>
        <v>439.1985427</v>
      </c>
      <c r="T123" s="153">
        <f t="shared" si="35"/>
        <v>278.2174123</v>
      </c>
      <c r="U123" s="154">
        <f>IF(ISNA(VLOOKUP(A123,'Données projet'!$A$35:$I$55,3,0)),0,VLOOKUP(A123,'Données projet'!$A$35:$I$55,3,0))</f>
        <v>0</v>
      </c>
      <c r="V123" s="154">
        <f>IF(ISNA(VLOOKUP(A123,'Données projet'!$A$35:$I$55,4,0)),0,VLOOKUP(A123,'Données projet'!$A$35:$I$55,4,0))</f>
        <v>0</v>
      </c>
      <c r="W123" s="155">
        <f>IF(ISNA(VLOOKUP(A123,'Données projet'!$A$35:$I$55,5,0)),0%,VLOOKUP(A123,'Données projet'!$A$35:$I$55,5,0)*VLOOKUP('Données projet'!$B$9,'Paramètres'!$A$1:$I$88,7,0))</f>
        <v>0</v>
      </c>
      <c r="X123" s="155">
        <f>IF(ISNA(VLOOKUP(A123,'Données projet'!$A$35:$I$55,6,0)),0%,VLOOKUP(A123,'Données projet'!$A$35:$I$55,6,0)*VLOOKUP('Données projet'!$B$9,'Paramètres'!$A$1:$I$88,7,0))</f>
        <v>0</v>
      </c>
      <c r="Y123" s="155">
        <f>IF(ISNA(VLOOKUP(A123,'Données projet'!$A$35:$I$55,7,0)),0%,VLOOKUP(A123,'Données projet'!$A$35:$I$55,7,0))</f>
        <v>0</v>
      </c>
      <c r="Z123" s="162">
        <f>EXP(-LN(2)/35)*Z122+(1-EXP(-LN(2)/35))/(LN(2)/35)*V123*W123*VLOOKUP('Données projet'!$B$9,'Paramètres'!$A$1:$I$88,3,0)*0.475*44/12</f>
        <v>0</v>
      </c>
      <c r="AA123" s="162">
        <f>EXP(-LN(2)/25)*AA122+(1-EXP(-LN(2)/25))/(LN(2)/25)*Calculateur!V123*Calculateur!X123*VLOOKUP('Données projet'!$B$9,'Paramètres'!$A$1:$I$88,3,0)*0.475*44/12</f>
        <v>0.3700873959</v>
      </c>
      <c r="AB123" s="162">
        <f>EXP(-LN(2)/2)*AB122+(1-EXP(-LN(2)/2))/(LN(2)/2)*V123*Y123*VLOOKUP('Données projet'!$B$9,'Paramètres'!$A$1:$I$88,3,0)*0.475*44/12</f>
        <v>0</v>
      </c>
      <c r="AC123" s="163">
        <f t="shared" si="4"/>
        <v>0.3700873959</v>
      </c>
      <c r="AD123" s="150">
        <f>('Scénario référence'!$F$8+'Scénario référence'!$F$9+'Scénario référence'!$B$17+'Scénario référence'!$B$9+'Scénario référence'!$B$10)*70+IF((45+25*(1-EXP(-0.0175*A123)))&lt;70,'Scénario référence'!$B$16*(45+25*(1-EXP(-0.0175*A123))),70*'Scénario référence'!$B$16)+IF((32+38*(1-EXP(-0.0175*A123)))&lt;70,'Scénario référence'!$B$18*(32+38*(1-EXP(-0.0175*A123))),70*'Scénario référence'!$B$18)</f>
        <v>70</v>
      </c>
      <c r="AE123" s="150">
        <f>IF(A123&gt;30,10,('Scénario référence'!$B$16+'Scénario référence'!$B$17+'Scénario référence'!$B$18+'Scénario référence'!$B$9+'Scénario référence'!$B$10)*A123*10/30+('Scénario référence'!$F$8+'Scénario référence'!$F$9)*10)</f>
        <v>10</v>
      </c>
      <c r="AF123" s="151" t="str">
        <f>VLOOKUP(A123,'Données projet'!$A$61:$I$81,2,0)</f>
        <v>#N/A</v>
      </c>
      <c r="AG123" s="151" t="str">
        <f>VLOOKUP(A123,'Données projet'!$A$61:$I$81,9,0)</f>
        <v>#N/A</v>
      </c>
      <c r="AH123" s="151" t="str">
        <f t="array" ref="AH123">INDEX(AG:AG,MIN(IF(ISNUMBER(AG123:AG319),ROW(AG123:AG319),"")))</f>
        <v/>
      </c>
      <c r="AI123" s="150">
        <f>IF('Données projet'!$A$62&gt;35,AI122+AH123-AQ122,IF(A123&lt;'Données projet'!$A$62,$AF$205^A123,IF(A123='Données projet'!$A$62,'Données projet'!$B$62,AI122+AH123-AQ122)))</f>
        <v>369</v>
      </c>
      <c r="AJ123" s="150">
        <f>AI123*VLOOKUP('Données projet'!$B$10,'Paramètres'!$A$1:$I$88,3,0)*VLOOKUP('Données projet'!$B$10,'Paramètres'!$A$1:$I$88,5,0)</f>
        <v>293.5764</v>
      </c>
      <c r="AK123" s="150">
        <f t="shared" si="36"/>
        <v>69.82813851</v>
      </c>
      <c r="AL123" s="161">
        <f t="shared" si="5"/>
        <v>632.9295712</v>
      </c>
      <c r="AM123" s="153">
        <f t="shared" si="6"/>
        <v>926.2629046</v>
      </c>
      <c r="AN123" s="153">
        <f>AVERAGE(OFFSET($AM$3,0,0,'Données projet'!$E$10+1,1))-AVERAGE(OFFSET($H$3,0,0,'Données projet'!$E$10+1,1))</f>
        <v>405.6113614</v>
      </c>
      <c r="AO123" s="153">
        <f t="shared" si="37"/>
        <v>393.0787141</v>
      </c>
      <c r="AP123" s="154">
        <f>IF(ISNA(VLOOKUP(A123,'Données projet'!$A$61:$I$81,3,0)),0,VLOOKUP(A123,'Données projet'!$A$61:$I$81,3,0))</f>
        <v>0</v>
      </c>
      <c r="AQ123" s="154">
        <f>IF(ISNA(VLOOKUP(A123,'Données projet'!$A$61:$I$81,4,0)),0,VLOOKUP(A123,'Données projet'!$A$61:$I$81,4,0))</f>
        <v>0</v>
      </c>
      <c r="AR123" s="155">
        <f>IF(ISNA(VLOOKUP(A123,'Données projet'!$A$61:$I$81,5,0)),0%,VLOOKUP(A123,'Données projet'!$A$61:$I$81,5,0)*VLOOKUP('Données projet'!$B$10,'Paramètres'!$A$1:$I$88,7,0))</f>
        <v>0</v>
      </c>
      <c r="AS123" s="155">
        <f>IF(ISNA(VLOOKUP(A123,'Données projet'!$A$61:$I$81,6,0)),0%,VLOOKUP(A123,'Données projet'!$A$61:$I$81,6,0)*VLOOKUP('Données projet'!$B$10,'Paramètres'!$A$1:$I$88,7,0))</f>
        <v>0</v>
      </c>
      <c r="AT123" s="155">
        <f>IF(ISNA(VLOOKUP(A123,'Données projet'!$A$61:$I$81,7,0)),0%,VLOOKUP(A123,'Données projet'!$A$61:$I$81,7,0))</f>
        <v>0</v>
      </c>
      <c r="AU123" s="162">
        <f>EXP(-LN(2)/35)*AU122+(1-EXP(-LN(2)/35))/(LN(2)/35)*AQ123*AR123*VLOOKUP('Données projet'!$B$10,'Paramètres'!$A$1:$I$88,3,0)*0.475*44/12</f>
        <v>0</v>
      </c>
      <c r="AV123" s="162">
        <f>EXP(-LN(2)/25)*AV122+(1-EXP(-LN(2)/25))/(LN(2)/25)*Calculateur!AQ123*Calculateur!AS123*VLOOKUP('Données projet'!$B$10,'Paramètres'!$A$1:$I$88,3,0)*0.475*44/12</f>
        <v>1.504129257</v>
      </c>
      <c r="AW123" s="162">
        <f>EXP(-LN(2)/2)*AW122+(1-EXP(-LN(2)/2))/(LN(2)/2)*AQ123*AT123*VLOOKUP('Données projet'!$B$10,'Paramètres'!$A$1:$I$88,3,0)*0.475*44/12</f>
        <v>0</v>
      </c>
      <c r="AX123" s="162">
        <f t="shared" si="7"/>
        <v>1.504129257</v>
      </c>
      <c r="AY123" s="157">
        <f>('Scénario référence'!$F$8+'Scénario référence'!$F$9+'Scénario référence'!$B$17+'Scénario référence'!$B$9+'Scénario référence'!$B$10)*70+IF((45+25*(1-EXP(-0.0175*A123)))&lt;70,'Scénario référence'!$B$16*(45+25*(1-EXP(-0.0175*A123))),70*'Scénario référence'!$B$16)+IF((32+38*(1-EXP(-0.0175*A123)))&lt;70,'Scénario référence'!$B$18*(32+38*(1-EXP(-0.0175*A123))),70*'Scénario référence'!$B$18)</f>
        <v>70</v>
      </c>
      <c r="AZ123" s="151">
        <f>IF(A123&gt;30,10,('Scénario référence'!$B$16+'Scénario référence'!$B$17+'Scénario référence'!$B$18+'Scénario référence'!$B$9+'Scénario référence'!$B$10)*A123*10/30+('Scénario référence'!$F$8+'Scénario référence'!$F$9)*10)</f>
        <v>10</v>
      </c>
      <c r="BA123" s="151" t="str">
        <f>VLOOKUP(A123,'Données projet'!$A$87:$I$107,2,0)</f>
        <v>#N/A</v>
      </c>
      <c r="BB123" s="151" t="str">
        <f>VLOOKUP(A123,'Données projet'!$A$87:$I$107,9,0)</f>
        <v>#N/A</v>
      </c>
      <c r="BC123" s="151" t="str">
        <f t="array" ref="BC123">INDEX(BB:BB,MIN(IF(ISNUMBER(BB123:BB319),ROW(BB123:BB319),"")))</f>
        <v/>
      </c>
      <c r="BD123" s="150">
        <f>IF('Données projet'!$A$88&gt;35,BD122+BC123-BL122,IF(A123&lt;'Données projet'!$A$88,$BA$205^A123,IF(A123='Données projet'!$A$88,'Données projet'!$B$88,BD122+BC123-BL122)))</f>
        <v>0</v>
      </c>
      <c r="BE123" s="150">
        <f>BD123*VLOOKUP('Données projet'!$B$11,'Paramètres'!$A$1:$I$88,3,0)*VLOOKUP('Données projet'!$B$11,'Paramètres'!$A$1:$I$88,5,0)</f>
        <v>0</v>
      </c>
      <c r="BF123" s="150" t="str">
        <f t="shared" si="38"/>
        <v>#NUM!</v>
      </c>
      <c r="BG123" s="161" t="str">
        <f t="shared" si="8"/>
        <v>#NUM!</v>
      </c>
      <c r="BH123" s="153" t="str">
        <f t="shared" si="9"/>
        <v>#NUM!</v>
      </c>
      <c r="BI123" s="153">
        <f>AVERAGE(OFFSET($BH$3,0,0,'Données projet'!$E$11+1,1))-AVERAGE(OFFSET($H$3,0,0,'Données projet'!$E$11+1,1))</f>
        <v>0</v>
      </c>
      <c r="BJ123" s="153">
        <f t="shared" si="39"/>
        <v>0</v>
      </c>
      <c r="BK123" s="154">
        <f>IF(ISNA(VLOOKUP(A123,'Données projet'!$A$87:$I$107,3,0)),0,VLOOKUP(A123,'Données projet'!$A$87:$I$107,3,0))</f>
        <v>0</v>
      </c>
      <c r="BL123" s="154">
        <f>IF(ISNA(VLOOKUP(A123,'Données projet'!$A$87:$I$107,4,0)),0,VLOOKUP(A123,'Données projet'!$A$87:$I$107,4,0))</f>
        <v>0</v>
      </c>
      <c r="BM123" s="155">
        <f>IF(ISNA(VLOOKUP(A123,'Données projet'!$A$87:$I$107,5,0)),0%,VLOOKUP(A123,'Données projet'!$A$87:$I$107,5,0)*VLOOKUP('Données projet'!$B$11,'Paramètres'!$A$1:$I$88,7,0))</f>
        <v>0</v>
      </c>
      <c r="BN123" s="155">
        <f>IF(ISNA(VLOOKUP(A123,'Données projet'!$A$87:$I$107,6,0)),0%,VLOOKUP(A123,'Données projet'!$A$87:$I$107,6,0)*VLOOKUP('Données projet'!$B$11,'Paramètres'!$A$1:$I$88,7,0))</f>
        <v>0</v>
      </c>
      <c r="BO123" s="155">
        <f>IF(ISNA(VLOOKUP(A123,'Données projet'!$A$87:$I$107,7,0)),0%,VLOOKUP(A123,'Données projet'!$A$87:$I$107,7,0))</f>
        <v>0</v>
      </c>
      <c r="BP123" s="162">
        <f>EXP(-LN(2)/35)*BP122+(1-EXP(-LN(2)/35))/(LN(2)/35)*BL123*BM123*VLOOKUP('Données projet'!$B$11,'Paramètres'!$A$1:$I$88,3,0)*0.475*44/12</f>
        <v>0</v>
      </c>
      <c r="BQ123" s="162">
        <f>EXP(-LN(2)/25)*BQ122+(1-EXP(-LN(2)/25))/(LN(2)/25)*Calculateur!BL123*Calculateur!BN123*VLOOKUP('Données projet'!$B$11,'Paramètres'!$A$1:$I$88,3,0)*0.475*44/12</f>
        <v>0</v>
      </c>
      <c r="BR123" s="162">
        <f>EXP(-LN(2)/2)*BR122+(1-EXP(-LN(2)/2))/(LN(2)/2)*BL123*BO123*VLOOKUP('Données projet'!$B$11,'Paramètres'!$A$1:$I$88,3,0)*0.475*44/12</f>
        <v>0</v>
      </c>
      <c r="BS123" s="163">
        <f t="shared" si="10"/>
        <v>0</v>
      </c>
      <c r="BT123" s="159">
        <f>('Scénario référence'!$F$8+'Scénario référence'!$F$9+'Scénario référence'!$B$17+'Scénario référence'!$B$9+'Scénario référence'!$B$10)*70+IF((45+25*(1-EXP(-0.0175*A123)))&lt;70,'Scénario référence'!$B$16*(45+25*(1-EXP(-0.0175*A123))),70*'Scénario référence'!$B$16)+IF((32+38*(1-EXP(-0.0175*A123)))&lt;70,'Scénario référence'!$B$18*(32+38*(1-EXP(-0.0175*A123))),70*'Scénario référence'!$B$18)</f>
        <v>70</v>
      </c>
      <c r="BU123" s="151">
        <f>IF(A123&gt;30,10,('Scénario référence'!$B$16+'Scénario référence'!$B$17+'Scénario référence'!$B$18+'Scénario référence'!$B$9+'Scénario référence'!$B$10)*A123*10/30+('Scénario référence'!$F$8+'Scénario référence'!$F$9)*10)</f>
        <v>10</v>
      </c>
      <c r="BV123" s="151" t="str">
        <f>VLOOKUP(A123,'Données projet'!$A$113:$I$133,2,0)</f>
        <v>#N/A</v>
      </c>
      <c r="BW123" s="151" t="str">
        <f>VLOOKUP(A123,'Données projet'!$A$113:$I$133,9,0)</f>
        <v>#N/A</v>
      </c>
      <c r="BX123" s="151" t="str">
        <f t="array" ref="BX123">INDEX(BW:BW,MIN(IF(ISNUMBER(BW123:BW319),ROW(BW123:BW319),"")))</f>
        <v/>
      </c>
      <c r="BY123" s="150">
        <f>IF('Données projet'!$A$114&gt;35,BY122+BX123-CG122,IF(A123&lt;'Données projet'!$A$114,$BV$205^A123,IF(A123='Données projet'!$A$114,'Données projet'!$B$114,BY122+BX123-CG122)))</f>
        <v>0</v>
      </c>
      <c r="BZ123" s="150" t="str">
        <f>BY123*VLOOKUP('Données projet'!$B$12,'Paramètres'!$A$1:$I$88,3,0)*VLOOKUP('Données projet'!$B$12,'Paramètres'!$A$1:$I$88,5,0)</f>
        <v>#N/A</v>
      </c>
      <c r="CA123" s="150" t="str">
        <f t="shared" si="40"/>
        <v>#N/A</v>
      </c>
      <c r="CB123" s="161" t="str">
        <f t="shared" si="11"/>
        <v>#N/A</v>
      </c>
      <c r="CC123" s="153" t="str">
        <f t="shared" si="12"/>
        <v>#N/A</v>
      </c>
      <c r="CD123" s="153" t="str">
        <f>AVERAGE(OFFSET($CC$3,0,0,'Données projet'!$E$12+1,1))-AVERAGE(OFFSET($H$3,0,0,'Données projet'!$E$12+1,1))</f>
        <v>#N/A</v>
      </c>
      <c r="CE123" s="153" t="str">
        <f t="shared" si="41"/>
        <v>#N/A</v>
      </c>
      <c r="CF123" s="154">
        <f>IF(ISNA(VLOOKUP(A123,'Données projet'!$A$113:$I$133,3,0)),0,VLOOKUP(A123,'Données projet'!$A$113:$I$133,3,0))</f>
        <v>0</v>
      </c>
      <c r="CG123" s="154">
        <f>IF(ISNA(VLOOKUP(A123,'Données projet'!$A$113:$I$133,4,0)),0,VLOOKUP(A123,'Données projet'!$A$113:$I$133,4,0))</f>
        <v>0</v>
      </c>
      <c r="CH123" s="155">
        <f>IF(ISNA(VLOOKUP(A123,'Données projet'!$A$113:$I$133,5,0)),0%,VLOOKUP(A123,'Données projet'!$A$113:$I$133,5,0)*VLOOKUP('Données projet'!$B$12,'Paramètres'!$A$1:$I$88,7,0))</f>
        <v>0</v>
      </c>
      <c r="CI123" s="155">
        <f>IF(ISNA(VLOOKUP(A123,'Données projet'!$A$113:$I$133,6,0)),0%,VLOOKUP(A123,'Données projet'!$A$113:$I$133,6,0)*VLOOKUP('Données projet'!$B$12,'Paramètres'!$A$1:$I$88,7,0))</f>
        <v>0</v>
      </c>
      <c r="CJ123" s="155">
        <f>IF(ISNA(VLOOKUP(A123,'Données projet'!$A$113:$I$133,7,0)),0%,VLOOKUP(A123,'Données projet'!$A$113:$I$133,7,0))</f>
        <v>0</v>
      </c>
      <c r="CK123" s="162" t="str">
        <f>EXP(-LN(2)/35)*CK122+(1-EXP(-LN(2)/35))/(LN(2)/35)*CG123*CH123*VLOOKUP('Données projet'!$B$12,'Paramètres'!$A$1:$I$88,3,0)*0.475*44/12</f>
        <v>#N/A</v>
      </c>
      <c r="CL123" s="162" t="str">
        <f>EXP(-LN(2)/25)*CL122+(1-EXP(-LN(2)/25))/(LN(2)/25)*Calculateur!CG123*Calculateur!CI123*VLOOKUP('Données projet'!$B$12,'Paramètres'!$A$1:$I$88,3,0)*0.475*44/12</f>
        <v>#N/A</v>
      </c>
      <c r="CM123" s="162" t="str">
        <f>EXP(-LN(2)/2)*CM122+(1-EXP(-LN(2)/2))/(LN(2)/2)*CG123*CJ123*VLOOKUP('Données projet'!$B$12,'Paramètres'!$A$1:$I$88,3,0)*0.475*44/12</f>
        <v>#N/A</v>
      </c>
      <c r="CN123" s="163" t="str">
        <f t="shared" si="13"/>
        <v>#N/A</v>
      </c>
      <c r="CO123" s="159">
        <f>('Scénario référence'!$F$8+'Scénario référence'!$F$9+'Scénario référence'!$B$17+'Scénario référence'!$B$9+'Scénario référence'!$B$10)*70+IF((45+25*(1-EXP(-0.0175*A123)))&lt;70,'Scénario référence'!$B$16*(45+25*(1-EXP(-0.0175*A123))),70*'Scénario référence'!$B$16)+IF((32+38*(1-EXP(-0.0175*A123)))&lt;70,'Scénario référence'!$B$18*(32+38*(1-EXP(-0.0175*A123))),70*'Scénario référence'!$B$18)</f>
        <v>70</v>
      </c>
      <c r="CP123" s="151">
        <f>IF(A123&gt;30,10,('Scénario référence'!$B$16+'Scénario référence'!$B$17+'Scénario référence'!$B$18+'Scénario référence'!$B$9+'Scénario référence'!$B$10)*A123*10/30+('Scénario référence'!$F$8+'Scénario référence'!$F$9)*10)</f>
        <v>10</v>
      </c>
      <c r="CQ123" s="151" t="str">
        <f>VLOOKUP(A123,'Données projet'!$A$139:$I$159,2,0)</f>
        <v>#N/A</v>
      </c>
      <c r="CR123" s="151" t="str">
        <f>VLOOKUP(A123,'Données projet'!$A$139:$I$159,9,0)</f>
        <v>#N/A</v>
      </c>
      <c r="CS123" s="151" t="str">
        <f t="array" ref="CS123">INDEX(CR:CR,MIN(IF(ISNUMBER(CR123:CR319),ROW(CR123:CR319),"")))</f>
        <v/>
      </c>
      <c r="CT123" s="151">
        <f>IF('Données projet'!$A$140&gt;35,CT122+CS123-DB122,IF(A123&lt;'Données projet'!$A$140,$CQ$205^A123,IF(A123='Données projet'!$A$140,'Données projet'!$B$140,CT122+CS123-DB122)))</f>
        <v>0</v>
      </c>
      <c r="CU123" s="158" t="str">
        <f>CT123*VLOOKUP('Données projet'!$B$13,'Paramètres'!$A$1:$I$88,3,0)*VLOOKUP('Données projet'!$B$13,'Paramètres'!$A$1:$I$88,5,0)</f>
        <v>#N/A</v>
      </c>
      <c r="CV123" s="150" t="str">
        <f t="shared" si="42"/>
        <v>#N/A</v>
      </c>
      <c r="CW123" s="161" t="str">
        <f t="shared" si="14"/>
        <v>#N/A</v>
      </c>
      <c r="CX123" s="153" t="str">
        <f t="shared" si="15"/>
        <v>#N/A</v>
      </c>
      <c r="CY123" s="153" t="str">
        <f>AVERAGE(OFFSET($CX$3,0,0,'Données projet'!$E$13+1,1))-AVERAGE(OFFSET($H$3,0,0,'Données projet'!$E$13+1,1))</f>
        <v>#N/A</v>
      </c>
      <c r="CZ123" s="153" t="str">
        <f t="shared" si="43"/>
        <v>#N/A</v>
      </c>
      <c r="DA123" s="154">
        <f>IF(ISNA(VLOOKUP(A123,'Données projet'!$A$139:$I$159,3,0)),0,VLOOKUP(A123,'Données projet'!$A$139:$I$159,3,0))</f>
        <v>0</v>
      </c>
      <c r="DB123" s="154">
        <f>IF(ISNA(VLOOKUP(A123,'Données projet'!$A$139:$I$159,4,0)),0,VLOOKUP(A123,'Données projet'!$A$139:$I$159,4,0))</f>
        <v>0</v>
      </c>
      <c r="DC123" s="155">
        <f>IF(ISNA(VLOOKUP(A123,'Données projet'!$A$139:$I$159,5,0)),0%,VLOOKUP(A123,'Données projet'!$A$139:$I$159,5,0)*VLOOKUP('Données projet'!$B$13,'Paramètres'!$A$1:$I$88,7,0))</f>
        <v>0</v>
      </c>
      <c r="DD123" s="155">
        <f>IF(ISNA(VLOOKUP(A123,'Données projet'!$A$139:$I$159,6,0)),0%,VLOOKUP(A123,'Données projet'!$A$139:$I$159,6,0)*VLOOKUP('Données projet'!$B$13,'Paramètres'!$A$1:$I$88,7,0))</f>
        <v>0</v>
      </c>
      <c r="DE123" s="155">
        <f>IF(ISNA(VLOOKUP(A123,'Données projet'!$A$139:$I$159,7,0)),0%,VLOOKUP(A123,'Données projet'!$A$139:$I$159,7,0))</f>
        <v>0</v>
      </c>
      <c r="DF123" s="162" t="str">
        <f>EXP(-LN(2)/35)*DF122+(1-EXP(-LN(2)/35))/(LN(2)/35)*DB123*DC123*VLOOKUP('Données projet'!$B$13,'Paramètres'!$A$1:$I$88,3,0)*0.475*44/12</f>
        <v>#N/A</v>
      </c>
      <c r="DG123" s="162" t="str">
        <f>EXP(-LN(2)/25)*DG122+(1-EXP(-LN(2)/25))/(LN(2)/25)*Calculateur!DB123*Calculateur!DD123*VLOOKUP('Données projet'!$B$13,'Paramètres'!$A$1:$I$88,3,0)*0.475*44/12</f>
        <v>#N/A</v>
      </c>
      <c r="DH123" s="162" t="str">
        <f>EXP(-LN(2)/2)*DH122+(1-EXP(-LN(2)/2))/(LN(2)/2)*DB123*DE123*VLOOKUP('Données projet'!$B$13,'Paramètres'!$A$1:$I$88,3,0)*0.475*44/12</f>
        <v>#N/A</v>
      </c>
      <c r="DI123" s="163" t="str">
        <f t="shared" si="16"/>
        <v>#N/A</v>
      </c>
      <c r="DJ123" s="159">
        <f>('Scénario référence'!$F$8+'Scénario référence'!$F$9+'Scénario référence'!$B$17+'Scénario référence'!$B$9+'Scénario référence'!$B$10)*70+IF((45+25*(1-EXP(-0.0175*A123)))&lt;70,'Scénario référence'!$B$16*(45+25*(1-EXP(-0.0175*A123))),70*'Scénario référence'!$B$16)+IF((32+38*(1-EXP(-0.0175*A123)))&lt;70,'Scénario référence'!$B$18*(32+38*(1-EXP(-0.0175*A123))),70*'Scénario référence'!$B$18)</f>
        <v>70</v>
      </c>
      <c r="DK123" s="151">
        <f>IF(A123&gt;30,10,('Scénario référence'!$B$16+'Scénario référence'!$B$17+'Scénario référence'!$B$18+'Scénario référence'!$B$9+'Scénario référence'!$B$10)*A123*10/30+('Scénario référence'!$F$8+'Scénario référence'!$F$9)*10)</f>
        <v>10</v>
      </c>
      <c r="DL123" s="151" t="str">
        <f>VLOOKUP(A123,'Données projet'!$A$165:$I$185,2,0)</f>
        <v>#N/A</v>
      </c>
      <c r="DM123" s="151" t="str">
        <f>VLOOKUP(A123,'Données projet'!$A$165:$I$185,9,0)</f>
        <v>#N/A</v>
      </c>
      <c r="DN123" s="151" t="str">
        <f t="array" ref="DN123">INDEX(DM:DM,MIN(IF(ISNUMBER(DM123:DM319),ROW(DM123:DM319),"")))</f>
        <v/>
      </c>
      <c r="DO123" s="151">
        <f>IF('Données projet'!$A$166&gt;35,DO122+DN123-DW122,IF(A123&lt;'Données projet'!$A$166,$DL$205^A123,IF(A123='Données projet'!$A$166,'Données projet'!$B$166,DO122+DN123-DW122)))</f>
        <v>0</v>
      </c>
      <c r="DP123" s="158" t="str">
        <f>DO123*VLOOKUP('Données projet'!$B$14,'Paramètres'!$A$1:$I$88,3,0)*VLOOKUP('Données projet'!$B$14,'Paramètres'!$A$1:$I$88,5,0)</f>
        <v>#N/A</v>
      </c>
      <c r="DQ123" s="150" t="str">
        <f t="shared" si="44"/>
        <v>#N/A</v>
      </c>
      <c r="DR123" s="161" t="str">
        <f t="shared" si="17"/>
        <v>#N/A</v>
      </c>
      <c r="DS123" s="153" t="str">
        <f t="shared" si="18"/>
        <v>#N/A</v>
      </c>
      <c r="DT123" s="153" t="str">
        <f>AVERAGE(OFFSET($DS$3,0,0,'Données projet'!$E$14+1,1))-AVERAGE(OFFSET($H$3,0,0,'Données projet'!$E$14+1,1))</f>
        <v>#N/A</v>
      </c>
      <c r="DU123" s="153" t="str">
        <f t="shared" si="45"/>
        <v>#N/A</v>
      </c>
      <c r="DV123" s="154">
        <f>IF(ISNA(VLOOKUP(A123,'Données projet'!$A$165:$I$185,3,0)),0,VLOOKUP(A123,'Données projet'!$A$165:$I$185,3,0))</f>
        <v>0</v>
      </c>
      <c r="DW123" s="154">
        <f>IF(ISNA(VLOOKUP(A123,'Données projet'!$A$165:$I$185,4,0)),0,VLOOKUP(A123,'Données projet'!$A$165:$I$185,4,0))</f>
        <v>0</v>
      </c>
      <c r="DX123" s="155">
        <f>IF(ISNA(VLOOKUP(A123,'Données projet'!$A$165:$I$185,5,0)),0%,VLOOKUP(A123,'Données projet'!$A$165:$I$185,5,0)*VLOOKUP('Données projet'!$B$14,'Paramètres'!$A$1:$I$88,7,0))</f>
        <v>0</v>
      </c>
      <c r="DY123" s="155">
        <f>IF(ISNA(VLOOKUP(A123,'Données projet'!$A$165:$I$185,6,0)),0%,VLOOKUP(A123,'Données projet'!$A$165:$I$185,6,0)*VLOOKUP('Données projet'!$B$14,'Paramètres'!$A$1:$I$88,7,0))</f>
        <v>0</v>
      </c>
      <c r="DZ123" s="155">
        <f>IF(ISNA(VLOOKUP(A123,'Données projet'!$A$165:$I$185,7,0)),0%,VLOOKUP(A123,'Données projet'!$A$165:$I$185,7,0))</f>
        <v>0</v>
      </c>
      <c r="EA123" s="162" t="str">
        <f>EXP(-LN(2)/35)*EA122+(1-EXP(-LN(2)/35))/(LN(2)/35)*DW123*DX123*VLOOKUP('Données projet'!$B$14,'Paramètres'!$A$1:$I$88,3,0)*0.475*44/12</f>
        <v>#N/A</v>
      </c>
      <c r="EB123" s="162" t="str">
        <f>EXP(-LN(2)/25)*EB122+(1-EXP(-LN(2)/25))/(LN(2)/25)*Calculateur!DW123*Calculateur!DY123*VLOOKUP('Données projet'!$B$14,'Paramètres'!$A$1:$I$88,3,0)*0.475*44/12</f>
        <v>#N/A</v>
      </c>
      <c r="EC123" s="162" t="str">
        <f>EXP(-LN(2)/2)*EC122+(1-EXP(-LN(2)/2))/(LN(2)/2)*DW123*DZ123*VLOOKUP('Données projet'!$B$14,'Paramètres'!$A$1:$I$88,3,0)*0.475*44/12</f>
        <v>#N/A</v>
      </c>
      <c r="ED123" s="163" t="str">
        <f t="shared" si="19"/>
        <v>#N/A</v>
      </c>
      <c r="EE123" s="159">
        <f>('Scénario référence'!$F$8+'Scénario référence'!$F$9+'Scénario référence'!$B$17+'Scénario référence'!$B$9+'Scénario référence'!$B$10)*70+IF((45+25*(1-EXP(-0.0175*A123)))&lt;70,'Scénario référence'!$B$16*(45+25*(1-EXP(-0.0175*A123))),70*'Scénario référence'!$B$16)+IF((32+38*(1-EXP(-0.0175*A123)))&lt;70,'Scénario référence'!$B$18*(32+38*(1-EXP(-0.0175*A123))),70*'Scénario référence'!$B$18)</f>
        <v>70</v>
      </c>
      <c r="EF123" s="151">
        <f>IF(A123&gt;30,10,('Scénario référence'!$B$16+'Scénario référence'!$B$17+'Scénario référence'!$B$18+'Scénario référence'!$B$9+'Scénario référence'!$B$10)*A123*10/30+('Scénario référence'!$F$8+'Scénario référence'!$F$9)*10)</f>
        <v>10</v>
      </c>
      <c r="EG123" s="151" t="str">
        <f>VLOOKUP(A123,'Données projet'!$A$191:$I$211,2,0)</f>
        <v>#N/A</v>
      </c>
      <c r="EH123" s="151" t="str">
        <f>VLOOKUP(A123,'Données projet'!$A$191:$I$211,9,0)</f>
        <v>#N/A</v>
      </c>
      <c r="EI123" s="151" t="str">
        <f t="array" ref="EI123">INDEX(EH:EH,MIN(IF(ISNUMBER(EH123:EH319),ROW(EH123:EH319),"")))</f>
        <v/>
      </c>
      <c r="EJ123" s="151">
        <f>IF('Données projet'!$A$192&gt;35,EJ122+EI123-ER122,IF(A123&lt;'Données projet'!$A$192,$EG$205^A123,IF(A123='Données projet'!$A$192,'Données projet'!$B$192,EJ122+EI123-ER122)))</f>
        <v>0</v>
      </c>
      <c r="EK123" s="158" t="str">
        <f>EJ123*VLOOKUP('Données projet'!$B$15,'Paramètres'!$A$1:$I$88,3,0)*VLOOKUP('Données projet'!$B$15,'Paramètres'!$A$1:$I$88,5,0)</f>
        <v>#N/A</v>
      </c>
      <c r="EL123" s="150" t="str">
        <f t="shared" si="46"/>
        <v>#N/A</v>
      </c>
      <c r="EM123" s="161" t="str">
        <f t="shared" si="20"/>
        <v>#N/A</v>
      </c>
      <c r="EN123" s="153" t="str">
        <f t="shared" si="21"/>
        <v>#N/A</v>
      </c>
      <c r="EO123" s="153" t="str">
        <f>AVERAGE(OFFSET($EN$3,0,0,'Données projet'!$E$15+1,1))-AVERAGE(OFFSET($H$3,0,0,'Données projet'!$E$15+1,1))</f>
        <v>#N/A</v>
      </c>
      <c r="EP123" s="153" t="str">
        <f t="shared" si="47"/>
        <v>#N/A</v>
      </c>
      <c r="EQ123" s="154">
        <f>IF(ISNA(VLOOKUP(A123,'Données projet'!$A$191:$I$211,3,0)),0,VLOOKUP(A123,'Données projet'!$A$191:$I$211,3,0))</f>
        <v>0</v>
      </c>
      <c r="ER123" s="154">
        <f>IF(ISNA(VLOOKUP(A123,'Données projet'!$A$191:$I$211,4,0)),0,VLOOKUP(A123,'Données projet'!$A$191:$I$211,4,0))</f>
        <v>0</v>
      </c>
      <c r="ES123" s="155">
        <f>IF(ISNA(VLOOKUP(A123,'Données projet'!$A$191:$I$211,5,0)),0%,VLOOKUP(A123,'Données projet'!$A$191:$I$211,5,0)*VLOOKUP('Données projet'!$B$15,'Paramètres'!$A$1:$I$88,7,0))</f>
        <v>0</v>
      </c>
      <c r="ET123" s="155">
        <f>IF(ISNA(VLOOKUP(A123,'Données projet'!$A$191:$I$211,6,0)),0%,VLOOKUP(A123,'Données projet'!$A$191:$I$211,6,0)*VLOOKUP('Données projet'!$B$15,'Paramètres'!$A$1:$I$88,7,0))</f>
        <v>0</v>
      </c>
      <c r="EU123" s="155">
        <f>IF(ISNA(VLOOKUP(A123,'Données projet'!$A$191:$I$211,7,0)),0%,VLOOKUP(A123,'Données projet'!$A$191:$I$211,7,0))</f>
        <v>0</v>
      </c>
      <c r="EV123" s="162" t="str">
        <f>EXP(-LN(2)/35)*EV122+(1-EXP(-LN(2)/35))/(LN(2)/35)*ER123*ES123*VLOOKUP('Données projet'!$B$15,'Paramètres'!$A$1:$I$88,3,0)*0.475*44/12</f>
        <v>#N/A</v>
      </c>
      <c r="EW123" s="162" t="str">
        <f>EXP(-LN(2)/25)*EW122+(1-EXP(-LN(2)/25))/(LN(2)/25)*Calculateur!ER123*Calculateur!ET123*VLOOKUP('Données projet'!$B$15,'Paramètres'!$A$1:$I$88,3,0)*0.475*44/12</f>
        <v>#N/A</v>
      </c>
      <c r="EX123" s="162" t="str">
        <f>EXP(-LN(2)/2)*EX122+(1-EXP(-LN(2)/2))/(LN(2)/2)*ER123*EU123*VLOOKUP('Données projet'!$B$15,'Paramètres'!$A$1:$I$88,3,0)*0.475*44/12</f>
        <v>#N/A</v>
      </c>
      <c r="EY123" s="163" t="str">
        <f t="shared" si="22"/>
        <v>#N/A</v>
      </c>
      <c r="EZ123" s="159">
        <f>('Scénario référence'!$F$8+'Scénario référence'!$F$9+'Scénario référence'!$B$17+'Scénario référence'!$B$9+'Scénario référence'!$B$10)*70+IF((45+25*(1-EXP(-0.0175*A123)))&lt;70,'Scénario référence'!$B$16*(45+25*(1-EXP(-0.0175*A123))),70*'Scénario référence'!$B$16)+IF((32+38*(1-EXP(-0.0175*A123)))&lt;70,'Scénario référence'!$B$18*(32+38*(1-EXP(-0.0175*A123))),70*'Scénario référence'!$B$18)</f>
        <v>70</v>
      </c>
      <c r="FA123" s="151">
        <f>IF(A123&gt;30,10,('Scénario référence'!$B$16+'Scénario référence'!$B$17+'Scénario référence'!$B$18+'Scénario référence'!$B$9+'Scénario référence'!$B$10)*A123*10/30+('Scénario référence'!$F$8+'Scénario référence'!$F$9)*10)</f>
        <v>10</v>
      </c>
      <c r="FB123" s="151" t="str">
        <f>VLOOKUP(A123,'Données projet'!$A$217:$I$237,2,0)</f>
        <v>#N/A</v>
      </c>
      <c r="FC123" s="151" t="str">
        <f>VLOOKUP(A123,'Données projet'!$A$217:$I$237,9,0)</f>
        <v>#N/A</v>
      </c>
      <c r="FD123" s="151" t="str">
        <f t="array" ref="FD123">INDEX(FC:FC,MIN(IF(ISNUMBER(FC123:FC319),ROW(FC123:FC319),"")))</f>
        <v/>
      </c>
      <c r="FE123" s="151">
        <f>IF('Données projet'!$A$218&gt;35,FE122+FD123-FM122,IF(A123&lt;'Données projet'!$A$218,$FB$205^A123,IF(A123='Données projet'!$A$218,'Données projet'!$B$218,FE122+FD123-FM122)))</f>
        <v>0</v>
      </c>
      <c r="FF123" s="158" t="str">
        <f>FE123*VLOOKUP('Données projet'!$B$16,'Paramètres'!$A$1:$I$88,3,0)*VLOOKUP('Données projet'!$B$16,'Paramètres'!$A$1:$I$88,5,0)</f>
        <v>#N/A</v>
      </c>
      <c r="FG123" s="150" t="str">
        <f t="shared" si="48"/>
        <v>#N/A</v>
      </c>
      <c r="FH123" s="161" t="str">
        <f t="shared" si="23"/>
        <v>#N/A</v>
      </c>
      <c r="FI123" s="153" t="str">
        <f t="shared" si="24"/>
        <v>#N/A</v>
      </c>
      <c r="FJ123" s="153" t="str">
        <f>AVERAGE(OFFSET($FI$3,0,0,'Données projet'!$E$16+1,1))-AVERAGE(OFFSET($H$3,0,0,'Données projet'!$E$16+1,1))</f>
        <v>#N/A</v>
      </c>
      <c r="FK123" s="153" t="str">
        <f t="shared" si="49"/>
        <v>#N/A</v>
      </c>
      <c r="FL123" s="154">
        <f>IF(ISNA(VLOOKUP(A123,'Données projet'!$A$217:$I$237,3,0)),0,VLOOKUP(A123,'Données projet'!$A$217:$I$237,3,0))</f>
        <v>0</v>
      </c>
      <c r="FM123" s="154">
        <f>IF(ISNA(VLOOKUP(A123,'Données projet'!$A$217:$I$237,4,0)),0,VLOOKUP(A123,'Données projet'!$A$217:$I$237,4,0))</f>
        <v>0</v>
      </c>
      <c r="FN123" s="155">
        <f>IF(ISNA(VLOOKUP(A123,'Données projet'!$A$217:$I$237,5,0)),0%,VLOOKUP(A123,'Données projet'!$A$217:$I$237,5,0)*VLOOKUP('Données projet'!$B$16,'Paramètres'!$A$1:$I$88,7,0))</f>
        <v>0</v>
      </c>
      <c r="FO123" s="155">
        <f>IF(ISNA(VLOOKUP(A123,'Données projet'!$A$217:$I$237,6,0)),0%,VLOOKUP(A123,'Données projet'!$A$217:$I$237,6,0)*VLOOKUP('Données projet'!$B$16,'Paramètres'!$A$1:$I$88,7,0))</f>
        <v>0</v>
      </c>
      <c r="FP123" s="155">
        <f>IF(ISNA(VLOOKUP(A123,'Données projet'!$A$217:$I$237,7,0)),0%,VLOOKUP(A123,'Données projet'!$A$217:$I$237,7,0))</f>
        <v>0</v>
      </c>
      <c r="FQ123" s="162" t="str">
        <f>EXP(-LN(2)/35)*FQ122+(1-EXP(-LN(2)/35))/(LN(2)/35)*FM123*FN123*VLOOKUP('Données projet'!$B$16,'Paramètres'!$A$1:$I$88,3,0)*0.475*44/12</f>
        <v>#N/A</v>
      </c>
      <c r="FR123" s="162" t="str">
        <f>EXP(-LN(2)/25)*FR122+(1-EXP(-LN(2)/25))/(LN(2)/25)*Calculateur!FM123*Calculateur!FO123*VLOOKUP('Données projet'!$B$16,'Paramètres'!$A$1:$I$88,3,0)*0.475*44/12</f>
        <v>#N/A</v>
      </c>
      <c r="FS123" s="162" t="str">
        <f>EXP(-LN(2)/2)*FS122+(1-EXP(-LN(2)/2))/(LN(2)/2)*FM123*FP123*VLOOKUP('Données projet'!$B$16,'Paramètres'!$A$1:$I$88,3,0)*0.475*44/12</f>
        <v>#N/A</v>
      </c>
      <c r="FT123" s="163" t="str">
        <f t="shared" si="25"/>
        <v>#N/A</v>
      </c>
      <c r="FU123" s="159">
        <f>('Scénario référence'!$F$8+'Scénario référence'!$F$9+'Scénario référence'!$B$17+'Scénario référence'!$B$9+'Scénario référence'!$B$10)*70+IF((45+25*(1-EXP(-0.0175*A123)))&lt;70,'Scénario référence'!$B$16*(45+25*(1-EXP(-0.0175*A123))),70*'Scénario référence'!$B$16)+IF((32+38*(1-EXP(-0.0175*A123)))&lt;70,'Scénario référence'!$B$18*(32+38*(1-EXP(-0.0175*A123))),70*'Scénario référence'!$B$18)</f>
        <v>70</v>
      </c>
      <c r="FV123" s="151">
        <f>IF(A123&gt;30,10,('Scénario référence'!$B$16+'Scénario référence'!$B$17+'Scénario référence'!$B$18+'Scénario référence'!$B$9+'Scénario référence'!$B$10)*A123*10/30+('Scénario référence'!$F$8+'Scénario référence'!$F$9)*10)</f>
        <v>10</v>
      </c>
      <c r="FW123" s="151" t="str">
        <f>VLOOKUP(A123,'Données projet'!$A$243:$I$263,2,0)</f>
        <v>#N/A</v>
      </c>
      <c r="FX123" s="151" t="str">
        <f>VLOOKUP(A123,'Données projet'!$A$243:$I$263,9,0)</f>
        <v>#N/A</v>
      </c>
      <c r="FY123" s="151" t="str">
        <f t="array" ref="FY123">INDEX(FX:FX,MIN(IF(ISNUMBER(FX123:FX319),ROW(FX123:FX319),"")))</f>
        <v/>
      </c>
      <c r="FZ123" s="151">
        <f>IF('Données projet'!$A$244&gt;35,FZ122+FY123-GH122,IF(A123&lt;'Données projet'!$A$244,$FW$205^A123,IF(A123='Données projet'!$A$244,'Données projet'!$B$244,FZ122+FY123-GH122)))</f>
        <v>0</v>
      </c>
      <c r="GA123" s="158" t="str">
        <f>FZ123*VLOOKUP('Données projet'!$B$17,'Paramètres'!$A$1:$I$88,3,0)*VLOOKUP('Données projet'!$B$17,'Paramètres'!$A$1:$I$88,5,0)</f>
        <v>#N/A</v>
      </c>
      <c r="GB123" s="150" t="str">
        <f t="shared" si="50"/>
        <v>#N/A</v>
      </c>
      <c r="GC123" s="161" t="str">
        <f t="shared" si="26"/>
        <v>#N/A</v>
      </c>
      <c r="GD123" s="153" t="str">
        <f t="shared" si="27"/>
        <v>#N/A</v>
      </c>
      <c r="GE123" s="153" t="str">
        <f>AVERAGE(OFFSET($GD$3,0,0,'Données projet'!$E$17+1,1))-AVERAGE(OFFSET($H$3,0,0,'Données projet'!$E$17+1,1))</f>
        <v>#N/A</v>
      </c>
      <c r="GF123" s="153" t="str">
        <f t="shared" si="51"/>
        <v>#N/A</v>
      </c>
      <c r="GG123" s="154">
        <f>IF(ISNA(VLOOKUP(A123,'Données projet'!$A$243:$I$263,3,0)),0,VLOOKUP(A123,'Données projet'!$A$243:$I$263,3,0))</f>
        <v>0</v>
      </c>
      <c r="GH123" s="154">
        <f>IF(ISNA(VLOOKUP(A123,'Données projet'!$A$243:$I$263,4,0)),0,VLOOKUP(A123,'Données projet'!$A$243:$I$263,4,0))</f>
        <v>0</v>
      </c>
      <c r="GI123" s="155">
        <f>IF(ISNA(VLOOKUP(A123,'Données projet'!$A$243:$I$263,5,0)),0%,VLOOKUP(A123,'Données projet'!$A$243:$I$263,5,0)*VLOOKUP('Données projet'!$B$17,'Paramètres'!$A$1:$I$88,7,0))</f>
        <v>0</v>
      </c>
      <c r="GJ123" s="155">
        <f>IF(ISNA(VLOOKUP(A123,'Données projet'!$A$243:$I$263,6,0)),0%,VLOOKUP(A123,'Données projet'!$A$243:$I$263,6,0)*VLOOKUP('Données projet'!$B$17,'Paramètres'!$A$1:$I$88,7,0))</f>
        <v>0</v>
      </c>
      <c r="GK123" s="155">
        <f>IF(ISNA(VLOOKUP(A123,'Données projet'!$A$243:$I$263,7,0)),0%,VLOOKUP(A123,'Données projet'!$A$243:$I$263,7,0))</f>
        <v>0</v>
      </c>
      <c r="GL123" s="162" t="str">
        <f>EXP(-LN(2)/35)*GL122+(1-EXP(-LN(2)/35))/(LN(2)/35)*GH123*GI123*VLOOKUP('Données projet'!$B$17,'Paramètres'!$A$1:$I$88,3,0)*0.475*44/12</f>
        <v>#N/A</v>
      </c>
      <c r="GM123" s="162" t="str">
        <f>EXP(-LN(2)/25)*GM122+(1-EXP(-LN(2)/25))/(LN(2)/25)*Calculateur!GH123*Calculateur!GJ123*VLOOKUP('Données projet'!$B$17,'Paramètres'!$A$1:$I$88,3,0)*0.475*44/12</f>
        <v>#N/A</v>
      </c>
      <c r="GN123" s="162" t="str">
        <f>EXP(-LN(2)/2)*GN122+(1-EXP(-LN(2)/2))/(LN(2)/2)*GH123*GK123*VLOOKUP('Données projet'!$B$17,'Paramètres'!$A$1:$I$88,3,0)*0.475*44/12</f>
        <v>#N/A</v>
      </c>
      <c r="GO123" s="162" t="str">
        <f t="shared" si="28"/>
        <v>#N/A</v>
      </c>
      <c r="GP123" s="159">
        <f>('Scénario référence'!$F$8+'Scénario référence'!$F$9+'Scénario référence'!$B$17+'Scénario référence'!$B$9+'Scénario référence'!$B$10)*70+IF((45+25*(1-EXP(-0.0175*A123)))&lt;70,'Scénario référence'!$B$16*(45+25*(1-EXP(-0.0175*A123))),70*'Scénario référence'!$B$16)+IF((32+38*(1-EXP(-0.0175*A123)))&lt;70,'Scénario référence'!$B$18*(32+38*(1-EXP(-0.0175*A123))),70*'Scénario référence'!$B$18)</f>
        <v>70</v>
      </c>
      <c r="GQ123" s="151">
        <f>IF(A123&gt;30,10,('Scénario référence'!$B$16+'Scénario référence'!$B$17+'Scénario référence'!$B$18+'Scénario référence'!$B$9+'Scénario référence'!$B$10)*A123*10/30+('Scénario référence'!$F$8+'Scénario référence'!$F$9)*10)</f>
        <v>10</v>
      </c>
      <c r="GR123" s="151" t="str">
        <f>VLOOKUP(A123,'Données projet'!$A$269:$I$289,2,0)</f>
        <v>#N/A</v>
      </c>
      <c r="GS123" s="151" t="str">
        <f>VLOOKUP(A123,'Données projet'!$A$269:$I$289,9,0)</f>
        <v>#N/A</v>
      </c>
      <c r="GT123" s="151" t="str">
        <f t="array" ref="GT123">INDEX(GS:GS,MIN(IF(ISNUMBER(GS123:GS319),ROW(GS123:GS319),"")))</f>
        <v/>
      </c>
      <c r="GU123" s="151">
        <f>IF('Données projet'!$A$270&gt;35,GU122+GT123-HC122,IF(A123&lt;'Données projet'!$A$270,$GR$205^A123,IF(A123='Données projet'!$A$270,'Données projet'!$B$270,GU122+GT123-HC122)))</f>
        <v>0</v>
      </c>
      <c r="GV123" s="158" t="str">
        <f>GU123*VLOOKUP('Données projet'!$B$18,'Paramètres'!$A$1:$I$88,3,0)*VLOOKUP('Données projet'!$B$18,'Paramètres'!$A$1:$I$88,5,0)</f>
        <v>#N/A</v>
      </c>
      <c r="GW123" s="150" t="str">
        <f t="shared" si="52"/>
        <v>#N/A</v>
      </c>
      <c r="GX123" s="161" t="str">
        <f t="shared" si="29"/>
        <v>#N/A</v>
      </c>
      <c r="GY123" s="153" t="str">
        <f t="shared" si="30"/>
        <v>#N/A</v>
      </c>
      <c r="GZ123" s="153" t="str">
        <f>AVERAGE(OFFSET($GY$3,0,0,'Données projet'!$E$18+1,1))-AVERAGE(OFFSET($H$3,0,0,'Données projet'!$E$18+1,1))</f>
        <v>#N/A</v>
      </c>
      <c r="HA123" s="153" t="str">
        <f t="shared" si="53"/>
        <v>#N/A</v>
      </c>
      <c r="HB123" s="154">
        <f>IF(ISNA(VLOOKUP(A123,'Données projet'!$A$269:$I$289,3,0)),0,VLOOKUP(A123,'Données projet'!$A$269:$I$289,3,0))</f>
        <v>0</v>
      </c>
      <c r="HC123" s="154">
        <f>IF(ISNA(VLOOKUP(A123,'Données projet'!$A$269:$I$289,4,0)),0,VLOOKUP(A123,'Données projet'!$A$269:$I$289,4,0))</f>
        <v>0</v>
      </c>
      <c r="HD123" s="155">
        <f>IF(ISNA(VLOOKUP(A123,'Données projet'!$A$269:$I$289,5,0)),0%,VLOOKUP(A123,'Données projet'!$A$269:$I$289,5,0)*VLOOKUP('Données projet'!$B$18,'Paramètres'!$A$1:$I$88,7,0))</f>
        <v>0</v>
      </c>
      <c r="HE123" s="155">
        <f>IF(ISNA(VLOOKUP(A123,'Données projet'!$A$269:$I$289,6,0)),0%,VLOOKUP(A123,'Données projet'!$A$269:$I$289,6,0)*VLOOKUP('Données projet'!$B$18,'Paramètres'!$A$1:$I$88,7,0))</f>
        <v>0</v>
      </c>
      <c r="HF123" s="155">
        <f>IF(ISNA(VLOOKUP(A123,'Données projet'!$A$269:$I$289,7,0)),0%,VLOOKUP(A123,'Données projet'!$A$269:$I$289,7,0))</f>
        <v>0</v>
      </c>
      <c r="HG123" s="162" t="str">
        <f>EXP(-LN(2)/35)*HG122+(1-EXP(-LN(2)/35))/(LN(2)/35)*HC123*HD123*VLOOKUP('Données projet'!$B$18,'Paramètres'!$A$1:$I$88,3,0)*0.475*44/12</f>
        <v>#N/A</v>
      </c>
      <c r="HH123" s="162" t="str">
        <f>EXP(-LN(2)/25)*HH122+(1-EXP(-LN(2)/25))/(LN(2)/25)*Calculateur!HC123*Calculateur!HE123*VLOOKUP('Données projet'!$B$18,'Paramètres'!$A$1:$I$88,3,0)*0.475*44/12</f>
        <v>#N/A</v>
      </c>
      <c r="HI123" s="162" t="str">
        <f>EXP(-LN(2)/2)*HI122+(1-EXP(-LN(2)/2))/(LN(2)/2)*HC123*HF123*VLOOKUP('Données projet'!$B$18,'Paramètres'!$A$1:$I$88,3,0)*0.475*44/12</f>
        <v>#N/A</v>
      </c>
      <c r="HJ123" s="163" t="str">
        <f t="shared" si="31"/>
        <v>#N/A</v>
      </c>
    </row>
    <row r="124" ht="15.75" customHeight="1">
      <c r="A124" s="145">
        <f t="shared" si="32"/>
        <v>121</v>
      </c>
      <c r="B124" s="146">
        <f>'Scénario référence'!$B$16*5+'Scénario référence'!$B$17*0+'Scénario référence'!$B$18*5</f>
        <v>0</v>
      </c>
      <c r="C124" s="160">
        <f>Calculateur!C123+'Scénario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24" s="147">
        <f t="shared" si="33"/>
        <v>0</v>
      </c>
      <c r="E124" s="147">
        <f>'Scénario référence'!$B$16*45+('Scénario référence'!$B$17+'Scénario référence'!$F$8+'Scénario référence'!$F$9+'Scénario référence'!$B$10+'Scénario référence'!$B$9)*70+'Scénario référence'!$B$18*32</f>
        <v>70</v>
      </c>
      <c r="F124" s="147">
        <f>IF(OR('Scénario référence'!$F$8&gt;0,'Scénario référence'!$F$9&gt;0),('Scénario référence'!$F$8+'Scénario référence'!$F$9)*10,0)</f>
        <v>0</v>
      </c>
      <c r="G124" s="147">
        <f>'Scénario référence'!$B$8*B124*44/12+'Scénario référence'!$B$9*(C124+D124)/0.475*44/12+'Scénario référence'!$B$10*(C124+D124)/0.475*44/12+'Scénario référence'!$F$8*(C124+D124)/0.475*44/12+'Scénario référence'!$F$9*(C124+D124)/0.475*44/12</f>
        <v>0</v>
      </c>
      <c r="H124" s="148">
        <f t="shared" si="1"/>
        <v>256.6666667</v>
      </c>
      <c r="I124" s="149">
        <f>('Scénario référence'!$F$8+'Scénario référence'!$F$9+'Scénario référence'!$B$17+'Scénario référence'!$B$9+'Scénario référence'!$B$10)*70+IF((45+25*(1-EXP(-0.0175*A124)))&lt;70,'Scénario référence'!$B$16*(45+25*(1-EXP(-0.0175*A124))),70*'Scénario référence'!$B$16)+IF((32+38*(1-EXP(-0.0175*A124)))&lt;70,'Scénario référence'!$B$18*(32+38*(1-EXP(-0.0175*A124))),70*'Scénario référence'!$B$18)</f>
        <v>70</v>
      </c>
      <c r="J124" s="150">
        <f>IF(A124&gt;30,10,('Scénario référence'!$B$16+'Scénario référence'!$B$17+'Scénario référence'!$B$18+'Scénario référence'!$B$9+'Scénario référence'!$B$10)*A124*10/30+('Scénario référence'!$F$8+'Scénario référence'!$F$9)*10)</f>
        <v>10</v>
      </c>
      <c r="K124" s="151" t="str">
        <f>VLOOKUP(A124,'Données projet'!$A$35:$I$55,2,0)</f>
        <v>#N/A</v>
      </c>
      <c r="L124" s="151" t="str">
        <f>VLOOKUP(A124,'Données projet'!$A$35:$I$55,9,0)</f>
        <v>#N/A</v>
      </c>
      <c r="M124" s="151" t="str">
        <f t="array" ref="M124">INDEX(L:L,MIN(IF(ISNUMBER(L124:L320),ROW(L124:L320),"")))</f>
        <v/>
      </c>
      <c r="N124" s="150">
        <f>IF('Données projet'!$A$36&gt;35,N123+M124-V123,IF(A124&lt;'Données projet'!$A$36,$K$205^A124,IF(A124='Données projet'!$A$36,'Données projet'!$B$36,N123+M124-V123)))</f>
        <v>307</v>
      </c>
      <c r="O124" s="150">
        <f>N124*VLOOKUP('Données projet'!$B$9,'Paramètres'!$A$1:$I$88,3,0)*VLOOKUP('Données projet'!$B$9,'Paramètres'!$A$1:$I$88,5,0)</f>
        <v>277.7736</v>
      </c>
      <c r="P124" s="150">
        <f t="shared" si="34"/>
        <v>66.49628818</v>
      </c>
      <c r="Q124" s="161">
        <f t="shared" si="2"/>
        <v>599.6033886</v>
      </c>
      <c r="R124" s="153">
        <f t="shared" si="3"/>
        <v>892.9367219</v>
      </c>
      <c r="S124" s="153">
        <f>AVERAGE(OFFSET($R$3,0,0,'Données projet'!$E$9+1,1))-AVERAGE(OFFSET($H$3,0,0,'Données projet'!$E$9+1,1))</f>
        <v>439.1985427</v>
      </c>
      <c r="T124" s="153">
        <f t="shared" si="35"/>
        <v>278.2174123</v>
      </c>
      <c r="U124" s="154">
        <f>IF(ISNA(VLOOKUP(A124,'Données projet'!$A$35:$I$55,3,0)),0,VLOOKUP(A124,'Données projet'!$A$35:$I$55,3,0))</f>
        <v>0</v>
      </c>
      <c r="V124" s="154">
        <f>IF(ISNA(VLOOKUP(A124,'Données projet'!$A$35:$I$55,4,0)),0,VLOOKUP(A124,'Données projet'!$A$35:$I$55,4,0))</f>
        <v>0</v>
      </c>
      <c r="W124" s="155">
        <f>IF(ISNA(VLOOKUP(A124,'Données projet'!$A$35:$I$55,5,0)),0%,VLOOKUP(A124,'Données projet'!$A$35:$I$55,5,0)*VLOOKUP('Données projet'!$B$9,'Paramètres'!$A$1:$I$88,7,0))</f>
        <v>0</v>
      </c>
      <c r="X124" s="155">
        <f>IF(ISNA(VLOOKUP(A124,'Données projet'!$A$35:$I$55,6,0)),0%,VLOOKUP(A124,'Données projet'!$A$35:$I$55,6,0)*VLOOKUP('Données projet'!$B$9,'Paramètres'!$A$1:$I$88,7,0))</f>
        <v>0</v>
      </c>
      <c r="Y124" s="155">
        <f>IF(ISNA(VLOOKUP(A124,'Données projet'!$A$35:$I$55,7,0)),0%,VLOOKUP(A124,'Données projet'!$A$35:$I$55,7,0))</f>
        <v>0</v>
      </c>
      <c r="Z124" s="162">
        <f>EXP(-LN(2)/35)*Z123+(1-EXP(-LN(2)/35))/(LN(2)/35)*V124*W124*VLOOKUP('Données projet'!$B$9,'Paramètres'!$A$1:$I$88,3,0)*0.475*44/12</f>
        <v>0</v>
      </c>
      <c r="AA124" s="162">
        <f>EXP(-LN(2)/25)*AA123+(1-EXP(-LN(2)/25))/(LN(2)/25)*Calculateur!V124*Calculateur!X124*VLOOKUP('Données projet'!$B$9,'Paramètres'!$A$1:$I$88,3,0)*0.475*44/12</f>
        <v>0.3599673366</v>
      </c>
      <c r="AB124" s="162">
        <f>EXP(-LN(2)/2)*AB123+(1-EXP(-LN(2)/2))/(LN(2)/2)*V124*Y124*VLOOKUP('Données projet'!$B$9,'Paramètres'!$A$1:$I$88,3,0)*0.475*44/12</f>
        <v>0</v>
      </c>
      <c r="AC124" s="163">
        <f t="shared" si="4"/>
        <v>0.3599673366</v>
      </c>
      <c r="AD124" s="150">
        <f>('Scénario référence'!$F$8+'Scénario référence'!$F$9+'Scénario référence'!$B$17+'Scénario référence'!$B$9+'Scénario référence'!$B$10)*70+IF((45+25*(1-EXP(-0.0175*A124)))&lt;70,'Scénario référence'!$B$16*(45+25*(1-EXP(-0.0175*A124))),70*'Scénario référence'!$B$16)+IF((32+38*(1-EXP(-0.0175*A124)))&lt;70,'Scénario référence'!$B$18*(32+38*(1-EXP(-0.0175*A124))),70*'Scénario référence'!$B$18)</f>
        <v>70</v>
      </c>
      <c r="AE124" s="150">
        <f>IF(A124&gt;30,10,('Scénario référence'!$B$16+'Scénario référence'!$B$17+'Scénario référence'!$B$18+'Scénario référence'!$B$9+'Scénario référence'!$B$10)*A124*10/30+('Scénario référence'!$F$8+'Scénario référence'!$F$9)*10)</f>
        <v>10</v>
      </c>
      <c r="AF124" s="151" t="str">
        <f>VLOOKUP(A124,'Données projet'!$A$61:$I$81,2,0)</f>
        <v>#N/A</v>
      </c>
      <c r="AG124" s="151" t="str">
        <f>VLOOKUP(A124,'Données projet'!$A$61:$I$81,9,0)</f>
        <v>#N/A</v>
      </c>
      <c r="AH124" s="151" t="str">
        <f t="array" ref="AH124">INDEX(AG:AG,MIN(IF(ISNUMBER(AG124:AG320),ROW(AG124:AG320),"")))</f>
        <v/>
      </c>
      <c r="AI124" s="150">
        <f>IF('Données projet'!$A$62&gt;35,AI123+AH124-AQ123,IF(A124&lt;'Données projet'!$A$62,$AF$205^A124,IF(A124='Données projet'!$A$62,'Données projet'!$B$62,AI123+AH124-AQ123)))</f>
        <v>369</v>
      </c>
      <c r="AJ124" s="150">
        <f>AI124*VLOOKUP('Données projet'!$B$10,'Paramètres'!$A$1:$I$88,3,0)*VLOOKUP('Données projet'!$B$10,'Paramètres'!$A$1:$I$88,5,0)</f>
        <v>293.5764</v>
      </c>
      <c r="AK124" s="150">
        <f t="shared" si="36"/>
        <v>69.82813851</v>
      </c>
      <c r="AL124" s="161">
        <f t="shared" si="5"/>
        <v>632.9295712</v>
      </c>
      <c r="AM124" s="153">
        <f t="shared" si="6"/>
        <v>926.2629046</v>
      </c>
      <c r="AN124" s="153">
        <f>AVERAGE(OFFSET($AM$3,0,0,'Données projet'!$E$10+1,1))-AVERAGE(OFFSET($H$3,0,0,'Données projet'!$E$10+1,1))</f>
        <v>405.6113614</v>
      </c>
      <c r="AO124" s="153">
        <f t="shared" si="37"/>
        <v>393.0787141</v>
      </c>
      <c r="AP124" s="154">
        <f>IF(ISNA(VLOOKUP(A124,'Données projet'!$A$61:$I$81,3,0)),0,VLOOKUP(A124,'Données projet'!$A$61:$I$81,3,0))</f>
        <v>0</v>
      </c>
      <c r="AQ124" s="154">
        <f>IF(ISNA(VLOOKUP(A124,'Données projet'!$A$61:$I$81,4,0)),0,VLOOKUP(A124,'Données projet'!$A$61:$I$81,4,0))</f>
        <v>0</v>
      </c>
      <c r="AR124" s="155">
        <f>IF(ISNA(VLOOKUP(A124,'Données projet'!$A$61:$I$81,5,0)),0%,VLOOKUP(A124,'Données projet'!$A$61:$I$81,5,0)*VLOOKUP('Données projet'!$B$10,'Paramètres'!$A$1:$I$88,7,0))</f>
        <v>0</v>
      </c>
      <c r="AS124" s="155">
        <f>IF(ISNA(VLOOKUP(A124,'Données projet'!$A$61:$I$81,6,0)),0%,VLOOKUP(A124,'Données projet'!$A$61:$I$81,6,0)*VLOOKUP('Données projet'!$B$10,'Paramètres'!$A$1:$I$88,7,0))</f>
        <v>0</v>
      </c>
      <c r="AT124" s="155">
        <f>IF(ISNA(VLOOKUP(A124,'Données projet'!$A$61:$I$81,7,0)),0%,VLOOKUP(A124,'Données projet'!$A$61:$I$81,7,0))</f>
        <v>0</v>
      </c>
      <c r="AU124" s="162">
        <f>EXP(-LN(2)/35)*AU123+(1-EXP(-LN(2)/35))/(LN(2)/35)*AQ124*AR124*VLOOKUP('Données projet'!$B$10,'Paramètres'!$A$1:$I$88,3,0)*0.475*44/12</f>
        <v>0</v>
      </c>
      <c r="AV124" s="162">
        <f>EXP(-LN(2)/25)*AV123+(1-EXP(-LN(2)/25))/(LN(2)/25)*Calculateur!AQ124*Calculateur!AS124*VLOOKUP('Données projet'!$B$10,'Paramètres'!$A$1:$I$88,3,0)*0.475*44/12</f>
        <v>1.462998763</v>
      </c>
      <c r="AW124" s="162">
        <f>EXP(-LN(2)/2)*AW123+(1-EXP(-LN(2)/2))/(LN(2)/2)*AQ124*AT124*VLOOKUP('Données projet'!$B$10,'Paramètres'!$A$1:$I$88,3,0)*0.475*44/12</f>
        <v>0</v>
      </c>
      <c r="AX124" s="162">
        <f t="shared" si="7"/>
        <v>1.462998763</v>
      </c>
      <c r="AY124" s="157">
        <f>('Scénario référence'!$F$8+'Scénario référence'!$F$9+'Scénario référence'!$B$17+'Scénario référence'!$B$9+'Scénario référence'!$B$10)*70+IF((45+25*(1-EXP(-0.0175*A124)))&lt;70,'Scénario référence'!$B$16*(45+25*(1-EXP(-0.0175*A124))),70*'Scénario référence'!$B$16)+IF((32+38*(1-EXP(-0.0175*A124)))&lt;70,'Scénario référence'!$B$18*(32+38*(1-EXP(-0.0175*A124))),70*'Scénario référence'!$B$18)</f>
        <v>70</v>
      </c>
      <c r="AZ124" s="151">
        <f>IF(A124&gt;30,10,('Scénario référence'!$B$16+'Scénario référence'!$B$17+'Scénario référence'!$B$18+'Scénario référence'!$B$9+'Scénario référence'!$B$10)*A124*10/30+('Scénario référence'!$F$8+'Scénario référence'!$F$9)*10)</f>
        <v>10</v>
      </c>
      <c r="BA124" s="151" t="str">
        <f>VLOOKUP(A124,'Données projet'!$A$87:$I$107,2,0)</f>
        <v>#N/A</v>
      </c>
      <c r="BB124" s="151" t="str">
        <f>VLOOKUP(A124,'Données projet'!$A$87:$I$107,9,0)</f>
        <v>#N/A</v>
      </c>
      <c r="BC124" s="151" t="str">
        <f t="array" ref="BC124">INDEX(BB:BB,MIN(IF(ISNUMBER(BB124:BB320),ROW(BB124:BB320),"")))</f>
        <v/>
      </c>
      <c r="BD124" s="150">
        <f>IF('Données projet'!$A$88&gt;35,BD123+BC124-BL123,IF(A124&lt;'Données projet'!$A$88,$BA$205^A124,IF(A124='Données projet'!$A$88,'Données projet'!$B$88,BD123+BC124-BL123)))</f>
        <v>0</v>
      </c>
      <c r="BE124" s="150">
        <f>BD124*VLOOKUP('Données projet'!$B$11,'Paramètres'!$A$1:$I$88,3,0)*VLOOKUP('Données projet'!$B$11,'Paramètres'!$A$1:$I$88,5,0)</f>
        <v>0</v>
      </c>
      <c r="BF124" s="150" t="str">
        <f t="shared" si="38"/>
        <v>#NUM!</v>
      </c>
      <c r="BG124" s="161" t="str">
        <f t="shared" si="8"/>
        <v>#NUM!</v>
      </c>
      <c r="BH124" s="153" t="str">
        <f t="shared" si="9"/>
        <v>#NUM!</v>
      </c>
      <c r="BI124" s="153">
        <f>AVERAGE(OFFSET($BH$3,0,0,'Données projet'!$E$11+1,1))-AVERAGE(OFFSET($H$3,0,0,'Données projet'!$E$11+1,1))</f>
        <v>0</v>
      </c>
      <c r="BJ124" s="153">
        <f t="shared" si="39"/>
        <v>0</v>
      </c>
      <c r="BK124" s="154">
        <f>IF(ISNA(VLOOKUP(A124,'Données projet'!$A$87:$I$107,3,0)),0,VLOOKUP(A124,'Données projet'!$A$87:$I$107,3,0))</f>
        <v>0</v>
      </c>
      <c r="BL124" s="154">
        <f>IF(ISNA(VLOOKUP(A124,'Données projet'!$A$87:$I$107,4,0)),0,VLOOKUP(A124,'Données projet'!$A$87:$I$107,4,0))</f>
        <v>0</v>
      </c>
      <c r="BM124" s="155">
        <f>IF(ISNA(VLOOKUP(A124,'Données projet'!$A$87:$I$107,5,0)),0%,VLOOKUP(A124,'Données projet'!$A$87:$I$107,5,0)*VLOOKUP('Données projet'!$B$11,'Paramètres'!$A$1:$I$88,7,0))</f>
        <v>0</v>
      </c>
      <c r="BN124" s="155">
        <f>IF(ISNA(VLOOKUP(A124,'Données projet'!$A$87:$I$107,6,0)),0%,VLOOKUP(A124,'Données projet'!$A$87:$I$107,6,0)*VLOOKUP('Données projet'!$B$11,'Paramètres'!$A$1:$I$88,7,0))</f>
        <v>0</v>
      </c>
      <c r="BO124" s="155">
        <f>IF(ISNA(VLOOKUP(A124,'Données projet'!$A$87:$I$107,7,0)),0%,VLOOKUP(A124,'Données projet'!$A$87:$I$107,7,0))</f>
        <v>0</v>
      </c>
      <c r="BP124" s="162">
        <f>EXP(-LN(2)/35)*BP123+(1-EXP(-LN(2)/35))/(LN(2)/35)*BL124*BM124*VLOOKUP('Données projet'!$B$11,'Paramètres'!$A$1:$I$88,3,0)*0.475*44/12</f>
        <v>0</v>
      </c>
      <c r="BQ124" s="162">
        <f>EXP(-LN(2)/25)*BQ123+(1-EXP(-LN(2)/25))/(LN(2)/25)*Calculateur!BL124*Calculateur!BN124*VLOOKUP('Données projet'!$B$11,'Paramètres'!$A$1:$I$88,3,0)*0.475*44/12</f>
        <v>0</v>
      </c>
      <c r="BR124" s="162">
        <f>EXP(-LN(2)/2)*BR123+(1-EXP(-LN(2)/2))/(LN(2)/2)*BL124*BO124*VLOOKUP('Données projet'!$B$11,'Paramètres'!$A$1:$I$88,3,0)*0.475*44/12</f>
        <v>0</v>
      </c>
      <c r="BS124" s="163">
        <f t="shared" si="10"/>
        <v>0</v>
      </c>
      <c r="BT124" s="159">
        <f>('Scénario référence'!$F$8+'Scénario référence'!$F$9+'Scénario référence'!$B$17+'Scénario référence'!$B$9+'Scénario référence'!$B$10)*70+IF((45+25*(1-EXP(-0.0175*A124)))&lt;70,'Scénario référence'!$B$16*(45+25*(1-EXP(-0.0175*A124))),70*'Scénario référence'!$B$16)+IF((32+38*(1-EXP(-0.0175*A124)))&lt;70,'Scénario référence'!$B$18*(32+38*(1-EXP(-0.0175*A124))),70*'Scénario référence'!$B$18)</f>
        <v>70</v>
      </c>
      <c r="BU124" s="151">
        <f>IF(A124&gt;30,10,('Scénario référence'!$B$16+'Scénario référence'!$B$17+'Scénario référence'!$B$18+'Scénario référence'!$B$9+'Scénario référence'!$B$10)*A124*10/30+('Scénario référence'!$F$8+'Scénario référence'!$F$9)*10)</f>
        <v>10</v>
      </c>
      <c r="BV124" s="151" t="str">
        <f>VLOOKUP(A124,'Données projet'!$A$113:$I$133,2,0)</f>
        <v>#N/A</v>
      </c>
      <c r="BW124" s="151" t="str">
        <f>VLOOKUP(A124,'Données projet'!$A$113:$I$133,9,0)</f>
        <v>#N/A</v>
      </c>
      <c r="BX124" s="151" t="str">
        <f t="array" ref="BX124">INDEX(BW:BW,MIN(IF(ISNUMBER(BW124:BW320),ROW(BW124:BW320),"")))</f>
        <v/>
      </c>
      <c r="BY124" s="150">
        <f>IF('Données projet'!$A$114&gt;35,BY123+BX124-CG123,IF(A124&lt;'Données projet'!$A$114,$BV$205^A124,IF(A124='Données projet'!$A$114,'Données projet'!$B$114,BY123+BX124-CG123)))</f>
        <v>0</v>
      </c>
      <c r="BZ124" s="150" t="str">
        <f>BY124*VLOOKUP('Données projet'!$B$12,'Paramètres'!$A$1:$I$88,3,0)*VLOOKUP('Données projet'!$B$12,'Paramètres'!$A$1:$I$88,5,0)</f>
        <v>#N/A</v>
      </c>
      <c r="CA124" s="150" t="str">
        <f t="shared" si="40"/>
        <v>#N/A</v>
      </c>
      <c r="CB124" s="161" t="str">
        <f t="shared" si="11"/>
        <v>#N/A</v>
      </c>
      <c r="CC124" s="153" t="str">
        <f t="shared" si="12"/>
        <v>#N/A</v>
      </c>
      <c r="CD124" s="153" t="str">
        <f>AVERAGE(OFFSET($CC$3,0,0,'Données projet'!$E$12+1,1))-AVERAGE(OFFSET($H$3,0,0,'Données projet'!$E$12+1,1))</f>
        <v>#N/A</v>
      </c>
      <c r="CE124" s="153" t="str">
        <f t="shared" si="41"/>
        <v>#N/A</v>
      </c>
      <c r="CF124" s="154">
        <f>IF(ISNA(VLOOKUP(A124,'Données projet'!$A$113:$I$133,3,0)),0,VLOOKUP(A124,'Données projet'!$A$113:$I$133,3,0))</f>
        <v>0</v>
      </c>
      <c r="CG124" s="154">
        <f>IF(ISNA(VLOOKUP(A124,'Données projet'!$A$113:$I$133,4,0)),0,VLOOKUP(A124,'Données projet'!$A$113:$I$133,4,0))</f>
        <v>0</v>
      </c>
      <c r="CH124" s="155">
        <f>IF(ISNA(VLOOKUP(A124,'Données projet'!$A$113:$I$133,5,0)),0%,VLOOKUP(A124,'Données projet'!$A$113:$I$133,5,0)*VLOOKUP('Données projet'!$B$12,'Paramètres'!$A$1:$I$88,7,0))</f>
        <v>0</v>
      </c>
      <c r="CI124" s="155">
        <f>IF(ISNA(VLOOKUP(A124,'Données projet'!$A$113:$I$133,6,0)),0%,VLOOKUP(A124,'Données projet'!$A$113:$I$133,6,0)*VLOOKUP('Données projet'!$B$12,'Paramètres'!$A$1:$I$88,7,0))</f>
        <v>0</v>
      </c>
      <c r="CJ124" s="155">
        <f>IF(ISNA(VLOOKUP(A124,'Données projet'!$A$113:$I$133,7,0)),0%,VLOOKUP(A124,'Données projet'!$A$113:$I$133,7,0))</f>
        <v>0</v>
      </c>
      <c r="CK124" s="162" t="str">
        <f>EXP(-LN(2)/35)*CK123+(1-EXP(-LN(2)/35))/(LN(2)/35)*CG124*CH124*VLOOKUP('Données projet'!$B$12,'Paramètres'!$A$1:$I$88,3,0)*0.475*44/12</f>
        <v>#N/A</v>
      </c>
      <c r="CL124" s="162" t="str">
        <f>EXP(-LN(2)/25)*CL123+(1-EXP(-LN(2)/25))/(LN(2)/25)*Calculateur!CG124*Calculateur!CI124*VLOOKUP('Données projet'!$B$12,'Paramètres'!$A$1:$I$88,3,0)*0.475*44/12</f>
        <v>#N/A</v>
      </c>
      <c r="CM124" s="162" t="str">
        <f>EXP(-LN(2)/2)*CM123+(1-EXP(-LN(2)/2))/(LN(2)/2)*CG124*CJ124*VLOOKUP('Données projet'!$B$12,'Paramètres'!$A$1:$I$88,3,0)*0.475*44/12</f>
        <v>#N/A</v>
      </c>
      <c r="CN124" s="163" t="str">
        <f t="shared" si="13"/>
        <v>#N/A</v>
      </c>
      <c r="CO124" s="159">
        <f>('Scénario référence'!$F$8+'Scénario référence'!$F$9+'Scénario référence'!$B$17+'Scénario référence'!$B$9+'Scénario référence'!$B$10)*70+IF((45+25*(1-EXP(-0.0175*A124)))&lt;70,'Scénario référence'!$B$16*(45+25*(1-EXP(-0.0175*A124))),70*'Scénario référence'!$B$16)+IF((32+38*(1-EXP(-0.0175*A124)))&lt;70,'Scénario référence'!$B$18*(32+38*(1-EXP(-0.0175*A124))),70*'Scénario référence'!$B$18)</f>
        <v>70</v>
      </c>
      <c r="CP124" s="151">
        <f>IF(A124&gt;30,10,('Scénario référence'!$B$16+'Scénario référence'!$B$17+'Scénario référence'!$B$18+'Scénario référence'!$B$9+'Scénario référence'!$B$10)*A124*10/30+('Scénario référence'!$F$8+'Scénario référence'!$F$9)*10)</f>
        <v>10</v>
      </c>
      <c r="CQ124" s="151" t="str">
        <f>VLOOKUP(A124,'Données projet'!$A$139:$I$159,2,0)</f>
        <v>#N/A</v>
      </c>
      <c r="CR124" s="151" t="str">
        <f>VLOOKUP(A124,'Données projet'!$A$139:$I$159,9,0)</f>
        <v>#N/A</v>
      </c>
      <c r="CS124" s="151" t="str">
        <f t="array" ref="CS124">INDEX(CR:CR,MIN(IF(ISNUMBER(CR124:CR320),ROW(CR124:CR320),"")))</f>
        <v/>
      </c>
      <c r="CT124" s="151">
        <f>IF('Données projet'!$A$140&gt;35,CT123+CS124-DB123,IF(A124&lt;'Données projet'!$A$140,$CQ$205^A124,IF(A124='Données projet'!$A$140,'Données projet'!$B$140,CT123+CS124-DB123)))</f>
        <v>0</v>
      </c>
      <c r="CU124" s="158" t="str">
        <f>CT124*VLOOKUP('Données projet'!$B$13,'Paramètres'!$A$1:$I$88,3,0)*VLOOKUP('Données projet'!$B$13,'Paramètres'!$A$1:$I$88,5,0)</f>
        <v>#N/A</v>
      </c>
      <c r="CV124" s="150" t="str">
        <f t="shared" si="42"/>
        <v>#N/A</v>
      </c>
      <c r="CW124" s="161" t="str">
        <f t="shared" si="14"/>
        <v>#N/A</v>
      </c>
      <c r="CX124" s="153" t="str">
        <f t="shared" si="15"/>
        <v>#N/A</v>
      </c>
      <c r="CY124" s="153" t="str">
        <f>AVERAGE(OFFSET($CX$3,0,0,'Données projet'!$E$13+1,1))-AVERAGE(OFFSET($H$3,0,0,'Données projet'!$E$13+1,1))</f>
        <v>#N/A</v>
      </c>
      <c r="CZ124" s="153" t="str">
        <f t="shared" si="43"/>
        <v>#N/A</v>
      </c>
      <c r="DA124" s="154">
        <f>IF(ISNA(VLOOKUP(A124,'Données projet'!$A$139:$I$159,3,0)),0,VLOOKUP(A124,'Données projet'!$A$139:$I$159,3,0))</f>
        <v>0</v>
      </c>
      <c r="DB124" s="154">
        <f>IF(ISNA(VLOOKUP(A124,'Données projet'!$A$139:$I$159,4,0)),0,VLOOKUP(A124,'Données projet'!$A$139:$I$159,4,0))</f>
        <v>0</v>
      </c>
      <c r="DC124" s="155">
        <f>IF(ISNA(VLOOKUP(A124,'Données projet'!$A$139:$I$159,5,0)),0%,VLOOKUP(A124,'Données projet'!$A$139:$I$159,5,0)*VLOOKUP('Données projet'!$B$13,'Paramètres'!$A$1:$I$88,7,0))</f>
        <v>0</v>
      </c>
      <c r="DD124" s="155">
        <f>IF(ISNA(VLOOKUP(A124,'Données projet'!$A$139:$I$159,6,0)),0%,VLOOKUP(A124,'Données projet'!$A$139:$I$159,6,0)*VLOOKUP('Données projet'!$B$13,'Paramètres'!$A$1:$I$88,7,0))</f>
        <v>0</v>
      </c>
      <c r="DE124" s="155">
        <f>IF(ISNA(VLOOKUP(A124,'Données projet'!$A$139:$I$159,7,0)),0%,VLOOKUP(A124,'Données projet'!$A$139:$I$159,7,0))</f>
        <v>0</v>
      </c>
      <c r="DF124" s="162" t="str">
        <f>EXP(-LN(2)/35)*DF123+(1-EXP(-LN(2)/35))/(LN(2)/35)*DB124*DC124*VLOOKUP('Données projet'!$B$13,'Paramètres'!$A$1:$I$88,3,0)*0.475*44/12</f>
        <v>#N/A</v>
      </c>
      <c r="DG124" s="162" t="str">
        <f>EXP(-LN(2)/25)*DG123+(1-EXP(-LN(2)/25))/(LN(2)/25)*Calculateur!DB124*Calculateur!DD124*VLOOKUP('Données projet'!$B$13,'Paramètres'!$A$1:$I$88,3,0)*0.475*44/12</f>
        <v>#N/A</v>
      </c>
      <c r="DH124" s="162" t="str">
        <f>EXP(-LN(2)/2)*DH123+(1-EXP(-LN(2)/2))/(LN(2)/2)*DB124*DE124*VLOOKUP('Données projet'!$B$13,'Paramètres'!$A$1:$I$88,3,0)*0.475*44/12</f>
        <v>#N/A</v>
      </c>
      <c r="DI124" s="163" t="str">
        <f t="shared" si="16"/>
        <v>#N/A</v>
      </c>
      <c r="DJ124" s="159">
        <f>('Scénario référence'!$F$8+'Scénario référence'!$F$9+'Scénario référence'!$B$17+'Scénario référence'!$B$9+'Scénario référence'!$B$10)*70+IF((45+25*(1-EXP(-0.0175*A124)))&lt;70,'Scénario référence'!$B$16*(45+25*(1-EXP(-0.0175*A124))),70*'Scénario référence'!$B$16)+IF((32+38*(1-EXP(-0.0175*A124)))&lt;70,'Scénario référence'!$B$18*(32+38*(1-EXP(-0.0175*A124))),70*'Scénario référence'!$B$18)</f>
        <v>70</v>
      </c>
      <c r="DK124" s="151">
        <f>IF(A124&gt;30,10,('Scénario référence'!$B$16+'Scénario référence'!$B$17+'Scénario référence'!$B$18+'Scénario référence'!$B$9+'Scénario référence'!$B$10)*A124*10/30+('Scénario référence'!$F$8+'Scénario référence'!$F$9)*10)</f>
        <v>10</v>
      </c>
      <c r="DL124" s="151" t="str">
        <f>VLOOKUP(A124,'Données projet'!$A$165:$I$185,2,0)</f>
        <v>#N/A</v>
      </c>
      <c r="DM124" s="151" t="str">
        <f>VLOOKUP(A124,'Données projet'!$A$165:$I$185,9,0)</f>
        <v>#N/A</v>
      </c>
      <c r="DN124" s="151" t="str">
        <f t="array" ref="DN124">INDEX(DM:DM,MIN(IF(ISNUMBER(DM124:DM320),ROW(DM124:DM320),"")))</f>
        <v/>
      </c>
      <c r="DO124" s="151">
        <f>IF('Données projet'!$A$166&gt;35,DO123+DN124-DW123,IF(A124&lt;'Données projet'!$A$166,$DL$205^A124,IF(A124='Données projet'!$A$166,'Données projet'!$B$166,DO123+DN124-DW123)))</f>
        <v>0</v>
      </c>
      <c r="DP124" s="158" t="str">
        <f>DO124*VLOOKUP('Données projet'!$B$14,'Paramètres'!$A$1:$I$88,3,0)*VLOOKUP('Données projet'!$B$14,'Paramètres'!$A$1:$I$88,5,0)</f>
        <v>#N/A</v>
      </c>
      <c r="DQ124" s="150" t="str">
        <f t="shared" si="44"/>
        <v>#N/A</v>
      </c>
      <c r="DR124" s="161" t="str">
        <f t="shared" si="17"/>
        <v>#N/A</v>
      </c>
      <c r="DS124" s="153" t="str">
        <f t="shared" si="18"/>
        <v>#N/A</v>
      </c>
      <c r="DT124" s="153" t="str">
        <f>AVERAGE(OFFSET($DS$3,0,0,'Données projet'!$E$14+1,1))-AVERAGE(OFFSET($H$3,0,0,'Données projet'!$E$14+1,1))</f>
        <v>#N/A</v>
      </c>
      <c r="DU124" s="153" t="str">
        <f t="shared" si="45"/>
        <v>#N/A</v>
      </c>
      <c r="DV124" s="154">
        <f>IF(ISNA(VLOOKUP(A124,'Données projet'!$A$165:$I$185,3,0)),0,VLOOKUP(A124,'Données projet'!$A$165:$I$185,3,0))</f>
        <v>0</v>
      </c>
      <c r="DW124" s="154">
        <f>IF(ISNA(VLOOKUP(A124,'Données projet'!$A$165:$I$185,4,0)),0,VLOOKUP(A124,'Données projet'!$A$165:$I$185,4,0))</f>
        <v>0</v>
      </c>
      <c r="DX124" s="155">
        <f>IF(ISNA(VLOOKUP(A124,'Données projet'!$A$165:$I$185,5,0)),0%,VLOOKUP(A124,'Données projet'!$A$165:$I$185,5,0)*VLOOKUP('Données projet'!$B$14,'Paramètres'!$A$1:$I$88,7,0))</f>
        <v>0</v>
      </c>
      <c r="DY124" s="155">
        <f>IF(ISNA(VLOOKUP(A124,'Données projet'!$A$165:$I$185,6,0)),0%,VLOOKUP(A124,'Données projet'!$A$165:$I$185,6,0)*VLOOKUP('Données projet'!$B$14,'Paramètres'!$A$1:$I$88,7,0))</f>
        <v>0</v>
      </c>
      <c r="DZ124" s="155">
        <f>IF(ISNA(VLOOKUP(A124,'Données projet'!$A$165:$I$185,7,0)),0%,VLOOKUP(A124,'Données projet'!$A$165:$I$185,7,0))</f>
        <v>0</v>
      </c>
      <c r="EA124" s="162" t="str">
        <f>EXP(-LN(2)/35)*EA123+(1-EXP(-LN(2)/35))/(LN(2)/35)*DW124*DX124*VLOOKUP('Données projet'!$B$14,'Paramètres'!$A$1:$I$88,3,0)*0.475*44/12</f>
        <v>#N/A</v>
      </c>
      <c r="EB124" s="162" t="str">
        <f>EXP(-LN(2)/25)*EB123+(1-EXP(-LN(2)/25))/(LN(2)/25)*Calculateur!DW124*Calculateur!DY124*VLOOKUP('Données projet'!$B$14,'Paramètres'!$A$1:$I$88,3,0)*0.475*44/12</f>
        <v>#N/A</v>
      </c>
      <c r="EC124" s="162" t="str">
        <f>EXP(-LN(2)/2)*EC123+(1-EXP(-LN(2)/2))/(LN(2)/2)*DW124*DZ124*VLOOKUP('Données projet'!$B$14,'Paramètres'!$A$1:$I$88,3,0)*0.475*44/12</f>
        <v>#N/A</v>
      </c>
      <c r="ED124" s="163" t="str">
        <f t="shared" si="19"/>
        <v>#N/A</v>
      </c>
      <c r="EE124" s="159">
        <f>('Scénario référence'!$F$8+'Scénario référence'!$F$9+'Scénario référence'!$B$17+'Scénario référence'!$B$9+'Scénario référence'!$B$10)*70+IF((45+25*(1-EXP(-0.0175*A124)))&lt;70,'Scénario référence'!$B$16*(45+25*(1-EXP(-0.0175*A124))),70*'Scénario référence'!$B$16)+IF((32+38*(1-EXP(-0.0175*A124)))&lt;70,'Scénario référence'!$B$18*(32+38*(1-EXP(-0.0175*A124))),70*'Scénario référence'!$B$18)</f>
        <v>70</v>
      </c>
      <c r="EF124" s="151">
        <f>IF(A124&gt;30,10,('Scénario référence'!$B$16+'Scénario référence'!$B$17+'Scénario référence'!$B$18+'Scénario référence'!$B$9+'Scénario référence'!$B$10)*A124*10/30+('Scénario référence'!$F$8+'Scénario référence'!$F$9)*10)</f>
        <v>10</v>
      </c>
      <c r="EG124" s="151" t="str">
        <f>VLOOKUP(A124,'Données projet'!$A$191:$I$211,2,0)</f>
        <v>#N/A</v>
      </c>
      <c r="EH124" s="151" t="str">
        <f>VLOOKUP(A124,'Données projet'!$A$191:$I$211,9,0)</f>
        <v>#N/A</v>
      </c>
      <c r="EI124" s="151" t="str">
        <f t="array" ref="EI124">INDEX(EH:EH,MIN(IF(ISNUMBER(EH124:EH320),ROW(EH124:EH320),"")))</f>
        <v/>
      </c>
      <c r="EJ124" s="151">
        <f>IF('Données projet'!$A$192&gt;35,EJ123+EI124-ER123,IF(A124&lt;'Données projet'!$A$192,$EG$205^A124,IF(A124='Données projet'!$A$192,'Données projet'!$B$192,EJ123+EI124-ER123)))</f>
        <v>0</v>
      </c>
      <c r="EK124" s="158" t="str">
        <f>EJ124*VLOOKUP('Données projet'!$B$15,'Paramètres'!$A$1:$I$88,3,0)*VLOOKUP('Données projet'!$B$15,'Paramètres'!$A$1:$I$88,5,0)</f>
        <v>#N/A</v>
      </c>
      <c r="EL124" s="150" t="str">
        <f t="shared" si="46"/>
        <v>#N/A</v>
      </c>
      <c r="EM124" s="161" t="str">
        <f t="shared" si="20"/>
        <v>#N/A</v>
      </c>
      <c r="EN124" s="153" t="str">
        <f t="shared" si="21"/>
        <v>#N/A</v>
      </c>
      <c r="EO124" s="153" t="str">
        <f>AVERAGE(OFFSET($EN$3,0,0,'Données projet'!$E$15+1,1))-AVERAGE(OFFSET($H$3,0,0,'Données projet'!$E$15+1,1))</f>
        <v>#N/A</v>
      </c>
      <c r="EP124" s="153" t="str">
        <f t="shared" si="47"/>
        <v>#N/A</v>
      </c>
      <c r="EQ124" s="154">
        <f>IF(ISNA(VLOOKUP(A124,'Données projet'!$A$191:$I$211,3,0)),0,VLOOKUP(A124,'Données projet'!$A$191:$I$211,3,0))</f>
        <v>0</v>
      </c>
      <c r="ER124" s="154">
        <f>IF(ISNA(VLOOKUP(A124,'Données projet'!$A$191:$I$211,4,0)),0,VLOOKUP(A124,'Données projet'!$A$191:$I$211,4,0))</f>
        <v>0</v>
      </c>
      <c r="ES124" s="155">
        <f>IF(ISNA(VLOOKUP(A124,'Données projet'!$A$191:$I$211,5,0)),0%,VLOOKUP(A124,'Données projet'!$A$191:$I$211,5,0)*VLOOKUP('Données projet'!$B$15,'Paramètres'!$A$1:$I$88,7,0))</f>
        <v>0</v>
      </c>
      <c r="ET124" s="155">
        <f>IF(ISNA(VLOOKUP(A124,'Données projet'!$A$191:$I$211,6,0)),0%,VLOOKUP(A124,'Données projet'!$A$191:$I$211,6,0)*VLOOKUP('Données projet'!$B$15,'Paramètres'!$A$1:$I$88,7,0))</f>
        <v>0</v>
      </c>
      <c r="EU124" s="155">
        <f>IF(ISNA(VLOOKUP(A124,'Données projet'!$A$191:$I$211,7,0)),0%,VLOOKUP(A124,'Données projet'!$A$191:$I$211,7,0))</f>
        <v>0</v>
      </c>
      <c r="EV124" s="162" t="str">
        <f>EXP(-LN(2)/35)*EV123+(1-EXP(-LN(2)/35))/(LN(2)/35)*ER124*ES124*VLOOKUP('Données projet'!$B$15,'Paramètres'!$A$1:$I$88,3,0)*0.475*44/12</f>
        <v>#N/A</v>
      </c>
      <c r="EW124" s="162" t="str">
        <f>EXP(-LN(2)/25)*EW123+(1-EXP(-LN(2)/25))/(LN(2)/25)*Calculateur!ER124*Calculateur!ET124*VLOOKUP('Données projet'!$B$15,'Paramètres'!$A$1:$I$88,3,0)*0.475*44/12</f>
        <v>#N/A</v>
      </c>
      <c r="EX124" s="162" t="str">
        <f>EXP(-LN(2)/2)*EX123+(1-EXP(-LN(2)/2))/(LN(2)/2)*ER124*EU124*VLOOKUP('Données projet'!$B$15,'Paramètres'!$A$1:$I$88,3,0)*0.475*44/12</f>
        <v>#N/A</v>
      </c>
      <c r="EY124" s="163" t="str">
        <f t="shared" si="22"/>
        <v>#N/A</v>
      </c>
      <c r="EZ124" s="159">
        <f>('Scénario référence'!$F$8+'Scénario référence'!$F$9+'Scénario référence'!$B$17+'Scénario référence'!$B$9+'Scénario référence'!$B$10)*70+IF((45+25*(1-EXP(-0.0175*A124)))&lt;70,'Scénario référence'!$B$16*(45+25*(1-EXP(-0.0175*A124))),70*'Scénario référence'!$B$16)+IF((32+38*(1-EXP(-0.0175*A124)))&lt;70,'Scénario référence'!$B$18*(32+38*(1-EXP(-0.0175*A124))),70*'Scénario référence'!$B$18)</f>
        <v>70</v>
      </c>
      <c r="FA124" s="151">
        <f>IF(A124&gt;30,10,('Scénario référence'!$B$16+'Scénario référence'!$B$17+'Scénario référence'!$B$18+'Scénario référence'!$B$9+'Scénario référence'!$B$10)*A124*10/30+('Scénario référence'!$F$8+'Scénario référence'!$F$9)*10)</f>
        <v>10</v>
      </c>
      <c r="FB124" s="151" t="str">
        <f>VLOOKUP(A124,'Données projet'!$A$217:$I$237,2,0)</f>
        <v>#N/A</v>
      </c>
      <c r="FC124" s="151" t="str">
        <f>VLOOKUP(A124,'Données projet'!$A$217:$I$237,9,0)</f>
        <v>#N/A</v>
      </c>
      <c r="FD124" s="151" t="str">
        <f t="array" ref="FD124">INDEX(FC:FC,MIN(IF(ISNUMBER(FC124:FC320),ROW(FC124:FC320),"")))</f>
        <v/>
      </c>
      <c r="FE124" s="151">
        <f>IF('Données projet'!$A$218&gt;35,FE123+FD124-FM123,IF(A124&lt;'Données projet'!$A$218,$FB$205^A124,IF(A124='Données projet'!$A$218,'Données projet'!$B$218,FE123+FD124-FM123)))</f>
        <v>0</v>
      </c>
      <c r="FF124" s="158" t="str">
        <f>FE124*VLOOKUP('Données projet'!$B$16,'Paramètres'!$A$1:$I$88,3,0)*VLOOKUP('Données projet'!$B$16,'Paramètres'!$A$1:$I$88,5,0)</f>
        <v>#N/A</v>
      </c>
      <c r="FG124" s="150" t="str">
        <f t="shared" si="48"/>
        <v>#N/A</v>
      </c>
      <c r="FH124" s="161" t="str">
        <f t="shared" si="23"/>
        <v>#N/A</v>
      </c>
      <c r="FI124" s="153" t="str">
        <f t="shared" si="24"/>
        <v>#N/A</v>
      </c>
      <c r="FJ124" s="153" t="str">
        <f>AVERAGE(OFFSET($FI$3,0,0,'Données projet'!$E$16+1,1))-AVERAGE(OFFSET($H$3,0,0,'Données projet'!$E$16+1,1))</f>
        <v>#N/A</v>
      </c>
      <c r="FK124" s="153" t="str">
        <f t="shared" si="49"/>
        <v>#N/A</v>
      </c>
      <c r="FL124" s="154">
        <f>IF(ISNA(VLOOKUP(A124,'Données projet'!$A$217:$I$237,3,0)),0,VLOOKUP(A124,'Données projet'!$A$217:$I$237,3,0))</f>
        <v>0</v>
      </c>
      <c r="FM124" s="154">
        <f>IF(ISNA(VLOOKUP(A124,'Données projet'!$A$217:$I$237,4,0)),0,VLOOKUP(A124,'Données projet'!$A$217:$I$237,4,0))</f>
        <v>0</v>
      </c>
      <c r="FN124" s="155">
        <f>IF(ISNA(VLOOKUP(A124,'Données projet'!$A$217:$I$237,5,0)),0%,VLOOKUP(A124,'Données projet'!$A$217:$I$237,5,0)*VLOOKUP('Données projet'!$B$16,'Paramètres'!$A$1:$I$88,7,0))</f>
        <v>0</v>
      </c>
      <c r="FO124" s="155">
        <f>IF(ISNA(VLOOKUP(A124,'Données projet'!$A$217:$I$237,6,0)),0%,VLOOKUP(A124,'Données projet'!$A$217:$I$237,6,0)*VLOOKUP('Données projet'!$B$16,'Paramètres'!$A$1:$I$88,7,0))</f>
        <v>0</v>
      </c>
      <c r="FP124" s="155">
        <f>IF(ISNA(VLOOKUP(A124,'Données projet'!$A$217:$I$237,7,0)),0%,VLOOKUP(A124,'Données projet'!$A$217:$I$237,7,0))</f>
        <v>0</v>
      </c>
      <c r="FQ124" s="162" t="str">
        <f>EXP(-LN(2)/35)*FQ123+(1-EXP(-LN(2)/35))/(LN(2)/35)*FM124*FN124*VLOOKUP('Données projet'!$B$16,'Paramètres'!$A$1:$I$88,3,0)*0.475*44/12</f>
        <v>#N/A</v>
      </c>
      <c r="FR124" s="162" t="str">
        <f>EXP(-LN(2)/25)*FR123+(1-EXP(-LN(2)/25))/(LN(2)/25)*Calculateur!FM124*Calculateur!FO124*VLOOKUP('Données projet'!$B$16,'Paramètres'!$A$1:$I$88,3,0)*0.475*44/12</f>
        <v>#N/A</v>
      </c>
      <c r="FS124" s="162" t="str">
        <f>EXP(-LN(2)/2)*FS123+(1-EXP(-LN(2)/2))/(LN(2)/2)*FM124*FP124*VLOOKUP('Données projet'!$B$16,'Paramètres'!$A$1:$I$88,3,0)*0.475*44/12</f>
        <v>#N/A</v>
      </c>
      <c r="FT124" s="163" t="str">
        <f t="shared" si="25"/>
        <v>#N/A</v>
      </c>
      <c r="FU124" s="159">
        <f>('Scénario référence'!$F$8+'Scénario référence'!$F$9+'Scénario référence'!$B$17+'Scénario référence'!$B$9+'Scénario référence'!$B$10)*70+IF((45+25*(1-EXP(-0.0175*A124)))&lt;70,'Scénario référence'!$B$16*(45+25*(1-EXP(-0.0175*A124))),70*'Scénario référence'!$B$16)+IF((32+38*(1-EXP(-0.0175*A124)))&lt;70,'Scénario référence'!$B$18*(32+38*(1-EXP(-0.0175*A124))),70*'Scénario référence'!$B$18)</f>
        <v>70</v>
      </c>
      <c r="FV124" s="151">
        <f>IF(A124&gt;30,10,('Scénario référence'!$B$16+'Scénario référence'!$B$17+'Scénario référence'!$B$18+'Scénario référence'!$B$9+'Scénario référence'!$B$10)*A124*10/30+('Scénario référence'!$F$8+'Scénario référence'!$F$9)*10)</f>
        <v>10</v>
      </c>
      <c r="FW124" s="151" t="str">
        <f>VLOOKUP(A124,'Données projet'!$A$243:$I$263,2,0)</f>
        <v>#N/A</v>
      </c>
      <c r="FX124" s="151" t="str">
        <f>VLOOKUP(A124,'Données projet'!$A$243:$I$263,9,0)</f>
        <v>#N/A</v>
      </c>
      <c r="FY124" s="151" t="str">
        <f t="array" ref="FY124">INDEX(FX:FX,MIN(IF(ISNUMBER(FX124:FX320),ROW(FX124:FX320),"")))</f>
        <v/>
      </c>
      <c r="FZ124" s="151">
        <f>IF('Données projet'!$A$244&gt;35,FZ123+FY124-GH123,IF(A124&lt;'Données projet'!$A$244,$FW$205^A124,IF(A124='Données projet'!$A$244,'Données projet'!$B$244,FZ123+FY124-GH123)))</f>
        <v>0</v>
      </c>
      <c r="GA124" s="158" t="str">
        <f>FZ124*VLOOKUP('Données projet'!$B$17,'Paramètres'!$A$1:$I$88,3,0)*VLOOKUP('Données projet'!$B$17,'Paramètres'!$A$1:$I$88,5,0)</f>
        <v>#N/A</v>
      </c>
      <c r="GB124" s="150" t="str">
        <f t="shared" si="50"/>
        <v>#N/A</v>
      </c>
      <c r="GC124" s="161" t="str">
        <f t="shared" si="26"/>
        <v>#N/A</v>
      </c>
      <c r="GD124" s="153" t="str">
        <f t="shared" si="27"/>
        <v>#N/A</v>
      </c>
      <c r="GE124" s="153" t="str">
        <f>AVERAGE(OFFSET($GD$3,0,0,'Données projet'!$E$17+1,1))-AVERAGE(OFFSET($H$3,0,0,'Données projet'!$E$17+1,1))</f>
        <v>#N/A</v>
      </c>
      <c r="GF124" s="153" t="str">
        <f t="shared" si="51"/>
        <v>#N/A</v>
      </c>
      <c r="GG124" s="154">
        <f>IF(ISNA(VLOOKUP(A124,'Données projet'!$A$243:$I$263,3,0)),0,VLOOKUP(A124,'Données projet'!$A$243:$I$263,3,0))</f>
        <v>0</v>
      </c>
      <c r="GH124" s="154">
        <f>IF(ISNA(VLOOKUP(A124,'Données projet'!$A$243:$I$263,4,0)),0,VLOOKUP(A124,'Données projet'!$A$243:$I$263,4,0))</f>
        <v>0</v>
      </c>
      <c r="GI124" s="155">
        <f>IF(ISNA(VLOOKUP(A124,'Données projet'!$A$243:$I$263,5,0)),0%,VLOOKUP(A124,'Données projet'!$A$243:$I$263,5,0)*VLOOKUP('Données projet'!$B$17,'Paramètres'!$A$1:$I$88,7,0))</f>
        <v>0</v>
      </c>
      <c r="GJ124" s="155">
        <f>IF(ISNA(VLOOKUP(A124,'Données projet'!$A$243:$I$263,6,0)),0%,VLOOKUP(A124,'Données projet'!$A$243:$I$263,6,0)*VLOOKUP('Données projet'!$B$17,'Paramètres'!$A$1:$I$88,7,0))</f>
        <v>0</v>
      </c>
      <c r="GK124" s="155">
        <f>IF(ISNA(VLOOKUP(A124,'Données projet'!$A$243:$I$263,7,0)),0%,VLOOKUP(A124,'Données projet'!$A$243:$I$263,7,0))</f>
        <v>0</v>
      </c>
      <c r="GL124" s="162" t="str">
        <f>EXP(-LN(2)/35)*GL123+(1-EXP(-LN(2)/35))/(LN(2)/35)*GH124*GI124*VLOOKUP('Données projet'!$B$17,'Paramètres'!$A$1:$I$88,3,0)*0.475*44/12</f>
        <v>#N/A</v>
      </c>
      <c r="GM124" s="162" t="str">
        <f>EXP(-LN(2)/25)*GM123+(1-EXP(-LN(2)/25))/(LN(2)/25)*Calculateur!GH124*Calculateur!GJ124*VLOOKUP('Données projet'!$B$17,'Paramètres'!$A$1:$I$88,3,0)*0.475*44/12</f>
        <v>#N/A</v>
      </c>
      <c r="GN124" s="162" t="str">
        <f>EXP(-LN(2)/2)*GN123+(1-EXP(-LN(2)/2))/(LN(2)/2)*GH124*GK124*VLOOKUP('Données projet'!$B$17,'Paramètres'!$A$1:$I$88,3,0)*0.475*44/12</f>
        <v>#N/A</v>
      </c>
      <c r="GO124" s="162" t="str">
        <f t="shared" si="28"/>
        <v>#N/A</v>
      </c>
      <c r="GP124" s="159">
        <f>('Scénario référence'!$F$8+'Scénario référence'!$F$9+'Scénario référence'!$B$17+'Scénario référence'!$B$9+'Scénario référence'!$B$10)*70+IF((45+25*(1-EXP(-0.0175*A124)))&lt;70,'Scénario référence'!$B$16*(45+25*(1-EXP(-0.0175*A124))),70*'Scénario référence'!$B$16)+IF((32+38*(1-EXP(-0.0175*A124)))&lt;70,'Scénario référence'!$B$18*(32+38*(1-EXP(-0.0175*A124))),70*'Scénario référence'!$B$18)</f>
        <v>70</v>
      </c>
      <c r="GQ124" s="151">
        <f>IF(A124&gt;30,10,('Scénario référence'!$B$16+'Scénario référence'!$B$17+'Scénario référence'!$B$18+'Scénario référence'!$B$9+'Scénario référence'!$B$10)*A124*10/30+('Scénario référence'!$F$8+'Scénario référence'!$F$9)*10)</f>
        <v>10</v>
      </c>
      <c r="GR124" s="151" t="str">
        <f>VLOOKUP(A124,'Données projet'!$A$269:$I$289,2,0)</f>
        <v>#N/A</v>
      </c>
      <c r="GS124" s="151" t="str">
        <f>VLOOKUP(A124,'Données projet'!$A$269:$I$289,9,0)</f>
        <v>#N/A</v>
      </c>
      <c r="GT124" s="151" t="str">
        <f t="array" ref="GT124">INDEX(GS:GS,MIN(IF(ISNUMBER(GS124:GS320),ROW(GS124:GS320),"")))</f>
        <v/>
      </c>
      <c r="GU124" s="151">
        <f>IF('Données projet'!$A$270&gt;35,GU123+GT124-HC123,IF(A124&lt;'Données projet'!$A$270,$GR$205^A124,IF(A124='Données projet'!$A$270,'Données projet'!$B$270,GU123+GT124-HC123)))</f>
        <v>0</v>
      </c>
      <c r="GV124" s="158" t="str">
        <f>GU124*VLOOKUP('Données projet'!$B$18,'Paramètres'!$A$1:$I$88,3,0)*VLOOKUP('Données projet'!$B$18,'Paramètres'!$A$1:$I$88,5,0)</f>
        <v>#N/A</v>
      </c>
      <c r="GW124" s="150" t="str">
        <f t="shared" si="52"/>
        <v>#N/A</v>
      </c>
      <c r="GX124" s="161" t="str">
        <f t="shared" si="29"/>
        <v>#N/A</v>
      </c>
      <c r="GY124" s="153" t="str">
        <f t="shared" si="30"/>
        <v>#N/A</v>
      </c>
      <c r="GZ124" s="153" t="str">
        <f>AVERAGE(OFFSET($GY$3,0,0,'Données projet'!$E$18+1,1))-AVERAGE(OFFSET($H$3,0,0,'Données projet'!$E$18+1,1))</f>
        <v>#N/A</v>
      </c>
      <c r="HA124" s="153" t="str">
        <f t="shared" si="53"/>
        <v>#N/A</v>
      </c>
      <c r="HB124" s="154">
        <f>IF(ISNA(VLOOKUP(A124,'Données projet'!$A$269:$I$289,3,0)),0,VLOOKUP(A124,'Données projet'!$A$269:$I$289,3,0))</f>
        <v>0</v>
      </c>
      <c r="HC124" s="154">
        <f>IF(ISNA(VLOOKUP(A124,'Données projet'!$A$269:$I$289,4,0)),0,VLOOKUP(A124,'Données projet'!$A$269:$I$289,4,0))</f>
        <v>0</v>
      </c>
      <c r="HD124" s="155">
        <f>IF(ISNA(VLOOKUP(A124,'Données projet'!$A$269:$I$289,5,0)),0%,VLOOKUP(A124,'Données projet'!$A$269:$I$289,5,0)*VLOOKUP('Données projet'!$B$18,'Paramètres'!$A$1:$I$88,7,0))</f>
        <v>0</v>
      </c>
      <c r="HE124" s="155">
        <f>IF(ISNA(VLOOKUP(A124,'Données projet'!$A$269:$I$289,6,0)),0%,VLOOKUP(A124,'Données projet'!$A$269:$I$289,6,0)*VLOOKUP('Données projet'!$B$18,'Paramètres'!$A$1:$I$88,7,0))</f>
        <v>0</v>
      </c>
      <c r="HF124" s="155">
        <f>IF(ISNA(VLOOKUP(A124,'Données projet'!$A$269:$I$289,7,0)),0%,VLOOKUP(A124,'Données projet'!$A$269:$I$289,7,0))</f>
        <v>0</v>
      </c>
      <c r="HG124" s="162" t="str">
        <f>EXP(-LN(2)/35)*HG123+(1-EXP(-LN(2)/35))/(LN(2)/35)*HC124*HD124*VLOOKUP('Données projet'!$B$18,'Paramètres'!$A$1:$I$88,3,0)*0.475*44/12</f>
        <v>#N/A</v>
      </c>
      <c r="HH124" s="162" t="str">
        <f>EXP(-LN(2)/25)*HH123+(1-EXP(-LN(2)/25))/(LN(2)/25)*Calculateur!HC124*Calculateur!HE124*VLOOKUP('Données projet'!$B$18,'Paramètres'!$A$1:$I$88,3,0)*0.475*44/12</f>
        <v>#N/A</v>
      </c>
      <c r="HI124" s="162" t="str">
        <f>EXP(-LN(2)/2)*HI123+(1-EXP(-LN(2)/2))/(LN(2)/2)*HC124*HF124*VLOOKUP('Données projet'!$B$18,'Paramètres'!$A$1:$I$88,3,0)*0.475*44/12</f>
        <v>#N/A</v>
      </c>
      <c r="HJ124" s="163" t="str">
        <f t="shared" si="31"/>
        <v>#N/A</v>
      </c>
    </row>
    <row r="125" ht="15.75" customHeight="1">
      <c r="A125" s="145">
        <f t="shared" si="32"/>
        <v>122</v>
      </c>
      <c r="B125" s="146">
        <f>'Scénario référence'!$B$16*5+'Scénario référence'!$B$17*0+'Scénario référence'!$B$18*5</f>
        <v>0</v>
      </c>
      <c r="C125" s="160">
        <f>Calculateur!C124+'Scénario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25" s="147">
        <f t="shared" si="33"/>
        <v>0</v>
      </c>
      <c r="E125" s="147">
        <f>'Scénario référence'!$B$16*45+('Scénario référence'!$B$17+'Scénario référence'!$F$8+'Scénario référence'!$F$9+'Scénario référence'!$B$10+'Scénario référence'!$B$9)*70+'Scénario référence'!$B$18*32</f>
        <v>70</v>
      </c>
      <c r="F125" s="147">
        <f>IF(OR('Scénario référence'!$F$8&gt;0,'Scénario référence'!$F$9&gt;0),('Scénario référence'!$F$8+'Scénario référence'!$F$9)*10,0)</f>
        <v>0</v>
      </c>
      <c r="G125" s="147">
        <f>'Scénario référence'!$B$8*B125*44/12+'Scénario référence'!$B$9*(C125+D125)/0.475*44/12+'Scénario référence'!$B$10*(C125+D125)/0.475*44/12+'Scénario référence'!$F$8*(C125+D125)/0.475*44/12+'Scénario référence'!$F$9*(C125+D125)/0.475*44/12</f>
        <v>0</v>
      </c>
      <c r="H125" s="148">
        <f t="shared" si="1"/>
        <v>256.6666667</v>
      </c>
      <c r="I125" s="149">
        <f>('Scénario référence'!$F$8+'Scénario référence'!$F$9+'Scénario référence'!$B$17+'Scénario référence'!$B$9+'Scénario référence'!$B$10)*70+IF((45+25*(1-EXP(-0.0175*A125)))&lt;70,'Scénario référence'!$B$16*(45+25*(1-EXP(-0.0175*A125))),70*'Scénario référence'!$B$16)+IF((32+38*(1-EXP(-0.0175*A125)))&lt;70,'Scénario référence'!$B$18*(32+38*(1-EXP(-0.0175*A125))),70*'Scénario référence'!$B$18)</f>
        <v>70</v>
      </c>
      <c r="J125" s="150">
        <f>IF(A125&gt;30,10,('Scénario référence'!$B$16+'Scénario référence'!$B$17+'Scénario référence'!$B$18+'Scénario référence'!$B$9+'Scénario référence'!$B$10)*A125*10/30+('Scénario référence'!$F$8+'Scénario référence'!$F$9)*10)</f>
        <v>10</v>
      </c>
      <c r="K125" s="151" t="str">
        <f>VLOOKUP(A125,'Données projet'!$A$35:$I$55,2,0)</f>
        <v>#N/A</v>
      </c>
      <c r="L125" s="151" t="str">
        <f>VLOOKUP(A125,'Données projet'!$A$35:$I$55,9,0)</f>
        <v>#N/A</v>
      </c>
      <c r="M125" s="151" t="str">
        <f t="array" ref="M125">INDEX(L:L,MIN(IF(ISNUMBER(L125:L321),ROW(L125:L321),"")))</f>
        <v/>
      </c>
      <c r="N125" s="150">
        <f>IF('Données projet'!$A$36&gt;35,N124+M125-V124,IF(A125&lt;'Données projet'!$A$36,$K$205^A125,IF(A125='Données projet'!$A$36,'Données projet'!$B$36,N124+M125-V124)))</f>
        <v>307</v>
      </c>
      <c r="O125" s="150">
        <f>N125*VLOOKUP('Données projet'!$B$9,'Paramètres'!$A$1:$I$88,3,0)*VLOOKUP('Données projet'!$B$9,'Paramètres'!$A$1:$I$88,5,0)</f>
        <v>277.7736</v>
      </c>
      <c r="P125" s="150">
        <f t="shared" si="34"/>
        <v>66.49628818</v>
      </c>
      <c r="Q125" s="161">
        <f t="shared" si="2"/>
        <v>599.6033886</v>
      </c>
      <c r="R125" s="153">
        <f t="shared" si="3"/>
        <v>892.9367219</v>
      </c>
      <c r="S125" s="153">
        <f>AVERAGE(OFFSET($R$3,0,0,'Données projet'!$E$9+1,1))-AVERAGE(OFFSET($H$3,0,0,'Données projet'!$E$9+1,1))</f>
        <v>439.1985427</v>
      </c>
      <c r="T125" s="153">
        <f t="shared" si="35"/>
        <v>278.2174123</v>
      </c>
      <c r="U125" s="154">
        <f>IF(ISNA(VLOOKUP(A125,'Données projet'!$A$35:$I$55,3,0)),0,VLOOKUP(A125,'Données projet'!$A$35:$I$55,3,0))</f>
        <v>0</v>
      </c>
      <c r="V125" s="154">
        <f>IF(ISNA(VLOOKUP(A125,'Données projet'!$A$35:$I$55,4,0)),0,VLOOKUP(A125,'Données projet'!$A$35:$I$55,4,0))</f>
        <v>0</v>
      </c>
      <c r="W125" s="155">
        <f>IF(ISNA(VLOOKUP(A125,'Données projet'!$A$35:$I$55,5,0)),0%,VLOOKUP(A125,'Données projet'!$A$35:$I$55,5,0)*VLOOKUP('Données projet'!$B$9,'Paramètres'!$A$1:$I$88,7,0))</f>
        <v>0</v>
      </c>
      <c r="X125" s="155">
        <f>IF(ISNA(VLOOKUP(A125,'Données projet'!$A$35:$I$55,6,0)),0%,VLOOKUP(A125,'Données projet'!$A$35:$I$55,6,0)*VLOOKUP('Données projet'!$B$9,'Paramètres'!$A$1:$I$88,7,0))</f>
        <v>0</v>
      </c>
      <c r="Y125" s="155">
        <f>IF(ISNA(VLOOKUP(A125,'Données projet'!$A$35:$I$55,7,0)),0%,VLOOKUP(A125,'Données projet'!$A$35:$I$55,7,0))</f>
        <v>0</v>
      </c>
      <c r="Z125" s="162">
        <f>EXP(-LN(2)/35)*Z124+(1-EXP(-LN(2)/35))/(LN(2)/35)*V125*W125*VLOOKUP('Données projet'!$B$9,'Paramètres'!$A$1:$I$88,3,0)*0.475*44/12</f>
        <v>0</v>
      </c>
      <c r="AA125" s="162">
        <f>EXP(-LN(2)/25)*AA124+(1-EXP(-LN(2)/25))/(LN(2)/25)*Calculateur!V125*Calculateur!X125*VLOOKUP('Données projet'!$B$9,'Paramètres'!$A$1:$I$88,3,0)*0.475*44/12</f>
        <v>0.3501240109</v>
      </c>
      <c r="AB125" s="162">
        <f>EXP(-LN(2)/2)*AB124+(1-EXP(-LN(2)/2))/(LN(2)/2)*V125*Y125*VLOOKUP('Données projet'!$B$9,'Paramètres'!$A$1:$I$88,3,0)*0.475*44/12</f>
        <v>0</v>
      </c>
      <c r="AC125" s="163">
        <f t="shared" si="4"/>
        <v>0.3501240109</v>
      </c>
      <c r="AD125" s="150">
        <f>('Scénario référence'!$F$8+'Scénario référence'!$F$9+'Scénario référence'!$B$17+'Scénario référence'!$B$9+'Scénario référence'!$B$10)*70+IF((45+25*(1-EXP(-0.0175*A125)))&lt;70,'Scénario référence'!$B$16*(45+25*(1-EXP(-0.0175*A125))),70*'Scénario référence'!$B$16)+IF((32+38*(1-EXP(-0.0175*A125)))&lt;70,'Scénario référence'!$B$18*(32+38*(1-EXP(-0.0175*A125))),70*'Scénario référence'!$B$18)</f>
        <v>70</v>
      </c>
      <c r="AE125" s="150">
        <f>IF(A125&gt;30,10,('Scénario référence'!$B$16+'Scénario référence'!$B$17+'Scénario référence'!$B$18+'Scénario référence'!$B$9+'Scénario référence'!$B$10)*A125*10/30+('Scénario référence'!$F$8+'Scénario référence'!$F$9)*10)</f>
        <v>10</v>
      </c>
      <c r="AF125" s="151" t="str">
        <f>VLOOKUP(A125,'Données projet'!$A$61:$I$81,2,0)</f>
        <v>#N/A</v>
      </c>
      <c r="AG125" s="151" t="str">
        <f>VLOOKUP(A125,'Données projet'!$A$61:$I$81,9,0)</f>
        <v>#N/A</v>
      </c>
      <c r="AH125" s="151" t="str">
        <f t="array" ref="AH125">INDEX(AG:AG,MIN(IF(ISNUMBER(AG125:AG321),ROW(AG125:AG321),"")))</f>
        <v/>
      </c>
      <c r="AI125" s="150">
        <f>IF('Données projet'!$A$62&gt;35,AI124+AH125-AQ124,IF(A125&lt;'Données projet'!$A$62,$AF$205^A125,IF(A125='Données projet'!$A$62,'Données projet'!$B$62,AI124+AH125-AQ124)))</f>
        <v>369</v>
      </c>
      <c r="AJ125" s="150">
        <f>AI125*VLOOKUP('Données projet'!$B$10,'Paramètres'!$A$1:$I$88,3,0)*VLOOKUP('Données projet'!$B$10,'Paramètres'!$A$1:$I$88,5,0)</f>
        <v>293.5764</v>
      </c>
      <c r="AK125" s="150">
        <f t="shared" si="36"/>
        <v>69.82813851</v>
      </c>
      <c r="AL125" s="161">
        <f t="shared" si="5"/>
        <v>632.9295712</v>
      </c>
      <c r="AM125" s="153">
        <f t="shared" si="6"/>
        <v>926.2629046</v>
      </c>
      <c r="AN125" s="153">
        <f>AVERAGE(OFFSET($AM$3,0,0,'Données projet'!$E$10+1,1))-AVERAGE(OFFSET($H$3,0,0,'Données projet'!$E$10+1,1))</f>
        <v>405.6113614</v>
      </c>
      <c r="AO125" s="153">
        <f t="shared" si="37"/>
        <v>393.0787141</v>
      </c>
      <c r="AP125" s="154">
        <f>IF(ISNA(VLOOKUP(A125,'Données projet'!$A$61:$I$81,3,0)),0,VLOOKUP(A125,'Données projet'!$A$61:$I$81,3,0))</f>
        <v>0</v>
      </c>
      <c r="AQ125" s="154">
        <f>IF(ISNA(VLOOKUP(A125,'Données projet'!$A$61:$I$81,4,0)),0,VLOOKUP(A125,'Données projet'!$A$61:$I$81,4,0))</f>
        <v>0</v>
      </c>
      <c r="AR125" s="155">
        <f>IF(ISNA(VLOOKUP(A125,'Données projet'!$A$61:$I$81,5,0)),0%,VLOOKUP(A125,'Données projet'!$A$61:$I$81,5,0)*VLOOKUP('Données projet'!$B$10,'Paramètres'!$A$1:$I$88,7,0))</f>
        <v>0</v>
      </c>
      <c r="AS125" s="155">
        <f>IF(ISNA(VLOOKUP(A125,'Données projet'!$A$61:$I$81,6,0)),0%,VLOOKUP(A125,'Données projet'!$A$61:$I$81,6,0)*VLOOKUP('Données projet'!$B$10,'Paramètres'!$A$1:$I$88,7,0))</f>
        <v>0</v>
      </c>
      <c r="AT125" s="155">
        <f>IF(ISNA(VLOOKUP(A125,'Données projet'!$A$61:$I$81,7,0)),0%,VLOOKUP(A125,'Données projet'!$A$61:$I$81,7,0))</f>
        <v>0</v>
      </c>
      <c r="AU125" s="162">
        <f>EXP(-LN(2)/35)*AU124+(1-EXP(-LN(2)/35))/(LN(2)/35)*AQ125*AR125*VLOOKUP('Données projet'!$B$10,'Paramètres'!$A$1:$I$88,3,0)*0.475*44/12</f>
        <v>0</v>
      </c>
      <c r="AV125" s="162">
        <f>EXP(-LN(2)/25)*AV124+(1-EXP(-LN(2)/25))/(LN(2)/25)*Calculateur!AQ125*Calculateur!AS125*VLOOKUP('Données projet'!$B$10,'Paramètres'!$A$1:$I$88,3,0)*0.475*44/12</f>
        <v>1.422992985</v>
      </c>
      <c r="AW125" s="162">
        <f>EXP(-LN(2)/2)*AW124+(1-EXP(-LN(2)/2))/(LN(2)/2)*AQ125*AT125*VLOOKUP('Données projet'!$B$10,'Paramètres'!$A$1:$I$88,3,0)*0.475*44/12</f>
        <v>0</v>
      </c>
      <c r="AX125" s="162">
        <f t="shared" si="7"/>
        <v>1.422992985</v>
      </c>
      <c r="AY125" s="157">
        <f>('Scénario référence'!$F$8+'Scénario référence'!$F$9+'Scénario référence'!$B$17+'Scénario référence'!$B$9+'Scénario référence'!$B$10)*70+IF((45+25*(1-EXP(-0.0175*A125)))&lt;70,'Scénario référence'!$B$16*(45+25*(1-EXP(-0.0175*A125))),70*'Scénario référence'!$B$16)+IF((32+38*(1-EXP(-0.0175*A125)))&lt;70,'Scénario référence'!$B$18*(32+38*(1-EXP(-0.0175*A125))),70*'Scénario référence'!$B$18)</f>
        <v>70</v>
      </c>
      <c r="AZ125" s="151">
        <f>IF(A125&gt;30,10,('Scénario référence'!$B$16+'Scénario référence'!$B$17+'Scénario référence'!$B$18+'Scénario référence'!$B$9+'Scénario référence'!$B$10)*A125*10/30+('Scénario référence'!$F$8+'Scénario référence'!$F$9)*10)</f>
        <v>10</v>
      </c>
      <c r="BA125" s="151" t="str">
        <f>VLOOKUP(A125,'Données projet'!$A$87:$I$107,2,0)</f>
        <v>#N/A</v>
      </c>
      <c r="BB125" s="151" t="str">
        <f>VLOOKUP(A125,'Données projet'!$A$87:$I$107,9,0)</f>
        <v>#N/A</v>
      </c>
      <c r="BC125" s="151" t="str">
        <f t="array" ref="BC125">INDEX(BB:BB,MIN(IF(ISNUMBER(BB125:BB321),ROW(BB125:BB321),"")))</f>
        <v/>
      </c>
      <c r="BD125" s="150">
        <f>IF('Données projet'!$A$88&gt;35,BD124+BC125-BL124,IF(A125&lt;'Données projet'!$A$88,$BA$205^A125,IF(A125='Données projet'!$A$88,'Données projet'!$B$88,BD124+BC125-BL124)))</f>
        <v>0</v>
      </c>
      <c r="BE125" s="150">
        <f>BD125*VLOOKUP('Données projet'!$B$11,'Paramètres'!$A$1:$I$88,3,0)*VLOOKUP('Données projet'!$B$11,'Paramètres'!$A$1:$I$88,5,0)</f>
        <v>0</v>
      </c>
      <c r="BF125" s="150" t="str">
        <f t="shared" si="38"/>
        <v>#NUM!</v>
      </c>
      <c r="BG125" s="161" t="str">
        <f t="shared" si="8"/>
        <v>#NUM!</v>
      </c>
      <c r="BH125" s="153" t="str">
        <f t="shared" si="9"/>
        <v>#NUM!</v>
      </c>
      <c r="BI125" s="153">
        <f>AVERAGE(OFFSET($BH$3,0,0,'Données projet'!$E$11+1,1))-AVERAGE(OFFSET($H$3,0,0,'Données projet'!$E$11+1,1))</f>
        <v>0</v>
      </c>
      <c r="BJ125" s="153">
        <f t="shared" si="39"/>
        <v>0</v>
      </c>
      <c r="BK125" s="154">
        <f>IF(ISNA(VLOOKUP(A125,'Données projet'!$A$87:$I$107,3,0)),0,VLOOKUP(A125,'Données projet'!$A$87:$I$107,3,0))</f>
        <v>0</v>
      </c>
      <c r="BL125" s="154">
        <f>IF(ISNA(VLOOKUP(A125,'Données projet'!$A$87:$I$107,4,0)),0,VLOOKUP(A125,'Données projet'!$A$87:$I$107,4,0))</f>
        <v>0</v>
      </c>
      <c r="BM125" s="155">
        <f>IF(ISNA(VLOOKUP(A125,'Données projet'!$A$87:$I$107,5,0)),0%,VLOOKUP(A125,'Données projet'!$A$87:$I$107,5,0)*VLOOKUP('Données projet'!$B$11,'Paramètres'!$A$1:$I$88,7,0))</f>
        <v>0</v>
      </c>
      <c r="BN125" s="155">
        <f>IF(ISNA(VLOOKUP(A125,'Données projet'!$A$87:$I$107,6,0)),0%,VLOOKUP(A125,'Données projet'!$A$87:$I$107,6,0)*VLOOKUP('Données projet'!$B$11,'Paramètres'!$A$1:$I$88,7,0))</f>
        <v>0</v>
      </c>
      <c r="BO125" s="155">
        <f>IF(ISNA(VLOOKUP(A125,'Données projet'!$A$87:$I$107,7,0)),0%,VLOOKUP(A125,'Données projet'!$A$87:$I$107,7,0))</f>
        <v>0</v>
      </c>
      <c r="BP125" s="162">
        <f>EXP(-LN(2)/35)*BP124+(1-EXP(-LN(2)/35))/(LN(2)/35)*BL125*BM125*VLOOKUP('Données projet'!$B$11,'Paramètres'!$A$1:$I$88,3,0)*0.475*44/12</f>
        <v>0</v>
      </c>
      <c r="BQ125" s="162">
        <f>EXP(-LN(2)/25)*BQ124+(1-EXP(-LN(2)/25))/(LN(2)/25)*Calculateur!BL125*Calculateur!BN125*VLOOKUP('Données projet'!$B$11,'Paramètres'!$A$1:$I$88,3,0)*0.475*44/12</f>
        <v>0</v>
      </c>
      <c r="BR125" s="162">
        <f>EXP(-LN(2)/2)*BR124+(1-EXP(-LN(2)/2))/(LN(2)/2)*BL125*BO125*VLOOKUP('Données projet'!$B$11,'Paramètres'!$A$1:$I$88,3,0)*0.475*44/12</f>
        <v>0</v>
      </c>
      <c r="BS125" s="163">
        <f t="shared" si="10"/>
        <v>0</v>
      </c>
      <c r="BT125" s="159">
        <f>('Scénario référence'!$F$8+'Scénario référence'!$F$9+'Scénario référence'!$B$17+'Scénario référence'!$B$9+'Scénario référence'!$B$10)*70+IF((45+25*(1-EXP(-0.0175*A125)))&lt;70,'Scénario référence'!$B$16*(45+25*(1-EXP(-0.0175*A125))),70*'Scénario référence'!$B$16)+IF((32+38*(1-EXP(-0.0175*A125)))&lt;70,'Scénario référence'!$B$18*(32+38*(1-EXP(-0.0175*A125))),70*'Scénario référence'!$B$18)</f>
        <v>70</v>
      </c>
      <c r="BU125" s="151">
        <f>IF(A125&gt;30,10,('Scénario référence'!$B$16+'Scénario référence'!$B$17+'Scénario référence'!$B$18+'Scénario référence'!$B$9+'Scénario référence'!$B$10)*A125*10/30+('Scénario référence'!$F$8+'Scénario référence'!$F$9)*10)</f>
        <v>10</v>
      </c>
      <c r="BV125" s="151" t="str">
        <f>VLOOKUP(A125,'Données projet'!$A$113:$I$133,2,0)</f>
        <v>#N/A</v>
      </c>
      <c r="BW125" s="151" t="str">
        <f>VLOOKUP(A125,'Données projet'!$A$113:$I$133,9,0)</f>
        <v>#N/A</v>
      </c>
      <c r="BX125" s="151" t="str">
        <f t="array" ref="BX125">INDEX(BW:BW,MIN(IF(ISNUMBER(BW125:BW321),ROW(BW125:BW321),"")))</f>
        <v/>
      </c>
      <c r="BY125" s="150">
        <f>IF('Données projet'!$A$114&gt;35,BY124+BX125-CG124,IF(A125&lt;'Données projet'!$A$114,$BV$205^A125,IF(A125='Données projet'!$A$114,'Données projet'!$B$114,BY124+BX125-CG124)))</f>
        <v>0</v>
      </c>
      <c r="BZ125" s="150" t="str">
        <f>BY125*VLOOKUP('Données projet'!$B$12,'Paramètres'!$A$1:$I$88,3,0)*VLOOKUP('Données projet'!$B$12,'Paramètres'!$A$1:$I$88,5,0)</f>
        <v>#N/A</v>
      </c>
      <c r="CA125" s="150" t="str">
        <f t="shared" si="40"/>
        <v>#N/A</v>
      </c>
      <c r="CB125" s="161" t="str">
        <f t="shared" si="11"/>
        <v>#N/A</v>
      </c>
      <c r="CC125" s="153" t="str">
        <f t="shared" si="12"/>
        <v>#N/A</v>
      </c>
      <c r="CD125" s="153" t="str">
        <f>AVERAGE(OFFSET($CC$3,0,0,'Données projet'!$E$12+1,1))-AVERAGE(OFFSET($H$3,0,0,'Données projet'!$E$12+1,1))</f>
        <v>#N/A</v>
      </c>
      <c r="CE125" s="153" t="str">
        <f t="shared" si="41"/>
        <v>#N/A</v>
      </c>
      <c r="CF125" s="154">
        <f>IF(ISNA(VLOOKUP(A125,'Données projet'!$A$113:$I$133,3,0)),0,VLOOKUP(A125,'Données projet'!$A$113:$I$133,3,0))</f>
        <v>0</v>
      </c>
      <c r="CG125" s="154">
        <f>IF(ISNA(VLOOKUP(A125,'Données projet'!$A$113:$I$133,4,0)),0,VLOOKUP(A125,'Données projet'!$A$113:$I$133,4,0))</f>
        <v>0</v>
      </c>
      <c r="CH125" s="155">
        <f>IF(ISNA(VLOOKUP(A125,'Données projet'!$A$113:$I$133,5,0)),0%,VLOOKUP(A125,'Données projet'!$A$113:$I$133,5,0)*VLOOKUP('Données projet'!$B$12,'Paramètres'!$A$1:$I$88,7,0))</f>
        <v>0</v>
      </c>
      <c r="CI125" s="155">
        <f>IF(ISNA(VLOOKUP(A125,'Données projet'!$A$113:$I$133,6,0)),0%,VLOOKUP(A125,'Données projet'!$A$113:$I$133,6,0)*VLOOKUP('Données projet'!$B$12,'Paramètres'!$A$1:$I$88,7,0))</f>
        <v>0</v>
      </c>
      <c r="CJ125" s="155">
        <f>IF(ISNA(VLOOKUP(A125,'Données projet'!$A$113:$I$133,7,0)),0%,VLOOKUP(A125,'Données projet'!$A$113:$I$133,7,0))</f>
        <v>0</v>
      </c>
      <c r="CK125" s="162" t="str">
        <f>EXP(-LN(2)/35)*CK124+(1-EXP(-LN(2)/35))/(LN(2)/35)*CG125*CH125*VLOOKUP('Données projet'!$B$12,'Paramètres'!$A$1:$I$88,3,0)*0.475*44/12</f>
        <v>#N/A</v>
      </c>
      <c r="CL125" s="162" t="str">
        <f>EXP(-LN(2)/25)*CL124+(1-EXP(-LN(2)/25))/(LN(2)/25)*Calculateur!CG125*Calculateur!CI125*VLOOKUP('Données projet'!$B$12,'Paramètres'!$A$1:$I$88,3,0)*0.475*44/12</f>
        <v>#N/A</v>
      </c>
      <c r="CM125" s="162" t="str">
        <f>EXP(-LN(2)/2)*CM124+(1-EXP(-LN(2)/2))/(LN(2)/2)*CG125*CJ125*VLOOKUP('Données projet'!$B$12,'Paramètres'!$A$1:$I$88,3,0)*0.475*44/12</f>
        <v>#N/A</v>
      </c>
      <c r="CN125" s="163" t="str">
        <f t="shared" si="13"/>
        <v>#N/A</v>
      </c>
      <c r="CO125" s="159">
        <f>('Scénario référence'!$F$8+'Scénario référence'!$F$9+'Scénario référence'!$B$17+'Scénario référence'!$B$9+'Scénario référence'!$B$10)*70+IF((45+25*(1-EXP(-0.0175*A125)))&lt;70,'Scénario référence'!$B$16*(45+25*(1-EXP(-0.0175*A125))),70*'Scénario référence'!$B$16)+IF((32+38*(1-EXP(-0.0175*A125)))&lt;70,'Scénario référence'!$B$18*(32+38*(1-EXP(-0.0175*A125))),70*'Scénario référence'!$B$18)</f>
        <v>70</v>
      </c>
      <c r="CP125" s="151">
        <f>IF(A125&gt;30,10,('Scénario référence'!$B$16+'Scénario référence'!$B$17+'Scénario référence'!$B$18+'Scénario référence'!$B$9+'Scénario référence'!$B$10)*A125*10/30+('Scénario référence'!$F$8+'Scénario référence'!$F$9)*10)</f>
        <v>10</v>
      </c>
      <c r="CQ125" s="151" t="str">
        <f>VLOOKUP(A125,'Données projet'!$A$139:$I$159,2,0)</f>
        <v>#N/A</v>
      </c>
      <c r="CR125" s="151" t="str">
        <f>VLOOKUP(A125,'Données projet'!$A$139:$I$159,9,0)</f>
        <v>#N/A</v>
      </c>
      <c r="CS125" s="151" t="str">
        <f t="array" ref="CS125">INDEX(CR:CR,MIN(IF(ISNUMBER(CR125:CR321),ROW(CR125:CR321),"")))</f>
        <v/>
      </c>
      <c r="CT125" s="151">
        <f>IF('Données projet'!$A$140&gt;35,CT124+CS125-DB124,IF(A125&lt;'Données projet'!$A$140,$CQ$205^A125,IF(A125='Données projet'!$A$140,'Données projet'!$B$140,CT124+CS125-DB124)))</f>
        <v>0</v>
      </c>
      <c r="CU125" s="158" t="str">
        <f>CT125*VLOOKUP('Données projet'!$B$13,'Paramètres'!$A$1:$I$88,3,0)*VLOOKUP('Données projet'!$B$13,'Paramètres'!$A$1:$I$88,5,0)</f>
        <v>#N/A</v>
      </c>
      <c r="CV125" s="150" t="str">
        <f t="shared" si="42"/>
        <v>#N/A</v>
      </c>
      <c r="CW125" s="161" t="str">
        <f t="shared" si="14"/>
        <v>#N/A</v>
      </c>
      <c r="CX125" s="153" t="str">
        <f t="shared" si="15"/>
        <v>#N/A</v>
      </c>
      <c r="CY125" s="153" t="str">
        <f>AVERAGE(OFFSET($CX$3,0,0,'Données projet'!$E$13+1,1))-AVERAGE(OFFSET($H$3,0,0,'Données projet'!$E$13+1,1))</f>
        <v>#N/A</v>
      </c>
      <c r="CZ125" s="153" t="str">
        <f t="shared" si="43"/>
        <v>#N/A</v>
      </c>
      <c r="DA125" s="154">
        <f>IF(ISNA(VLOOKUP(A125,'Données projet'!$A$139:$I$159,3,0)),0,VLOOKUP(A125,'Données projet'!$A$139:$I$159,3,0))</f>
        <v>0</v>
      </c>
      <c r="DB125" s="154">
        <f>IF(ISNA(VLOOKUP(A125,'Données projet'!$A$139:$I$159,4,0)),0,VLOOKUP(A125,'Données projet'!$A$139:$I$159,4,0))</f>
        <v>0</v>
      </c>
      <c r="DC125" s="155">
        <f>IF(ISNA(VLOOKUP(A125,'Données projet'!$A$139:$I$159,5,0)),0%,VLOOKUP(A125,'Données projet'!$A$139:$I$159,5,0)*VLOOKUP('Données projet'!$B$13,'Paramètres'!$A$1:$I$88,7,0))</f>
        <v>0</v>
      </c>
      <c r="DD125" s="155">
        <f>IF(ISNA(VLOOKUP(A125,'Données projet'!$A$139:$I$159,6,0)),0%,VLOOKUP(A125,'Données projet'!$A$139:$I$159,6,0)*VLOOKUP('Données projet'!$B$13,'Paramètres'!$A$1:$I$88,7,0))</f>
        <v>0</v>
      </c>
      <c r="DE125" s="155">
        <f>IF(ISNA(VLOOKUP(A125,'Données projet'!$A$139:$I$159,7,0)),0%,VLOOKUP(A125,'Données projet'!$A$139:$I$159,7,0))</f>
        <v>0</v>
      </c>
      <c r="DF125" s="162" t="str">
        <f>EXP(-LN(2)/35)*DF124+(1-EXP(-LN(2)/35))/(LN(2)/35)*DB125*DC125*VLOOKUP('Données projet'!$B$13,'Paramètres'!$A$1:$I$88,3,0)*0.475*44/12</f>
        <v>#N/A</v>
      </c>
      <c r="DG125" s="162" t="str">
        <f>EXP(-LN(2)/25)*DG124+(1-EXP(-LN(2)/25))/(LN(2)/25)*Calculateur!DB125*Calculateur!DD125*VLOOKUP('Données projet'!$B$13,'Paramètres'!$A$1:$I$88,3,0)*0.475*44/12</f>
        <v>#N/A</v>
      </c>
      <c r="DH125" s="162" t="str">
        <f>EXP(-LN(2)/2)*DH124+(1-EXP(-LN(2)/2))/(LN(2)/2)*DB125*DE125*VLOOKUP('Données projet'!$B$13,'Paramètres'!$A$1:$I$88,3,0)*0.475*44/12</f>
        <v>#N/A</v>
      </c>
      <c r="DI125" s="163" t="str">
        <f t="shared" si="16"/>
        <v>#N/A</v>
      </c>
      <c r="DJ125" s="159">
        <f>('Scénario référence'!$F$8+'Scénario référence'!$F$9+'Scénario référence'!$B$17+'Scénario référence'!$B$9+'Scénario référence'!$B$10)*70+IF((45+25*(1-EXP(-0.0175*A125)))&lt;70,'Scénario référence'!$B$16*(45+25*(1-EXP(-0.0175*A125))),70*'Scénario référence'!$B$16)+IF((32+38*(1-EXP(-0.0175*A125)))&lt;70,'Scénario référence'!$B$18*(32+38*(1-EXP(-0.0175*A125))),70*'Scénario référence'!$B$18)</f>
        <v>70</v>
      </c>
      <c r="DK125" s="151">
        <f>IF(A125&gt;30,10,('Scénario référence'!$B$16+'Scénario référence'!$B$17+'Scénario référence'!$B$18+'Scénario référence'!$B$9+'Scénario référence'!$B$10)*A125*10/30+('Scénario référence'!$F$8+'Scénario référence'!$F$9)*10)</f>
        <v>10</v>
      </c>
      <c r="DL125" s="151" t="str">
        <f>VLOOKUP(A125,'Données projet'!$A$165:$I$185,2,0)</f>
        <v>#N/A</v>
      </c>
      <c r="DM125" s="151" t="str">
        <f>VLOOKUP(A125,'Données projet'!$A$165:$I$185,9,0)</f>
        <v>#N/A</v>
      </c>
      <c r="DN125" s="151" t="str">
        <f t="array" ref="DN125">INDEX(DM:DM,MIN(IF(ISNUMBER(DM125:DM321),ROW(DM125:DM321),"")))</f>
        <v/>
      </c>
      <c r="DO125" s="151">
        <f>IF('Données projet'!$A$166&gt;35,DO124+DN125-DW124,IF(A125&lt;'Données projet'!$A$166,$DL$205^A125,IF(A125='Données projet'!$A$166,'Données projet'!$B$166,DO124+DN125-DW124)))</f>
        <v>0</v>
      </c>
      <c r="DP125" s="158" t="str">
        <f>DO125*VLOOKUP('Données projet'!$B$14,'Paramètres'!$A$1:$I$88,3,0)*VLOOKUP('Données projet'!$B$14,'Paramètres'!$A$1:$I$88,5,0)</f>
        <v>#N/A</v>
      </c>
      <c r="DQ125" s="150" t="str">
        <f t="shared" si="44"/>
        <v>#N/A</v>
      </c>
      <c r="DR125" s="161" t="str">
        <f t="shared" si="17"/>
        <v>#N/A</v>
      </c>
      <c r="DS125" s="153" t="str">
        <f t="shared" si="18"/>
        <v>#N/A</v>
      </c>
      <c r="DT125" s="153" t="str">
        <f>AVERAGE(OFFSET($DS$3,0,0,'Données projet'!$E$14+1,1))-AVERAGE(OFFSET($H$3,0,0,'Données projet'!$E$14+1,1))</f>
        <v>#N/A</v>
      </c>
      <c r="DU125" s="153" t="str">
        <f t="shared" si="45"/>
        <v>#N/A</v>
      </c>
      <c r="DV125" s="154">
        <f>IF(ISNA(VLOOKUP(A125,'Données projet'!$A$165:$I$185,3,0)),0,VLOOKUP(A125,'Données projet'!$A$165:$I$185,3,0))</f>
        <v>0</v>
      </c>
      <c r="DW125" s="154">
        <f>IF(ISNA(VLOOKUP(A125,'Données projet'!$A$165:$I$185,4,0)),0,VLOOKUP(A125,'Données projet'!$A$165:$I$185,4,0))</f>
        <v>0</v>
      </c>
      <c r="DX125" s="155">
        <f>IF(ISNA(VLOOKUP(A125,'Données projet'!$A$165:$I$185,5,0)),0%,VLOOKUP(A125,'Données projet'!$A$165:$I$185,5,0)*VLOOKUP('Données projet'!$B$14,'Paramètres'!$A$1:$I$88,7,0))</f>
        <v>0</v>
      </c>
      <c r="DY125" s="155">
        <f>IF(ISNA(VLOOKUP(A125,'Données projet'!$A$165:$I$185,6,0)),0%,VLOOKUP(A125,'Données projet'!$A$165:$I$185,6,0)*VLOOKUP('Données projet'!$B$14,'Paramètres'!$A$1:$I$88,7,0))</f>
        <v>0</v>
      </c>
      <c r="DZ125" s="155">
        <f>IF(ISNA(VLOOKUP(A125,'Données projet'!$A$165:$I$185,7,0)),0%,VLOOKUP(A125,'Données projet'!$A$165:$I$185,7,0))</f>
        <v>0</v>
      </c>
      <c r="EA125" s="162" t="str">
        <f>EXP(-LN(2)/35)*EA124+(1-EXP(-LN(2)/35))/(LN(2)/35)*DW125*DX125*VLOOKUP('Données projet'!$B$14,'Paramètres'!$A$1:$I$88,3,0)*0.475*44/12</f>
        <v>#N/A</v>
      </c>
      <c r="EB125" s="162" t="str">
        <f>EXP(-LN(2)/25)*EB124+(1-EXP(-LN(2)/25))/(LN(2)/25)*Calculateur!DW125*Calculateur!DY125*VLOOKUP('Données projet'!$B$14,'Paramètres'!$A$1:$I$88,3,0)*0.475*44/12</f>
        <v>#N/A</v>
      </c>
      <c r="EC125" s="162" t="str">
        <f>EXP(-LN(2)/2)*EC124+(1-EXP(-LN(2)/2))/(LN(2)/2)*DW125*DZ125*VLOOKUP('Données projet'!$B$14,'Paramètres'!$A$1:$I$88,3,0)*0.475*44/12</f>
        <v>#N/A</v>
      </c>
      <c r="ED125" s="163" t="str">
        <f t="shared" si="19"/>
        <v>#N/A</v>
      </c>
      <c r="EE125" s="159">
        <f>('Scénario référence'!$F$8+'Scénario référence'!$F$9+'Scénario référence'!$B$17+'Scénario référence'!$B$9+'Scénario référence'!$B$10)*70+IF((45+25*(1-EXP(-0.0175*A125)))&lt;70,'Scénario référence'!$B$16*(45+25*(1-EXP(-0.0175*A125))),70*'Scénario référence'!$B$16)+IF((32+38*(1-EXP(-0.0175*A125)))&lt;70,'Scénario référence'!$B$18*(32+38*(1-EXP(-0.0175*A125))),70*'Scénario référence'!$B$18)</f>
        <v>70</v>
      </c>
      <c r="EF125" s="151">
        <f>IF(A125&gt;30,10,('Scénario référence'!$B$16+'Scénario référence'!$B$17+'Scénario référence'!$B$18+'Scénario référence'!$B$9+'Scénario référence'!$B$10)*A125*10/30+('Scénario référence'!$F$8+'Scénario référence'!$F$9)*10)</f>
        <v>10</v>
      </c>
      <c r="EG125" s="151" t="str">
        <f>VLOOKUP(A125,'Données projet'!$A$191:$I$211,2,0)</f>
        <v>#N/A</v>
      </c>
      <c r="EH125" s="151" t="str">
        <f>VLOOKUP(A125,'Données projet'!$A$191:$I$211,9,0)</f>
        <v>#N/A</v>
      </c>
      <c r="EI125" s="151" t="str">
        <f t="array" ref="EI125">INDEX(EH:EH,MIN(IF(ISNUMBER(EH125:EH321),ROW(EH125:EH321),"")))</f>
        <v/>
      </c>
      <c r="EJ125" s="151">
        <f>IF('Données projet'!$A$192&gt;35,EJ124+EI125-ER124,IF(A125&lt;'Données projet'!$A$192,$EG$205^A125,IF(A125='Données projet'!$A$192,'Données projet'!$B$192,EJ124+EI125-ER124)))</f>
        <v>0</v>
      </c>
      <c r="EK125" s="158" t="str">
        <f>EJ125*VLOOKUP('Données projet'!$B$15,'Paramètres'!$A$1:$I$88,3,0)*VLOOKUP('Données projet'!$B$15,'Paramètres'!$A$1:$I$88,5,0)</f>
        <v>#N/A</v>
      </c>
      <c r="EL125" s="150" t="str">
        <f t="shared" si="46"/>
        <v>#N/A</v>
      </c>
      <c r="EM125" s="161" t="str">
        <f t="shared" si="20"/>
        <v>#N/A</v>
      </c>
      <c r="EN125" s="153" t="str">
        <f t="shared" si="21"/>
        <v>#N/A</v>
      </c>
      <c r="EO125" s="153" t="str">
        <f>AVERAGE(OFFSET($EN$3,0,0,'Données projet'!$E$15+1,1))-AVERAGE(OFFSET($H$3,0,0,'Données projet'!$E$15+1,1))</f>
        <v>#N/A</v>
      </c>
      <c r="EP125" s="153" t="str">
        <f t="shared" si="47"/>
        <v>#N/A</v>
      </c>
      <c r="EQ125" s="154">
        <f>IF(ISNA(VLOOKUP(A125,'Données projet'!$A$191:$I$211,3,0)),0,VLOOKUP(A125,'Données projet'!$A$191:$I$211,3,0))</f>
        <v>0</v>
      </c>
      <c r="ER125" s="154">
        <f>IF(ISNA(VLOOKUP(A125,'Données projet'!$A$191:$I$211,4,0)),0,VLOOKUP(A125,'Données projet'!$A$191:$I$211,4,0))</f>
        <v>0</v>
      </c>
      <c r="ES125" s="155">
        <f>IF(ISNA(VLOOKUP(A125,'Données projet'!$A$191:$I$211,5,0)),0%,VLOOKUP(A125,'Données projet'!$A$191:$I$211,5,0)*VLOOKUP('Données projet'!$B$15,'Paramètres'!$A$1:$I$88,7,0))</f>
        <v>0</v>
      </c>
      <c r="ET125" s="155">
        <f>IF(ISNA(VLOOKUP(A125,'Données projet'!$A$191:$I$211,6,0)),0%,VLOOKUP(A125,'Données projet'!$A$191:$I$211,6,0)*VLOOKUP('Données projet'!$B$15,'Paramètres'!$A$1:$I$88,7,0))</f>
        <v>0</v>
      </c>
      <c r="EU125" s="155">
        <f>IF(ISNA(VLOOKUP(A125,'Données projet'!$A$191:$I$211,7,0)),0%,VLOOKUP(A125,'Données projet'!$A$191:$I$211,7,0))</f>
        <v>0</v>
      </c>
      <c r="EV125" s="162" t="str">
        <f>EXP(-LN(2)/35)*EV124+(1-EXP(-LN(2)/35))/(LN(2)/35)*ER125*ES125*VLOOKUP('Données projet'!$B$15,'Paramètres'!$A$1:$I$88,3,0)*0.475*44/12</f>
        <v>#N/A</v>
      </c>
      <c r="EW125" s="162" t="str">
        <f>EXP(-LN(2)/25)*EW124+(1-EXP(-LN(2)/25))/(LN(2)/25)*Calculateur!ER125*Calculateur!ET125*VLOOKUP('Données projet'!$B$15,'Paramètres'!$A$1:$I$88,3,0)*0.475*44/12</f>
        <v>#N/A</v>
      </c>
      <c r="EX125" s="162" t="str">
        <f>EXP(-LN(2)/2)*EX124+(1-EXP(-LN(2)/2))/(LN(2)/2)*ER125*EU125*VLOOKUP('Données projet'!$B$15,'Paramètres'!$A$1:$I$88,3,0)*0.475*44/12</f>
        <v>#N/A</v>
      </c>
      <c r="EY125" s="163" t="str">
        <f t="shared" si="22"/>
        <v>#N/A</v>
      </c>
      <c r="EZ125" s="159">
        <f>('Scénario référence'!$F$8+'Scénario référence'!$F$9+'Scénario référence'!$B$17+'Scénario référence'!$B$9+'Scénario référence'!$B$10)*70+IF((45+25*(1-EXP(-0.0175*A125)))&lt;70,'Scénario référence'!$B$16*(45+25*(1-EXP(-0.0175*A125))),70*'Scénario référence'!$B$16)+IF((32+38*(1-EXP(-0.0175*A125)))&lt;70,'Scénario référence'!$B$18*(32+38*(1-EXP(-0.0175*A125))),70*'Scénario référence'!$B$18)</f>
        <v>70</v>
      </c>
      <c r="FA125" s="151">
        <f>IF(A125&gt;30,10,('Scénario référence'!$B$16+'Scénario référence'!$B$17+'Scénario référence'!$B$18+'Scénario référence'!$B$9+'Scénario référence'!$B$10)*A125*10/30+('Scénario référence'!$F$8+'Scénario référence'!$F$9)*10)</f>
        <v>10</v>
      </c>
      <c r="FB125" s="151" t="str">
        <f>VLOOKUP(A125,'Données projet'!$A$217:$I$237,2,0)</f>
        <v>#N/A</v>
      </c>
      <c r="FC125" s="151" t="str">
        <f>VLOOKUP(A125,'Données projet'!$A$217:$I$237,9,0)</f>
        <v>#N/A</v>
      </c>
      <c r="FD125" s="151" t="str">
        <f t="array" ref="FD125">INDEX(FC:FC,MIN(IF(ISNUMBER(FC125:FC321),ROW(FC125:FC321),"")))</f>
        <v/>
      </c>
      <c r="FE125" s="151">
        <f>IF('Données projet'!$A$218&gt;35,FE124+FD125-FM124,IF(A125&lt;'Données projet'!$A$218,$FB$205^A125,IF(A125='Données projet'!$A$218,'Données projet'!$B$218,FE124+FD125-FM124)))</f>
        <v>0</v>
      </c>
      <c r="FF125" s="158" t="str">
        <f>FE125*VLOOKUP('Données projet'!$B$16,'Paramètres'!$A$1:$I$88,3,0)*VLOOKUP('Données projet'!$B$16,'Paramètres'!$A$1:$I$88,5,0)</f>
        <v>#N/A</v>
      </c>
      <c r="FG125" s="150" t="str">
        <f t="shared" si="48"/>
        <v>#N/A</v>
      </c>
      <c r="FH125" s="161" t="str">
        <f t="shared" si="23"/>
        <v>#N/A</v>
      </c>
      <c r="FI125" s="153" t="str">
        <f t="shared" si="24"/>
        <v>#N/A</v>
      </c>
      <c r="FJ125" s="153" t="str">
        <f>AVERAGE(OFFSET($FI$3,0,0,'Données projet'!$E$16+1,1))-AVERAGE(OFFSET($H$3,0,0,'Données projet'!$E$16+1,1))</f>
        <v>#N/A</v>
      </c>
      <c r="FK125" s="153" t="str">
        <f t="shared" si="49"/>
        <v>#N/A</v>
      </c>
      <c r="FL125" s="154">
        <f>IF(ISNA(VLOOKUP(A125,'Données projet'!$A$217:$I$237,3,0)),0,VLOOKUP(A125,'Données projet'!$A$217:$I$237,3,0))</f>
        <v>0</v>
      </c>
      <c r="FM125" s="154">
        <f>IF(ISNA(VLOOKUP(A125,'Données projet'!$A$217:$I$237,4,0)),0,VLOOKUP(A125,'Données projet'!$A$217:$I$237,4,0))</f>
        <v>0</v>
      </c>
      <c r="FN125" s="155">
        <f>IF(ISNA(VLOOKUP(A125,'Données projet'!$A$217:$I$237,5,0)),0%,VLOOKUP(A125,'Données projet'!$A$217:$I$237,5,0)*VLOOKUP('Données projet'!$B$16,'Paramètres'!$A$1:$I$88,7,0))</f>
        <v>0</v>
      </c>
      <c r="FO125" s="155">
        <f>IF(ISNA(VLOOKUP(A125,'Données projet'!$A$217:$I$237,6,0)),0%,VLOOKUP(A125,'Données projet'!$A$217:$I$237,6,0)*VLOOKUP('Données projet'!$B$16,'Paramètres'!$A$1:$I$88,7,0))</f>
        <v>0</v>
      </c>
      <c r="FP125" s="155">
        <f>IF(ISNA(VLOOKUP(A125,'Données projet'!$A$217:$I$237,7,0)),0%,VLOOKUP(A125,'Données projet'!$A$217:$I$237,7,0))</f>
        <v>0</v>
      </c>
      <c r="FQ125" s="162" t="str">
        <f>EXP(-LN(2)/35)*FQ124+(1-EXP(-LN(2)/35))/(LN(2)/35)*FM125*FN125*VLOOKUP('Données projet'!$B$16,'Paramètres'!$A$1:$I$88,3,0)*0.475*44/12</f>
        <v>#N/A</v>
      </c>
      <c r="FR125" s="162" t="str">
        <f>EXP(-LN(2)/25)*FR124+(1-EXP(-LN(2)/25))/(LN(2)/25)*Calculateur!FM125*Calculateur!FO125*VLOOKUP('Données projet'!$B$16,'Paramètres'!$A$1:$I$88,3,0)*0.475*44/12</f>
        <v>#N/A</v>
      </c>
      <c r="FS125" s="162" t="str">
        <f>EXP(-LN(2)/2)*FS124+(1-EXP(-LN(2)/2))/(LN(2)/2)*FM125*FP125*VLOOKUP('Données projet'!$B$16,'Paramètres'!$A$1:$I$88,3,0)*0.475*44/12</f>
        <v>#N/A</v>
      </c>
      <c r="FT125" s="163" t="str">
        <f t="shared" si="25"/>
        <v>#N/A</v>
      </c>
      <c r="FU125" s="159">
        <f>('Scénario référence'!$F$8+'Scénario référence'!$F$9+'Scénario référence'!$B$17+'Scénario référence'!$B$9+'Scénario référence'!$B$10)*70+IF((45+25*(1-EXP(-0.0175*A125)))&lt;70,'Scénario référence'!$B$16*(45+25*(1-EXP(-0.0175*A125))),70*'Scénario référence'!$B$16)+IF((32+38*(1-EXP(-0.0175*A125)))&lt;70,'Scénario référence'!$B$18*(32+38*(1-EXP(-0.0175*A125))),70*'Scénario référence'!$B$18)</f>
        <v>70</v>
      </c>
      <c r="FV125" s="151">
        <f>IF(A125&gt;30,10,('Scénario référence'!$B$16+'Scénario référence'!$B$17+'Scénario référence'!$B$18+'Scénario référence'!$B$9+'Scénario référence'!$B$10)*A125*10/30+('Scénario référence'!$F$8+'Scénario référence'!$F$9)*10)</f>
        <v>10</v>
      </c>
      <c r="FW125" s="151" t="str">
        <f>VLOOKUP(A125,'Données projet'!$A$243:$I$263,2,0)</f>
        <v>#N/A</v>
      </c>
      <c r="FX125" s="151" t="str">
        <f>VLOOKUP(A125,'Données projet'!$A$243:$I$263,9,0)</f>
        <v>#N/A</v>
      </c>
      <c r="FY125" s="151" t="str">
        <f t="array" ref="FY125">INDEX(FX:FX,MIN(IF(ISNUMBER(FX125:FX321),ROW(FX125:FX321),"")))</f>
        <v/>
      </c>
      <c r="FZ125" s="151">
        <f>IF('Données projet'!$A$244&gt;35,FZ124+FY125-GH124,IF(A125&lt;'Données projet'!$A$244,$FW$205^A125,IF(A125='Données projet'!$A$244,'Données projet'!$B$244,FZ124+FY125-GH124)))</f>
        <v>0</v>
      </c>
      <c r="GA125" s="158" t="str">
        <f>FZ125*VLOOKUP('Données projet'!$B$17,'Paramètres'!$A$1:$I$88,3,0)*VLOOKUP('Données projet'!$B$17,'Paramètres'!$A$1:$I$88,5,0)</f>
        <v>#N/A</v>
      </c>
      <c r="GB125" s="150" t="str">
        <f t="shared" si="50"/>
        <v>#N/A</v>
      </c>
      <c r="GC125" s="161" t="str">
        <f t="shared" si="26"/>
        <v>#N/A</v>
      </c>
      <c r="GD125" s="153" t="str">
        <f t="shared" si="27"/>
        <v>#N/A</v>
      </c>
      <c r="GE125" s="153" t="str">
        <f>AVERAGE(OFFSET($GD$3,0,0,'Données projet'!$E$17+1,1))-AVERAGE(OFFSET($H$3,0,0,'Données projet'!$E$17+1,1))</f>
        <v>#N/A</v>
      </c>
      <c r="GF125" s="153" t="str">
        <f t="shared" si="51"/>
        <v>#N/A</v>
      </c>
      <c r="GG125" s="154">
        <f>IF(ISNA(VLOOKUP(A125,'Données projet'!$A$243:$I$263,3,0)),0,VLOOKUP(A125,'Données projet'!$A$243:$I$263,3,0))</f>
        <v>0</v>
      </c>
      <c r="GH125" s="154">
        <f>IF(ISNA(VLOOKUP(A125,'Données projet'!$A$243:$I$263,4,0)),0,VLOOKUP(A125,'Données projet'!$A$243:$I$263,4,0))</f>
        <v>0</v>
      </c>
      <c r="GI125" s="155">
        <f>IF(ISNA(VLOOKUP(A125,'Données projet'!$A$243:$I$263,5,0)),0%,VLOOKUP(A125,'Données projet'!$A$243:$I$263,5,0)*VLOOKUP('Données projet'!$B$17,'Paramètres'!$A$1:$I$88,7,0))</f>
        <v>0</v>
      </c>
      <c r="GJ125" s="155">
        <f>IF(ISNA(VLOOKUP(A125,'Données projet'!$A$243:$I$263,6,0)),0%,VLOOKUP(A125,'Données projet'!$A$243:$I$263,6,0)*VLOOKUP('Données projet'!$B$17,'Paramètres'!$A$1:$I$88,7,0))</f>
        <v>0</v>
      </c>
      <c r="GK125" s="155">
        <f>IF(ISNA(VLOOKUP(A125,'Données projet'!$A$243:$I$263,7,0)),0%,VLOOKUP(A125,'Données projet'!$A$243:$I$263,7,0))</f>
        <v>0</v>
      </c>
      <c r="GL125" s="162" t="str">
        <f>EXP(-LN(2)/35)*GL124+(1-EXP(-LN(2)/35))/(LN(2)/35)*GH125*GI125*VLOOKUP('Données projet'!$B$17,'Paramètres'!$A$1:$I$88,3,0)*0.475*44/12</f>
        <v>#N/A</v>
      </c>
      <c r="GM125" s="162" t="str">
        <f>EXP(-LN(2)/25)*GM124+(1-EXP(-LN(2)/25))/(LN(2)/25)*Calculateur!GH125*Calculateur!GJ125*VLOOKUP('Données projet'!$B$17,'Paramètres'!$A$1:$I$88,3,0)*0.475*44/12</f>
        <v>#N/A</v>
      </c>
      <c r="GN125" s="162" t="str">
        <f>EXP(-LN(2)/2)*GN124+(1-EXP(-LN(2)/2))/(LN(2)/2)*GH125*GK125*VLOOKUP('Données projet'!$B$17,'Paramètres'!$A$1:$I$88,3,0)*0.475*44/12</f>
        <v>#N/A</v>
      </c>
      <c r="GO125" s="162" t="str">
        <f t="shared" si="28"/>
        <v>#N/A</v>
      </c>
      <c r="GP125" s="159">
        <f>('Scénario référence'!$F$8+'Scénario référence'!$F$9+'Scénario référence'!$B$17+'Scénario référence'!$B$9+'Scénario référence'!$B$10)*70+IF((45+25*(1-EXP(-0.0175*A125)))&lt;70,'Scénario référence'!$B$16*(45+25*(1-EXP(-0.0175*A125))),70*'Scénario référence'!$B$16)+IF((32+38*(1-EXP(-0.0175*A125)))&lt;70,'Scénario référence'!$B$18*(32+38*(1-EXP(-0.0175*A125))),70*'Scénario référence'!$B$18)</f>
        <v>70</v>
      </c>
      <c r="GQ125" s="151">
        <f>IF(A125&gt;30,10,('Scénario référence'!$B$16+'Scénario référence'!$B$17+'Scénario référence'!$B$18+'Scénario référence'!$B$9+'Scénario référence'!$B$10)*A125*10/30+('Scénario référence'!$F$8+'Scénario référence'!$F$9)*10)</f>
        <v>10</v>
      </c>
      <c r="GR125" s="151" t="str">
        <f>VLOOKUP(A125,'Données projet'!$A$269:$I$289,2,0)</f>
        <v>#N/A</v>
      </c>
      <c r="GS125" s="151" t="str">
        <f>VLOOKUP(A125,'Données projet'!$A$269:$I$289,9,0)</f>
        <v>#N/A</v>
      </c>
      <c r="GT125" s="151" t="str">
        <f t="array" ref="GT125">INDEX(GS:GS,MIN(IF(ISNUMBER(GS125:GS321),ROW(GS125:GS321),"")))</f>
        <v/>
      </c>
      <c r="GU125" s="151">
        <f>IF('Données projet'!$A$270&gt;35,GU124+GT125-HC124,IF(A125&lt;'Données projet'!$A$270,$GR$205^A125,IF(A125='Données projet'!$A$270,'Données projet'!$B$270,GU124+GT125-HC124)))</f>
        <v>0</v>
      </c>
      <c r="GV125" s="158" t="str">
        <f>GU125*VLOOKUP('Données projet'!$B$18,'Paramètres'!$A$1:$I$88,3,0)*VLOOKUP('Données projet'!$B$18,'Paramètres'!$A$1:$I$88,5,0)</f>
        <v>#N/A</v>
      </c>
      <c r="GW125" s="150" t="str">
        <f t="shared" si="52"/>
        <v>#N/A</v>
      </c>
      <c r="GX125" s="161" t="str">
        <f t="shared" si="29"/>
        <v>#N/A</v>
      </c>
      <c r="GY125" s="153" t="str">
        <f t="shared" si="30"/>
        <v>#N/A</v>
      </c>
      <c r="GZ125" s="153" t="str">
        <f>AVERAGE(OFFSET($GY$3,0,0,'Données projet'!$E$18+1,1))-AVERAGE(OFFSET($H$3,0,0,'Données projet'!$E$18+1,1))</f>
        <v>#N/A</v>
      </c>
      <c r="HA125" s="153" t="str">
        <f t="shared" si="53"/>
        <v>#N/A</v>
      </c>
      <c r="HB125" s="154">
        <f>IF(ISNA(VLOOKUP(A125,'Données projet'!$A$269:$I$289,3,0)),0,VLOOKUP(A125,'Données projet'!$A$269:$I$289,3,0))</f>
        <v>0</v>
      </c>
      <c r="HC125" s="154">
        <f>IF(ISNA(VLOOKUP(A125,'Données projet'!$A$269:$I$289,4,0)),0,VLOOKUP(A125,'Données projet'!$A$269:$I$289,4,0))</f>
        <v>0</v>
      </c>
      <c r="HD125" s="155">
        <f>IF(ISNA(VLOOKUP(A125,'Données projet'!$A$269:$I$289,5,0)),0%,VLOOKUP(A125,'Données projet'!$A$269:$I$289,5,0)*VLOOKUP('Données projet'!$B$18,'Paramètres'!$A$1:$I$88,7,0))</f>
        <v>0</v>
      </c>
      <c r="HE125" s="155">
        <f>IF(ISNA(VLOOKUP(A125,'Données projet'!$A$269:$I$289,6,0)),0%,VLOOKUP(A125,'Données projet'!$A$269:$I$289,6,0)*VLOOKUP('Données projet'!$B$18,'Paramètres'!$A$1:$I$88,7,0))</f>
        <v>0</v>
      </c>
      <c r="HF125" s="155">
        <f>IF(ISNA(VLOOKUP(A125,'Données projet'!$A$269:$I$289,7,0)),0%,VLOOKUP(A125,'Données projet'!$A$269:$I$289,7,0))</f>
        <v>0</v>
      </c>
      <c r="HG125" s="162" t="str">
        <f>EXP(-LN(2)/35)*HG124+(1-EXP(-LN(2)/35))/(LN(2)/35)*HC125*HD125*VLOOKUP('Données projet'!$B$18,'Paramètres'!$A$1:$I$88,3,0)*0.475*44/12</f>
        <v>#N/A</v>
      </c>
      <c r="HH125" s="162" t="str">
        <f>EXP(-LN(2)/25)*HH124+(1-EXP(-LN(2)/25))/(LN(2)/25)*Calculateur!HC125*Calculateur!HE125*VLOOKUP('Données projet'!$B$18,'Paramètres'!$A$1:$I$88,3,0)*0.475*44/12</f>
        <v>#N/A</v>
      </c>
      <c r="HI125" s="162" t="str">
        <f>EXP(-LN(2)/2)*HI124+(1-EXP(-LN(2)/2))/(LN(2)/2)*HC125*HF125*VLOOKUP('Données projet'!$B$18,'Paramètres'!$A$1:$I$88,3,0)*0.475*44/12</f>
        <v>#N/A</v>
      </c>
      <c r="HJ125" s="163" t="str">
        <f t="shared" si="31"/>
        <v>#N/A</v>
      </c>
    </row>
    <row r="126" ht="15.75" customHeight="1">
      <c r="A126" s="145">
        <f t="shared" si="32"/>
        <v>123</v>
      </c>
      <c r="B126" s="146">
        <f>'Scénario référence'!$B$16*5+'Scénario référence'!$B$17*0+'Scénario référence'!$B$18*5</f>
        <v>0</v>
      </c>
      <c r="C126" s="160">
        <f>Calculateur!C125+'Scénario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26" s="147">
        <f t="shared" si="33"/>
        <v>0</v>
      </c>
      <c r="E126" s="147">
        <f>'Scénario référence'!$B$16*45+('Scénario référence'!$B$17+'Scénario référence'!$F$8+'Scénario référence'!$F$9+'Scénario référence'!$B$10+'Scénario référence'!$B$9)*70+'Scénario référence'!$B$18*32</f>
        <v>70</v>
      </c>
      <c r="F126" s="147">
        <f>IF(OR('Scénario référence'!$F$8&gt;0,'Scénario référence'!$F$9&gt;0),('Scénario référence'!$F$8+'Scénario référence'!$F$9)*10,0)</f>
        <v>0</v>
      </c>
      <c r="G126" s="147">
        <f>'Scénario référence'!$B$8*B126*44/12+'Scénario référence'!$B$9*(C126+D126)/0.475*44/12+'Scénario référence'!$B$10*(C126+D126)/0.475*44/12+'Scénario référence'!$F$8*(C126+D126)/0.475*44/12+'Scénario référence'!$F$9*(C126+D126)/0.475*44/12</f>
        <v>0</v>
      </c>
      <c r="H126" s="148">
        <f t="shared" si="1"/>
        <v>256.6666667</v>
      </c>
      <c r="I126" s="149">
        <f>('Scénario référence'!$F$8+'Scénario référence'!$F$9+'Scénario référence'!$B$17+'Scénario référence'!$B$9+'Scénario référence'!$B$10)*70+IF((45+25*(1-EXP(-0.0175*A126)))&lt;70,'Scénario référence'!$B$16*(45+25*(1-EXP(-0.0175*A126))),70*'Scénario référence'!$B$16)+IF((32+38*(1-EXP(-0.0175*A126)))&lt;70,'Scénario référence'!$B$18*(32+38*(1-EXP(-0.0175*A126))),70*'Scénario référence'!$B$18)</f>
        <v>70</v>
      </c>
      <c r="J126" s="150">
        <f>IF(A126&gt;30,10,('Scénario référence'!$B$16+'Scénario référence'!$B$17+'Scénario référence'!$B$18+'Scénario référence'!$B$9+'Scénario référence'!$B$10)*A126*10/30+('Scénario référence'!$F$8+'Scénario référence'!$F$9)*10)</f>
        <v>10</v>
      </c>
      <c r="K126" s="151" t="str">
        <f>VLOOKUP(A126,'Données projet'!$A$35:$I$55,2,0)</f>
        <v>#N/A</v>
      </c>
      <c r="L126" s="151" t="str">
        <f>VLOOKUP(A126,'Données projet'!$A$35:$I$55,9,0)</f>
        <v>#N/A</v>
      </c>
      <c r="M126" s="151" t="str">
        <f t="array" ref="M126">INDEX(L:L,MIN(IF(ISNUMBER(L126:L322),ROW(L126:L322),"")))</f>
        <v/>
      </c>
      <c r="N126" s="150">
        <f>IF('Données projet'!$A$36&gt;35,N125+M126-V125,IF(A126&lt;'Données projet'!$A$36,$K$205^A126,IF(A126='Données projet'!$A$36,'Données projet'!$B$36,N125+M126-V125)))</f>
        <v>307</v>
      </c>
      <c r="O126" s="150">
        <f>N126*VLOOKUP('Données projet'!$B$9,'Paramètres'!$A$1:$I$88,3,0)*VLOOKUP('Données projet'!$B$9,'Paramètres'!$A$1:$I$88,5,0)</f>
        <v>277.7736</v>
      </c>
      <c r="P126" s="150">
        <f t="shared" si="34"/>
        <v>66.49628818</v>
      </c>
      <c r="Q126" s="161">
        <f t="shared" si="2"/>
        <v>599.6033886</v>
      </c>
      <c r="R126" s="153">
        <f t="shared" si="3"/>
        <v>892.9367219</v>
      </c>
      <c r="S126" s="153">
        <f>AVERAGE(OFFSET($R$3,0,0,'Données projet'!$E$9+1,1))-AVERAGE(OFFSET($H$3,0,0,'Données projet'!$E$9+1,1))</f>
        <v>439.1985427</v>
      </c>
      <c r="T126" s="153">
        <f t="shared" si="35"/>
        <v>278.2174123</v>
      </c>
      <c r="U126" s="154">
        <f>IF(ISNA(VLOOKUP(A126,'Données projet'!$A$35:$I$55,3,0)),0,VLOOKUP(A126,'Données projet'!$A$35:$I$55,3,0))</f>
        <v>0</v>
      </c>
      <c r="V126" s="154">
        <f>IF(ISNA(VLOOKUP(A126,'Données projet'!$A$35:$I$55,4,0)),0,VLOOKUP(A126,'Données projet'!$A$35:$I$55,4,0))</f>
        <v>0</v>
      </c>
      <c r="W126" s="155">
        <f>IF(ISNA(VLOOKUP(A126,'Données projet'!$A$35:$I$55,5,0)),0%,VLOOKUP(A126,'Données projet'!$A$35:$I$55,5,0)*VLOOKUP('Données projet'!$B$9,'Paramètres'!$A$1:$I$88,7,0))</f>
        <v>0</v>
      </c>
      <c r="X126" s="155">
        <f>IF(ISNA(VLOOKUP(A126,'Données projet'!$A$35:$I$55,6,0)),0%,VLOOKUP(A126,'Données projet'!$A$35:$I$55,6,0)*VLOOKUP('Données projet'!$B$9,'Paramètres'!$A$1:$I$88,7,0))</f>
        <v>0</v>
      </c>
      <c r="Y126" s="155">
        <f>IF(ISNA(VLOOKUP(A126,'Données projet'!$A$35:$I$55,7,0)),0%,VLOOKUP(A126,'Données projet'!$A$35:$I$55,7,0))</f>
        <v>0</v>
      </c>
      <c r="Z126" s="162">
        <f>EXP(-LN(2)/35)*Z125+(1-EXP(-LN(2)/35))/(LN(2)/35)*V126*W126*VLOOKUP('Données projet'!$B$9,'Paramètres'!$A$1:$I$88,3,0)*0.475*44/12</f>
        <v>0</v>
      </c>
      <c r="AA126" s="162">
        <f>EXP(-LN(2)/25)*AA125+(1-EXP(-LN(2)/25))/(LN(2)/25)*Calculateur!V126*Calculateur!X126*VLOOKUP('Données projet'!$B$9,'Paramètres'!$A$1:$I$88,3,0)*0.475*44/12</f>
        <v>0.3405498514</v>
      </c>
      <c r="AB126" s="162">
        <f>EXP(-LN(2)/2)*AB125+(1-EXP(-LN(2)/2))/(LN(2)/2)*V126*Y126*VLOOKUP('Données projet'!$B$9,'Paramètres'!$A$1:$I$88,3,0)*0.475*44/12</f>
        <v>0</v>
      </c>
      <c r="AC126" s="163">
        <f t="shared" si="4"/>
        <v>0.3405498514</v>
      </c>
      <c r="AD126" s="150">
        <f>('Scénario référence'!$F$8+'Scénario référence'!$F$9+'Scénario référence'!$B$17+'Scénario référence'!$B$9+'Scénario référence'!$B$10)*70+IF((45+25*(1-EXP(-0.0175*A126)))&lt;70,'Scénario référence'!$B$16*(45+25*(1-EXP(-0.0175*A126))),70*'Scénario référence'!$B$16)+IF((32+38*(1-EXP(-0.0175*A126)))&lt;70,'Scénario référence'!$B$18*(32+38*(1-EXP(-0.0175*A126))),70*'Scénario référence'!$B$18)</f>
        <v>70</v>
      </c>
      <c r="AE126" s="150">
        <f>IF(A126&gt;30,10,('Scénario référence'!$B$16+'Scénario référence'!$B$17+'Scénario référence'!$B$18+'Scénario référence'!$B$9+'Scénario référence'!$B$10)*A126*10/30+('Scénario référence'!$F$8+'Scénario référence'!$F$9)*10)</f>
        <v>10</v>
      </c>
      <c r="AF126" s="151" t="str">
        <f>VLOOKUP(A126,'Données projet'!$A$61:$I$81,2,0)</f>
        <v>#N/A</v>
      </c>
      <c r="AG126" s="151" t="str">
        <f>VLOOKUP(A126,'Données projet'!$A$61:$I$81,9,0)</f>
        <v>#N/A</v>
      </c>
      <c r="AH126" s="151" t="str">
        <f t="array" ref="AH126">INDEX(AG:AG,MIN(IF(ISNUMBER(AG126:AG322),ROW(AG126:AG322),"")))</f>
        <v/>
      </c>
      <c r="AI126" s="150">
        <f>IF('Données projet'!$A$62&gt;35,AI125+AH126-AQ125,IF(A126&lt;'Données projet'!$A$62,$AF$205^A126,IF(A126='Données projet'!$A$62,'Données projet'!$B$62,AI125+AH126-AQ125)))</f>
        <v>369</v>
      </c>
      <c r="AJ126" s="150">
        <f>AI126*VLOOKUP('Données projet'!$B$10,'Paramètres'!$A$1:$I$88,3,0)*VLOOKUP('Données projet'!$B$10,'Paramètres'!$A$1:$I$88,5,0)</f>
        <v>293.5764</v>
      </c>
      <c r="AK126" s="150">
        <f t="shared" si="36"/>
        <v>69.82813851</v>
      </c>
      <c r="AL126" s="161">
        <f t="shared" si="5"/>
        <v>632.9295712</v>
      </c>
      <c r="AM126" s="153">
        <f t="shared" si="6"/>
        <v>926.2629046</v>
      </c>
      <c r="AN126" s="153">
        <f>AVERAGE(OFFSET($AM$3,0,0,'Données projet'!$E$10+1,1))-AVERAGE(OFFSET($H$3,0,0,'Données projet'!$E$10+1,1))</f>
        <v>405.6113614</v>
      </c>
      <c r="AO126" s="153">
        <f t="shared" si="37"/>
        <v>393.0787141</v>
      </c>
      <c r="AP126" s="154">
        <f>IF(ISNA(VLOOKUP(A126,'Données projet'!$A$61:$I$81,3,0)),0,VLOOKUP(A126,'Données projet'!$A$61:$I$81,3,0))</f>
        <v>0</v>
      </c>
      <c r="AQ126" s="154">
        <f>IF(ISNA(VLOOKUP(A126,'Données projet'!$A$61:$I$81,4,0)),0,VLOOKUP(A126,'Données projet'!$A$61:$I$81,4,0))</f>
        <v>0</v>
      </c>
      <c r="AR126" s="155">
        <f>IF(ISNA(VLOOKUP(A126,'Données projet'!$A$61:$I$81,5,0)),0%,VLOOKUP(A126,'Données projet'!$A$61:$I$81,5,0)*VLOOKUP('Données projet'!$B$10,'Paramètres'!$A$1:$I$88,7,0))</f>
        <v>0</v>
      </c>
      <c r="AS126" s="155">
        <f>IF(ISNA(VLOOKUP(A126,'Données projet'!$A$61:$I$81,6,0)),0%,VLOOKUP(A126,'Données projet'!$A$61:$I$81,6,0)*VLOOKUP('Données projet'!$B$10,'Paramètres'!$A$1:$I$88,7,0))</f>
        <v>0</v>
      </c>
      <c r="AT126" s="155">
        <f>IF(ISNA(VLOOKUP(A126,'Données projet'!$A$61:$I$81,7,0)),0%,VLOOKUP(A126,'Données projet'!$A$61:$I$81,7,0))</f>
        <v>0</v>
      </c>
      <c r="AU126" s="162">
        <f>EXP(-LN(2)/35)*AU125+(1-EXP(-LN(2)/35))/(LN(2)/35)*AQ126*AR126*VLOOKUP('Données projet'!$B$10,'Paramètres'!$A$1:$I$88,3,0)*0.475*44/12</f>
        <v>0</v>
      </c>
      <c r="AV126" s="162">
        <f>EXP(-LN(2)/25)*AV125+(1-EXP(-LN(2)/25))/(LN(2)/25)*Calculateur!AQ126*Calculateur!AS126*VLOOKUP('Données projet'!$B$10,'Paramètres'!$A$1:$I$88,3,0)*0.475*44/12</f>
        <v>1.384081167</v>
      </c>
      <c r="AW126" s="162">
        <f>EXP(-LN(2)/2)*AW125+(1-EXP(-LN(2)/2))/(LN(2)/2)*AQ126*AT126*VLOOKUP('Données projet'!$B$10,'Paramètres'!$A$1:$I$88,3,0)*0.475*44/12</f>
        <v>0</v>
      </c>
      <c r="AX126" s="162">
        <f t="shared" si="7"/>
        <v>1.384081167</v>
      </c>
      <c r="AY126" s="157">
        <f>('Scénario référence'!$F$8+'Scénario référence'!$F$9+'Scénario référence'!$B$17+'Scénario référence'!$B$9+'Scénario référence'!$B$10)*70+IF((45+25*(1-EXP(-0.0175*A126)))&lt;70,'Scénario référence'!$B$16*(45+25*(1-EXP(-0.0175*A126))),70*'Scénario référence'!$B$16)+IF((32+38*(1-EXP(-0.0175*A126)))&lt;70,'Scénario référence'!$B$18*(32+38*(1-EXP(-0.0175*A126))),70*'Scénario référence'!$B$18)</f>
        <v>70</v>
      </c>
      <c r="AZ126" s="151">
        <f>IF(A126&gt;30,10,('Scénario référence'!$B$16+'Scénario référence'!$B$17+'Scénario référence'!$B$18+'Scénario référence'!$B$9+'Scénario référence'!$B$10)*A126*10/30+('Scénario référence'!$F$8+'Scénario référence'!$F$9)*10)</f>
        <v>10</v>
      </c>
      <c r="BA126" s="151" t="str">
        <f>VLOOKUP(A126,'Données projet'!$A$87:$I$107,2,0)</f>
        <v>#N/A</v>
      </c>
      <c r="BB126" s="151" t="str">
        <f>VLOOKUP(A126,'Données projet'!$A$87:$I$107,9,0)</f>
        <v>#N/A</v>
      </c>
      <c r="BC126" s="151" t="str">
        <f t="array" ref="BC126">INDEX(BB:BB,MIN(IF(ISNUMBER(BB126:BB322),ROW(BB126:BB322),"")))</f>
        <v/>
      </c>
      <c r="BD126" s="150">
        <f>IF('Données projet'!$A$88&gt;35,BD125+BC126-BL125,IF(A126&lt;'Données projet'!$A$88,$BA$205^A126,IF(A126='Données projet'!$A$88,'Données projet'!$B$88,BD125+BC126-BL125)))</f>
        <v>0</v>
      </c>
      <c r="BE126" s="150">
        <f>BD126*VLOOKUP('Données projet'!$B$11,'Paramètres'!$A$1:$I$88,3,0)*VLOOKUP('Données projet'!$B$11,'Paramètres'!$A$1:$I$88,5,0)</f>
        <v>0</v>
      </c>
      <c r="BF126" s="150" t="str">
        <f t="shared" si="38"/>
        <v>#NUM!</v>
      </c>
      <c r="BG126" s="161" t="str">
        <f t="shared" si="8"/>
        <v>#NUM!</v>
      </c>
      <c r="BH126" s="153" t="str">
        <f t="shared" si="9"/>
        <v>#NUM!</v>
      </c>
      <c r="BI126" s="153">
        <f>AVERAGE(OFFSET($BH$3,0,0,'Données projet'!$E$11+1,1))-AVERAGE(OFFSET($H$3,0,0,'Données projet'!$E$11+1,1))</f>
        <v>0</v>
      </c>
      <c r="BJ126" s="153">
        <f t="shared" si="39"/>
        <v>0</v>
      </c>
      <c r="BK126" s="154">
        <f>IF(ISNA(VLOOKUP(A126,'Données projet'!$A$87:$I$107,3,0)),0,VLOOKUP(A126,'Données projet'!$A$87:$I$107,3,0))</f>
        <v>0</v>
      </c>
      <c r="BL126" s="154">
        <f>IF(ISNA(VLOOKUP(A126,'Données projet'!$A$87:$I$107,4,0)),0,VLOOKUP(A126,'Données projet'!$A$87:$I$107,4,0))</f>
        <v>0</v>
      </c>
      <c r="BM126" s="155">
        <f>IF(ISNA(VLOOKUP(A126,'Données projet'!$A$87:$I$107,5,0)),0%,VLOOKUP(A126,'Données projet'!$A$87:$I$107,5,0)*VLOOKUP('Données projet'!$B$11,'Paramètres'!$A$1:$I$88,7,0))</f>
        <v>0</v>
      </c>
      <c r="BN126" s="155">
        <f>IF(ISNA(VLOOKUP(A126,'Données projet'!$A$87:$I$107,6,0)),0%,VLOOKUP(A126,'Données projet'!$A$87:$I$107,6,0)*VLOOKUP('Données projet'!$B$11,'Paramètres'!$A$1:$I$88,7,0))</f>
        <v>0</v>
      </c>
      <c r="BO126" s="155">
        <f>IF(ISNA(VLOOKUP(A126,'Données projet'!$A$87:$I$107,7,0)),0%,VLOOKUP(A126,'Données projet'!$A$87:$I$107,7,0))</f>
        <v>0</v>
      </c>
      <c r="BP126" s="162">
        <f>EXP(-LN(2)/35)*BP125+(1-EXP(-LN(2)/35))/(LN(2)/35)*BL126*BM126*VLOOKUP('Données projet'!$B$11,'Paramètres'!$A$1:$I$88,3,0)*0.475*44/12</f>
        <v>0</v>
      </c>
      <c r="BQ126" s="162">
        <f>EXP(-LN(2)/25)*BQ125+(1-EXP(-LN(2)/25))/(LN(2)/25)*Calculateur!BL126*Calculateur!BN126*VLOOKUP('Données projet'!$B$11,'Paramètres'!$A$1:$I$88,3,0)*0.475*44/12</f>
        <v>0</v>
      </c>
      <c r="BR126" s="162">
        <f>EXP(-LN(2)/2)*BR125+(1-EXP(-LN(2)/2))/(LN(2)/2)*BL126*BO126*VLOOKUP('Données projet'!$B$11,'Paramètres'!$A$1:$I$88,3,0)*0.475*44/12</f>
        <v>0</v>
      </c>
      <c r="BS126" s="163">
        <f t="shared" si="10"/>
        <v>0</v>
      </c>
      <c r="BT126" s="159">
        <f>('Scénario référence'!$F$8+'Scénario référence'!$F$9+'Scénario référence'!$B$17+'Scénario référence'!$B$9+'Scénario référence'!$B$10)*70+IF((45+25*(1-EXP(-0.0175*A126)))&lt;70,'Scénario référence'!$B$16*(45+25*(1-EXP(-0.0175*A126))),70*'Scénario référence'!$B$16)+IF((32+38*(1-EXP(-0.0175*A126)))&lt;70,'Scénario référence'!$B$18*(32+38*(1-EXP(-0.0175*A126))),70*'Scénario référence'!$B$18)</f>
        <v>70</v>
      </c>
      <c r="BU126" s="151">
        <f>IF(A126&gt;30,10,('Scénario référence'!$B$16+'Scénario référence'!$B$17+'Scénario référence'!$B$18+'Scénario référence'!$B$9+'Scénario référence'!$B$10)*A126*10/30+('Scénario référence'!$F$8+'Scénario référence'!$F$9)*10)</f>
        <v>10</v>
      </c>
      <c r="BV126" s="151" t="str">
        <f>VLOOKUP(A126,'Données projet'!$A$113:$I$133,2,0)</f>
        <v>#N/A</v>
      </c>
      <c r="BW126" s="151" t="str">
        <f>VLOOKUP(A126,'Données projet'!$A$113:$I$133,9,0)</f>
        <v>#N/A</v>
      </c>
      <c r="BX126" s="151" t="str">
        <f t="array" ref="BX126">INDEX(BW:BW,MIN(IF(ISNUMBER(BW126:BW322),ROW(BW126:BW322),"")))</f>
        <v/>
      </c>
      <c r="BY126" s="150">
        <f>IF('Données projet'!$A$114&gt;35,BY125+BX126-CG125,IF(A126&lt;'Données projet'!$A$114,$BV$205^A126,IF(A126='Données projet'!$A$114,'Données projet'!$B$114,BY125+BX126-CG125)))</f>
        <v>0</v>
      </c>
      <c r="BZ126" s="150" t="str">
        <f>BY126*VLOOKUP('Données projet'!$B$12,'Paramètres'!$A$1:$I$88,3,0)*VLOOKUP('Données projet'!$B$12,'Paramètres'!$A$1:$I$88,5,0)</f>
        <v>#N/A</v>
      </c>
      <c r="CA126" s="150" t="str">
        <f t="shared" si="40"/>
        <v>#N/A</v>
      </c>
      <c r="CB126" s="161" t="str">
        <f t="shared" si="11"/>
        <v>#N/A</v>
      </c>
      <c r="CC126" s="153" t="str">
        <f t="shared" si="12"/>
        <v>#N/A</v>
      </c>
      <c r="CD126" s="153" t="str">
        <f>AVERAGE(OFFSET($CC$3,0,0,'Données projet'!$E$12+1,1))-AVERAGE(OFFSET($H$3,0,0,'Données projet'!$E$12+1,1))</f>
        <v>#N/A</v>
      </c>
      <c r="CE126" s="153" t="str">
        <f t="shared" si="41"/>
        <v>#N/A</v>
      </c>
      <c r="CF126" s="154">
        <f>IF(ISNA(VLOOKUP(A126,'Données projet'!$A$113:$I$133,3,0)),0,VLOOKUP(A126,'Données projet'!$A$113:$I$133,3,0))</f>
        <v>0</v>
      </c>
      <c r="CG126" s="154">
        <f>IF(ISNA(VLOOKUP(A126,'Données projet'!$A$113:$I$133,4,0)),0,VLOOKUP(A126,'Données projet'!$A$113:$I$133,4,0))</f>
        <v>0</v>
      </c>
      <c r="CH126" s="155">
        <f>IF(ISNA(VLOOKUP(A126,'Données projet'!$A$113:$I$133,5,0)),0%,VLOOKUP(A126,'Données projet'!$A$113:$I$133,5,0)*VLOOKUP('Données projet'!$B$12,'Paramètres'!$A$1:$I$88,7,0))</f>
        <v>0</v>
      </c>
      <c r="CI126" s="155">
        <f>IF(ISNA(VLOOKUP(A126,'Données projet'!$A$113:$I$133,6,0)),0%,VLOOKUP(A126,'Données projet'!$A$113:$I$133,6,0)*VLOOKUP('Données projet'!$B$12,'Paramètres'!$A$1:$I$88,7,0))</f>
        <v>0</v>
      </c>
      <c r="CJ126" s="155">
        <f>IF(ISNA(VLOOKUP(A126,'Données projet'!$A$113:$I$133,7,0)),0%,VLOOKUP(A126,'Données projet'!$A$113:$I$133,7,0))</f>
        <v>0</v>
      </c>
      <c r="CK126" s="162" t="str">
        <f>EXP(-LN(2)/35)*CK125+(1-EXP(-LN(2)/35))/(LN(2)/35)*CG126*CH126*VLOOKUP('Données projet'!$B$12,'Paramètres'!$A$1:$I$88,3,0)*0.475*44/12</f>
        <v>#N/A</v>
      </c>
      <c r="CL126" s="162" t="str">
        <f>EXP(-LN(2)/25)*CL125+(1-EXP(-LN(2)/25))/(LN(2)/25)*Calculateur!CG126*Calculateur!CI126*VLOOKUP('Données projet'!$B$12,'Paramètres'!$A$1:$I$88,3,0)*0.475*44/12</f>
        <v>#N/A</v>
      </c>
      <c r="CM126" s="162" t="str">
        <f>EXP(-LN(2)/2)*CM125+(1-EXP(-LN(2)/2))/(LN(2)/2)*CG126*CJ126*VLOOKUP('Données projet'!$B$12,'Paramètres'!$A$1:$I$88,3,0)*0.475*44/12</f>
        <v>#N/A</v>
      </c>
      <c r="CN126" s="163" t="str">
        <f t="shared" si="13"/>
        <v>#N/A</v>
      </c>
      <c r="CO126" s="159">
        <f>('Scénario référence'!$F$8+'Scénario référence'!$F$9+'Scénario référence'!$B$17+'Scénario référence'!$B$9+'Scénario référence'!$B$10)*70+IF((45+25*(1-EXP(-0.0175*A126)))&lt;70,'Scénario référence'!$B$16*(45+25*(1-EXP(-0.0175*A126))),70*'Scénario référence'!$B$16)+IF((32+38*(1-EXP(-0.0175*A126)))&lt;70,'Scénario référence'!$B$18*(32+38*(1-EXP(-0.0175*A126))),70*'Scénario référence'!$B$18)</f>
        <v>70</v>
      </c>
      <c r="CP126" s="151">
        <f>IF(A126&gt;30,10,('Scénario référence'!$B$16+'Scénario référence'!$B$17+'Scénario référence'!$B$18+'Scénario référence'!$B$9+'Scénario référence'!$B$10)*A126*10/30+('Scénario référence'!$F$8+'Scénario référence'!$F$9)*10)</f>
        <v>10</v>
      </c>
      <c r="CQ126" s="151" t="str">
        <f>VLOOKUP(A126,'Données projet'!$A$139:$I$159,2,0)</f>
        <v>#N/A</v>
      </c>
      <c r="CR126" s="151" t="str">
        <f>VLOOKUP(A126,'Données projet'!$A$139:$I$159,9,0)</f>
        <v>#N/A</v>
      </c>
      <c r="CS126" s="151" t="str">
        <f t="array" ref="CS126">INDEX(CR:CR,MIN(IF(ISNUMBER(CR126:CR322),ROW(CR126:CR322),"")))</f>
        <v/>
      </c>
      <c r="CT126" s="151">
        <f>IF('Données projet'!$A$140&gt;35,CT125+CS126-DB125,IF(A126&lt;'Données projet'!$A$140,$CQ$205^A126,IF(A126='Données projet'!$A$140,'Données projet'!$B$140,CT125+CS126-DB125)))</f>
        <v>0</v>
      </c>
      <c r="CU126" s="158" t="str">
        <f>CT126*VLOOKUP('Données projet'!$B$13,'Paramètres'!$A$1:$I$88,3,0)*VLOOKUP('Données projet'!$B$13,'Paramètres'!$A$1:$I$88,5,0)</f>
        <v>#N/A</v>
      </c>
      <c r="CV126" s="150" t="str">
        <f t="shared" si="42"/>
        <v>#N/A</v>
      </c>
      <c r="CW126" s="161" t="str">
        <f t="shared" si="14"/>
        <v>#N/A</v>
      </c>
      <c r="CX126" s="153" t="str">
        <f t="shared" si="15"/>
        <v>#N/A</v>
      </c>
      <c r="CY126" s="153" t="str">
        <f>AVERAGE(OFFSET($CX$3,0,0,'Données projet'!$E$13+1,1))-AVERAGE(OFFSET($H$3,0,0,'Données projet'!$E$13+1,1))</f>
        <v>#N/A</v>
      </c>
      <c r="CZ126" s="153" t="str">
        <f t="shared" si="43"/>
        <v>#N/A</v>
      </c>
      <c r="DA126" s="154">
        <f>IF(ISNA(VLOOKUP(A126,'Données projet'!$A$139:$I$159,3,0)),0,VLOOKUP(A126,'Données projet'!$A$139:$I$159,3,0))</f>
        <v>0</v>
      </c>
      <c r="DB126" s="154">
        <f>IF(ISNA(VLOOKUP(A126,'Données projet'!$A$139:$I$159,4,0)),0,VLOOKUP(A126,'Données projet'!$A$139:$I$159,4,0))</f>
        <v>0</v>
      </c>
      <c r="DC126" s="155">
        <f>IF(ISNA(VLOOKUP(A126,'Données projet'!$A$139:$I$159,5,0)),0%,VLOOKUP(A126,'Données projet'!$A$139:$I$159,5,0)*VLOOKUP('Données projet'!$B$13,'Paramètres'!$A$1:$I$88,7,0))</f>
        <v>0</v>
      </c>
      <c r="DD126" s="155">
        <f>IF(ISNA(VLOOKUP(A126,'Données projet'!$A$139:$I$159,6,0)),0%,VLOOKUP(A126,'Données projet'!$A$139:$I$159,6,0)*VLOOKUP('Données projet'!$B$13,'Paramètres'!$A$1:$I$88,7,0))</f>
        <v>0</v>
      </c>
      <c r="DE126" s="155">
        <f>IF(ISNA(VLOOKUP(A126,'Données projet'!$A$139:$I$159,7,0)),0%,VLOOKUP(A126,'Données projet'!$A$139:$I$159,7,0))</f>
        <v>0</v>
      </c>
      <c r="DF126" s="162" t="str">
        <f>EXP(-LN(2)/35)*DF125+(1-EXP(-LN(2)/35))/(LN(2)/35)*DB126*DC126*VLOOKUP('Données projet'!$B$13,'Paramètres'!$A$1:$I$88,3,0)*0.475*44/12</f>
        <v>#N/A</v>
      </c>
      <c r="DG126" s="162" t="str">
        <f>EXP(-LN(2)/25)*DG125+(1-EXP(-LN(2)/25))/(LN(2)/25)*Calculateur!DB126*Calculateur!DD126*VLOOKUP('Données projet'!$B$13,'Paramètres'!$A$1:$I$88,3,0)*0.475*44/12</f>
        <v>#N/A</v>
      </c>
      <c r="DH126" s="162" t="str">
        <f>EXP(-LN(2)/2)*DH125+(1-EXP(-LN(2)/2))/(LN(2)/2)*DB126*DE126*VLOOKUP('Données projet'!$B$13,'Paramètres'!$A$1:$I$88,3,0)*0.475*44/12</f>
        <v>#N/A</v>
      </c>
      <c r="DI126" s="163" t="str">
        <f t="shared" si="16"/>
        <v>#N/A</v>
      </c>
      <c r="DJ126" s="159">
        <f>('Scénario référence'!$F$8+'Scénario référence'!$F$9+'Scénario référence'!$B$17+'Scénario référence'!$B$9+'Scénario référence'!$B$10)*70+IF((45+25*(1-EXP(-0.0175*A126)))&lt;70,'Scénario référence'!$B$16*(45+25*(1-EXP(-0.0175*A126))),70*'Scénario référence'!$B$16)+IF((32+38*(1-EXP(-0.0175*A126)))&lt;70,'Scénario référence'!$B$18*(32+38*(1-EXP(-0.0175*A126))),70*'Scénario référence'!$B$18)</f>
        <v>70</v>
      </c>
      <c r="DK126" s="151">
        <f>IF(A126&gt;30,10,('Scénario référence'!$B$16+'Scénario référence'!$B$17+'Scénario référence'!$B$18+'Scénario référence'!$B$9+'Scénario référence'!$B$10)*A126*10/30+('Scénario référence'!$F$8+'Scénario référence'!$F$9)*10)</f>
        <v>10</v>
      </c>
      <c r="DL126" s="151" t="str">
        <f>VLOOKUP(A126,'Données projet'!$A$165:$I$185,2,0)</f>
        <v>#N/A</v>
      </c>
      <c r="DM126" s="151" t="str">
        <f>VLOOKUP(A126,'Données projet'!$A$165:$I$185,9,0)</f>
        <v>#N/A</v>
      </c>
      <c r="DN126" s="151" t="str">
        <f t="array" ref="DN126">INDEX(DM:DM,MIN(IF(ISNUMBER(DM126:DM322),ROW(DM126:DM322),"")))</f>
        <v/>
      </c>
      <c r="DO126" s="151">
        <f>IF('Données projet'!$A$166&gt;35,DO125+DN126-DW125,IF(A126&lt;'Données projet'!$A$166,$DL$205^A126,IF(A126='Données projet'!$A$166,'Données projet'!$B$166,DO125+DN126-DW125)))</f>
        <v>0</v>
      </c>
      <c r="DP126" s="158" t="str">
        <f>DO126*VLOOKUP('Données projet'!$B$14,'Paramètres'!$A$1:$I$88,3,0)*VLOOKUP('Données projet'!$B$14,'Paramètres'!$A$1:$I$88,5,0)</f>
        <v>#N/A</v>
      </c>
      <c r="DQ126" s="150" t="str">
        <f t="shared" si="44"/>
        <v>#N/A</v>
      </c>
      <c r="DR126" s="161" t="str">
        <f t="shared" si="17"/>
        <v>#N/A</v>
      </c>
      <c r="DS126" s="153" t="str">
        <f t="shared" si="18"/>
        <v>#N/A</v>
      </c>
      <c r="DT126" s="153" t="str">
        <f>AVERAGE(OFFSET($DS$3,0,0,'Données projet'!$E$14+1,1))-AVERAGE(OFFSET($H$3,0,0,'Données projet'!$E$14+1,1))</f>
        <v>#N/A</v>
      </c>
      <c r="DU126" s="153" t="str">
        <f t="shared" si="45"/>
        <v>#N/A</v>
      </c>
      <c r="DV126" s="154">
        <f>IF(ISNA(VLOOKUP(A126,'Données projet'!$A$165:$I$185,3,0)),0,VLOOKUP(A126,'Données projet'!$A$165:$I$185,3,0))</f>
        <v>0</v>
      </c>
      <c r="DW126" s="154">
        <f>IF(ISNA(VLOOKUP(A126,'Données projet'!$A$165:$I$185,4,0)),0,VLOOKUP(A126,'Données projet'!$A$165:$I$185,4,0))</f>
        <v>0</v>
      </c>
      <c r="DX126" s="155">
        <f>IF(ISNA(VLOOKUP(A126,'Données projet'!$A$165:$I$185,5,0)),0%,VLOOKUP(A126,'Données projet'!$A$165:$I$185,5,0)*VLOOKUP('Données projet'!$B$14,'Paramètres'!$A$1:$I$88,7,0))</f>
        <v>0</v>
      </c>
      <c r="DY126" s="155">
        <f>IF(ISNA(VLOOKUP(A126,'Données projet'!$A$165:$I$185,6,0)),0%,VLOOKUP(A126,'Données projet'!$A$165:$I$185,6,0)*VLOOKUP('Données projet'!$B$14,'Paramètres'!$A$1:$I$88,7,0))</f>
        <v>0</v>
      </c>
      <c r="DZ126" s="155">
        <f>IF(ISNA(VLOOKUP(A126,'Données projet'!$A$165:$I$185,7,0)),0%,VLOOKUP(A126,'Données projet'!$A$165:$I$185,7,0))</f>
        <v>0</v>
      </c>
      <c r="EA126" s="162" t="str">
        <f>EXP(-LN(2)/35)*EA125+(1-EXP(-LN(2)/35))/(LN(2)/35)*DW126*DX126*VLOOKUP('Données projet'!$B$14,'Paramètres'!$A$1:$I$88,3,0)*0.475*44/12</f>
        <v>#N/A</v>
      </c>
      <c r="EB126" s="162" t="str">
        <f>EXP(-LN(2)/25)*EB125+(1-EXP(-LN(2)/25))/(LN(2)/25)*Calculateur!DW126*Calculateur!DY126*VLOOKUP('Données projet'!$B$14,'Paramètres'!$A$1:$I$88,3,0)*0.475*44/12</f>
        <v>#N/A</v>
      </c>
      <c r="EC126" s="162" t="str">
        <f>EXP(-LN(2)/2)*EC125+(1-EXP(-LN(2)/2))/(LN(2)/2)*DW126*DZ126*VLOOKUP('Données projet'!$B$14,'Paramètres'!$A$1:$I$88,3,0)*0.475*44/12</f>
        <v>#N/A</v>
      </c>
      <c r="ED126" s="163" t="str">
        <f t="shared" si="19"/>
        <v>#N/A</v>
      </c>
      <c r="EE126" s="159">
        <f>('Scénario référence'!$F$8+'Scénario référence'!$F$9+'Scénario référence'!$B$17+'Scénario référence'!$B$9+'Scénario référence'!$B$10)*70+IF((45+25*(1-EXP(-0.0175*A126)))&lt;70,'Scénario référence'!$B$16*(45+25*(1-EXP(-0.0175*A126))),70*'Scénario référence'!$B$16)+IF((32+38*(1-EXP(-0.0175*A126)))&lt;70,'Scénario référence'!$B$18*(32+38*(1-EXP(-0.0175*A126))),70*'Scénario référence'!$B$18)</f>
        <v>70</v>
      </c>
      <c r="EF126" s="151">
        <f>IF(A126&gt;30,10,('Scénario référence'!$B$16+'Scénario référence'!$B$17+'Scénario référence'!$B$18+'Scénario référence'!$B$9+'Scénario référence'!$B$10)*A126*10/30+('Scénario référence'!$F$8+'Scénario référence'!$F$9)*10)</f>
        <v>10</v>
      </c>
      <c r="EG126" s="151" t="str">
        <f>VLOOKUP(A126,'Données projet'!$A$191:$I$211,2,0)</f>
        <v>#N/A</v>
      </c>
      <c r="EH126" s="151" t="str">
        <f>VLOOKUP(A126,'Données projet'!$A$191:$I$211,9,0)</f>
        <v>#N/A</v>
      </c>
      <c r="EI126" s="151" t="str">
        <f t="array" ref="EI126">INDEX(EH:EH,MIN(IF(ISNUMBER(EH126:EH322),ROW(EH126:EH322),"")))</f>
        <v/>
      </c>
      <c r="EJ126" s="151">
        <f>IF('Données projet'!$A$192&gt;35,EJ125+EI126-ER125,IF(A126&lt;'Données projet'!$A$192,$EG$205^A126,IF(A126='Données projet'!$A$192,'Données projet'!$B$192,EJ125+EI126-ER125)))</f>
        <v>0</v>
      </c>
      <c r="EK126" s="158" t="str">
        <f>EJ126*VLOOKUP('Données projet'!$B$15,'Paramètres'!$A$1:$I$88,3,0)*VLOOKUP('Données projet'!$B$15,'Paramètres'!$A$1:$I$88,5,0)</f>
        <v>#N/A</v>
      </c>
      <c r="EL126" s="150" t="str">
        <f t="shared" si="46"/>
        <v>#N/A</v>
      </c>
      <c r="EM126" s="161" t="str">
        <f t="shared" si="20"/>
        <v>#N/A</v>
      </c>
      <c r="EN126" s="153" t="str">
        <f t="shared" si="21"/>
        <v>#N/A</v>
      </c>
      <c r="EO126" s="153" t="str">
        <f>AVERAGE(OFFSET($EN$3,0,0,'Données projet'!$E$15+1,1))-AVERAGE(OFFSET($H$3,0,0,'Données projet'!$E$15+1,1))</f>
        <v>#N/A</v>
      </c>
      <c r="EP126" s="153" t="str">
        <f t="shared" si="47"/>
        <v>#N/A</v>
      </c>
      <c r="EQ126" s="154">
        <f>IF(ISNA(VLOOKUP(A126,'Données projet'!$A$191:$I$211,3,0)),0,VLOOKUP(A126,'Données projet'!$A$191:$I$211,3,0))</f>
        <v>0</v>
      </c>
      <c r="ER126" s="154">
        <f>IF(ISNA(VLOOKUP(A126,'Données projet'!$A$191:$I$211,4,0)),0,VLOOKUP(A126,'Données projet'!$A$191:$I$211,4,0))</f>
        <v>0</v>
      </c>
      <c r="ES126" s="155">
        <f>IF(ISNA(VLOOKUP(A126,'Données projet'!$A$191:$I$211,5,0)),0%,VLOOKUP(A126,'Données projet'!$A$191:$I$211,5,0)*VLOOKUP('Données projet'!$B$15,'Paramètres'!$A$1:$I$88,7,0))</f>
        <v>0</v>
      </c>
      <c r="ET126" s="155">
        <f>IF(ISNA(VLOOKUP(A126,'Données projet'!$A$191:$I$211,6,0)),0%,VLOOKUP(A126,'Données projet'!$A$191:$I$211,6,0)*VLOOKUP('Données projet'!$B$15,'Paramètres'!$A$1:$I$88,7,0))</f>
        <v>0</v>
      </c>
      <c r="EU126" s="155">
        <f>IF(ISNA(VLOOKUP(A126,'Données projet'!$A$191:$I$211,7,0)),0%,VLOOKUP(A126,'Données projet'!$A$191:$I$211,7,0))</f>
        <v>0</v>
      </c>
      <c r="EV126" s="162" t="str">
        <f>EXP(-LN(2)/35)*EV125+(1-EXP(-LN(2)/35))/(LN(2)/35)*ER126*ES126*VLOOKUP('Données projet'!$B$15,'Paramètres'!$A$1:$I$88,3,0)*0.475*44/12</f>
        <v>#N/A</v>
      </c>
      <c r="EW126" s="162" t="str">
        <f>EXP(-LN(2)/25)*EW125+(1-EXP(-LN(2)/25))/(LN(2)/25)*Calculateur!ER126*Calculateur!ET126*VLOOKUP('Données projet'!$B$15,'Paramètres'!$A$1:$I$88,3,0)*0.475*44/12</f>
        <v>#N/A</v>
      </c>
      <c r="EX126" s="162" t="str">
        <f>EXP(-LN(2)/2)*EX125+(1-EXP(-LN(2)/2))/(LN(2)/2)*ER126*EU126*VLOOKUP('Données projet'!$B$15,'Paramètres'!$A$1:$I$88,3,0)*0.475*44/12</f>
        <v>#N/A</v>
      </c>
      <c r="EY126" s="163" t="str">
        <f t="shared" si="22"/>
        <v>#N/A</v>
      </c>
      <c r="EZ126" s="159">
        <f>('Scénario référence'!$F$8+'Scénario référence'!$F$9+'Scénario référence'!$B$17+'Scénario référence'!$B$9+'Scénario référence'!$B$10)*70+IF((45+25*(1-EXP(-0.0175*A126)))&lt;70,'Scénario référence'!$B$16*(45+25*(1-EXP(-0.0175*A126))),70*'Scénario référence'!$B$16)+IF((32+38*(1-EXP(-0.0175*A126)))&lt;70,'Scénario référence'!$B$18*(32+38*(1-EXP(-0.0175*A126))),70*'Scénario référence'!$B$18)</f>
        <v>70</v>
      </c>
      <c r="FA126" s="151">
        <f>IF(A126&gt;30,10,('Scénario référence'!$B$16+'Scénario référence'!$B$17+'Scénario référence'!$B$18+'Scénario référence'!$B$9+'Scénario référence'!$B$10)*A126*10/30+('Scénario référence'!$F$8+'Scénario référence'!$F$9)*10)</f>
        <v>10</v>
      </c>
      <c r="FB126" s="151" t="str">
        <f>VLOOKUP(A126,'Données projet'!$A$217:$I$237,2,0)</f>
        <v>#N/A</v>
      </c>
      <c r="FC126" s="151" t="str">
        <f>VLOOKUP(A126,'Données projet'!$A$217:$I$237,9,0)</f>
        <v>#N/A</v>
      </c>
      <c r="FD126" s="151" t="str">
        <f t="array" ref="FD126">INDEX(FC:FC,MIN(IF(ISNUMBER(FC126:FC322),ROW(FC126:FC322),"")))</f>
        <v/>
      </c>
      <c r="FE126" s="151">
        <f>IF('Données projet'!$A$218&gt;35,FE125+FD126-FM125,IF(A126&lt;'Données projet'!$A$218,$FB$205^A126,IF(A126='Données projet'!$A$218,'Données projet'!$B$218,FE125+FD126-FM125)))</f>
        <v>0</v>
      </c>
      <c r="FF126" s="158" t="str">
        <f>FE126*VLOOKUP('Données projet'!$B$16,'Paramètres'!$A$1:$I$88,3,0)*VLOOKUP('Données projet'!$B$16,'Paramètres'!$A$1:$I$88,5,0)</f>
        <v>#N/A</v>
      </c>
      <c r="FG126" s="150" t="str">
        <f t="shared" si="48"/>
        <v>#N/A</v>
      </c>
      <c r="FH126" s="161" t="str">
        <f t="shared" si="23"/>
        <v>#N/A</v>
      </c>
      <c r="FI126" s="153" t="str">
        <f t="shared" si="24"/>
        <v>#N/A</v>
      </c>
      <c r="FJ126" s="153" t="str">
        <f>AVERAGE(OFFSET($FI$3,0,0,'Données projet'!$E$16+1,1))-AVERAGE(OFFSET($H$3,0,0,'Données projet'!$E$16+1,1))</f>
        <v>#N/A</v>
      </c>
      <c r="FK126" s="153" t="str">
        <f t="shared" si="49"/>
        <v>#N/A</v>
      </c>
      <c r="FL126" s="154">
        <f>IF(ISNA(VLOOKUP(A126,'Données projet'!$A$217:$I$237,3,0)),0,VLOOKUP(A126,'Données projet'!$A$217:$I$237,3,0))</f>
        <v>0</v>
      </c>
      <c r="FM126" s="154">
        <f>IF(ISNA(VLOOKUP(A126,'Données projet'!$A$217:$I$237,4,0)),0,VLOOKUP(A126,'Données projet'!$A$217:$I$237,4,0))</f>
        <v>0</v>
      </c>
      <c r="FN126" s="155">
        <f>IF(ISNA(VLOOKUP(A126,'Données projet'!$A$217:$I$237,5,0)),0%,VLOOKUP(A126,'Données projet'!$A$217:$I$237,5,0)*VLOOKUP('Données projet'!$B$16,'Paramètres'!$A$1:$I$88,7,0))</f>
        <v>0</v>
      </c>
      <c r="FO126" s="155">
        <f>IF(ISNA(VLOOKUP(A126,'Données projet'!$A$217:$I$237,6,0)),0%,VLOOKUP(A126,'Données projet'!$A$217:$I$237,6,0)*VLOOKUP('Données projet'!$B$16,'Paramètres'!$A$1:$I$88,7,0))</f>
        <v>0</v>
      </c>
      <c r="FP126" s="155">
        <f>IF(ISNA(VLOOKUP(A126,'Données projet'!$A$217:$I$237,7,0)),0%,VLOOKUP(A126,'Données projet'!$A$217:$I$237,7,0))</f>
        <v>0</v>
      </c>
      <c r="FQ126" s="162" t="str">
        <f>EXP(-LN(2)/35)*FQ125+(1-EXP(-LN(2)/35))/(LN(2)/35)*FM126*FN126*VLOOKUP('Données projet'!$B$16,'Paramètres'!$A$1:$I$88,3,0)*0.475*44/12</f>
        <v>#N/A</v>
      </c>
      <c r="FR126" s="162" t="str">
        <f>EXP(-LN(2)/25)*FR125+(1-EXP(-LN(2)/25))/(LN(2)/25)*Calculateur!FM126*Calculateur!FO126*VLOOKUP('Données projet'!$B$16,'Paramètres'!$A$1:$I$88,3,0)*0.475*44/12</f>
        <v>#N/A</v>
      </c>
      <c r="FS126" s="162" t="str">
        <f>EXP(-LN(2)/2)*FS125+(1-EXP(-LN(2)/2))/(LN(2)/2)*FM126*FP126*VLOOKUP('Données projet'!$B$16,'Paramètres'!$A$1:$I$88,3,0)*0.475*44/12</f>
        <v>#N/A</v>
      </c>
      <c r="FT126" s="163" t="str">
        <f t="shared" si="25"/>
        <v>#N/A</v>
      </c>
      <c r="FU126" s="159">
        <f>('Scénario référence'!$F$8+'Scénario référence'!$F$9+'Scénario référence'!$B$17+'Scénario référence'!$B$9+'Scénario référence'!$B$10)*70+IF((45+25*(1-EXP(-0.0175*A126)))&lt;70,'Scénario référence'!$B$16*(45+25*(1-EXP(-0.0175*A126))),70*'Scénario référence'!$B$16)+IF((32+38*(1-EXP(-0.0175*A126)))&lt;70,'Scénario référence'!$B$18*(32+38*(1-EXP(-0.0175*A126))),70*'Scénario référence'!$B$18)</f>
        <v>70</v>
      </c>
      <c r="FV126" s="151">
        <f>IF(A126&gt;30,10,('Scénario référence'!$B$16+'Scénario référence'!$B$17+'Scénario référence'!$B$18+'Scénario référence'!$B$9+'Scénario référence'!$B$10)*A126*10/30+('Scénario référence'!$F$8+'Scénario référence'!$F$9)*10)</f>
        <v>10</v>
      </c>
      <c r="FW126" s="151" t="str">
        <f>VLOOKUP(A126,'Données projet'!$A$243:$I$263,2,0)</f>
        <v>#N/A</v>
      </c>
      <c r="FX126" s="151" t="str">
        <f>VLOOKUP(A126,'Données projet'!$A$243:$I$263,9,0)</f>
        <v>#N/A</v>
      </c>
      <c r="FY126" s="151" t="str">
        <f t="array" ref="FY126">INDEX(FX:FX,MIN(IF(ISNUMBER(FX126:FX322),ROW(FX126:FX322),"")))</f>
        <v/>
      </c>
      <c r="FZ126" s="151">
        <f>IF('Données projet'!$A$244&gt;35,FZ125+FY126-GH125,IF(A126&lt;'Données projet'!$A$244,$FW$205^A126,IF(A126='Données projet'!$A$244,'Données projet'!$B$244,FZ125+FY126-GH125)))</f>
        <v>0</v>
      </c>
      <c r="GA126" s="158" t="str">
        <f>FZ126*VLOOKUP('Données projet'!$B$17,'Paramètres'!$A$1:$I$88,3,0)*VLOOKUP('Données projet'!$B$17,'Paramètres'!$A$1:$I$88,5,0)</f>
        <v>#N/A</v>
      </c>
      <c r="GB126" s="150" t="str">
        <f t="shared" si="50"/>
        <v>#N/A</v>
      </c>
      <c r="GC126" s="161" t="str">
        <f t="shared" si="26"/>
        <v>#N/A</v>
      </c>
      <c r="GD126" s="153" t="str">
        <f t="shared" si="27"/>
        <v>#N/A</v>
      </c>
      <c r="GE126" s="153" t="str">
        <f>AVERAGE(OFFSET($GD$3,0,0,'Données projet'!$E$17+1,1))-AVERAGE(OFFSET($H$3,0,0,'Données projet'!$E$17+1,1))</f>
        <v>#N/A</v>
      </c>
      <c r="GF126" s="153" t="str">
        <f t="shared" si="51"/>
        <v>#N/A</v>
      </c>
      <c r="GG126" s="154">
        <f>IF(ISNA(VLOOKUP(A126,'Données projet'!$A$243:$I$263,3,0)),0,VLOOKUP(A126,'Données projet'!$A$243:$I$263,3,0))</f>
        <v>0</v>
      </c>
      <c r="GH126" s="154">
        <f>IF(ISNA(VLOOKUP(A126,'Données projet'!$A$243:$I$263,4,0)),0,VLOOKUP(A126,'Données projet'!$A$243:$I$263,4,0))</f>
        <v>0</v>
      </c>
      <c r="GI126" s="155">
        <f>IF(ISNA(VLOOKUP(A126,'Données projet'!$A$243:$I$263,5,0)),0%,VLOOKUP(A126,'Données projet'!$A$243:$I$263,5,0)*VLOOKUP('Données projet'!$B$17,'Paramètres'!$A$1:$I$88,7,0))</f>
        <v>0</v>
      </c>
      <c r="GJ126" s="155">
        <f>IF(ISNA(VLOOKUP(A126,'Données projet'!$A$243:$I$263,6,0)),0%,VLOOKUP(A126,'Données projet'!$A$243:$I$263,6,0)*VLOOKUP('Données projet'!$B$17,'Paramètres'!$A$1:$I$88,7,0))</f>
        <v>0</v>
      </c>
      <c r="GK126" s="155">
        <f>IF(ISNA(VLOOKUP(A126,'Données projet'!$A$243:$I$263,7,0)),0%,VLOOKUP(A126,'Données projet'!$A$243:$I$263,7,0))</f>
        <v>0</v>
      </c>
      <c r="GL126" s="162" t="str">
        <f>EXP(-LN(2)/35)*GL125+(1-EXP(-LN(2)/35))/(LN(2)/35)*GH126*GI126*VLOOKUP('Données projet'!$B$17,'Paramètres'!$A$1:$I$88,3,0)*0.475*44/12</f>
        <v>#N/A</v>
      </c>
      <c r="GM126" s="162" t="str">
        <f>EXP(-LN(2)/25)*GM125+(1-EXP(-LN(2)/25))/(LN(2)/25)*Calculateur!GH126*Calculateur!GJ126*VLOOKUP('Données projet'!$B$17,'Paramètres'!$A$1:$I$88,3,0)*0.475*44/12</f>
        <v>#N/A</v>
      </c>
      <c r="GN126" s="162" t="str">
        <f>EXP(-LN(2)/2)*GN125+(1-EXP(-LN(2)/2))/(LN(2)/2)*GH126*GK126*VLOOKUP('Données projet'!$B$17,'Paramètres'!$A$1:$I$88,3,0)*0.475*44/12</f>
        <v>#N/A</v>
      </c>
      <c r="GO126" s="162" t="str">
        <f t="shared" si="28"/>
        <v>#N/A</v>
      </c>
      <c r="GP126" s="159">
        <f>('Scénario référence'!$F$8+'Scénario référence'!$F$9+'Scénario référence'!$B$17+'Scénario référence'!$B$9+'Scénario référence'!$B$10)*70+IF((45+25*(1-EXP(-0.0175*A126)))&lt;70,'Scénario référence'!$B$16*(45+25*(1-EXP(-0.0175*A126))),70*'Scénario référence'!$B$16)+IF((32+38*(1-EXP(-0.0175*A126)))&lt;70,'Scénario référence'!$B$18*(32+38*(1-EXP(-0.0175*A126))),70*'Scénario référence'!$B$18)</f>
        <v>70</v>
      </c>
      <c r="GQ126" s="151">
        <f>IF(A126&gt;30,10,('Scénario référence'!$B$16+'Scénario référence'!$B$17+'Scénario référence'!$B$18+'Scénario référence'!$B$9+'Scénario référence'!$B$10)*A126*10/30+('Scénario référence'!$F$8+'Scénario référence'!$F$9)*10)</f>
        <v>10</v>
      </c>
      <c r="GR126" s="151" t="str">
        <f>VLOOKUP(A126,'Données projet'!$A$269:$I$289,2,0)</f>
        <v>#N/A</v>
      </c>
      <c r="GS126" s="151" t="str">
        <f>VLOOKUP(A126,'Données projet'!$A$269:$I$289,9,0)</f>
        <v>#N/A</v>
      </c>
      <c r="GT126" s="151" t="str">
        <f t="array" ref="GT126">INDEX(GS:GS,MIN(IF(ISNUMBER(GS126:GS322),ROW(GS126:GS322),"")))</f>
        <v/>
      </c>
      <c r="GU126" s="151">
        <f>IF('Données projet'!$A$270&gt;35,GU125+GT126-HC125,IF(A126&lt;'Données projet'!$A$270,$GR$205^A126,IF(A126='Données projet'!$A$270,'Données projet'!$B$270,GU125+GT126-HC125)))</f>
        <v>0</v>
      </c>
      <c r="GV126" s="158" t="str">
        <f>GU126*VLOOKUP('Données projet'!$B$18,'Paramètres'!$A$1:$I$88,3,0)*VLOOKUP('Données projet'!$B$18,'Paramètres'!$A$1:$I$88,5,0)</f>
        <v>#N/A</v>
      </c>
      <c r="GW126" s="150" t="str">
        <f t="shared" si="52"/>
        <v>#N/A</v>
      </c>
      <c r="GX126" s="161" t="str">
        <f t="shared" si="29"/>
        <v>#N/A</v>
      </c>
      <c r="GY126" s="153" t="str">
        <f t="shared" si="30"/>
        <v>#N/A</v>
      </c>
      <c r="GZ126" s="153" t="str">
        <f>AVERAGE(OFFSET($GY$3,0,0,'Données projet'!$E$18+1,1))-AVERAGE(OFFSET($H$3,0,0,'Données projet'!$E$18+1,1))</f>
        <v>#N/A</v>
      </c>
      <c r="HA126" s="153" t="str">
        <f t="shared" si="53"/>
        <v>#N/A</v>
      </c>
      <c r="HB126" s="154">
        <f>IF(ISNA(VLOOKUP(A126,'Données projet'!$A$269:$I$289,3,0)),0,VLOOKUP(A126,'Données projet'!$A$269:$I$289,3,0))</f>
        <v>0</v>
      </c>
      <c r="HC126" s="154">
        <f>IF(ISNA(VLOOKUP(A126,'Données projet'!$A$269:$I$289,4,0)),0,VLOOKUP(A126,'Données projet'!$A$269:$I$289,4,0))</f>
        <v>0</v>
      </c>
      <c r="HD126" s="155">
        <f>IF(ISNA(VLOOKUP(A126,'Données projet'!$A$269:$I$289,5,0)),0%,VLOOKUP(A126,'Données projet'!$A$269:$I$289,5,0)*VLOOKUP('Données projet'!$B$18,'Paramètres'!$A$1:$I$88,7,0))</f>
        <v>0</v>
      </c>
      <c r="HE126" s="155">
        <f>IF(ISNA(VLOOKUP(A126,'Données projet'!$A$269:$I$289,6,0)),0%,VLOOKUP(A126,'Données projet'!$A$269:$I$289,6,0)*VLOOKUP('Données projet'!$B$18,'Paramètres'!$A$1:$I$88,7,0))</f>
        <v>0</v>
      </c>
      <c r="HF126" s="155">
        <f>IF(ISNA(VLOOKUP(A126,'Données projet'!$A$269:$I$289,7,0)),0%,VLOOKUP(A126,'Données projet'!$A$269:$I$289,7,0))</f>
        <v>0</v>
      </c>
      <c r="HG126" s="162" t="str">
        <f>EXP(-LN(2)/35)*HG125+(1-EXP(-LN(2)/35))/(LN(2)/35)*HC126*HD126*VLOOKUP('Données projet'!$B$18,'Paramètres'!$A$1:$I$88,3,0)*0.475*44/12</f>
        <v>#N/A</v>
      </c>
      <c r="HH126" s="162" t="str">
        <f>EXP(-LN(2)/25)*HH125+(1-EXP(-LN(2)/25))/(LN(2)/25)*Calculateur!HC126*Calculateur!HE126*VLOOKUP('Données projet'!$B$18,'Paramètres'!$A$1:$I$88,3,0)*0.475*44/12</f>
        <v>#N/A</v>
      </c>
      <c r="HI126" s="162" t="str">
        <f>EXP(-LN(2)/2)*HI125+(1-EXP(-LN(2)/2))/(LN(2)/2)*HC126*HF126*VLOOKUP('Données projet'!$B$18,'Paramètres'!$A$1:$I$88,3,0)*0.475*44/12</f>
        <v>#N/A</v>
      </c>
      <c r="HJ126" s="163" t="str">
        <f t="shared" si="31"/>
        <v>#N/A</v>
      </c>
    </row>
    <row r="127" ht="15.75" customHeight="1">
      <c r="A127" s="145">
        <f t="shared" si="32"/>
        <v>124</v>
      </c>
      <c r="B127" s="146">
        <f>'Scénario référence'!$B$16*5+'Scénario référence'!$B$17*0+'Scénario référence'!$B$18*5</f>
        <v>0</v>
      </c>
      <c r="C127" s="160">
        <f>Calculateur!C126+'Scénario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27" s="147">
        <f t="shared" si="33"/>
        <v>0</v>
      </c>
      <c r="E127" s="147">
        <f>'Scénario référence'!$B$16*45+('Scénario référence'!$B$17+'Scénario référence'!$F$8+'Scénario référence'!$F$9+'Scénario référence'!$B$10+'Scénario référence'!$B$9)*70+'Scénario référence'!$B$18*32</f>
        <v>70</v>
      </c>
      <c r="F127" s="147">
        <f>IF(OR('Scénario référence'!$F$8&gt;0,'Scénario référence'!$F$9&gt;0),('Scénario référence'!$F$8+'Scénario référence'!$F$9)*10,0)</f>
        <v>0</v>
      </c>
      <c r="G127" s="147">
        <f>'Scénario référence'!$B$8*B127*44/12+'Scénario référence'!$B$9*(C127+D127)/0.475*44/12+'Scénario référence'!$B$10*(C127+D127)/0.475*44/12+'Scénario référence'!$F$8*(C127+D127)/0.475*44/12+'Scénario référence'!$F$9*(C127+D127)/0.475*44/12</f>
        <v>0</v>
      </c>
      <c r="H127" s="148">
        <f t="shared" si="1"/>
        <v>256.6666667</v>
      </c>
      <c r="I127" s="149">
        <f>('Scénario référence'!$F$8+'Scénario référence'!$F$9+'Scénario référence'!$B$17+'Scénario référence'!$B$9+'Scénario référence'!$B$10)*70+IF((45+25*(1-EXP(-0.0175*A127)))&lt;70,'Scénario référence'!$B$16*(45+25*(1-EXP(-0.0175*A127))),70*'Scénario référence'!$B$16)+IF((32+38*(1-EXP(-0.0175*A127)))&lt;70,'Scénario référence'!$B$18*(32+38*(1-EXP(-0.0175*A127))),70*'Scénario référence'!$B$18)</f>
        <v>70</v>
      </c>
      <c r="J127" s="150">
        <f>IF(A127&gt;30,10,('Scénario référence'!$B$16+'Scénario référence'!$B$17+'Scénario référence'!$B$18+'Scénario référence'!$B$9+'Scénario référence'!$B$10)*A127*10/30+('Scénario référence'!$F$8+'Scénario référence'!$F$9)*10)</f>
        <v>10</v>
      </c>
      <c r="K127" s="151" t="str">
        <f>VLOOKUP(A127,'Données projet'!$A$35:$I$55,2,0)</f>
        <v>#N/A</v>
      </c>
      <c r="L127" s="151" t="str">
        <f>VLOOKUP(A127,'Données projet'!$A$35:$I$55,9,0)</f>
        <v>#N/A</v>
      </c>
      <c r="M127" s="151" t="str">
        <f t="array" ref="M127">INDEX(L:L,MIN(IF(ISNUMBER(L127:L323),ROW(L127:L323),"")))</f>
        <v/>
      </c>
      <c r="N127" s="150">
        <f>IF('Données projet'!$A$36&gt;35,N126+M127-V126,IF(A127&lt;'Données projet'!$A$36,$K$205^A127,IF(A127='Données projet'!$A$36,'Données projet'!$B$36,N126+M127-V126)))</f>
        <v>307</v>
      </c>
      <c r="O127" s="150">
        <f>N127*VLOOKUP('Données projet'!$B$9,'Paramètres'!$A$1:$I$88,3,0)*VLOOKUP('Données projet'!$B$9,'Paramètres'!$A$1:$I$88,5,0)</f>
        <v>277.7736</v>
      </c>
      <c r="P127" s="150">
        <f t="shared" si="34"/>
        <v>66.49628818</v>
      </c>
      <c r="Q127" s="161">
        <f t="shared" si="2"/>
        <v>599.6033886</v>
      </c>
      <c r="R127" s="153">
        <f t="shared" si="3"/>
        <v>892.9367219</v>
      </c>
      <c r="S127" s="153">
        <f>AVERAGE(OFFSET($R$3,0,0,'Données projet'!$E$9+1,1))-AVERAGE(OFFSET($H$3,0,0,'Données projet'!$E$9+1,1))</f>
        <v>439.1985427</v>
      </c>
      <c r="T127" s="153">
        <f t="shared" si="35"/>
        <v>278.2174123</v>
      </c>
      <c r="U127" s="154">
        <f>IF(ISNA(VLOOKUP(A127,'Données projet'!$A$35:$I$55,3,0)),0,VLOOKUP(A127,'Données projet'!$A$35:$I$55,3,0))</f>
        <v>0</v>
      </c>
      <c r="V127" s="154">
        <f>IF(ISNA(VLOOKUP(A127,'Données projet'!$A$35:$I$55,4,0)),0,VLOOKUP(A127,'Données projet'!$A$35:$I$55,4,0))</f>
        <v>0</v>
      </c>
      <c r="W127" s="155">
        <f>IF(ISNA(VLOOKUP(A127,'Données projet'!$A$35:$I$55,5,0)),0%,VLOOKUP(A127,'Données projet'!$A$35:$I$55,5,0)*VLOOKUP('Données projet'!$B$9,'Paramètres'!$A$1:$I$88,7,0))</f>
        <v>0</v>
      </c>
      <c r="X127" s="155">
        <f>IF(ISNA(VLOOKUP(A127,'Données projet'!$A$35:$I$55,6,0)),0%,VLOOKUP(A127,'Données projet'!$A$35:$I$55,6,0)*VLOOKUP('Données projet'!$B$9,'Paramètres'!$A$1:$I$88,7,0))</f>
        <v>0</v>
      </c>
      <c r="Y127" s="155">
        <f>IF(ISNA(VLOOKUP(A127,'Données projet'!$A$35:$I$55,7,0)),0%,VLOOKUP(A127,'Données projet'!$A$35:$I$55,7,0))</f>
        <v>0</v>
      </c>
      <c r="Z127" s="162">
        <f>EXP(-LN(2)/35)*Z126+(1-EXP(-LN(2)/35))/(LN(2)/35)*V127*W127*VLOOKUP('Données projet'!$B$9,'Paramètres'!$A$1:$I$88,3,0)*0.475*44/12</f>
        <v>0</v>
      </c>
      <c r="AA127" s="162">
        <f>EXP(-LN(2)/25)*AA126+(1-EXP(-LN(2)/25))/(LN(2)/25)*Calculateur!V127*Calculateur!X127*VLOOKUP('Données projet'!$B$9,'Paramètres'!$A$1:$I$88,3,0)*0.475*44/12</f>
        <v>0.3312374978</v>
      </c>
      <c r="AB127" s="162">
        <f>EXP(-LN(2)/2)*AB126+(1-EXP(-LN(2)/2))/(LN(2)/2)*V127*Y127*VLOOKUP('Données projet'!$B$9,'Paramètres'!$A$1:$I$88,3,0)*0.475*44/12</f>
        <v>0</v>
      </c>
      <c r="AC127" s="163">
        <f t="shared" si="4"/>
        <v>0.3312374978</v>
      </c>
      <c r="AD127" s="150">
        <f>('Scénario référence'!$F$8+'Scénario référence'!$F$9+'Scénario référence'!$B$17+'Scénario référence'!$B$9+'Scénario référence'!$B$10)*70+IF((45+25*(1-EXP(-0.0175*A127)))&lt;70,'Scénario référence'!$B$16*(45+25*(1-EXP(-0.0175*A127))),70*'Scénario référence'!$B$16)+IF((32+38*(1-EXP(-0.0175*A127)))&lt;70,'Scénario référence'!$B$18*(32+38*(1-EXP(-0.0175*A127))),70*'Scénario référence'!$B$18)</f>
        <v>70</v>
      </c>
      <c r="AE127" s="150">
        <f>IF(A127&gt;30,10,('Scénario référence'!$B$16+'Scénario référence'!$B$17+'Scénario référence'!$B$18+'Scénario référence'!$B$9+'Scénario référence'!$B$10)*A127*10/30+('Scénario référence'!$F$8+'Scénario référence'!$F$9)*10)</f>
        <v>10</v>
      </c>
      <c r="AF127" s="151" t="str">
        <f>VLOOKUP(A127,'Données projet'!$A$61:$I$81,2,0)</f>
        <v>#N/A</v>
      </c>
      <c r="AG127" s="151" t="str">
        <f>VLOOKUP(A127,'Données projet'!$A$61:$I$81,9,0)</f>
        <v>#N/A</v>
      </c>
      <c r="AH127" s="151" t="str">
        <f t="array" ref="AH127">INDEX(AG:AG,MIN(IF(ISNUMBER(AG127:AG323),ROW(AG127:AG323),"")))</f>
        <v/>
      </c>
      <c r="AI127" s="150">
        <f>IF('Données projet'!$A$62&gt;35,AI126+AH127-AQ126,IF(A127&lt;'Données projet'!$A$62,$AF$205^A127,IF(A127='Données projet'!$A$62,'Données projet'!$B$62,AI126+AH127-AQ126)))</f>
        <v>369</v>
      </c>
      <c r="AJ127" s="150">
        <f>AI127*VLOOKUP('Données projet'!$B$10,'Paramètres'!$A$1:$I$88,3,0)*VLOOKUP('Données projet'!$B$10,'Paramètres'!$A$1:$I$88,5,0)</f>
        <v>293.5764</v>
      </c>
      <c r="AK127" s="150">
        <f t="shared" si="36"/>
        <v>69.82813851</v>
      </c>
      <c r="AL127" s="161">
        <f t="shared" si="5"/>
        <v>632.9295712</v>
      </c>
      <c r="AM127" s="153">
        <f t="shared" si="6"/>
        <v>926.2629046</v>
      </c>
      <c r="AN127" s="153">
        <f>AVERAGE(OFFSET($AM$3,0,0,'Données projet'!$E$10+1,1))-AVERAGE(OFFSET($H$3,0,0,'Données projet'!$E$10+1,1))</f>
        <v>405.6113614</v>
      </c>
      <c r="AO127" s="153">
        <f t="shared" si="37"/>
        <v>393.0787141</v>
      </c>
      <c r="AP127" s="154">
        <f>IF(ISNA(VLOOKUP(A127,'Données projet'!$A$61:$I$81,3,0)),0,VLOOKUP(A127,'Données projet'!$A$61:$I$81,3,0))</f>
        <v>0</v>
      </c>
      <c r="AQ127" s="154">
        <f>IF(ISNA(VLOOKUP(A127,'Données projet'!$A$61:$I$81,4,0)),0,VLOOKUP(A127,'Données projet'!$A$61:$I$81,4,0))</f>
        <v>0</v>
      </c>
      <c r="AR127" s="155">
        <f>IF(ISNA(VLOOKUP(A127,'Données projet'!$A$61:$I$81,5,0)),0%,VLOOKUP(A127,'Données projet'!$A$61:$I$81,5,0)*VLOOKUP('Données projet'!$B$10,'Paramètres'!$A$1:$I$88,7,0))</f>
        <v>0</v>
      </c>
      <c r="AS127" s="155">
        <f>IF(ISNA(VLOOKUP(A127,'Données projet'!$A$61:$I$81,6,0)),0%,VLOOKUP(A127,'Données projet'!$A$61:$I$81,6,0)*VLOOKUP('Données projet'!$B$10,'Paramètres'!$A$1:$I$88,7,0))</f>
        <v>0</v>
      </c>
      <c r="AT127" s="155">
        <f>IF(ISNA(VLOOKUP(A127,'Données projet'!$A$61:$I$81,7,0)),0%,VLOOKUP(A127,'Données projet'!$A$61:$I$81,7,0))</f>
        <v>0</v>
      </c>
      <c r="AU127" s="162">
        <f>EXP(-LN(2)/35)*AU126+(1-EXP(-LN(2)/35))/(LN(2)/35)*AQ127*AR127*VLOOKUP('Données projet'!$B$10,'Paramètres'!$A$1:$I$88,3,0)*0.475*44/12</f>
        <v>0</v>
      </c>
      <c r="AV127" s="162">
        <f>EXP(-LN(2)/25)*AV126+(1-EXP(-LN(2)/25))/(LN(2)/25)*Calculateur!AQ127*Calculateur!AS127*VLOOKUP('Données projet'!$B$10,'Paramètres'!$A$1:$I$88,3,0)*0.475*44/12</f>
        <v>1.346233395</v>
      </c>
      <c r="AW127" s="162">
        <f>EXP(-LN(2)/2)*AW126+(1-EXP(-LN(2)/2))/(LN(2)/2)*AQ127*AT127*VLOOKUP('Données projet'!$B$10,'Paramètres'!$A$1:$I$88,3,0)*0.475*44/12</f>
        <v>0</v>
      </c>
      <c r="AX127" s="162">
        <f t="shared" si="7"/>
        <v>1.346233395</v>
      </c>
      <c r="AY127" s="157">
        <f>('Scénario référence'!$F$8+'Scénario référence'!$F$9+'Scénario référence'!$B$17+'Scénario référence'!$B$9+'Scénario référence'!$B$10)*70+IF((45+25*(1-EXP(-0.0175*A127)))&lt;70,'Scénario référence'!$B$16*(45+25*(1-EXP(-0.0175*A127))),70*'Scénario référence'!$B$16)+IF((32+38*(1-EXP(-0.0175*A127)))&lt;70,'Scénario référence'!$B$18*(32+38*(1-EXP(-0.0175*A127))),70*'Scénario référence'!$B$18)</f>
        <v>70</v>
      </c>
      <c r="AZ127" s="151">
        <f>IF(A127&gt;30,10,('Scénario référence'!$B$16+'Scénario référence'!$B$17+'Scénario référence'!$B$18+'Scénario référence'!$B$9+'Scénario référence'!$B$10)*A127*10/30+('Scénario référence'!$F$8+'Scénario référence'!$F$9)*10)</f>
        <v>10</v>
      </c>
      <c r="BA127" s="151" t="str">
        <f>VLOOKUP(A127,'Données projet'!$A$87:$I$107,2,0)</f>
        <v>#N/A</v>
      </c>
      <c r="BB127" s="151" t="str">
        <f>VLOOKUP(A127,'Données projet'!$A$87:$I$107,9,0)</f>
        <v>#N/A</v>
      </c>
      <c r="BC127" s="151" t="str">
        <f t="array" ref="BC127">INDEX(BB:BB,MIN(IF(ISNUMBER(BB127:BB323),ROW(BB127:BB323),"")))</f>
        <v/>
      </c>
      <c r="BD127" s="150">
        <f>IF('Données projet'!$A$88&gt;35,BD126+BC127-BL126,IF(A127&lt;'Données projet'!$A$88,$BA$205^A127,IF(A127='Données projet'!$A$88,'Données projet'!$B$88,BD126+BC127-BL126)))</f>
        <v>0</v>
      </c>
      <c r="BE127" s="150">
        <f>BD127*VLOOKUP('Données projet'!$B$11,'Paramètres'!$A$1:$I$88,3,0)*VLOOKUP('Données projet'!$B$11,'Paramètres'!$A$1:$I$88,5,0)</f>
        <v>0</v>
      </c>
      <c r="BF127" s="150" t="str">
        <f t="shared" si="38"/>
        <v>#NUM!</v>
      </c>
      <c r="BG127" s="161" t="str">
        <f t="shared" si="8"/>
        <v>#NUM!</v>
      </c>
      <c r="BH127" s="153" t="str">
        <f t="shared" si="9"/>
        <v>#NUM!</v>
      </c>
      <c r="BI127" s="153">
        <f>AVERAGE(OFFSET($BH$3,0,0,'Données projet'!$E$11+1,1))-AVERAGE(OFFSET($H$3,0,0,'Données projet'!$E$11+1,1))</f>
        <v>0</v>
      </c>
      <c r="BJ127" s="153">
        <f t="shared" si="39"/>
        <v>0</v>
      </c>
      <c r="BK127" s="154">
        <f>IF(ISNA(VLOOKUP(A127,'Données projet'!$A$87:$I$107,3,0)),0,VLOOKUP(A127,'Données projet'!$A$87:$I$107,3,0))</f>
        <v>0</v>
      </c>
      <c r="BL127" s="154">
        <f>IF(ISNA(VLOOKUP(A127,'Données projet'!$A$87:$I$107,4,0)),0,VLOOKUP(A127,'Données projet'!$A$87:$I$107,4,0))</f>
        <v>0</v>
      </c>
      <c r="BM127" s="155">
        <f>IF(ISNA(VLOOKUP(A127,'Données projet'!$A$87:$I$107,5,0)),0%,VLOOKUP(A127,'Données projet'!$A$87:$I$107,5,0)*VLOOKUP('Données projet'!$B$11,'Paramètres'!$A$1:$I$88,7,0))</f>
        <v>0</v>
      </c>
      <c r="BN127" s="155">
        <f>IF(ISNA(VLOOKUP(A127,'Données projet'!$A$87:$I$107,6,0)),0%,VLOOKUP(A127,'Données projet'!$A$87:$I$107,6,0)*VLOOKUP('Données projet'!$B$11,'Paramètres'!$A$1:$I$88,7,0))</f>
        <v>0</v>
      </c>
      <c r="BO127" s="155">
        <f>IF(ISNA(VLOOKUP(A127,'Données projet'!$A$87:$I$107,7,0)),0%,VLOOKUP(A127,'Données projet'!$A$87:$I$107,7,0))</f>
        <v>0</v>
      </c>
      <c r="BP127" s="162">
        <f>EXP(-LN(2)/35)*BP126+(1-EXP(-LN(2)/35))/(LN(2)/35)*BL127*BM127*VLOOKUP('Données projet'!$B$11,'Paramètres'!$A$1:$I$88,3,0)*0.475*44/12</f>
        <v>0</v>
      </c>
      <c r="BQ127" s="162">
        <f>EXP(-LN(2)/25)*BQ126+(1-EXP(-LN(2)/25))/(LN(2)/25)*Calculateur!BL127*Calculateur!BN127*VLOOKUP('Données projet'!$B$11,'Paramètres'!$A$1:$I$88,3,0)*0.475*44/12</f>
        <v>0</v>
      </c>
      <c r="BR127" s="162">
        <f>EXP(-LN(2)/2)*BR126+(1-EXP(-LN(2)/2))/(LN(2)/2)*BL127*BO127*VLOOKUP('Données projet'!$B$11,'Paramètres'!$A$1:$I$88,3,0)*0.475*44/12</f>
        <v>0</v>
      </c>
      <c r="BS127" s="163">
        <f t="shared" si="10"/>
        <v>0</v>
      </c>
      <c r="BT127" s="159">
        <f>('Scénario référence'!$F$8+'Scénario référence'!$F$9+'Scénario référence'!$B$17+'Scénario référence'!$B$9+'Scénario référence'!$B$10)*70+IF((45+25*(1-EXP(-0.0175*A127)))&lt;70,'Scénario référence'!$B$16*(45+25*(1-EXP(-0.0175*A127))),70*'Scénario référence'!$B$16)+IF((32+38*(1-EXP(-0.0175*A127)))&lt;70,'Scénario référence'!$B$18*(32+38*(1-EXP(-0.0175*A127))),70*'Scénario référence'!$B$18)</f>
        <v>70</v>
      </c>
      <c r="BU127" s="151">
        <f>IF(A127&gt;30,10,('Scénario référence'!$B$16+'Scénario référence'!$B$17+'Scénario référence'!$B$18+'Scénario référence'!$B$9+'Scénario référence'!$B$10)*A127*10/30+('Scénario référence'!$F$8+'Scénario référence'!$F$9)*10)</f>
        <v>10</v>
      </c>
      <c r="BV127" s="151" t="str">
        <f>VLOOKUP(A127,'Données projet'!$A$113:$I$133,2,0)</f>
        <v>#N/A</v>
      </c>
      <c r="BW127" s="151" t="str">
        <f>VLOOKUP(A127,'Données projet'!$A$113:$I$133,9,0)</f>
        <v>#N/A</v>
      </c>
      <c r="BX127" s="151" t="str">
        <f t="array" ref="BX127">INDEX(BW:BW,MIN(IF(ISNUMBER(BW127:BW323),ROW(BW127:BW323),"")))</f>
        <v/>
      </c>
      <c r="BY127" s="150">
        <f>IF('Données projet'!$A$114&gt;35,BY126+BX127-CG126,IF(A127&lt;'Données projet'!$A$114,$BV$205^A127,IF(A127='Données projet'!$A$114,'Données projet'!$B$114,BY126+BX127-CG126)))</f>
        <v>0</v>
      </c>
      <c r="BZ127" s="150" t="str">
        <f>BY127*VLOOKUP('Données projet'!$B$12,'Paramètres'!$A$1:$I$88,3,0)*VLOOKUP('Données projet'!$B$12,'Paramètres'!$A$1:$I$88,5,0)</f>
        <v>#N/A</v>
      </c>
      <c r="CA127" s="150" t="str">
        <f t="shared" si="40"/>
        <v>#N/A</v>
      </c>
      <c r="CB127" s="161" t="str">
        <f t="shared" si="11"/>
        <v>#N/A</v>
      </c>
      <c r="CC127" s="153" t="str">
        <f t="shared" si="12"/>
        <v>#N/A</v>
      </c>
      <c r="CD127" s="153" t="str">
        <f>AVERAGE(OFFSET($CC$3,0,0,'Données projet'!$E$12+1,1))-AVERAGE(OFFSET($H$3,0,0,'Données projet'!$E$12+1,1))</f>
        <v>#N/A</v>
      </c>
      <c r="CE127" s="153" t="str">
        <f t="shared" si="41"/>
        <v>#N/A</v>
      </c>
      <c r="CF127" s="154">
        <f>IF(ISNA(VLOOKUP(A127,'Données projet'!$A$113:$I$133,3,0)),0,VLOOKUP(A127,'Données projet'!$A$113:$I$133,3,0))</f>
        <v>0</v>
      </c>
      <c r="CG127" s="154">
        <f>IF(ISNA(VLOOKUP(A127,'Données projet'!$A$113:$I$133,4,0)),0,VLOOKUP(A127,'Données projet'!$A$113:$I$133,4,0))</f>
        <v>0</v>
      </c>
      <c r="CH127" s="155">
        <f>IF(ISNA(VLOOKUP(A127,'Données projet'!$A$113:$I$133,5,0)),0%,VLOOKUP(A127,'Données projet'!$A$113:$I$133,5,0)*VLOOKUP('Données projet'!$B$12,'Paramètres'!$A$1:$I$88,7,0))</f>
        <v>0</v>
      </c>
      <c r="CI127" s="155">
        <f>IF(ISNA(VLOOKUP(A127,'Données projet'!$A$113:$I$133,6,0)),0%,VLOOKUP(A127,'Données projet'!$A$113:$I$133,6,0)*VLOOKUP('Données projet'!$B$12,'Paramètres'!$A$1:$I$88,7,0))</f>
        <v>0</v>
      </c>
      <c r="CJ127" s="155">
        <f>IF(ISNA(VLOOKUP(A127,'Données projet'!$A$113:$I$133,7,0)),0%,VLOOKUP(A127,'Données projet'!$A$113:$I$133,7,0))</f>
        <v>0</v>
      </c>
      <c r="CK127" s="162" t="str">
        <f>EXP(-LN(2)/35)*CK126+(1-EXP(-LN(2)/35))/(LN(2)/35)*CG127*CH127*VLOOKUP('Données projet'!$B$12,'Paramètres'!$A$1:$I$88,3,0)*0.475*44/12</f>
        <v>#N/A</v>
      </c>
      <c r="CL127" s="162" t="str">
        <f>EXP(-LN(2)/25)*CL126+(1-EXP(-LN(2)/25))/(LN(2)/25)*Calculateur!CG127*Calculateur!CI127*VLOOKUP('Données projet'!$B$12,'Paramètres'!$A$1:$I$88,3,0)*0.475*44/12</f>
        <v>#N/A</v>
      </c>
      <c r="CM127" s="162" t="str">
        <f>EXP(-LN(2)/2)*CM126+(1-EXP(-LN(2)/2))/(LN(2)/2)*CG127*CJ127*VLOOKUP('Données projet'!$B$12,'Paramètres'!$A$1:$I$88,3,0)*0.475*44/12</f>
        <v>#N/A</v>
      </c>
      <c r="CN127" s="163" t="str">
        <f t="shared" si="13"/>
        <v>#N/A</v>
      </c>
      <c r="CO127" s="159">
        <f>('Scénario référence'!$F$8+'Scénario référence'!$F$9+'Scénario référence'!$B$17+'Scénario référence'!$B$9+'Scénario référence'!$B$10)*70+IF((45+25*(1-EXP(-0.0175*A127)))&lt;70,'Scénario référence'!$B$16*(45+25*(1-EXP(-0.0175*A127))),70*'Scénario référence'!$B$16)+IF((32+38*(1-EXP(-0.0175*A127)))&lt;70,'Scénario référence'!$B$18*(32+38*(1-EXP(-0.0175*A127))),70*'Scénario référence'!$B$18)</f>
        <v>70</v>
      </c>
      <c r="CP127" s="151">
        <f>IF(A127&gt;30,10,('Scénario référence'!$B$16+'Scénario référence'!$B$17+'Scénario référence'!$B$18+'Scénario référence'!$B$9+'Scénario référence'!$B$10)*A127*10/30+('Scénario référence'!$F$8+'Scénario référence'!$F$9)*10)</f>
        <v>10</v>
      </c>
      <c r="CQ127" s="151" t="str">
        <f>VLOOKUP(A127,'Données projet'!$A$139:$I$159,2,0)</f>
        <v>#N/A</v>
      </c>
      <c r="CR127" s="151" t="str">
        <f>VLOOKUP(A127,'Données projet'!$A$139:$I$159,9,0)</f>
        <v>#N/A</v>
      </c>
      <c r="CS127" s="151" t="str">
        <f t="array" ref="CS127">INDEX(CR:CR,MIN(IF(ISNUMBER(CR127:CR323),ROW(CR127:CR323),"")))</f>
        <v/>
      </c>
      <c r="CT127" s="151">
        <f>IF('Données projet'!$A$140&gt;35,CT126+CS127-DB126,IF(A127&lt;'Données projet'!$A$140,$CQ$205^A127,IF(A127='Données projet'!$A$140,'Données projet'!$B$140,CT126+CS127-DB126)))</f>
        <v>0</v>
      </c>
      <c r="CU127" s="158" t="str">
        <f>CT127*VLOOKUP('Données projet'!$B$13,'Paramètres'!$A$1:$I$88,3,0)*VLOOKUP('Données projet'!$B$13,'Paramètres'!$A$1:$I$88,5,0)</f>
        <v>#N/A</v>
      </c>
      <c r="CV127" s="150" t="str">
        <f t="shared" si="42"/>
        <v>#N/A</v>
      </c>
      <c r="CW127" s="161" t="str">
        <f t="shared" si="14"/>
        <v>#N/A</v>
      </c>
      <c r="CX127" s="153" t="str">
        <f t="shared" si="15"/>
        <v>#N/A</v>
      </c>
      <c r="CY127" s="153" t="str">
        <f>AVERAGE(OFFSET($CX$3,0,0,'Données projet'!$E$13+1,1))-AVERAGE(OFFSET($H$3,0,0,'Données projet'!$E$13+1,1))</f>
        <v>#N/A</v>
      </c>
      <c r="CZ127" s="153" t="str">
        <f t="shared" si="43"/>
        <v>#N/A</v>
      </c>
      <c r="DA127" s="154">
        <f>IF(ISNA(VLOOKUP(A127,'Données projet'!$A$139:$I$159,3,0)),0,VLOOKUP(A127,'Données projet'!$A$139:$I$159,3,0))</f>
        <v>0</v>
      </c>
      <c r="DB127" s="154">
        <f>IF(ISNA(VLOOKUP(A127,'Données projet'!$A$139:$I$159,4,0)),0,VLOOKUP(A127,'Données projet'!$A$139:$I$159,4,0))</f>
        <v>0</v>
      </c>
      <c r="DC127" s="155">
        <f>IF(ISNA(VLOOKUP(A127,'Données projet'!$A$139:$I$159,5,0)),0%,VLOOKUP(A127,'Données projet'!$A$139:$I$159,5,0)*VLOOKUP('Données projet'!$B$13,'Paramètres'!$A$1:$I$88,7,0))</f>
        <v>0</v>
      </c>
      <c r="DD127" s="155">
        <f>IF(ISNA(VLOOKUP(A127,'Données projet'!$A$139:$I$159,6,0)),0%,VLOOKUP(A127,'Données projet'!$A$139:$I$159,6,0)*VLOOKUP('Données projet'!$B$13,'Paramètres'!$A$1:$I$88,7,0))</f>
        <v>0</v>
      </c>
      <c r="DE127" s="155">
        <f>IF(ISNA(VLOOKUP(A127,'Données projet'!$A$139:$I$159,7,0)),0%,VLOOKUP(A127,'Données projet'!$A$139:$I$159,7,0))</f>
        <v>0</v>
      </c>
      <c r="DF127" s="162" t="str">
        <f>EXP(-LN(2)/35)*DF126+(1-EXP(-LN(2)/35))/(LN(2)/35)*DB127*DC127*VLOOKUP('Données projet'!$B$13,'Paramètres'!$A$1:$I$88,3,0)*0.475*44/12</f>
        <v>#N/A</v>
      </c>
      <c r="DG127" s="162" t="str">
        <f>EXP(-LN(2)/25)*DG126+(1-EXP(-LN(2)/25))/(LN(2)/25)*Calculateur!DB127*Calculateur!DD127*VLOOKUP('Données projet'!$B$13,'Paramètres'!$A$1:$I$88,3,0)*0.475*44/12</f>
        <v>#N/A</v>
      </c>
      <c r="DH127" s="162" t="str">
        <f>EXP(-LN(2)/2)*DH126+(1-EXP(-LN(2)/2))/(LN(2)/2)*DB127*DE127*VLOOKUP('Données projet'!$B$13,'Paramètres'!$A$1:$I$88,3,0)*0.475*44/12</f>
        <v>#N/A</v>
      </c>
      <c r="DI127" s="163" t="str">
        <f t="shared" si="16"/>
        <v>#N/A</v>
      </c>
      <c r="DJ127" s="159">
        <f>('Scénario référence'!$F$8+'Scénario référence'!$F$9+'Scénario référence'!$B$17+'Scénario référence'!$B$9+'Scénario référence'!$B$10)*70+IF((45+25*(1-EXP(-0.0175*A127)))&lt;70,'Scénario référence'!$B$16*(45+25*(1-EXP(-0.0175*A127))),70*'Scénario référence'!$B$16)+IF((32+38*(1-EXP(-0.0175*A127)))&lt;70,'Scénario référence'!$B$18*(32+38*(1-EXP(-0.0175*A127))),70*'Scénario référence'!$B$18)</f>
        <v>70</v>
      </c>
      <c r="DK127" s="151">
        <f>IF(A127&gt;30,10,('Scénario référence'!$B$16+'Scénario référence'!$B$17+'Scénario référence'!$B$18+'Scénario référence'!$B$9+'Scénario référence'!$B$10)*A127*10/30+('Scénario référence'!$F$8+'Scénario référence'!$F$9)*10)</f>
        <v>10</v>
      </c>
      <c r="DL127" s="151" t="str">
        <f>VLOOKUP(A127,'Données projet'!$A$165:$I$185,2,0)</f>
        <v>#N/A</v>
      </c>
      <c r="DM127" s="151" t="str">
        <f>VLOOKUP(A127,'Données projet'!$A$165:$I$185,9,0)</f>
        <v>#N/A</v>
      </c>
      <c r="DN127" s="151" t="str">
        <f t="array" ref="DN127">INDEX(DM:DM,MIN(IF(ISNUMBER(DM127:DM323),ROW(DM127:DM323),"")))</f>
        <v/>
      </c>
      <c r="DO127" s="151">
        <f>IF('Données projet'!$A$166&gt;35,DO126+DN127-DW126,IF(A127&lt;'Données projet'!$A$166,$DL$205^A127,IF(A127='Données projet'!$A$166,'Données projet'!$B$166,DO126+DN127-DW126)))</f>
        <v>0</v>
      </c>
      <c r="DP127" s="158" t="str">
        <f>DO127*VLOOKUP('Données projet'!$B$14,'Paramètres'!$A$1:$I$88,3,0)*VLOOKUP('Données projet'!$B$14,'Paramètres'!$A$1:$I$88,5,0)</f>
        <v>#N/A</v>
      </c>
      <c r="DQ127" s="150" t="str">
        <f t="shared" si="44"/>
        <v>#N/A</v>
      </c>
      <c r="DR127" s="161" t="str">
        <f t="shared" si="17"/>
        <v>#N/A</v>
      </c>
      <c r="DS127" s="153" t="str">
        <f t="shared" si="18"/>
        <v>#N/A</v>
      </c>
      <c r="DT127" s="153" t="str">
        <f>AVERAGE(OFFSET($DS$3,0,0,'Données projet'!$E$14+1,1))-AVERAGE(OFFSET($H$3,0,0,'Données projet'!$E$14+1,1))</f>
        <v>#N/A</v>
      </c>
      <c r="DU127" s="153" t="str">
        <f t="shared" si="45"/>
        <v>#N/A</v>
      </c>
      <c r="DV127" s="154">
        <f>IF(ISNA(VLOOKUP(A127,'Données projet'!$A$165:$I$185,3,0)),0,VLOOKUP(A127,'Données projet'!$A$165:$I$185,3,0))</f>
        <v>0</v>
      </c>
      <c r="DW127" s="154">
        <f>IF(ISNA(VLOOKUP(A127,'Données projet'!$A$165:$I$185,4,0)),0,VLOOKUP(A127,'Données projet'!$A$165:$I$185,4,0))</f>
        <v>0</v>
      </c>
      <c r="DX127" s="155">
        <f>IF(ISNA(VLOOKUP(A127,'Données projet'!$A$165:$I$185,5,0)),0%,VLOOKUP(A127,'Données projet'!$A$165:$I$185,5,0)*VLOOKUP('Données projet'!$B$14,'Paramètres'!$A$1:$I$88,7,0))</f>
        <v>0</v>
      </c>
      <c r="DY127" s="155">
        <f>IF(ISNA(VLOOKUP(A127,'Données projet'!$A$165:$I$185,6,0)),0%,VLOOKUP(A127,'Données projet'!$A$165:$I$185,6,0)*VLOOKUP('Données projet'!$B$14,'Paramètres'!$A$1:$I$88,7,0))</f>
        <v>0</v>
      </c>
      <c r="DZ127" s="155">
        <f>IF(ISNA(VLOOKUP(A127,'Données projet'!$A$165:$I$185,7,0)),0%,VLOOKUP(A127,'Données projet'!$A$165:$I$185,7,0))</f>
        <v>0</v>
      </c>
      <c r="EA127" s="162" t="str">
        <f>EXP(-LN(2)/35)*EA126+(1-EXP(-LN(2)/35))/(LN(2)/35)*DW127*DX127*VLOOKUP('Données projet'!$B$14,'Paramètres'!$A$1:$I$88,3,0)*0.475*44/12</f>
        <v>#N/A</v>
      </c>
      <c r="EB127" s="162" t="str">
        <f>EXP(-LN(2)/25)*EB126+(1-EXP(-LN(2)/25))/(LN(2)/25)*Calculateur!DW127*Calculateur!DY127*VLOOKUP('Données projet'!$B$14,'Paramètres'!$A$1:$I$88,3,0)*0.475*44/12</f>
        <v>#N/A</v>
      </c>
      <c r="EC127" s="162" t="str">
        <f>EXP(-LN(2)/2)*EC126+(1-EXP(-LN(2)/2))/(LN(2)/2)*DW127*DZ127*VLOOKUP('Données projet'!$B$14,'Paramètres'!$A$1:$I$88,3,0)*0.475*44/12</f>
        <v>#N/A</v>
      </c>
      <c r="ED127" s="163" t="str">
        <f t="shared" si="19"/>
        <v>#N/A</v>
      </c>
      <c r="EE127" s="159">
        <f>('Scénario référence'!$F$8+'Scénario référence'!$F$9+'Scénario référence'!$B$17+'Scénario référence'!$B$9+'Scénario référence'!$B$10)*70+IF((45+25*(1-EXP(-0.0175*A127)))&lt;70,'Scénario référence'!$B$16*(45+25*(1-EXP(-0.0175*A127))),70*'Scénario référence'!$B$16)+IF((32+38*(1-EXP(-0.0175*A127)))&lt;70,'Scénario référence'!$B$18*(32+38*(1-EXP(-0.0175*A127))),70*'Scénario référence'!$B$18)</f>
        <v>70</v>
      </c>
      <c r="EF127" s="151">
        <f>IF(A127&gt;30,10,('Scénario référence'!$B$16+'Scénario référence'!$B$17+'Scénario référence'!$B$18+'Scénario référence'!$B$9+'Scénario référence'!$B$10)*A127*10/30+('Scénario référence'!$F$8+'Scénario référence'!$F$9)*10)</f>
        <v>10</v>
      </c>
      <c r="EG127" s="151" t="str">
        <f>VLOOKUP(A127,'Données projet'!$A$191:$I$211,2,0)</f>
        <v>#N/A</v>
      </c>
      <c r="EH127" s="151" t="str">
        <f>VLOOKUP(A127,'Données projet'!$A$191:$I$211,9,0)</f>
        <v>#N/A</v>
      </c>
      <c r="EI127" s="151" t="str">
        <f t="array" ref="EI127">INDEX(EH:EH,MIN(IF(ISNUMBER(EH127:EH323),ROW(EH127:EH323),"")))</f>
        <v/>
      </c>
      <c r="EJ127" s="151">
        <f>IF('Données projet'!$A$192&gt;35,EJ126+EI127-ER126,IF(A127&lt;'Données projet'!$A$192,$EG$205^A127,IF(A127='Données projet'!$A$192,'Données projet'!$B$192,EJ126+EI127-ER126)))</f>
        <v>0</v>
      </c>
      <c r="EK127" s="158" t="str">
        <f>EJ127*VLOOKUP('Données projet'!$B$15,'Paramètres'!$A$1:$I$88,3,0)*VLOOKUP('Données projet'!$B$15,'Paramètres'!$A$1:$I$88,5,0)</f>
        <v>#N/A</v>
      </c>
      <c r="EL127" s="150" t="str">
        <f t="shared" si="46"/>
        <v>#N/A</v>
      </c>
      <c r="EM127" s="161" t="str">
        <f t="shared" si="20"/>
        <v>#N/A</v>
      </c>
      <c r="EN127" s="153" t="str">
        <f t="shared" si="21"/>
        <v>#N/A</v>
      </c>
      <c r="EO127" s="153" t="str">
        <f>AVERAGE(OFFSET($EN$3,0,0,'Données projet'!$E$15+1,1))-AVERAGE(OFFSET($H$3,0,0,'Données projet'!$E$15+1,1))</f>
        <v>#N/A</v>
      </c>
      <c r="EP127" s="153" t="str">
        <f t="shared" si="47"/>
        <v>#N/A</v>
      </c>
      <c r="EQ127" s="154">
        <f>IF(ISNA(VLOOKUP(A127,'Données projet'!$A$191:$I$211,3,0)),0,VLOOKUP(A127,'Données projet'!$A$191:$I$211,3,0))</f>
        <v>0</v>
      </c>
      <c r="ER127" s="154">
        <f>IF(ISNA(VLOOKUP(A127,'Données projet'!$A$191:$I$211,4,0)),0,VLOOKUP(A127,'Données projet'!$A$191:$I$211,4,0))</f>
        <v>0</v>
      </c>
      <c r="ES127" s="155">
        <f>IF(ISNA(VLOOKUP(A127,'Données projet'!$A$191:$I$211,5,0)),0%,VLOOKUP(A127,'Données projet'!$A$191:$I$211,5,0)*VLOOKUP('Données projet'!$B$15,'Paramètres'!$A$1:$I$88,7,0))</f>
        <v>0</v>
      </c>
      <c r="ET127" s="155">
        <f>IF(ISNA(VLOOKUP(A127,'Données projet'!$A$191:$I$211,6,0)),0%,VLOOKUP(A127,'Données projet'!$A$191:$I$211,6,0)*VLOOKUP('Données projet'!$B$15,'Paramètres'!$A$1:$I$88,7,0))</f>
        <v>0</v>
      </c>
      <c r="EU127" s="155">
        <f>IF(ISNA(VLOOKUP(A127,'Données projet'!$A$191:$I$211,7,0)),0%,VLOOKUP(A127,'Données projet'!$A$191:$I$211,7,0))</f>
        <v>0</v>
      </c>
      <c r="EV127" s="162" t="str">
        <f>EXP(-LN(2)/35)*EV126+(1-EXP(-LN(2)/35))/(LN(2)/35)*ER127*ES127*VLOOKUP('Données projet'!$B$15,'Paramètres'!$A$1:$I$88,3,0)*0.475*44/12</f>
        <v>#N/A</v>
      </c>
      <c r="EW127" s="162" t="str">
        <f>EXP(-LN(2)/25)*EW126+(1-EXP(-LN(2)/25))/(LN(2)/25)*Calculateur!ER127*Calculateur!ET127*VLOOKUP('Données projet'!$B$15,'Paramètres'!$A$1:$I$88,3,0)*0.475*44/12</f>
        <v>#N/A</v>
      </c>
      <c r="EX127" s="162" t="str">
        <f>EXP(-LN(2)/2)*EX126+(1-EXP(-LN(2)/2))/(LN(2)/2)*ER127*EU127*VLOOKUP('Données projet'!$B$15,'Paramètres'!$A$1:$I$88,3,0)*0.475*44/12</f>
        <v>#N/A</v>
      </c>
      <c r="EY127" s="163" t="str">
        <f t="shared" si="22"/>
        <v>#N/A</v>
      </c>
      <c r="EZ127" s="159">
        <f>('Scénario référence'!$F$8+'Scénario référence'!$F$9+'Scénario référence'!$B$17+'Scénario référence'!$B$9+'Scénario référence'!$B$10)*70+IF((45+25*(1-EXP(-0.0175*A127)))&lt;70,'Scénario référence'!$B$16*(45+25*(1-EXP(-0.0175*A127))),70*'Scénario référence'!$B$16)+IF((32+38*(1-EXP(-0.0175*A127)))&lt;70,'Scénario référence'!$B$18*(32+38*(1-EXP(-0.0175*A127))),70*'Scénario référence'!$B$18)</f>
        <v>70</v>
      </c>
      <c r="FA127" s="151">
        <f>IF(A127&gt;30,10,('Scénario référence'!$B$16+'Scénario référence'!$B$17+'Scénario référence'!$B$18+'Scénario référence'!$B$9+'Scénario référence'!$B$10)*A127*10/30+('Scénario référence'!$F$8+'Scénario référence'!$F$9)*10)</f>
        <v>10</v>
      </c>
      <c r="FB127" s="151" t="str">
        <f>VLOOKUP(A127,'Données projet'!$A$217:$I$237,2,0)</f>
        <v>#N/A</v>
      </c>
      <c r="FC127" s="151" t="str">
        <f>VLOOKUP(A127,'Données projet'!$A$217:$I$237,9,0)</f>
        <v>#N/A</v>
      </c>
      <c r="FD127" s="151" t="str">
        <f t="array" ref="FD127">INDEX(FC:FC,MIN(IF(ISNUMBER(FC127:FC323),ROW(FC127:FC323),"")))</f>
        <v/>
      </c>
      <c r="FE127" s="151">
        <f>IF('Données projet'!$A$218&gt;35,FE126+FD127-FM126,IF(A127&lt;'Données projet'!$A$218,$FB$205^A127,IF(A127='Données projet'!$A$218,'Données projet'!$B$218,FE126+FD127-FM126)))</f>
        <v>0</v>
      </c>
      <c r="FF127" s="158" t="str">
        <f>FE127*VLOOKUP('Données projet'!$B$16,'Paramètres'!$A$1:$I$88,3,0)*VLOOKUP('Données projet'!$B$16,'Paramètres'!$A$1:$I$88,5,0)</f>
        <v>#N/A</v>
      </c>
      <c r="FG127" s="150" t="str">
        <f t="shared" si="48"/>
        <v>#N/A</v>
      </c>
      <c r="FH127" s="161" t="str">
        <f t="shared" si="23"/>
        <v>#N/A</v>
      </c>
      <c r="FI127" s="153" t="str">
        <f t="shared" si="24"/>
        <v>#N/A</v>
      </c>
      <c r="FJ127" s="153" t="str">
        <f>AVERAGE(OFFSET($FI$3,0,0,'Données projet'!$E$16+1,1))-AVERAGE(OFFSET($H$3,0,0,'Données projet'!$E$16+1,1))</f>
        <v>#N/A</v>
      </c>
      <c r="FK127" s="153" t="str">
        <f t="shared" si="49"/>
        <v>#N/A</v>
      </c>
      <c r="FL127" s="154">
        <f>IF(ISNA(VLOOKUP(A127,'Données projet'!$A$217:$I$237,3,0)),0,VLOOKUP(A127,'Données projet'!$A$217:$I$237,3,0))</f>
        <v>0</v>
      </c>
      <c r="FM127" s="154">
        <f>IF(ISNA(VLOOKUP(A127,'Données projet'!$A$217:$I$237,4,0)),0,VLOOKUP(A127,'Données projet'!$A$217:$I$237,4,0))</f>
        <v>0</v>
      </c>
      <c r="FN127" s="155">
        <f>IF(ISNA(VLOOKUP(A127,'Données projet'!$A$217:$I$237,5,0)),0%,VLOOKUP(A127,'Données projet'!$A$217:$I$237,5,0)*VLOOKUP('Données projet'!$B$16,'Paramètres'!$A$1:$I$88,7,0))</f>
        <v>0</v>
      </c>
      <c r="FO127" s="155">
        <f>IF(ISNA(VLOOKUP(A127,'Données projet'!$A$217:$I$237,6,0)),0%,VLOOKUP(A127,'Données projet'!$A$217:$I$237,6,0)*VLOOKUP('Données projet'!$B$16,'Paramètres'!$A$1:$I$88,7,0))</f>
        <v>0</v>
      </c>
      <c r="FP127" s="155">
        <f>IF(ISNA(VLOOKUP(A127,'Données projet'!$A$217:$I$237,7,0)),0%,VLOOKUP(A127,'Données projet'!$A$217:$I$237,7,0))</f>
        <v>0</v>
      </c>
      <c r="FQ127" s="162" t="str">
        <f>EXP(-LN(2)/35)*FQ126+(1-EXP(-LN(2)/35))/(LN(2)/35)*FM127*FN127*VLOOKUP('Données projet'!$B$16,'Paramètres'!$A$1:$I$88,3,0)*0.475*44/12</f>
        <v>#N/A</v>
      </c>
      <c r="FR127" s="162" t="str">
        <f>EXP(-LN(2)/25)*FR126+(1-EXP(-LN(2)/25))/(LN(2)/25)*Calculateur!FM127*Calculateur!FO127*VLOOKUP('Données projet'!$B$16,'Paramètres'!$A$1:$I$88,3,0)*0.475*44/12</f>
        <v>#N/A</v>
      </c>
      <c r="FS127" s="162" t="str">
        <f>EXP(-LN(2)/2)*FS126+(1-EXP(-LN(2)/2))/(LN(2)/2)*FM127*FP127*VLOOKUP('Données projet'!$B$16,'Paramètres'!$A$1:$I$88,3,0)*0.475*44/12</f>
        <v>#N/A</v>
      </c>
      <c r="FT127" s="163" t="str">
        <f t="shared" si="25"/>
        <v>#N/A</v>
      </c>
      <c r="FU127" s="159">
        <f>('Scénario référence'!$F$8+'Scénario référence'!$F$9+'Scénario référence'!$B$17+'Scénario référence'!$B$9+'Scénario référence'!$B$10)*70+IF((45+25*(1-EXP(-0.0175*A127)))&lt;70,'Scénario référence'!$B$16*(45+25*(1-EXP(-0.0175*A127))),70*'Scénario référence'!$B$16)+IF((32+38*(1-EXP(-0.0175*A127)))&lt;70,'Scénario référence'!$B$18*(32+38*(1-EXP(-0.0175*A127))),70*'Scénario référence'!$B$18)</f>
        <v>70</v>
      </c>
      <c r="FV127" s="151">
        <f>IF(A127&gt;30,10,('Scénario référence'!$B$16+'Scénario référence'!$B$17+'Scénario référence'!$B$18+'Scénario référence'!$B$9+'Scénario référence'!$B$10)*A127*10/30+('Scénario référence'!$F$8+'Scénario référence'!$F$9)*10)</f>
        <v>10</v>
      </c>
      <c r="FW127" s="151" t="str">
        <f>VLOOKUP(A127,'Données projet'!$A$243:$I$263,2,0)</f>
        <v>#N/A</v>
      </c>
      <c r="FX127" s="151" t="str">
        <f>VLOOKUP(A127,'Données projet'!$A$243:$I$263,9,0)</f>
        <v>#N/A</v>
      </c>
      <c r="FY127" s="151" t="str">
        <f t="array" ref="FY127">INDEX(FX:FX,MIN(IF(ISNUMBER(FX127:FX323),ROW(FX127:FX323),"")))</f>
        <v/>
      </c>
      <c r="FZ127" s="151">
        <f>IF('Données projet'!$A$244&gt;35,FZ126+FY127-GH126,IF(A127&lt;'Données projet'!$A$244,$FW$205^A127,IF(A127='Données projet'!$A$244,'Données projet'!$B$244,FZ126+FY127-GH126)))</f>
        <v>0</v>
      </c>
      <c r="GA127" s="158" t="str">
        <f>FZ127*VLOOKUP('Données projet'!$B$17,'Paramètres'!$A$1:$I$88,3,0)*VLOOKUP('Données projet'!$B$17,'Paramètres'!$A$1:$I$88,5,0)</f>
        <v>#N/A</v>
      </c>
      <c r="GB127" s="150" t="str">
        <f t="shared" si="50"/>
        <v>#N/A</v>
      </c>
      <c r="GC127" s="161" t="str">
        <f t="shared" si="26"/>
        <v>#N/A</v>
      </c>
      <c r="GD127" s="153" t="str">
        <f t="shared" si="27"/>
        <v>#N/A</v>
      </c>
      <c r="GE127" s="153" t="str">
        <f>AVERAGE(OFFSET($GD$3,0,0,'Données projet'!$E$17+1,1))-AVERAGE(OFFSET($H$3,0,0,'Données projet'!$E$17+1,1))</f>
        <v>#N/A</v>
      </c>
      <c r="GF127" s="153" t="str">
        <f t="shared" si="51"/>
        <v>#N/A</v>
      </c>
      <c r="GG127" s="154">
        <f>IF(ISNA(VLOOKUP(A127,'Données projet'!$A$243:$I$263,3,0)),0,VLOOKUP(A127,'Données projet'!$A$243:$I$263,3,0))</f>
        <v>0</v>
      </c>
      <c r="GH127" s="154">
        <f>IF(ISNA(VLOOKUP(A127,'Données projet'!$A$243:$I$263,4,0)),0,VLOOKUP(A127,'Données projet'!$A$243:$I$263,4,0))</f>
        <v>0</v>
      </c>
      <c r="GI127" s="155">
        <f>IF(ISNA(VLOOKUP(A127,'Données projet'!$A$243:$I$263,5,0)),0%,VLOOKUP(A127,'Données projet'!$A$243:$I$263,5,0)*VLOOKUP('Données projet'!$B$17,'Paramètres'!$A$1:$I$88,7,0))</f>
        <v>0</v>
      </c>
      <c r="GJ127" s="155">
        <f>IF(ISNA(VLOOKUP(A127,'Données projet'!$A$243:$I$263,6,0)),0%,VLOOKUP(A127,'Données projet'!$A$243:$I$263,6,0)*VLOOKUP('Données projet'!$B$17,'Paramètres'!$A$1:$I$88,7,0))</f>
        <v>0</v>
      </c>
      <c r="GK127" s="155">
        <f>IF(ISNA(VLOOKUP(A127,'Données projet'!$A$243:$I$263,7,0)),0%,VLOOKUP(A127,'Données projet'!$A$243:$I$263,7,0))</f>
        <v>0</v>
      </c>
      <c r="GL127" s="162" t="str">
        <f>EXP(-LN(2)/35)*GL126+(1-EXP(-LN(2)/35))/(LN(2)/35)*GH127*GI127*VLOOKUP('Données projet'!$B$17,'Paramètres'!$A$1:$I$88,3,0)*0.475*44/12</f>
        <v>#N/A</v>
      </c>
      <c r="GM127" s="162" t="str">
        <f>EXP(-LN(2)/25)*GM126+(1-EXP(-LN(2)/25))/(LN(2)/25)*Calculateur!GH127*Calculateur!GJ127*VLOOKUP('Données projet'!$B$17,'Paramètres'!$A$1:$I$88,3,0)*0.475*44/12</f>
        <v>#N/A</v>
      </c>
      <c r="GN127" s="162" t="str">
        <f>EXP(-LN(2)/2)*GN126+(1-EXP(-LN(2)/2))/(LN(2)/2)*GH127*GK127*VLOOKUP('Données projet'!$B$17,'Paramètres'!$A$1:$I$88,3,0)*0.475*44/12</f>
        <v>#N/A</v>
      </c>
      <c r="GO127" s="162" t="str">
        <f t="shared" si="28"/>
        <v>#N/A</v>
      </c>
      <c r="GP127" s="159">
        <f>('Scénario référence'!$F$8+'Scénario référence'!$F$9+'Scénario référence'!$B$17+'Scénario référence'!$B$9+'Scénario référence'!$B$10)*70+IF((45+25*(1-EXP(-0.0175*A127)))&lt;70,'Scénario référence'!$B$16*(45+25*(1-EXP(-0.0175*A127))),70*'Scénario référence'!$B$16)+IF((32+38*(1-EXP(-0.0175*A127)))&lt;70,'Scénario référence'!$B$18*(32+38*(1-EXP(-0.0175*A127))),70*'Scénario référence'!$B$18)</f>
        <v>70</v>
      </c>
      <c r="GQ127" s="151">
        <f>IF(A127&gt;30,10,('Scénario référence'!$B$16+'Scénario référence'!$B$17+'Scénario référence'!$B$18+'Scénario référence'!$B$9+'Scénario référence'!$B$10)*A127*10/30+('Scénario référence'!$F$8+'Scénario référence'!$F$9)*10)</f>
        <v>10</v>
      </c>
      <c r="GR127" s="151" t="str">
        <f>VLOOKUP(A127,'Données projet'!$A$269:$I$289,2,0)</f>
        <v>#N/A</v>
      </c>
      <c r="GS127" s="151" t="str">
        <f>VLOOKUP(A127,'Données projet'!$A$269:$I$289,9,0)</f>
        <v>#N/A</v>
      </c>
      <c r="GT127" s="151" t="str">
        <f t="array" ref="GT127">INDEX(GS:GS,MIN(IF(ISNUMBER(GS127:GS323),ROW(GS127:GS323),"")))</f>
        <v/>
      </c>
      <c r="GU127" s="151">
        <f>IF('Données projet'!$A$270&gt;35,GU126+GT127-HC126,IF(A127&lt;'Données projet'!$A$270,$GR$205^A127,IF(A127='Données projet'!$A$270,'Données projet'!$B$270,GU126+GT127-HC126)))</f>
        <v>0</v>
      </c>
      <c r="GV127" s="158" t="str">
        <f>GU127*VLOOKUP('Données projet'!$B$18,'Paramètres'!$A$1:$I$88,3,0)*VLOOKUP('Données projet'!$B$18,'Paramètres'!$A$1:$I$88,5,0)</f>
        <v>#N/A</v>
      </c>
      <c r="GW127" s="150" t="str">
        <f t="shared" si="52"/>
        <v>#N/A</v>
      </c>
      <c r="GX127" s="161" t="str">
        <f t="shared" si="29"/>
        <v>#N/A</v>
      </c>
      <c r="GY127" s="153" t="str">
        <f t="shared" si="30"/>
        <v>#N/A</v>
      </c>
      <c r="GZ127" s="153" t="str">
        <f>AVERAGE(OFFSET($GY$3,0,0,'Données projet'!$E$18+1,1))-AVERAGE(OFFSET($H$3,0,0,'Données projet'!$E$18+1,1))</f>
        <v>#N/A</v>
      </c>
      <c r="HA127" s="153" t="str">
        <f t="shared" si="53"/>
        <v>#N/A</v>
      </c>
      <c r="HB127" s="154">
        <f>IF(ISNA(VLOOKUP(A127,'Données projet'!$A$269:$I$289,3,0)),0,VLOOKUP(A127,'Données projet'!$A$269:$I$289,3,0))</f>
        <v>0</v>
      </c>
      <c r="HC127" s="154">
        <f>IF(ISNA(VLOOKUP(A127,'Données projet'!$A$269:$I$289,4,0)),0,VLOOKUP(A127,'Données projet'!$A$269:$I$289,4,0))</f>
        <v>0</v>
      </c>
      <c r="HD127" s="155">
        <f>IF(ISNA(VLOOKUP(A127,'Données projet'!$A$269:$I$289,5,0)),0%,VLOOKUP(A127,'Données projet'!$A$269:$I$289,5,0)*VLOOKUP('Données projet'!$B$18,'Paramètres'!$A$1:$I$88,7,0))</f>
        <v>0</v>
      </c>
      <c r="HE127" s="155">
        <f>IF(ISNA(VLOOKUP(A127,'Données projet'!$A$269:$I$289,6,0)),0%,VLOOKUP(A127,'Données projet'!$A$269:$I$289,6,0)*VLOOKUP('Données projet'!$B$18,'Paramètres'!$A$1:$I$88,7,0))</f>
        <v>0</v>
      </c>
      <c r="HF127" s="155">
        <f>IF(ISNA(VLOOKUP(A127,'Données projet'!$A$269:$I$289,7,0)),0%,VLOOKUP(A127,'Données projet'!$A$269:$I$289,7,0))</f>
        <v>0</v>
      </c>
      <c r="HG127" s="162" t="str">
        <f>EXP(-LN(2)/35)*HG126+(1-EXP(-LN(2)/35))/(LN(2)/35)*HC127*HD127*VLOOKUP('Données projet'!$B$18,'Paramètres'!$A$1:$I$88,3,0)*0.475*44/12</f>
        <v>#N/A</v>
      </c>
      <c r="HH127" s="162" t="str">
        <f>EXP(-LN(2)/25)*HH126+(1-EXP(-LN(2)/25))/(LN(2)/25)*Calculateur!HC127*Calculateur!HE127*VLOOKUP('Données projet'!$B$18,'Paramètres'!$A$1:$I$88,3,0)*0.475*44/12</f>
        <v>#N/A</v>
      </c>
      <c r="HI127" s="162" t="str">
        <f>EXP(-LN(2)/2)*HI126+(1-EXP(-LN(2)/2))/(LN(2)/2)*HC127*HF127*VLOOKUP('Données projet'!$B$18,'Paramètres'!$A$1:$I$88,3,0)*0.475*44/12</f>
        <v>#N/A</v>
      </c>
      <c r="HJ127" s="163" t="str">
        <f t="shared" si="31"/>
        <v>#N/A</v>
      </c>
    </row>
    <row r="128" ht="15.75" customHeight="1">
      <c r="A128" s="145">
        <f t="shared" si="32"/>
        <v>125</v>
      </c>
      <c r="B128" s="146">
        <f>'Scénario référence'!$B$16*5+'Scénario référence'!$B$17*0+'Scénario référence'!$B$18*5</f>
        <v>0</v>
      </c>
      <c r="C128" s="160">
        <f>Calculateur!C127+'Scénario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28" s="147">
        <f t="shared" si="33"/>
        <v>0</v>
      </c>
      <c r="E128" s="147">
        <f>'Scénario référence'!$B$16*45+('Scénario référence'!$B$17+'Scénario référence'!$F$8+'Scénario référence'!$F$9+'Scénario référence'!$B$10+'Scénario référence'!$B$9)*70+'Scénario référence'!$B$18*32</f>
        <v>70</v>
      </c>
      <c r="F128" s="147">
        <f>IF(OR('Scénario référence'!$F$8&gt;0,'Scénario référence'!$F$9&gt;0),('Scénario référence'!$F$8+'Scénario référence'!$F$9)*10,0)</f>
        <v>0</v>
      </c>
      <c r="G128" s="147">
        <f>'Scénario référence'!$B$8*B128*44/12+'Scénario référence'!$B$9*(C128+D128)/0.475*44/12+'Scénario référence'!$B$10*(C128+D128)/0.475*44/12+'Scénario référence'!$F$8*(C128+D128)/0.475*44/12+'Scénario référence'!$F$9*(C128+D128)/0.475*44/12</f>
        <v>0</v>
      </c>
      <c r="H128" s="148">
        <f t="shared" si="1"/>
        <v>256.6666667</v>
      </c>
      <c r="I128" s="149">
        <f>('Scénario référence'!$F$8+'Scénario référence'!$F$9+'Scénario référence'!$B$17+'Scénario référence'!$B$9+'Scénario référence'!$B$10)*70+IF((45+25*(1-EXP(-0.0175*A128)))&lt;70,'Scénario référence'!$B$16*(45+25*(1-EXP(-0.0175*A128))),70*'Scénario référence'!$B$16)+IF((32+38*(1-EXP(-0.0175*A128)))&lt;70,'Scénario référence'!$B$18*(32+38*(1-EXP(-0.0175*A128))),70*'Scénario référence'!$B$18)</f>
        <v>70</v>
      </c>
      <c r="J128" s="150">
        <f>IF(A128&gt;30,10,('Scénario référence'!$B$16+'Scénario référence'!$B$17+'Scénario référence'!$B$18+'Scénario référence'!$B$9+'Scénario référence'!$B$10)*A128*10/30+('Scénario référence'!$F$8+'Scénario référence'!$F$9)*10)</f>
        <v>10</v>
      </c>
      <c r="K128" s="151" t="str">
        <f>VLOOKUP(A128,'Données projet'!$A$35:$I$55,2,0)</f>
        <v>#N/A</v>
      </c>
      <c r="L128" s="151" t="str">
        <f>VLOOKUP(A128,'Données projet'!$A$35:$I$55,9,0)</f>
        <v>#N/A</v>
      </c>
      <c r="M128" s="151" t="str">
        <f t="array" ref="M128">INDEX(L:L,MIN(IF(ISNUMBER(L128:L324),ROW(L128:L324),"")))</f>
        <v/>
      </c>
      <c r="N128" s="150">
        <f>IF('Données projet'!$A$36&gt;35,N127+M128-V127,IF(A128&lt;'Données projet'!$A$36,$K$205^A128,IF(A128='Données projet'!$A$36,'Données projet'!$B$36,N127+M128-V127)))</f>
        <v>307</v>
      </c>
      <c r="O128" s="150">
        <f>N128*VLOOKUP('Données projet'!$B$9,'Paramètres'!$A$1:$I$88,3,0)*VLOOKUP('Données projet'!$B$9,'Paramètres'!$A$1:$I$88,5,0)</f>
        <v>277.7736</v>
      </c>
      <c r="P128" s="150">
        <f t="shared" si="34"/>
        <v>66.49628818</v>
      </c>
      <c r="Q128" s="161">
        <f t="shared" si="2"/>
        <v>599.6033886</v>
      </c>
      <c r="R128" s="153">
        <f t="shared" si="3"/>
        <v>892.9367219</v>
      </c>
      <c r="S128" s="153">
        <f>AVERAGE(OFFSET($R$3,0,0,'Données projet'!$E$9+1,1))-AVERAGE(OFFSET($H$3,0,0,'Données projet'!$E$9+1,1))</f>
        <v>439.1985427</v>
      </c>
      <c r="T128" s="153">
        <f t="shared" si="35"/>
        <v>278.2174123</v>
      </c>
      <c r="U128" s="154">
        <f>IF(ISNA(VLOOKUP(A128,'Données projet'!$A$35:$I$55,3,0)),0,VLOOKUP(A128,'Données projet'!$A$35:$I$55,3,0))</f>
        <v>0</v>
      </c>
      <c r="V128" s="154">
        <f>IF(ISNA(VLOOKUP(A128,'Données projet'!$A$35:$I$55,4,0)),0,VLOOKUP(A128,'Données projet'!$A$35:$I$55,4,0))</f>
        <v>0</v>
      </c>
      <c r="W128" s="155">
        <f>IF(ISNA(VLOOKUP(A128,'Données projet'!$A$35:$I$55,5,0)),0%,VLOOKUP(A128,'Données projet'!$A$35:$I$55,5,0)*VLOOKUP('Données projet'!$B$9,'Paramètres'!$A$1:$I$88,7,0))</f>
        <v>0</v>
      </c>
      <c r="X128" s="155">
        <f>IF(ISNA(VLOOKUP(A128,'Données projet'!$A$35:$I$55,6,0)),0%,VLOOKUP(A128,'Données projet'!$A$35:$I$55,6,0)*VLOOKUP('Données projet'!$B$9,'Paramètres'!$A$1:$I$88,7,0))</f>
        <v>0</v>
      </c>
      <c r="Y128" s="155">
        <f>IF(ISNA(VLOOKUP(A128,'Données projet'!$A$35:$I$55,7,0)),0%,VLOOKUP(A128,'Données projet'!$A$35:$I$55,7,0))</f>
        <v>0</v>
      </c>
      <c r="Z128" s="162">
        <f>EXP(-LN(2)/35)*Z127+(1-EXP(-LN(2)/35))/(LN(2)/35)*V128*W128*VLOOKUP('Données projet'!$B$9,'Paramètres'!$A$1:$I$88,3,0)*0.475*44/12</f>
        <v>0</v>
      </c>
      <c r="AA128" s="162">
        <f>EXP(-LN(2)/25)*AA127+(1-EXP(-LN(2)/25))/(LN(2)/25)*Calculateur!V128*Calculateur!X128*VLOOKUP('Données projet'!$B$9,'Paramètres'!$A$1:$I$88,3,0)*0.475*44/12</f>
        <v>0.322179791</v>
      </c>
      <c r="AB128" s="162">
        <f>EXP(-LN(2)/2)*AB127+(1-EXP(-LN(2)/2))/(LN(2)/2)*V128*Y128*VLOOKUP('Données projet'!$B$9,'Paramètres'!$A$1:$I$88,3,0)*0.475*44/12</f>
        <v>0</v>
      </c>
      <c r="AC128" s="163">
        <f t="shared" si="4"/>
        <v>0.322179791</v>
      </c>
      <c r="AD128" s="150">
        <f>('Scénario référence'!$F$8+'Scénario référence'!$F$9+'Scénario référence'!$B$17+'Scénario référence'!$B$9+'Scénario référence'!$B$10)*70+IF((45+25*(1-EXP(-0.0175*A128)))&lt;70,'Scénario référence'!$B$16*(45+25*(1-EXP(-0.0175*A128))),70*'Scénario référence'!$B$16)+IF((32+38*(1-EXP(-0.0175*A128)))&lt;70,'Scénario référence'!$B$18*(32+38*(1-EXP(-0.0175*A128))),70*'Scénario référence'!$B$18)</f>
        <v>70</v>
      </c>
      <c r="AE128" s="150">
        <f>IF(A128&gt;30,10,('Scénario référence'!$B$16+'Scénario référence'!$B$17+'Scénario référence'!$B$18+'Scénario référence'!$B$9+'Scénario référence'!$B$10)*A128*10/30+('Scénario référence'!$F$8+'Scénario référence'!$F$9)*10)</f>
        <v>10</v>
      </c>
      <c r="AF128" s="151" t="str">
        <f>VLOOKUP(A128,'Données projet'!$A$61:$I$81,2,0)</f>
        <v>#N/A</v>
      </c>
      <c r="AG128" s="151" t="str">
        <f>VLOOKUP(A128,'Données projet'!$A$61:$I$81,9,0)</f>
        <v>#N/A</v>
      </c>
      <c r="AH128" s="151" t="str">
        <f t="array" ref="AH128">INDEX(AG:AG,MIN(IF(ISNUMBER(AG128:AG324),ROW(AG128:AG324),"")))</f>
        <v/>
      </c>
      <c r="AI128" s="150">
        <f>IF('Données projet'!$A$62&gt;35,AI127+AH128-AQ127,IF(A128&lt;'Données projet'!$A$62,$AF$205^A128,IF(A128='Données projet'!$A$62,'Données projet'!$B$62,AI127+AH128-AQ127)))</f>
        <v>369</v>
      </c>
      <c r="AJ128" s="150">
        <f>AI128*VLOOKUP('Données projet'!$B$10,'Paramètres'!$A$1:$I$88,3,0)*VLOOKUP('Données projet'!$B$10,'Paramètres'!$A$1:$I$88,5,0)</f>
        <v>293.5764</v>
      </c>
      <c r="AK128" s="150">
        <f t="shared" si="36"/>
        <v>69.82813851</v>
      </c>
      <c r="AL128" s="161">
        <f t="shared" si="5"/>
        <v>632.9295712</v>
      </c>
      <c r="AM128" s="153">
        <f t="shared" si="6"/>
        <v>926.2629046</v>
      </c>
      <c r="AN128" s="153">
        <f>AVERAGE(OFFSET($AM$3,0,0,'Données projet'!$E$10+1,1))-AVERAGE(OFFSET($H$3,0,0,'Données projet'!$E$10+1,1))</f>
        <v>405.6113614</v>
      </c>
      <c r="AO128" s="153">
        <f t="shared" si="37"/>
        <v>393.0787141</v>
      </c>
      <c r="AP128" s="154">
        <f>IF(ISNA(VLOOKUP(A128,'Données projet'!$A$61:$I$81,3,0)),0,VLOOKUP(A128,'Données projet'!$A$61:$I$81,3,0))</f>
        <v>0</v>
      </c>
      <c r="AQ128" s="154">
        <f>IF(ISNA(VLOOKUP(A128,'Données projet'!$A$61:$I$81,4,0)),0,VLOOKUP(A128,'Données projet'!$A$61:$I$81,4,0))</f>
        <v>0</v>
      </c>
      <c r="AR128" s="155">
        <f>IF(ISNA(VLOOKUP(A128,'Données projet'!$A$61:$I$81,5,0)),0%,VLOOKUP(A128,'Données projet'!$A$61:$I$81,5,0)*VLOOKUP('Données projet'!$B$10,'Paramètres'!$A$1:$I$88,7,0))</f>
        <v>0</v>
      </c>
      <c r="AS128" s="155">
        <f>IF(ISNA(VLOOKUP(A128,'Données projet'!$A$61:$I$81,6,0)),0%,VLOOKUP(A128,'Données projet'!$A$61:$I$81,6,0)*VLOOKUP('Données projet'!$B$10,'Paramètres'!$A$1:$I$88,7,0))</f>
        <v>0</v>
      </c>
      <c r="AT128" s="155">
        <f>IF(ISNA(VLOOKUP(A128,'Données projet'!$A$61:$I$81,7,0)),0%,VLOOKUP(A128,'Données projet'!$A$61:$I$81,7,0))</f>
        <v>0</v>
      </c>
      <c r="AU128" s="162">
        <f>EXP(-LN(2)/35)*AU127+(1-EXP(-LN(2)/35))/(LN(2)/35)*AQ128*AR128*VLOOKUP('Données projet'!$B$10,'Paramètres'!$A$1:$I$88,3,0)*0.475*44/12</f>
        <v>0</v>
      </c>
      <c r="AV128" s="162">
        <f>EXP(-LN(2)/25)*AV127+(1-EXP(-LN(2)/25))/(LN(2)/25)*Calculateur!AQ128*Calculateur!AS128*VLOOKUP('Données projet'!$B$10,'Paramètres'!$A$1:$I$88,3,0)*0.475*44/12</f>
        <v>1.309420572</v>
      </c>
      <c r="AW128" s="162">
        <f>EXP(-LN(2)/2)*AW127+(1-EXP(-LN(2)/2))/(LN(2)/2)*AQ128*AT128*VLOOKUP('Données projet'!$B$10,'Paramètres'!$A$1:$I$88,3,0)*0.475*44/12</f>
        <v>0</v>
      </c>
      <c r="AX128" s="162">
        <f t="shared" si="7"/>
        <v>1.309420572</v>
      </c>
      <c r="AY128" s="157">
        <f>('Scénario référence'!$F$8+'Scénario référence'!$F$9+'Scénario référence'!$B$17+'Scénario référence'!$B$9+'Scénario référence'!$B$10)*70+IF((45+25*(1-EXP(-0.0175*A128)))&lt;70,'Scénario référence'!$B$16*(45+25*(1-EXP(-0.0175*A128))),70*'Scénario référence'!$B$16)+IF((32+38*(1-EXP(-0.0175*A128)))&lt;70,'Scénario référence'!$B$18*(32+38*(1-EXP(-0.0175*A128))),70*'Scénario référence'!$B$18)</f>
        <v>70</v>
      </c>
      <c r="AZ128" s="151">
        <f>IF(A128&gt;30,10,('Scénario référence'!$B$16+'Scénario référence'!$B$17+'Scénario référence'!$B$18+'Scénario référence'!$B$9+'Scénario référence'!$B$10)*A128*10/30+('Scénario référence'!$F$8+'Scénario référence'!$F$9)*10)</f>
        <v>10</v>
      </c>
      <c r="BA128" s="151" t="str">
        <f>VLOOKUP(A128,'Données projet'!$A$87:$I$107,2,0)</f>
        <v>#N/A</v>
      </c>
      <c r="BB128" s="151" t="str">
        <f>VLOOKUP(A128,'Données projet'!$A$87:$I$107,9,0)</f>
        <v>#N/A</v>
      </c>
      <c r="BC128" s="151" t="str">
        <f t="array" ref="BC128">INDEX(BB:BB,MIN(IF(ISNUMBER(BB128:BB324),ROW(BB128:BB324),"")))</f>
        <v/>
      </c>
      <c r="BD128" s="150">
        <f>IF('Données projet'!$A$88&gt;35,BD127+BC128-BL127,IF(A128&lt;'Données projet'!$A$88,$BA$205^A128,IF(A128='Données projet'!$A$88,'Données projet'!$B$88,BD127+BC128-BL127)))</f>
        <v>0</v>
      </c>
      <c r="BE128" s="150">
        <f>BD128*VLOOKUP('Données projet'!$B$11,'Paramètres'!$A$1:$I$88,3,0)*VLOOKUP('Données projet'!$B$11,'Paramètres'!$A$1:$I$88,5,0)</f>
        <v>0</v>
      </c>
      <c r="BF128" s="150" t="str">
        <f t="shared" si="38"/>
        <v>#NUM!</v>
      </c>
      <c r="BG128" s="161" t="str">
        <f t="shared" si="8"/>
        <v>#NUM!</v>
      </c>
      <c r="BH128" s="153" t="str">
        <f t="shared" si="9"/>
        <v>#NUM!</v>
      </c>
      <c r="BI128" s="153">
        <f>AVERAGE(OFFSET($BH$3,0,0,'Données projet'!$E$11+1,1))-AVERAGE(OFFSET($H$3,0,0,'Données projet'!$E$11+1,1))</f>
        <v>0</v>
      </c>
      <c r="BJ128" s="153">
        <f t="shared" si="39"/>
        <v>0</v>
      </c>
      <c r="BK128" s="154">
        <f>IF(ISNA(VLOOKUP(A128,'Données projet'!$A$87:$I$107,3,0)),0,VLOOKUP(A128,'Données projet'!$A$87:$I$107,3,0))</f>
        <v>0</v>
      </c>
      <c r="BL128" s="154">
        <f>IF(ISNA(VLOOKUP(A128,'Données projet'!$A$87:$I$107,4,0)),0,VLOOKUP(A128,'Données projet'!$A$87:$I$107,4,0))</f>
        <v>0</v>
      </c>
      <c r="BM128" s="155">
        <f>IF(ISNA(VLOOKUP(A128,'Données projet'!$A$87:$I$107,5,0)),0%,VLOOKUP(A128,'Données projet'!$A$87:$I$107,5,0)*VLOOKUP('Données projet'!$B$11,'Paramètres'!$A$1:$I$88,7,0))</f>
        <v>0</v>
      </c>
      <c r="BN128" s="155">
        <f>IF(ISNA(VLOOKUP(A128,'Données projet'!$A$87:$I$107,6,0)),0%,VLOOKUP(A128,'Données projet'!$A$87:$I$107,6,0)*VLOOKUP('Données projet'!$B$11,'Paramètres'!$A$1:$I$88,7,0))</f>
        <v>0</v>
      </c>
      <c r="BO128" s="155">
        <f>IF(ISNA(VLOOKUP(A128,'Données projet'!$A$87:$I$107,7,0)),0%,VLOOKUP(A128,'Données projet'!$A$87:$I$107,7,0))</f>
        <v>0</v>
      </c>
      <c r="BP128" s="162">
        <f>EXP(-LN(2)/35)*BP127+(1-EXP(-LN(2)/35))/(LN(2)/35)*BL128*BM128*VLOOKUP('Données projet'!$B$11,'Paramètres'!$A$1:$I$88,3,0)*0.475*44/12</f>
        <v>0</v>
      </c>
      <c r="BQ128" s="162">
        <f>EXP(-LN(2)/25)*BQ127+(1-EXP(-LN(2)/25))/(LN(2)/25)*Calculateur!BL128*Calculateur!BN128*VLOOKUP('Données projet'!$B$11,'Paramètres'!$A$1:$I$88,3,0)*0.475*44/12</f>
        <v>0</v>
      </c>
      <c r="BR128" s="162">
        <f>EXP(-LN(2)/2)*BR127+(1-EXP(-LN(2)/2))/(LN(2)/2)*BL128*BO128*VLOOKUP('Données projet'!$B$11,'Paramètres'!$A$1:$I$88,3,0)*0.475*44/12</f>
        <v>0</v>
      </c>
      <c r="BS128" s="163">
        <f t="shared" si="10"/>
        <v>0</v>
      </c>
      <c r="BT128" s="159">
        <f>('Scénario référence'!$F$8+'Scénario référence'!$F$9+'Scénario référence'!$B$17+'Scénario référence'!$B$9+'Scénario référence'!$B$10)*70+IF((45+25*(1-EXP(-0.0175*A128)))&lt;70,'Scénario référence'!$B$16*(45+25*(1-EXP(-0.0175*A128))),70*'Scénario référence'!$B$16)+IF((32+38*(1-EXP(-0.0175*A128)))&lt;70,'Scénario référence'!$B$18*(32+38*(1-EXP(-0.0175*A128))),70*'Scénario référence'!$B$18)</f>
        <v>70</v>
      </c>
      <c r="BU128" s="151">
        <f>IF(A128&gt;30,10,('Scénario référence'!$B$16+'Scénario référence'!$B$17+'Scénario référence'!$B$18+'Scénario référence'!$B$9+'Scénario référence'!$B$10)*A128*10/30+('Scénario référence'!$F$8+'Scénario référence'!$F$9)*10)</f>
        <v>10</v>
      </c>
      <c r="BV128" s="151" t="str">
        <f>VLOOKUP(A128,'Données projet'!$A$113:$I$133,2,0)</f>
        <v>#N/A</v>
      </c>
      <c r="BW128" s="151" t="str">
        <f>VLOOKUP(A128,'Données projet'!$A$113:$I$133,9,0)</f>
        <v>#N/A</v>
      </c>
      <c r="BX128" s="151" t="str">
        <f t="array" ref="BX128">INDEX(BW:BW,MIN(IF(ISNUMBER(BW128:BW324),ROW(BW128:BW324),"")))</f>
        <v/>
      </c>
      <c r="BY128" s="150">
        <f>IF('Données projet'!$A$114&gt;35,BY127+BX128-CG127,IF(A128&lt;'Données projet'!$A$114,$BV$205^A128,IF(A128='Données projet'!$A$114,'Données projet'!$B$114,BY127+BX128-CG127)))</f>
        <v>0</v>
      </c>
      <c r="BZ128" s="150" t="str">
        <f>BY128*VLOOKUP('Données projet'!$B$12,'Paramètres'!$A$1:$I$88,3,0)*VLOOKUP('Données projet'!$B$12,'Paramètres'!$A$1:$I$88,5,0)</f>
        <v>#N/A</v>
      </c>
      <c r="CA128" s="150" t="str">
        <f t="shared" si="40"/>
        <v>#N/A</v>
      </c>
      <c r="CB128" s="161" t="str">
        <f t="shared" si="11"/>
        <v>#N/A</v>
      </c>
      <c r="CC128" s="153" t="str">
        <f t="shared" si="12"/>
        <v>#N/A</v>
      </c>
      <c r="CD128" s="153" t="str">
        <f>AVERAGE(OFFSET($CC$3,0,0,'Données projet'!$E$12+1,1))-AVERAGE(OFFSET($H$3,0,0,'Données projet'!$E$12+1,1))</f>
        <v>#N/A</v>
      </c>
      <c r="CE128" s="153" t="str">
        <f t="shared" si="41"/>
        <v>#N/A</v>
      </c>
      <c r="CF128" s="154">
        <f>IF(ISNA(VLOOKUP(A128,'Données projet'!$A$113:$I$133,3,0)),0,VLOOKUP(A128,'Données projet'!$A$113:$I$133,3,0))</f>
        <v>0</v>
      </c>
      <c r="CG128" s="154">
        <f>IF(ISNA(VLOOKUP(A128,'Données projet'!$A$113:$I$133,4,0)),0,VLOOKUP(A128,'Données projet'!$A$113:$I$133,4,0))</f>
        <v>0</v>
      </c>
      <c r="CH128" s="155">
        <f>IF(ISNA(VLOOKUP(A128,'Données projet'!$A$113:$I$133,5,0)),0%,VLOOKUP(A128,'Données projet'!$A$113:$I$133,5,0)*VLOOKUP('Données projet'!$B$12,'Paramètres'!$A$1:$I$88,7,0))</f>
        <v>0</v>
      </c>
      <c r="CI128" s="155">
        <f>IF(ISNA(VLOOKUP(A128,'Données projet'!$A$113:$I$133,6,0)),0%,VLOOKUP(A128,'Données projet'!$A$113:$I$133,6,0)*VLOOKUP('Données projet'!$B$12,'Paramètres'!$A$1:$I$88,7,0))</f>
        <v>0</v>
      </c>
      <c r="CJ128" s="155">
        <f>IF(ISNA(VLOOKUP(A128,'Données projet'!$A$113:$I$133,7,0)),0%,VLOOKUP(A128,'Données projet'!$A$113:$I$133,7,0))</f>
        <v>0</v>
      </c>
      <c r="CK128" s="162" t="str">
        <f>EXP(-LN(2)/35)*CK127+(1-EXP(-LN(2)/35))/(LN(2)/35)*CG128*CH128*VLOOKUP('Données projet'!$B$12,'Paramètres'!$A$1:$I$88,3,0)*0.475*44/12</f>
        <v>#N/A</v>
      </c>
      <c r="CL128" s="162" t="str">
        <f>EXP(-LN(2)/25)*CL127+(1-EXP(-LN(2)/25))/(LN(2)/25)*Calculateur!CG128*Calculateur!CI128*VLOOKUP('Données projet'!$B$12,'Paramètres'!$A$1:$I$88,3,0)*0.475*44/12</f>
        <v>#N/A</v>
      </c>
      <c r="CM128" s="162" t="str">
        <f>EXP(-LN(2)/2)*CM127+(1-EXP(-LN(2)/2))/(LN(2)/2)*CG128*CJ128*VLOOKUP('Données projet'!$B$12,'Paramètres'!$A$1:$I$88,3,0)*0.475*44/12</f>
        <v>#N/A</v>
      </c>
      <c r="CN128" s="163" t="str">
        <f t="shared" si="13"/>
        <v>#N/A</v>
      </c>
      <c r="CO128" s="159">
        <f>('Scénario référence'!$F$8+'Scénario référence'!$F$9+'Scénario référence'!$B$17+'Scénario référence'!$B$9+'Scénario référence'!$B$10)*70+IF((45+25*(1-EXP(-0.0175*A128)))&lt;70,'Scénario référence'!$B$16*(45+25*(1-EXP(-0.0175*A128))),70*'Scénario référence'!$B$16)+IF((32+38*(1-EXP(-0.0175*A128)))&lt;70,'Scénario référence'!$B$18*(32+38*(1-EXP(-0.0175*A128))),70*'Scénario référence'!$B$18)</f>
        <v>70</v>
      </c>
      <c r="CP128" s="151">
        <f>IF(A128&gt;30,10,('Scénario référence'!$B$16+'Scénario référence'!$B$17+'Scénario référence'!$B$18+'Scénario référence'!$B$9+'Scénario référence'!$B$10)*A128*10/30+('Scénario référence'!$F$8+'Scénario référence'!$F$9)*10)</f>
        <v>10</v>
      </c>
      <c r="CQ128" s="151" t="str">
        <f>VLOOKUP(A128,'Données projet'!$A$139:$I$159,2,0)</f>
        <v>#N/A</v>
      </c>
      <c r="CR128" s="151" t="str">
        <f>VLOOKUP(A128,'Données projet'!$A$139:$I$159,9,0)</f>
        <v>#N/A</v>
      </c>
      <c r="CS128" s="151" t="str">
        <f t="array" ref="CS128">INDEX(CR:CR,MIN(IF(ISNUMBER(CR128:CR324),ROW(CR128:CR324),"")))</f>
        <v/>
      </c>
      <c r="CT128" s="151">
        <f>IF('Données projet'!$A$140&gt;35,CT127+CS128-DB127,IF(A128&lt;'Données projet'!$A$140,$CQ$205^A128,IF(A128='Données projet'!$A$140,'Données projet'!$B$140,CT127+CS128-DB127)))</f>
        <v>0</v>
      </c>
      <c r="CU128" s="158" t="str">
        <f>CT128*VLOOKUP('Données projet'!$B$13,'Paramètres'!$A$1:$I$88,3,0)*VLOOKUP('Données projet'!$B$13,'Paramètres'!$A$1:$I$88,5,0)</f>
        <v>#N/A</v>
      </c>
      <c r="CV128" s="150" t="str">
        <f t="shared" si="42"/>
        <v>#N/A</v>
      </c>
      <c r="CW128" s="161" t="str">
        <f t="shared" si="14"/>
        <v>#N/A</v>
      </c>
      <c r="CX128" s="153" t="str">
        <f t="shared" si="15"/>
        <v>#N/A</v>
      </c>
      <c r="CY128" s="153" t="str">
        <f>AVERAGE(OFFSET($CX$3,0,0,'Données projet'!$E$13+1,1))-AVERAGE(OFFSET($H$3,0,0,'Données projet'!$E$13+1,1))</f>
        <v>#N/A</v>
      </c>
      <c r="CZ128" s="153" t="str">
        <f t="shared" si="43"/>
        <v>#N/A</v>
      </c>
      <c r="DA128" s="154">
        <f>IF(ISNA(VLOOKUP(A128,'Données projet'!$A$139:$I$159,3,0)),0,VLOOKUP(A128,'Données projet'!$A$139:$I$159,3,0))</f>
        <v>0</v>
      </c>
      <c r="DB128" s="154">
        <f>IF(ISNA(VLOOKUP(A128,'Données projet'!$A$139:$I$159,4,0)),0,VLOOKUP(A128,'Données projet'!$A$139:$I$159,4,0))</f>
        <v>0</v>
      </c>
      <c r="DC128" s="155">
        <f>IF(ISNA(VLOOKUP(A128,'Données projet'!$A$139:$I$159,5,0)),0%,VLOOKUP(A128,'Données projet'!$A$139:$I$159,5,0)*VLOOKUP('Données projet'!$B$13,'Paramètres'!$A$1:$I$88,7,0))</f>
        <v>0</v>
      </c>
      <c r="DD128" s="155">
        <f>IF(ISNA(VLOOKUP(A128,'Données projet'!$A$139:$I$159,6,0)),0%,VLOOKUP(A128,'Données projet'!$A$139:$I$159,6,0)*VLOOKUP('Données projet'!$B$13,'Paramètres'!$A$1:$I$88,7,0))</f>
        <v>0</v>
      </c>
      <c r="DE128" s="155">
        <f>IF(ISNA(VLOOKUP(A128,'Données projet'!$A$139:$I$159,7,0)),0%,VLOOKUP(A128,'Données projet'!$A$139:$I$159,7,0))</f>
        <v>0</v>
      </c>
      <c r="DF128" s="162" t="str">
        <f>EXP(-LN(2)/35)*DF127+(1-EXP(-LN(2)/35))/(LN(2)/35)*DB128*DC128*VLOOKUP('Données projet'!$B$13,'Paramètres'!$A$1:$I$88,3,0)*0.475*44/12</f>
        <v>#N/A</v>
      </c>
      <c r="DG128" s="162" t="str">
        <f>EXP(-LN(2)/25)*DG127+(1-EXP(-LN(2)/25))/(LN(2)/25)*Calculateur!DB128*Calculateur!DD128*VLOOKUP('Données projet'!$B$13,'Paramètres'!$A$1:$I$88,3,0)*0.475*44/12</f>
        <v>#N/A</v>
      </c>
      <c r="DH128" s="162" t="str">
        <f>EXP(-LN(2)/2)*DH127+(1-EXP(-LN(2)/2))/(LN(2)/2)*DB128*DE128*VLOOKUP('Données projet'!$B$13,'Paramètres'!$A$1:$I$88,3,0)*0.475*44/12</f>
        <v>#N/A</v>
      </c>
      <c r="DI128" s="163" t="str">
        <f t="shared" si="16"/>
        <v>#N/A</v>
      </c>
      <c r="DJ128" s="159">
        <f>('Scénario référence'!$F$8+'Scénario référence'!$F$9+'Scénario référence'!$B$17+'Scénario référence'!$B$9+'Scénario référence'!$B$10)*70+IF((45+25*(1-EXP(-0.0175*A128)))&lt;70,'Scénario référence'!$B$16*(45+25*(1-EXP(-0.0175*A128))),70*'Scénario référence'!$B$16)+IF((32+38*(1-EXP(-0.0175*A128)))&lt;70,'Scénario référence'!$B$18*(32+38*(1-EXP(-0.0175*A128))),70*'Scénario référence'!$B$18)</f>
        <v>70</v>
      </c>
      <c r="DK128" s="151">
        <f>IF(A128&gt;30,10,('Scénario référence'!$B$16+'Scénario référence'!$B$17+'Scénario référence'!$B$18+'Scénario référence'!$B$9+'Scénario référence'!$B$10)*A128*10/30+('Scénario référence'!$F$8+'Scénario référence'!$F$9)*10)</f>
        <v>10</v>
      </c>
      <c r="DL128" s="151" t="str">
        <f>VLOOKUP(A128,'Données projet'!$A$165:$I$185,2,0)</f>
        <v>#N/A</v>
      </c>
      <c r="DM128" s="151" t="str">
        <f>VLOOKUP(A128,'Données projet'!$A$165:$I$185,9,0)</f>
        <v>#N/A</v>
      </c>
      <c r="DN128" s="151" t="str">
        <f t="array" ref="DN128">INDEX(DM:DM,MIN(IF(ISNUMBER(DM128:DM324),ROW(DM128:DM324),"")))</f>
        <v/>
      </c>
      <c r="DO128" s="151">
        <f>IF('Données projet'!$A$166&gt;35,DO127+DN128-DW127,IF(A128&lt;'Données projet'!$A$166,$DL$205^A128,IF(A128='Données projet'!$A$166,'Données projet'!$B$166,DO127+DN128-DW127)))</f>
        <v>0</v>
      </c>
      <c r="DP128" s="158" t="str">
        <f>DO128*VLOOKUP('Données projet'!$B$14,'Paramètres'!$A$1:$I$88,3,0)*VLOOKUP('Données projet'!$B$14,'Paramètres'!$A$1:$I$88,5,0)</f>
        <v>#N/A</v>
      </c>
      <c r="DQ128" s="150" t="str">
        <f t="shared" si="44"/>
        <v>#N/A</v>
      </c>
      <c r="DR128" s="161" t="str">
        <f t="shared" si="17"/>
        <v>#N/A</v>
      </c>
      <c r="DS128" s="153" t="str">
        <f t="shared" si="18"/>
        <v>#N/A</v>
      </c>
      <c r="DT128" s="153" t="str">
        <f>AVERAGE(OFFSET($DS$3,0,0,'Données projet'!$E$14+1,1))-AVERAGE(OFFSET($H$3,0,0,'Données projet'!$E$14+1,1))</f>
        <v>#N/A</v>
      </c>
      <c r="DU128" s="153" t="str">
        <f t="shared" si="45"/>
        <v>#N/A</v>
      </c>
      <c r="DV128" s="154">
        <f>IF(ISNA(VLOOKUP(A128,'Données projet'!$A$165:$I$185,3,0)),0,VLOOKUP(A128,'Données projet'!$A$165:$I$185,3,0))</f>
        <v>0</v>
      </c>
      <c r="DW128" s="154">
        <f>IF(ISNA(VLOOKUP(A128,'Données projet'!$A$165:$I$185,4,0)),0,VLOOKUP(A128,'Données projet'!$A$165:$I$185,4,0))</f>
        <v>0</v>
      </c>
      <c r="DX128" s="155">
        <f>IF(ISNA(VLOOKUP(A128,'Données projet'!$A$165:$I$185,5,0)),0%,VLOOKUP(A128,'Données projet'!$A$165:$I$185,5,0)*VLOOKUP('Données projet'!$B$14,'Paramètres'!$A$1:$I$88,7,0))</f>
        <v>0</v>
      </c>
      <c r="DY128" s="155">
        <f>IF(ISNA(VLOOKUP(A128,'Données projet'!$A$165:$I$185,6,0)),0%,VLOOKUP(A128,'Données projet'!$A$165:$I$185,6,0)*VLOOKUP('Données projet'!$B$14,'Paramètres'!$A$1:$I$88,7,0))</f>
        <v>0</v>
      </c>
      <c r="DZ128" s="155">
        <f>IF(ISNA(VLOOKUP(A128,'Données projet'!$A$165:$I$185,7,0)),0%,VLOOKUP(A128,'Données projet'!$A$165:$I$185,7,0))</f>
        <v>0</v>
      </c>
      <c r="EA128" s="162" t="str">
        <f>EXP(-LN(2)/35)*EA127+(1-EXP(-LN(2)/35))/(LN(2)/35)*DW128*DX128*VLOOKUP('Données projet'!$B$14,'Paramètres'!$A$1:$I$88,3,0)*0.475*44/12</f>
        <v>#N/A</v>
      </c>
      <c r="EB128" s="162" t="str">
        <f>EXP(-LN(2)/25)*EB127+(1-EXP(-LN(2)/25))/(LN(2)/25)*Calculateur!DW128*Calculateur!DY128*VLOOKUP('Données projet'!$B$14,'Paramètres'!$A$1:$I$88,3,0)*0.475*44/12</f>
        <v>#N/A</v>
      </c>
      <c r="EC128" s="162" t="str">
        <f>EXP(-LN(2)/2)*EC127+(1-EXP(-LN(2)/2))/(LN(2)/2)*DW128*DZ128*VLOOKUP('Données projet'!$B$14,'Paramètres'!$A$1:$I$88,3,0)*0.475*44/12</f>
        <v>#N/A</v>
      </c>
      <c r="ED128" s="163" t="str">
        <f t="shared" si="19"/>
        <v>#N/A</v>
      </c>
      <c r="EE128" s="159">
        <f>('Scénario référence'!$F$8+'Scénario référence'!$F$9+'Scénario référence'!$B$17+'Scénario référence'!$B$9+'Scénario référence'!$B$10)*70+IF((45+25*(1-EXP(-0.0175*A128)))&lt;70,'Scénario référence'!$B$16*(45+25*(1-EXP(-0.0175*A128))),70*'Scénario référence'!$B$16)+IF((32+38*(1-EXP(-0.0175*A128)))&lt;70,'Scénario référence'!$B$18*(32+38*(1-EXP(-0.0175*A128))),70*'Scénario référence'!$B$18)</f>
        <v>70</v>
      </c>
      <c r="EF128" s="151">
        <f>IF(A128&gt;30,10,('Scénario référence'!$B$16+'Scénario référence'!$B$17+'Scénario référence'!$B$18+'Scénario référence'!$B$9+'Scénario référence'!$B$10)*A128*10/30+('Scénario référence'!$F$8+'Scénario référence'!$F$9)*10)</f>
        <v>10</v>
      </c>
      <c r="EG128" s="151" t="str">
        <f>VLOOKUP(A128,'Données projet'!$A$191:$I$211,2,0)</f>
        <v>#N/A</v>
      </c>
      <c r="EH128" s="151" t="str">
        <f>VLOOKUP(A128,'Données projet'!$A$191:$I$211,9,0)</f>
        <v>#N/A</v>
      </c>
      <c r="EI128" s="151" t="str">
        <f t="array" ref="EI128">INDEX(EH:EH,MIN(IF(ISNUMBER(EH128:EH324),ROW(EH128:EH324),"")))</f>
        <v/>
      </c>
      <c r="EJ128" s="151">
        <f>IF('Données projet'!$A$192&gt;35,EJ127+EI128-ER127,IF(A128&lt;'Données projet'!$A$192,$EG$205^A128,IF(A128='Données projet'!$A$192,'Données projet'!$B$192,EJ127+EI128-ER127)))</f>
        <v>0</v>
      </c>
      <c r="EK128" s="158" t="str">
        <f>EJ128*VLOOKUP('Données projet'!$B$15,'Paramètres'!$A$1:$I$88,3,0)*VLOOKUP('Données projet'!$B$15,'Paramètres'!$A$1:$I$88,5,0)</f>
        <v>#N/A</v>
      </c>
      <c r="EL128" s="150" t="str">
        <f t="shared" si="46"/>
        <v>#N/A</v>
      </c>
      <c r="EM128" s="161" t="str">
        <f t="shared" si="20"/>
        <v>#N/A</v>
      </c>
      <c r="EN128" s="153" t="str">
        <f t="shared" si="21"/>
        <v>#N/A</v>
      </c>
      <c r="EO128" s="153" t="str">
        <f>AVERAGE(OFFSET($EN$3,0,0,'Données projet'!$E$15+1,1))-AVERAGE(OFFSET($H$3,0,0,'Données projet'!$E$15+1,1))</f>
        <v>#N/A</v>
      </c>
      <c r="EP128" s="153" t="str">
        <f t="shared" si="47"/>
        <v>#N/A</v>
      </c>
      <c r="EQ128" s="154">
        <f>IF(ISNA(VLOOKUP(A128,'Données projet'!$A$191:$I$211,3,0)),0,VLOOKUP(A128,'Données projet'!$A$191:$I$211,3,0))</f>
        <v>0</v>
      </c>
      <c r="ER128" s="154">
        <f>IF(ISNA(VLOOKUP(A128,'Données projet'!$A$191:$I$211,4,0)),0,VLOOKUP(A128,'Données projet'!$A$191:$I$211,4,0))</f>
        <v>0</v>
      </c>
      <c r="ES128" s="155">
        <f>IF(ISNA(VLOOKUP(A128,'Données projet'!$A$191:$I$211,5,0)),0%,VLOOKUP(A128,'Données projet'!$A$191:$I$211,5,0)*VLOOKUP('Données projet'!$B$15,'Paramètres'!$A$1:$I$88,7,0))</f>
        <v>0</v>
      </c>
      <c r="ET128" s="155">
        <f>IF(ISNA(VLOOKUP(A128,'Données projet'!$A$191:$I$211,6,0)),0%,VLOOKUP(A128,'Données projet'!$A$191:$I$211,6,0)*VLOOKUP('Données projet'!$B$15,'Paramètres'!$A$1:$I$88,7,0))</f>
        <v>0</v>
      </c>
      <c r="EU128" s="155">
        <f>IF(ISNA(VLOOKUP(A128,'Données projet'!$A$191:$I$211,7,0)),0%,VLOOKUP(A128,'Données projet'!$A$191:$I$211,7,0))</f>
        <v>0</v>
      </c>
      <c r="EV128" s="162" t="str">
        <f>EXP(-LN(2)/35)*EV127+(1-EXP(-LN(2)/35))/(LN(2)/35)*ER128*ES128*VLOOKUP('Données projet'!$B$15,'Paramètres'!$A$1:$I$88,3,0)*0.475*44/12</f>
        <v>#N/A</v>
      </c>
      <c r="EW128" s="162" t="str">
        <f>EXP(-LN(2)/25)*EW127+(1-EXP(-LN(2)/25))/(LN(2)/25)*Calculateur!ER128*Calculateur!ET128*VLOOKUP('Données projet'!$B$15,'Paramètres'!$A$1:$I$88,3,0)*0.475*44/12</f>
        <v>#N/A</v>
      </c>
      <c r="EX128" s="162" t="str">
        <f>EXP(-LN(2)/2)*EX127+(1-EXP(-LN(2)/2))/(LN(2)/2)*ER128*EU128*VLOOKUP('Données projet'!$B$15,'Paramètres'!$A$1:$I$88,3,0)*0.475*44/12</f>
        <v>#N/A</v>
      </c>
      <c r="EY128" s="163" t="str">
        <f t="shared" si="22"/>
        <v>#N/A</v>
      </c>
      <c r="EZ128" s="159">
        <f>('Scénario référence'!$F$8+'Scénario référence'!$F$9+'Scénario référence'!$B$17+'Scénario référence'!$B$9+'Scénario référence'!$B$10)*70+IF((45+25*(1-EXP(-0.0175*A128)))&lt;70,'Scénario référence'!$B$16*(45+25*(1-EXP(-0.0175*A128))),70*'Scénario référence'!$B$16)+IF((32+38*(1-EXP(-0.0175*A128)))&lt;70,'Scénario référence'!$B$18*(32+38*(1-EXP(-0.0175*A128))),70*'Scénario référence'!$B$18)</f>
        <v>70</v>
      </c>
      <c r="FA128" s="151">
        <f>IF(A128&gt;30,10,('Scénario référence'!$B$16+'Scénario référence'!$B$17+'Scénario référence'!$B$18+'Scénario référence'!$B$9+'Scénario référence'!$B$10)*A128*10/30+('Scénario référence'!$F$8+'Scénario référence'!$F$9)*10)</f>
        <v>10</v>
      </c>
      <c r="FB128" s="151" t="str">
        <f>VLOOKUP(A128,'Données projet'!$A$217:$I$237,2,0)</f>
        <v>#N/A</v>
      </c>
      <c r="FC128" s="151" t="str">
        <f>VLOOKUP(A128,'Données projet'!$A$217:$I$237,9,0)</f>
        <v>#N/A</v>
      </c>
      <c r="FD128" s="151" t="str">
        <f t="array" ref="FD128">INDEX(FC:FC,MIN(IF(ISNUMBER(FC128:FC324),ROW(FC128:FC324),"")))</f>
        <v/>
      </c>
      <c r="FE128" s="151">
        <f>IF('Données projet'!$A$218&gt;35,FE127+FD128-FM127,IF(A128&lt;'Données projet'!$A$218,$FB$205^A128,IF(A128='Données projet'!$A$218,'Données projet'!$B$218,FE127+FD128-FM127)))</f>
        <v>0</v>
      </c>
      <c r="FF128" s="158" t="str">
        <f>FE128*VLOOKUP('Données projet'!$B$16,'Paramètres'!$A$1:$I$88,3,0)*VLOOKUP('Données projet'!$B$16,'Paramètres'!$A$1:$I$88,5,0)</f>
        <v>#N/A</v>
      </c>
      <c r="FG128" s="150" t="str">
        <f t="shared" si="48"/>
        <v>#N/A</v>
      </c>
      <c r="FH128" s="161" t="str">
        <f t="shared" si="23"/>
        <v>#N/A</v>
      </c>
      <c r="FI128" s="153" t="str">
        <f t="shared" si="24"/>
        <v>#N/A</v>
      </c>
      <c r="FJ128" s="153" t="str">
        <f>AVERAGE(OFFSET($FI$3,0,0,'Données projet'!$E$16+1,1))-AVERAGE(OFFSET($H$3,0,0,'Données projet'!$E$16+1,1))</f>
        <v>#N/A</v>
      </c>
      <c r="FK128" s="153" t="str">
        <f t="shared" si="49"/>
        <v>#N/A</v>
      </c>
      <c r="FL128" s="154">
        <f>IF(ISNA(VLOOKUP(A128,'Données projet'!$A$217:$I$237,3,0)),0,VLOOKUP(A128,'Données projet'!$A$217:$I$237,3,0))</f>
        <v>0</v>
      </c>
      <c r="FM128" s="154">
        <f>IF(ISNA(VLOOKUP(A128,'Données projet'!$A$217:$I$237,4,0)),0,VLOOKUP(A128,'Données projet'!$A$217:$I$237,4,0))</f>
        <v>0</v>
      </c>
      <c r="FN128" s="155">
        <f>IF(ISNA(VLOOKUP(A128,'Données projet'!$A$217:$I$237,5,0)),0%,VLOOKUP(A128,'Données projet'!$A$217:$I$237,5,0)*VLOOKUP('Données projet'!$B$16,'Paramètres'!$A$1:$I$88,7,0))</f>
        <v>0</v>
      </c>
      <c r="FO128" s="155">
        <f>IF(ISNA(VLOOKUP(A128,'Données projet'!$A$217:$I$237,6,0)),0%,VLOOKUP(A128,'Données projet'!$A$217:$I$237,6,0)*VLOOKUP('Données projet'!$B$16,'Paramètres'!$A$1:$I$88,7,0))</f>
        <v>0</v>
      </c>
      <c r="FP128" s="155">
        <f>IF(ISNA(VLOOKUP(A128,'Données projet'!$A$217:$I$237,7,0)),0%,VLOOKUP(A128,'Données projet'!$A$217:$I$237,7,0))</f>
        <v>0</v>
      </c>
      <c r="FQ128" s="162" t="str">
        <f>EXP(-LN(2)/35)*FQ127+(1-EXP(-LN(2)/35))/(LN(2)/35)*FM128*FN128*VLOOKUP('Données projet'!$B$16,'Paramètres'!$A$1:$I$88,3,0)*0.475*44/12</f>
        <v>#N/A</v>
      </c>
      <c r="FR128" s="162" t="str">
        <f>EXP(-LN(2)/25)*FR127+(1-EXP(-LN(2)/25))/(LN(2)/25)*Calculateur!FM128*Calculateur!FO128*VLOOKUP('Données projet'!$B$16,'Paramètres'!$A$1:$I$88,3,0)*0.475*44/12</f>
        <v>#N/A</v>
      </c>
      <c r="FS128" s="162" t="str">
        <f>EXP(-LN(2)/2)*FS127+(1-EXP(-LN(2)/2))/(LN(2)/2)*FM128*FP128*VLOOKUP('Données projet'!$B$16,'Paramètres'!$A$1:$I$88,3,0)*0.475*44/12</f>
        <v>#N/A</v>
      </c>
      <c r="FT128" s="163" t="str">
        <f t="shared" si="25"/>
        <v>#N/A</v>
      </c>
      <c r="FU128" s="159">
        <f>('Scénario référence'!$F$8+'Scénario référence'!$F$9+'Scénario référence'!$B$17+'Scénario référence'!$B$9+'Scénario référence'!$B$10)*70+IF((45+25*(1-EXP(-0.0175*A128)))&lt;70,'Scénario référence'!$B$16*(45+25*(1-EXP(-0.0175*A128))),70*'Scénario référence'!$B$16)+IF((32+38*(1-EXP(-0.0175*A128)))&lt;70,'Scénario référence'!$B$18*(32+38*(1-EXP(-0.0175*A128))),70*'Scénario référence'!$B$18)</f>
        <v>70</v>
      </c>
      <c r="FV128" s="151">
        <f>IF(A128&gt;30,10,('Scénario référence'!$B$16+'Scénario référence'!$B$17+'Scénario référence'!$B$18+'Scénario référence'!$B$9+'Scénario référence'!$B$10)*A128*10/30+('Scénario référence'!$F$8+'Scénario référence'!$F$9)*10)</f>
        <v>10</v>
      </c>
      <c r="FW128" s="151" t="str">
        <f>VLOOKUP(A128,'Données projet'!$A$243:$I$263,2,0)</f>
        <v>#N/A</v>
      </c>
      <c r="FX128" s="151" t="str">
        <f>VLOOKUP(A128,'Données projet'!$A$243:$I$263,9,0)</f>
        <v>#N/A</v>
      </c>
      <c r="FY128" s="151" t="str">
        <f t="array" ref="FY128">INDEX(FX:FX,MIN(IF(ISNUMBER(FX128:FX324),ROW(FX128:FX324),"")))</f>
        <v/>
      </c>
      <c r="FZ128" s="151">
        <f>IF('Données projet'!$A$244&gt;35,FZ127+FY128-GH127,IF(A128&lt;'Données projet'!$A$244,$FW$205^A128,IF(A128='Données projet'!$A$244,'Données projet'!$B$244,FZ127+FY128-GH127)))</f>
        <v>0</v>
      </c>
      <c r="GA128" s="158" t="str">
        <f>FZ128*VLOOKUP('Données projet'!$B$17,'Paramètres'!$A$1:$I$88,3,0)*VLOOKUP('Données projet'!$B$17,'Paramètres'!$A$1:$I$88,5,0)</f>
        <v>#N/A</v>
      </c>
      <c r="GB128" s="150" t="str">
        <f t="shared" si="50"/>
        <v>#N/A</v>
      </c>
      <c r="GC128" s="161" t="str">
        <f t="shared" si="26"/>
        <v>#N/A</v>
      </c>
      <c r="GD128" s="153" t="str">
        <f t="shared" si="27"/>
        <v>#N/A</v>
      </c>
      <c r="GE128" s="153" t="str">
        <f>AVERAGE(OFFSET($GD$3,0,0,'Données projet'!$E$17+1,1))-AVERAGE(OFFSET($H$3,0,0,'Données projet'!$E$17+1,1))</f>
        <v>#N/A</v>
      </c>
      <c r="GF128" s="153" t="str">
        <f t="shared" si="51"/>
        <v>#N/A</v>
      </c>
      <c r="GG128" s="154">
        <f>IF(ISNA(VLOOKUP(A128,'Données projet'!$A$243:$I$263,3,0)),0,VLOOKUP(A128,'Données projet'!$A$243:$I$263,3,0))</f>
        <v>0</v>
      </c>
      <c r="GH128" s="154">
        <f>IF(ISNA(VLOOKUP(A128,'Données projet'!$A$243:$I$263,4,0)),0,VLOOKUP(A128,'Données projet'!$A$243:$I$263,4,0))</f>
        <v>0</v>
      </c>
      <c r="GI128" s="155">
        <f>IF(ISNA(VLOOKUP(A128,'Données projet'!$A$243:$I$263,5,0)),0%,VLOOKUP(A128,'Données projet'!$A$243:$I$263,5,0)*VLOOKUP('Données projet'!$B$17,'Paramètres'!$A$1:$I$88,7,0))</f>
        <v>0</v>
      </c>
      <c r="GJ128" s="155">
        <f>IF(ISNA(VLOOKUP(A128,'Données projet'!$A$243:$I$263,6,0)),0%,VLOOKUP(A128,'Données projet'!$A$243:$I$263,6,0)*VLOOKUP('Données projet'!$B$17,'Paramètres'!$A$1:$I$88,7,0))</f>
        <v>0</v>
      </c>
      <c r="GK128" s="155">
        <f>IF(ISNA(VLOOKUP(A128,'Données projet'!$A$243:$I$263,7,0)),0%,VLOOKUP(A128,'Données projet'!$A$243:$I$263,7,0))</f>
        <v>0</v>
      </c>
      <c r="GL128" s="162" t="str">
        <f>EXP(-LN(2)/35)*GL127+(1-EXP(-LN(2)/35))/(LN(2)/35)*GH128*GI128*VLOOKUP('Données projet'!$B$17,'Paramètres'!$A$1:$I$88,3,0)*0.475*44/12</f>
        <v>#N/A</v>
      </c>
      <c r="GM128" s="162" t="str">
        <f>EXP(-LN(2)/25)*GM127+(1-EXP(-LN(2)/25))/(LN(2)/25)*Calculateur!GH128*Calculateur!GJ128*VLOOKUP('Données projet'!$B$17,'Paramètres'!$A$1:$I$88,3,0)*0.475*44/12</f>
        <v>#N/A</v>
      </c>
      <c r="GN128" s="162" t="str">
        <f>EXP(-LN(2)/2)*GN127+(1-EXP(-LN(2)/2))/(LN(2)/2)*GH128*GK128*VLOOKUP('Données projet'!$B$17,'Paramètres'!$A$1:$I$88,3,0)*0.475*44/12</f>
        <v>#N/A</v>
      </c>
      <c r="GO128" s="162" t="str">
        <f t="shared" si="28"/>
        <v>#N/A</v>
      </c>
      <c r="GP128" s="159">
        <f>('Scénario référence'!$F$8+'Scénario référence'!$F$9+'Scénario référence'!$B$17+'Scénario référence'!$B$9+'Scénario référence'!$B$10)*70+IF((45+25*(1-EXP(-0.0175*A128)))&lt;70,'Scénario référence'!$B$16*(45+25*(1-EXP(-0.0175*A128))),70*'Scénario référence'!$B$16)+IF((32+38*(1-EXP(-0.0175*A128)))&lt;70,'Scénario référence'!$B$18*(32+38*(1-EXP(-0.0175*A128))),70*'Scénario référence'!$B$18)</f>
        <v>70</v>
      </c>
      <c r="GQ128" s="151">
        <f>IF(A128&gt;30,10,('Scénario référence'!$B$16+'Scénario référence'!$B$17+'Scénario référence'!$B$18+'Scénario référence'!$B$9+'Scénario référence'!$B$10)*A128*10/30+('Scénario référence'!$F$8+'Scénario référence'!$F$9)*10)</f>
        <v>10</v>
      </c>
      <c r="GR128" s="151" t="str">
        <f>VLOOKUP(A128,'Données projet'!$A$269:$I$289,2,0)</f>
        <v>#N/A</v>
      </c>
      <c r="GS128" s="151" t="str">
        <f>VLOOKUP(A128,'Données projet'!$A$269:$I$289,9,0)</f>
        <v>#N/A</v>
      </c>
      <c r="GT128" s="151" t="str">
        <f t="array" ref="GT128">INDEX(GS:GS,MIN(IF(ISNUMBER(GS128:GS324),ROW(GS128:GS324),"")))</f>
        <v/>
      </c>
      <c r="GU128" s="151">
        <f>IF('Données projet'!$A$270&gt;35,GU127+GT128-HC127,IF(A128&lt;'Données projet'!$A$270,$GR$205^A128,IF(A128='Données projet'!$A$270,'Données projet'!$B$270,GU127+GT128-HC127)))</f>
        <v>0</v>
      </c>
      <c r="GV128" s="158" t="str">
        <f>GU128*VLOOKUP('Données projet'!$B$18,'Paramètres'!$A$1:$I$88,3,0)*VLOOKUP('Données projet'!$B$18,'Paramètres'!$A$1:$I$88,5,0)</f>
        <v>#N/A</v>
      </c>
      <c r="GW128" s="150" t="str">
        <f t="shared" si="52"/>
        <v>#N/A</v>
      </c>
      <c r="GX128" s="161" t="str">
        <f t="shared" si="29"/>
        <v>#N/A</v>
      </c>
      <c r="GY128" s="153" t="str">
        <f t="shared" si="30"/>
        <v>#N/A</v>
      </c>
      <c r="GZ128" s="153" t="str">
        <f>AVERAGE(OFFSET($GY$3,0,0,'Données projet'!$E$18+1,1))-AVERAGE(OFFSET($H$3,0,0,'Données projet'!$E$18+1,1))</f>
        <v>#N/A</v>
      </c>
      <c r="HA128" s="153" t="str">
        <f t="shared" si="53"/>
        <v>#N/A</v>
      </c>
      <c r="HB128" s="154">
        <f>IF(ISNA(VLOOKUP(A128,'Données projet'!$A$269:$I$289,3,0)),0,VLOOKUP(A128,'Données projet'!$A$269:$I$289,3,0))</f>
        <v>0</v>
      </c>
      <c r="HC128" s="154">
        <f>IF(ISNA(VLOOKUP(A128,'Données projet'!$A$269:$I$289,4,0)),0,VLOOKUP(A128,'Données projet'!$A$269:$I$289,4,0))</f>
        <v>0</v>
      </c>
      <c r="HD128" s="155">
        <f>IF(ISNA(VLOOKUP(A128,'Données projet'!$A$269:$I$289,5,0)),0%,VLOOKUP(A128,'Données projet'!$A$269:$I$289,5,0)*VLOOKUP('Données projet'!$B$18,'Paramètres'!$A$1:$I$88,7,0))</f>
        <v>0</v>
      </c>
      <c r="HE128" s="155">
        <f>IF(ISNA(VLOOKUP(A128,'Données projet'!$A$269:$I$289,6,0)),0%,VLOOKUP(A128,'Données projet'!$A$269:$I$289,6,0)*VLOOKUP('Données projet'!$B$18,'Paramètres'!$A$1:$I$88,7,0))</f>
        <v>0</v>
      </c>
      <c r="HF128" s="155">
        <f>IF(ISNA(VLOOKUP(A128,'Données projet'!$A$269:$I$289,7,0)),0%,VLOOKUP(A128,'Données projet'!$A$269:$I$289,7,0))</f>
        <v>0</v>
      </c>
      <c r="HG128" s="162" t="str">
        <f>EXP(-LN(2)/35)*HG127+(1-EXP(-LN(2)/35))/(LN(2)/35)*HC128*HD128*VLOOKUP('Données projet'!$B$18,'Paramètres'!$A$1:$I$88,3,0)*0.475*44/12</f>
        <v>#N/A</v>
      </c>
      <c r="HH128" s="162" t="str">
        <f>EXP(-LN(2)/25)*HH127+(1-EXP(-LN(2)/25))/(LN(2)/25)*Calculateur!HC128*Calculateur!HE128*VLOOKUP('Données projet'!$B$18,'Paramètres'!$A$1:$I$88,3,0)*0.475*44/12</f>
        <v>#N/A</v>
      </c>
      <c r="HI128" s="162" t="str">
        <f>EXP(-LN(2)/2)*HI127+(1-EXP(-LN(2)/2))/(LN(2)/2)*HC128*HF128*VLOOKUP('Données projet'!$B$18,'Paramètres'!$A$1:$I$88,3,0)*0.475*44/12</f>
        <v>#N/A</v>
      </c>
      <c r="HJ128" s="163" t="str">
        <f t="shared" si="31"/>
        <v>#N/A</v>
      </c>
    </row>
    <row r="129" ht="15.75" customHeight="1">
      <c r="A129" s="145">
        <f t="shared" si="32"/>
        <v>126</v>
      </c>
      <c r="B129" s="146">
        <f>'Scénario référence'!$B$16*5+'Scénario référence'!$B$17*0+'Scénario référence'!$B$18*5</f>
        <v>0</v>
      </c>
      <c r="C129" s="160">
        <f>Calculateur!C128+'Scénario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29" s="147">
        <f t="shared" si="33"/>
        <v>0</v>
      </c>
      <c r="E129" s="147">
        <f>'Scénario référence'!$B$16*45+('Scénario référence'!$B$17+'Scénario référence'!$F$8+'Scénario référence'!$F$9+'Scénario référence'!$B$10+'Scénario référence'!$B$9)*70+'Scénario référence'!$B$18*32</f>
        <v>70</v>
      </c>
      <c r="F129" s="147">
        <f>IF(OR('Scénario référence'!$F$8&gt;0,'Scénario référence'!$F$9&gt;0),('Scénario référence'!$F$8+'Scénario référence'!$F$9)*10,0)</f>
        <v>0</v>
      </c>
      <c r="G129" s="147">
        <f>'Scénario référence'!$B$8*B129*44/12+'Scénario référence'!$B$9*(C129+D129)/0.475*44/12+'Scénario référence'!$B$10*(C129+D129)/0.475*44/12+'Scénario référence'!$F$8*(C129+D129)/0.475*44/12+'Scénario référence'!$F$9*(C129+D129)/0.475*44/12</f>
        <v>0</v>
      </c>
      <c r="H129" s="148">
        <f t="shared" si="1"/>
        <v>256.6666667</v>
      </c>
      <c r="I129" s="149">
        <f>('Scénario référence'!$F$8+'Scénario référence'!$F$9+'Scénario référence'!$B$17+'Scénario référence'!$B$9+'Scénario référence'!$B$10)*70+IF((45+25*(1-EXP(-0.0175*A129)))&lt;70,'Scénario référence'!$B$16*(45+25*(1-EXP(-0.0175*A129))),70*'Scénario référence'!$B$16)+IF((32+38*(1-EXP(-0.0175*A129)))&lt;70,'Scénario référence'!$B$18*(32+38*(1-EXP(-0.0175*A129))),70*'Scénario référence'!$B$18)</f>
        <v>70</v>
      </c>
      <c r="J129" s="150">
        <f>IF(A129&gt;30,10,('Scénario référence'!$B$16+'Scénario référence'!$B$17+'Scénario référence'!$B$18+'Scénario référence'!$B$9+'Scénario référence'!$B$10)*A129*10/30+('Scénario référence'!$F$8+'Scénario référence'!$F$9)*10)</f>
        <v>10</v>
      </c>
      <c r="K129" s="151" t="str">
        <f>VLOOKUP(A129,'Données projet'!$A$35:$I$55,2,0)</f>
        <v>#N/A</v>
      </c>
      <c r="L129" s="151" t="str">
        <f>VLOOKUP(A129,'Données projet'!$A$35:$I$55,9,0)</f>
        <v>#N/A</v>
      </c>
      <c r="M129" s="151" t="str">
        <f t="array" ref="M129">INDEX(L:L,MIN(IF(ISNUMBER(L129:L325),ROW(L129:L325),"")))</f>
        <v/>
      </c>
      <c r="N129" s="150">
        <f>IF('Données projet'!$A$36&gt;35,N128+M129-V128,IF(A129&lt;'Données projet'!$A$36,$K$205^A129,IF(A129='Données projet'!$A$36,'Données projet'!$B$36,N128+M129-V128)))</f>
        <v>307</v>
      </c>
      <c r="O129" s="150">
        <f>N129*VLOOKUP('Données projet'!$B$9,'Paramètres'!$A$1:$I$88,3,0)*VLOOKUP('Données projet'!$B$9,'Paramètres'!$A$1:$I$88,5,0)</f>
        <v>277.7736</v>
      </c>
      <c r="P129" s="150">
        <f t="shared" si="34"/>
        <v>66.49628818</v>
      </c>
      <c r="Q129" s="161">
        <f t="shared" si="2"/>
        <v>599.6033886</v>
      </c>
      <c r="R129" s="153">
        <f t="shared" si="3"/>
        <v>892.9367219</v>
      </c>
      <c r="S129" s="153">
        <f>AVERAGE(OFFSET($R$3,0,0,'Données projet'!$E$9+1,1))-AVERAGE(OFFSET($H$3,0,0,'Données projet'!$E$9+1,1))</f>
        <v>439.1985427</v>
      </c>
      <c r="T129" s="153">
        <f t="shared" si="35"/>
        <v>278.2174123</v>
      </c>
      <c r="U129" s="154">
        <f>IF(ISNA(VLOOKUP(A129,'Données projet'!$A$35:$I$55,3,0)),0,VLOOKUP(A129,'Données projet'!$A$35:$I$55,3,0))</f>
        <v>0</v>
      </c>
      <c r="V129" s="154">
        <f>IF(ISNA(VLOOKUP(A129,'Données projet'!$A$35:$I$55,4,0)),0,VLOOKUP(A129,'Données projet'!$A$35:$I$55,4,0))</f>
        <v>0</v>
      </c>
      <c r="W129" s="155">
        <f>IF(ISNA(VLOOKUP(A129,'Données projet'!$A$35:$I$55,5,0)),0%,VLOOKUP(A129,'Données projet'!$A$35:$I$55,5,0)*VLOOKUP('Données projet'!$B$9,'Paramètres'!$A$1:$I$88,7,0))</f>
        <v>0</v>
      </c>
      <c r="X129" s="155">
        <f>IF(ISNA(VLOOKUP(A129,'Données projet'!$A$35:$I$55,6,0)),0%,VLOOKUP(A129,'Données projet'!$A$35:$I$55,6,0)*VLOOKUP('Données projet'!$B$9,'Paramètres'!$A$1:$I$88,7,0))</f>
        <v>0</v>
      </c>
      <c r="Y129" s="155">
        <f>IF(ISNA(VLOOKUP(A129,'Données projet'!$A$35:$I$55,7,0)),0%,VLOOKUP(A129,'Données projet'!$A$35:$I$55,7,0))</f>
        <v>0</v>
      </c>
      <c r="Z129" s="162">
        <f>EXP(-LN(2)/35)*Z128+(1-EXP(-LN(2)/35))/(LN(2)/35)*V129*W129*VLOOKUP('Données projet'!$B$9,'Paramètres'!$A$1:$I$88,3,0)*0.475*44/12</f>
        <v>0</v>
      </c>
      <c r="AA129" s="162">
        <f>EXP(-LN(2)/25)*AA128+(1-EXP(-LN(2)/25))/(LN(2)/25)*Calculateur!V129*Calculateur!X129*VLOOKUP('Données projet'!$B$9,'Paramètres'!$A$1:$I$88,3,0)*0.475*44/12</f>
        <v>0.3133697677</v>
      </c>
      <c r="AB129" s="162">
        <f>EXP(-LN(2)/2)*AB128+(1-EXP(-LN(2)/2))/(LN(2)/2)*V129*Y129*VLOOKUP('Données projet'!$B$9,'Paramètres'!$A$1:$I$88,3,0)*0.475*44/12</f>
        <v>0</v>
      </c>
      <c r="AC129" s="163">
        <f t="shared" si="4"/>
        <v>0.3133697677</v>
      </c>
      <c r="AD129" s="150">
        <f>('Scénario référence'!$F$8+'Scénario référence'!$F$9+'Scénario référence'!$B$17+'Scénario référence'!$B$9+'Scénario référence'!$B$10)*70+IF((45+25*(1-EXP(-0.0175*A129)))&lt;70,'Scénario référence'!$B$16*(45+25*(1-EXP(-0.0175*A129))),70*'Scénario référence'!$B$16)+IF((32+38*(1-EXP(-0.0175*A129)))&lt;70,'Scénario référence'!$B$18*(32+38*(1-EXP(-0.0175*A129))),70*'Scénario référence'!$B$18)</f>
        <v>70</v>
      </c>
      <c r="AE129" s="150">
        <f>IF(A129&gt;30,10,('Scénario référence'!$B$16+'Scénario référence'!$B$17+'Scénario référence'!$B$18+'Scénario référence'!$B$9+'Scénario référence'!$B$10)*A129*10/30+('Scénario référence'!$F$8+'Scénario référence'!$F$9)*10)</f>
        <v>10</v>
      </c>
      <c r="AF129" s="151" t="str">
        <f>VLOOKUP(A129,'Données projet'!$A$61:$I$81,2,0)</f>
        <v>#N/A</v>
      </c>
      <c r="AG129" s="151" t="str">
        <f>VLOOKUP(A129,'Données projet'!$A$61:$I$81,9,0)</f>
        <v>#N/A</v>
      </c>
      <c r="AH129" s="151" t="str">
        <f t="array" ref="AH129">INDEX(AG:AG,MIN(IF(ISNUMBER(AG129:AG325),ROW(AG129:AG325),"")))</f>
        <v/>
      </c>
      <c r="AI129" s="150">
        <f>IF('Données projet'!$A$62&gt;35,AI128+AH129-AQ128,IF(A129&lt;'Données projet'!$A$62,$AF$205^A129,IF(A129='Données projet'!$A$62,'Données projet'!$B$62,AI128+AH129-AQ128)))</f>
        <v>369</v>
      </c>
      <c r="AJ129" s="150">
        <f>AI129*VLOOKUP('Données projet'!$B$10,'Paramètres'!$A$1:$I$88,3,0)*VLOOKUP('Données projet'!$B$10,'Paramètres'!$A$1:$I$88,5,0)</f>
        <v>293.5764</v>
      </c>
      <c r="AK129" s="150">
        <f t="shared" si="36"/>
        <v>69.82813851</v>
      </c>
      <c r="AL129" s="161">
        <f t="shared" si="5"/>
        <v>632.9295712</v>
      </c>
      <c r="AM129" s="153">
        <f t="shared" si="6"/>
        <v>926.2629046</v>
      </c>
      <c r="AN129" s="153">
        <f>AVERAGE(OFFSET($AM$3,0,0,'Données projet'!$E$10+1,1))-AVERAGE(OFFSET($H$3,0,0,'Données projet'!$E$10+1,1))</f>
        <v>405.6113614</v>
      </c>
      <c r="AO129" s="153">
        <f t="shared" si="37"/>
        <v>393.0787141</v>
      </c>
      <c r="AP129" s="154">
        <f>IF(ISNA(VLOOKUP(A129,'Données projet'!$A$61:$I$81,3,0)),0,VLOOKUP(A129,'Données projet'!$A$61:$I$81,3,0))</f>
        <v>0</v>
      </c>
      <c r="AQ129" s="154">
        <f>IF(ISNA(VLOOKUP(A129,'Données projet'!$A$61:$I$81,4,0)),0,VLOOKUP(A129,'Données projet'!$A$61:$I$81,4,0))</f>
        <v>0</v>
      </c>
      <c r="AR129" s="155">
        <f>IF(ISNA(VLOOKUP(A129,'Données projet'!$A$61:$I$81,5,0)),0%,VLOOKUP(A129,'Données projet'!$A$61:$I$81,5,0)*VLOOKUP('Données projet'!$B$10,'Paramètres'!$A$1:$I$88,7,0))</f>
        <v>0</v>
      </c>
      <c r="AS129" s="155">
        <f>IF(ISNA(VLOOKUP(A129,'Données projet'!$A$61:$I$81,6,0)),0%,VLOOKUP(A129,'Données projet'!$A$61:$I$81,6,0)*VLOOKUP('Données projet'!$B$10,'Paramètres'!$A$1:$I$88,7,0))</f>
        <v>0</v>
      </c>
      <c r="AT129" s="155">
        <f>IF(ISNA(VLOOKUP(A129,'Données projet'!$A$61:$I$81,7,0)),0%,VLOOKUP(A129,'Données projet'!$A$61:$I$81,7,0))</f>
        <v>0</v>
      </c>
      <c r="AU129" s="162">
        <f>EXP(-LN(2)/35)*AU128+(1-EXP(-LN(2)/35))/(LN(2)/35)*AQ129*AR129*VLOOKUP('Données projet'!$B$10,'Paramètres'!$A$1:$I$88,3,0)*0.475*44/12</f>
        <v>0</v>
      </c>
      <c r="AV129" s="162">
        <f>EXP(-LN(2)/25)*AV128+(1-EXP(-LN(2)/25))/(LN(2)/25)*Calculateur!AQ129*Calculateur!AS129*VLOOKUP('Données projet'!$B$10,'Paramètres'!$A$1:$I$88,3,0)*0.475*44/12</f>
        <v>1.273614398</v>
      </c>
      <c r="AW129" s="162">
        <f>EXP(-LN(2)/2)*AW128+(1-EXP(-LN(2)/2))/(LN(2)/2)*AQ129*AT129*VLOOKUP('Données projet'!$B$10,'Paramètres'!$A$1:$I$88,3,0)*0.475*44/12</f>
        <v>0</v>
      </c>
      <c r="AX129" s="162">
        <f t="shared" si="7"/>
        <v>1.273614398</v>
      </c>
      <c r="AY129" s="157">
        <f>('Scénario référence'!$F$8+'Scénario référence'!$F$9+'Scénario référence'!$B$17+'Scénario référence'!$B$9+'Scénario référence'!$B$10)*70+IF((45+25*(1-EXP(-0.0175*A129)))&lt;70,'Scénario référence'!$B$16*(45+25*(1-EXP(-0.0175*A129))),70*'Scénario référence'!$B$16)+IF((32+38*(1-EXP(-0.0175*A129)))&lt;70,'Scénario référence'!$B$18*(32+38*(1-EXP(-0.0175*A129))),70*'Scénario référence'!$B$18)</f>
        <v>70</v>
      </c>
      <c r="AZ129" s="151">
        <f>IF(A129&gt;30,10,('Scénario référence'!$B$16+'Scénario référence'!$B$17+'Scénario référence'!$B$18+'Scénario référence'!$B$9+'Scénario référence'!$B$10)*A129*10/30+('Scénario référence'!$F$8+'Scénario référence'!$F$9)*10)</f>
        <v>10</v>
      </c>
      <c r="BA129" s="151" t="str">
        <f>VLOOKUP(A129,'Données projet'!$A$87:$I$107,2,0)</f>
        <v>#N/A</v>
      </c>
      <c r="BB129" s="151" t="str">
        <f>VLOOKUP(A129,'Données projet'!$A$87:$I$107,9,0)</f>
        <v>#N/A</v>
      </c>
      <c r="BC129" s="151" t="str">
        <f t="array" ref="BC129">INDEX(BB:BB,MIN(IF(ISNUMBER(BB129:BB325),ROW(BB129:BB325),"")))</f>
        <v/>
      </c>
      <c r="BD129" s="150">
        <f>IF('Données projet'!$A$88&gt;35,BD128+BC129-BL128,IF(A129&lt;'Données projet'!$A$88,$BA$205^A129,IF(A129='Données projet'!$A$88,'Données projet'!$B$88,BD128+BC129-BL128)))</f>
        <v>0</v>
      </c>
      <c r="BE129" s="150">
        <f>BD129*VLOOKUP('Données projet'!$B$11,'Paramètres'!$A$1:$I$88,3,0)*VLOOKUP('Données projet'!$B$11,'Paramètres'!$A$1:$I$88,5,0)</f>
        <v>0</v>
      </c>
      <c r="BF129" s="150" t="str">
        <f t="shared" si="38"/>
        <v>#NUM!</v>
      </c>
      <c r="BG129" s="161" t="str">
        <f t="shared" si="8"/>
        <v>#NUM!</v>
      </c>
      <c r="BH129" s="153" t="str">
        <f t="shared" si="9"/>
        <v>#NUM!</v>
      </c>
      <c r="BI129" s="153">
        <f>AVERAGE(OFFSET($BH$3,0,0,'Données projet'!$E$11+1,1))-AVERAGE(OFFSET($H$3,0,0,'Données projet'!$E$11+1,1))</f>
        <v>0</v>
      </c>
      <c r="BJ129" s="153">
        <f t="shared" si="39"/>
        <v>0</v>
      </c>
      <c r="BK129" s="154">
        <f>IF(ISNA(VLOOKUP(A129,'Données projet'!$A$87:$I$107,3,0)),0,VLOOKUP(A129,'Données projet'!$A$87:$I$107,3,0))</f>
        <v>0</v>
      </c>
      <c r="BL129" s="154">
        <f>IF(ISNA(VLOOKUP(A129,'Données projet'!$A$87:$I$107,4,0)),0,VLOOKUP(A129,'Données projet'!$A$87:$I$107,4,0))</f>
        <v>0</v>
      </c>
      <c r="BM129" s="155">
        <f>IF(ISNA(VLOOKUP(A129,'Données projet'!$A$87:$I$107,5,0)),0%,VLOOKUP(A129,'Données projet'!$A$87:$I$107,5,0)*VLOOKUP('Données projet'!$B$11,'Paramètres'!$A$1:$I$88,7,0))</f>
        <v>0</v>
      </c>
      <c r="BN129" s="155">
        <f>IF(ISNA(VLOOKUP(A129,'Données projet'!$A$87:$I$107,6,0)),0%,VLOOKUP(A129,'Données projet'!$A$87:$I$107,6,0)*VLOOKUP('Données projet'!$B$11,'Paramètres'!$A$1:$I$88,7,0))</f>
        <v>0</v>
      </c>
      <c r="BO129" s="155">
        <f>IF(ISNA(VLOOKUP(A129,'Données projet'!$A$87:$I$107,7,0)),0%,VLOOKUP(A129,'Données projet'!$A$87:$I$107,7,0))</f>
        <v>0</v>
      </c>
      <c r="BP129" s="162">
        <f>EXP(-LN(2)/35)*BP128+(1-EXP(-LN(2)/35))/(LN(2)/35)*BL129*BM129*VLOOKUP('Données projet'!$B$11,'Paramètres'!$A$1:$I$88,3,0)*0.475*44/12</f>
        <v>0</v>
      </c>
      <c r="BQ129" s="162">
        <f>EXP(-LN(2)/25)*BQ128+(1-EXP(-LN(2)/25))/(LN(2)/25)*Calculateur!BL129*Calculateur!BN129*VLOOKUP('Données projet'!$B$11,'Paramètres'!$A$1:$I$88,3,0)*0.475*44/12</f>
        <v>0</v>
      </c>
      <c r="BR129" s="162">
        <f>EXP(-LN(2)/2)*BR128+(1-EXP(-LN(2)/2))/(LN(2)/2)*BL129*BO129*VLOOKUP('Données projet'!$B$11,'Paramètres'!$A$1:$I$88,3,0)*0.475*44/12</f>
        <v>0</v>
      </c>
      <c r="BS129" s="163">
        <f t="shared" si="10"/>
        <v>0</v>
      </c>
      <c r="BT129" s="159">
        <f>('Scénario référence'!$F$8+'Scénario référence'!$F$9+'Scénario référence'!$B$17+'Scénario référence'!$B$9+'Scénario référence'!$B$10)*70+IF((45+25*(1-EXP(-0.0175*A129)))&lt;70,'Scénario référence'!$B$16*(45+25*(1-EXP(-0.0175*A129))),70*'Scénario référence'!$B$16)+IF((32+38*(1-EXP(-0.0175*A129)))&lt;70,'Scénario référence'!$B$18*(32+38*(1-EXP(-0.0175*A129))),70*'Scénario référence'!$B$18)</f>
        <v>70</v>
      </c>
      <c r="BU129" s="151">
        <f>IF(A129&gt;30,10,('Scénario référence'!$B$16+'Scénario référence'!$B$17+'Scénario référence'!$B$18+'Scénario référence'!$B$9+'Scénario référence'!$B$10)*A129*10/30+('Scénario référence'!$F$8+'Scénario référence'!$F$9)*10)</f>
        <v>10</v>
      </c>
      <c r="BV129" s="151" t="str">
        <f>VLOOKUP(A129,'Données projet'!$A$113:$I$133,2,0)</f>
        <v>#N/A</v>
      </c>
      <c r="BW129" s="151" t="str">
        <f>VLOOKUP(A129,'Données projet'!$A$113:$I$133,9,0)</f>
        <v>#N/A</v>
      </c>
      <c r="BX129" s="151" t="str">
        <f t="array" ref="BX129">INDEX(BW:BW,MIN(IF(ISNUMBER(BW129:BW325),ROW(BW129:BW325),"")))</f>
        <v/>
      </c>
      <c r="BY129" s="150">
        <f>IF('Données projet'!$A$114&gt;35,BY128+BX129-CG128,IF(A129&lt;'Données projet'!$A$114,$BV$205^A129,IF(A129='Données projet'!$A$114,'Données projet'!$B$114,BY128+BX129-CG128)))</f>
        <v>0</v>
      </c>
      <c r="BZ129" s="150" t="str">
        <f>BY129*VLOOKUP('Données projet'!$B$12,'Paramètres'!$A$1:$I$88,3,0)*VLOOKUP('Données projet'!$B$12,'Paramètres'!$A$1:$I$88,5,0)</f>
        <v>#N/A</v>
      </c>
      <c r="CA129" s="150" t="str">
        <f t="shared" si="40"/>
        <v>#N/A</v>
      </c>
      <c r="CB129" s="161" t="str">
        <f t="shared" si="11"/>
        <v>#N/A</v>
      </c>
      <c r="CC129" s="153" t="str">
        <f t="shared" si="12"/>
        <v>#N/A</v>
      </c>
      <c r="CD129" s="153" t="str">
        <f>AVERAGE(OFFSET($CC$3,0,0,'Données projet'!$E$12+1,1))-AVERAGE(OFFSET($H$3,0,0,'Données projet'!$E$12+1,1))</f>
        <v>#N/A</v>
      </c>
      <c r="CE129" s="153" t="str">
        <f t="shared" si="41"/>
        <v>#N/A</v>
      </c>
      <c r="CF129" s="154">
        <f>IF(ISNA(VLOOKUP(A129,'Données projet'!$A$113:$I$133,3,0)),0,VLOOKUP(A129,'Données projet'!$A$113:$I$133,3,0))</f>
        <v>0</v>
      </c>
      <c r="CG129" s="154">
        <f>IF(ISNA(VLOOKUP(A129,'Données projet'!$A$113:$I$133,4,0)),0,VLOOKUP(A129,'Données projet'!$A$113:$I$133,4,0))</f>
        <v>0</v>
      </c>
      <c r="CH129" s="155">
        <f>IF(ISNA(VLOOKUP(A129,'Données projet'!$A$113:$I$133,5,0)),0%,VLOOKUP(A129,'Données projet'!$A$113:$I$133,5,0)*VLOOKUP('Données projet'!$B$12,'Paramètres'!$A$1:$I$88,7,0))</f>
        <v>0</v>
      </c>
      <c r="CI129" s="155">
        <f>IF(ISNA(VLOOKUP(A129,'Données projet'!$A$113:$I$133,6,0)),0%,VLOOKUP(A129,'Données projet'!$A$113:$I$133,6,0)*VLOOKUP('Données projet'!$B$12,'Paramètres'!$A$1:$I$88,7,0))</f>
        <v>0</v>
      </c>
      <c r="CJ129" s="155">
        <f>IF(ISNA(VLOOKUP(A129,'Données projet'!$A$113:$I$133,7,0)),0%,VLOOKUP(A129,'Données projet'!$A$113:$I$133,7,0))</f>
        <v>0</v>
      </c>
      <c r="CK129" s="162" t="str">
        <f>EXP(-LN(2)/35)*CK128+(1-EXP(-LN(2)/35))/(LN(2)/35)*CG129*CH129*VLOOKUP('Données projet'!$B$12,'Paramètres'!$A$1:$I$88,3,0)*0.475*44/12</f>
        <v>#N/A</v>
      </c>
      <c r="CL129" s="162" t="str">
        <f>EXP(-LN(2)/25)*CL128+(1-EXP(-LN(2)/25))/(LN(2)/25)*Calculateur!CG129*Calculateur!CI129*VLOOKUP('Données projet'!$B$12,'Paramètres'!$A$1:$I$88,3,0)*0.475*44/12</f>
        <v>#N/A</v>
      </c>
      <c r="CM129" s="162" t="str">
        <f>EXP(-LN(2)/2)*CM128+(1-EXP(-LN(2)/2))/(LN(2)/2)*CG129*CJ129*VLOOKUP('Données projet'!$B$12,'Paramètres'!$A$1:$I$88,3,0)*0.475*44/12</f>
        <v>#N/A</v>
      </c>
      <c r="CN129" s="163" t="str">
        <f t="shared" si="13"/>
        <v>#N/A</v>
      </c>
      <c r="CO129" s="159">
        <f>('Scénario référence'!$F$8+'Scénario référence'!$F$9+'Scénario référence'!$B$17+'Scénario référence'!$B$9+'Scénario référence'!$B$10)*70+IF((45+25*(1-EXP(-0.0175*A129)))&lt;70,'Scénario référence'!$B$16*(45+25*(1-EXP(-0.0175*A129))),70*'Scénario référence'!$B$16)+IF((32+38*(1-EXP(-0.0175*A129)))&lt;70,'Scénario référence'!$B$18*(32+38*(1-EXP(-0.0175*A129))),70*'Scénario référence'!$B$18)</f>
        <v>70</v>
      </c>
      <c r="CP129" s="151">
        <f>IF(A129&gt;30,10,('Scénario référence'!$B$16+'Scénario référence'!$B$17+'Scénario référence'!$B$18+'Scénario référence'!$B$9+'Scénario référence'!$B$10)*A129*10/30+('Scénario référence'!$F$8+'Scénario référence'!$F$9)*10)</f>
        <v>10</v>
      </c>
      <c r="CQ129" s="151" t="str">
        <f>VLOOKUP(A129,'Données projet'!$A$139:$I$159,2,0)</f>
        <v>#N/A</v>
      </c>
      <c r="CR129" s="151" t="str">
        <f>VLOOKUP(A129,'Données projet'!$A$139:$I$159,9,0)</f>
        <v>#N/A</v>
      </c>
      <c r="CS129" s="151" t="str">
        <f t="array" ref="CS129">INDEX(CR:CR,MIN(IF(ISNUMBER(CR129:CR325),ROW(CR129:CR325),"")))</f>
        <v/>
      </c>
      <c r="CT129" s="151">
        <f>IF('Données projet'!$A$140&gt;35,CT128+CS129-DB128,IF(A129&lt;'Données projet'!$A$140,$CQ$205^A129,IF(A129='Données projet'!$A$140,'Données projet'!$B$140,CT128+CS129-DB128)))</f>
        <v>0</v>
      </c>
      <c r="CU129" s="158" t="str">
        <f>CT129*VLOOKUP('Données projet'!$B$13,'Paramètres'!$A$1:$I$88,3,0)*VLOOKUP('Données projet'!$B$13,'Paramètres'!$A$1:$I$88,5,0)</f>
        <v>#N/A</v>
      </c>
      <c r="CV129" s="150" t="str">
        <f t="shared" si="42"/>
        <v>#N/A</v>
      </c>
      <c r="CW129" s="161" t="str">
        <f t="shared" si="14"/>
        <v>#N/A</v>
      </c>
      <c r="CX129" s="153" t="str">
        <f t="shared" si="15"/>
        <v>#N/A</v>
      </c>
      <c r="CY129" s="153" t="str">
        <f>AVERAGE(OFFSET($CX$3,0,0,'Données projet'!$E$13+1,1))-AVERAGE(OFFSET($H$3,0,0,'Données projet'!$E$13+1,1))</f>
        <v>#N/A</v>
      </c>
      <c r="CZ129" s="153" t="str">
        <f t="shared" si="43"/>
        <v>#N/A</v>
      </c>
      <c r="DA129" s="154">
        <f>IF(ISNA(VLOOKUP(A129,'Données projet'!$A$139:$I$159,3,0)),0,VLOOKUP(A129,'Données projet'!$A$139:$I$159,3,0))</f>
        <v>0</v>
      </c>
      <c r="DB129" s="154">
        <f>IF(ISNA(VLOOKUP(A129,'Données projet'!$A$139:$I$159,4,0)),0,VLOOKUP(A129,'Données projet'!$A$139:$I$159,4,0))</f>
        <v>0</v>
      </c>
      <c r="DC129" s="155">
        <f>IF(ISNA(VLOOKUP(A129,'Données projet'!$A$139:$I$159,5,0)),0%,VLOOKUP(A129,'Données projet'!$A$139:$I$159,5,0)*VLOOKUP('Données projet'!$B$13,'Paramètres'!$A$1:$I$88,7,0))</f>
        <v>0</v>
      </c>
      <c r="DD129" s="155">
        <f>IF(ISNA(VLOOKUP(A129,'Données projet'!$A$139:$I$159,6,0)),0%,VLOOKUP(A129,'Données projet'!$A$139:$I$159,6,0)*VLOOKUP('Données projet'!$B$13,'Paramètres'!$A$1:$I$88,7,0))</f>
        <v>0</v>
      </c>
      <c r="DE129" s="155">
        <f>IF(ISNA(VLOOKUP(A129,'Données projet'!$A$139:$I$159,7,0)),0%,VLOOKUP(A129,'Données projet'!$A$139:$I$159,7,0))</f>
        <v>0</v>
      </c>
      <c r="DF129" s="162" t="str">
        <f>EXP(-LN(2)/35)*DF128+(1-EXP(-LN(2)/35))/(LN(2)/35)*DB129*DC129*VLOOKUP('Données projet'!$B$13,'Paramètres'!$A$1:$I$88,3,0)*0.475*44/12</f>
        <v>#N/A</v>
      </c>
      <c r="DG129" s="162" t="str">
        <f>EXP(-LN(2)/25)*DG128+(1-EXP(-LN(2)/25))/(LN(2)/25)*Calculateur!DB129*Calculateur!DD129*VLOOKUP('Données projet'!$B$13,'Paramètres'!$A$1:$I$88,3,0)*0.475*44/12</f>
        <v>#N/A</v>
      </c>
      <c r="DH129" s="162" t="str">
        <f>EXP(-LN(2)/2)*DH128+(1-EXP(-LN(2)/2))/(LN(2)/2)*DB129*DE129*VLOOKUP('Données projet'!$B$13,'Paramètres'!$A$1:$I$88,3,0)*0.475*44/12</f>
        <v>#N/A</v>
      </c>
      <c r="DI129" s="163" t="str">
        <f t="shared" si="16"/>
        <v>#N/A</v>
      </c>
      <c r="DJ129" s="159">
        <f>('Scénario référence'!$F$8+'Scénario référence'!$F$9+'Scénario référence'!$B$17+'Scénario référence'!$B$9+'Scénario référence'!$B$10)*70+IF((45+25*(1-EXP(-0.0175*A129)))&lt;70,'Scénario référence'!$B$16*(45+25*(1-EXP(-0.0175*A129))),70*'Scénario référence'!$B$16)+IF((32+38*(1-EXP(-0.0175*A129)))&lt;70,'Scénario référence'!$B$18*(32+38*(1-EXP(-0.0175*A129))),70*'Scénario référence'!$B$18)</f>
        <v>70</v>
      </c>
      <c r="DK129" s="151">
        <f>IF(A129&gt;30,10,('Scénario référence'!$B$16+'Scénario référence'!$B$17+'Scénario référence'!$B$18+'Scénario référence'!$B$9+'Scénario référence'!$B$10)*A129*10/30+('Scénario référence'!$F$8+'Scénario référence'!$F$9)*10)</f>
        <v>10</v>
      </c>
      <c r="DL129" s="151" t="str">
        <f>VLOOKUP(A129,'Données projet'!$A$165:$I$185,2,0)</f>
        <v>#N/A</v>
      </c>
      <c r="DM129" s="151" t="str">
        <f>VLOOKUP(A129,'Données projet'!$A$165:$I$185,9,0)</f>
        <v>#N/A</v>
      </c>
      <c r="DN129" s="151" t="str">
        <f t="array" ref="DN129">INDEX(DM:DM,MIN(IF(ISNUMBER(DM129:DM325),ROW(DM129:DM325),"")))</f>
        <v/>
      </c>
      <c r="DO129" s="151">
        <f>IF('Données projet'!$A$166&gt;35,DO128+DN129-DW128,IF(A129&lt;'Données projet'!$A$166,$DL$205^A129,IF(A129='Données projet'!$A$166,'Données projet'!$B$166,DO128+DN129-DW128)))</f>
        <v>0</v>
      </c>
      <c r="DP129" s="158" t="str">
        <f>DO129*VLOOKUP('Données projet'!$B$14,'Paramètres'!$A$1:$I$88,3,0)*VLOOKUP('Données projet'!$B$14,'Paramètres'!$A$1:$I$88,5,0)</f>
        <v>#N/A</v>
      </c>
      <c r="DQ129" s="150" t="str">
        <f t="shared" si="44"/>
        <v>#N/A</v>
      </c>
      <c r="DR129" s="161" t="str">
        <f t="shared" si="17"/>
        <v>#N/A</v>
      </c>
      <c r="DS129" s="153" t="str">
        <f t="shared" si="18"/>
        <v>#N/A</v>
      </c>
      <c r="DT129" s="153" t="str">
        <f>AVERAGE(OFFSET($DS$3,0,0,'Données projet'!$E$14+1,1))-AVERAGE(OFFSET($H$3,0,0,'Données projet'!$E$14+1,1))</f>
        <v>#N/A</v>
      </c>
      <c r="DU129" s="153" t="str">
        <f t="shared" si="45"/>
        <v>#N/A</v>
      </c>
      <c r="DV129" s="154">
        <f>IF(ISNA(VLOOKUP(A129,'Données projet'!$A$165:$I$185,3,0)),0,VLOOKUP(A129,'Données projet'!$A$165:$I$185,3,0))</f>
        <v>0</v>
      </c>
      <c r="DW129" s="154">
        <f>IF(ISNA(VLOOKUP(A129,'Données projet'!$A$165:$I$185,4,0)),0,VLOOKUP(A129,'Données projet'!$A$165:$I$185,4,0))</f>
        <v>0</v>
      </c>
      <c r="DX129" s="155">
        <f>IF(ISNA(VLOOKUP(A129,'Données projet'!$A$165:$I$185,5,0)),0%,VLOOKUP(A129,'Données projet'!$A$165:$I$185,5,0)*VLOOKUP('Données projet'!$B$14,'Paramètres'!$A$1:$I$88,7,0))</f>
        <v>0</v>
      </c>
      <c r="DY129" s="155">
        <f>IF(ISNA(VLOOKUP(A129,'Données projet'!$A$165:$I$185,6,0)),0%,VLOOKUP(A129,'Données projet'!$A$165:$I$185,6,0)*VLOOKUP('Données projet'!$B$14,'Paramètres'!$A$1:$I$88,7,0))</f>
        <v>0</v>
      </c>
      <c r="DZ129" s="155">
        <f>IF(ISNA(VLOOKUP(A129,'Données projet'!$A$165:$I$185,7,0)),0%,VLOOKUP(A129,'Données projet'!$A$165:$I$185,7,0))</f>
        <v>0</v>
      </c>
      <c r="EA129" s="162" t="str">
        <f>EXP(-LN(2)/35)*EA128+(1-EXP(-LN(2)/35))/(LN(2)/35)*DW129*DX129*VLOOKUP('Données projet'!$B$14,'Paramètres'!$A$1:$I$88,3,0)*0.475*44/12</f>
        <v>#N/A</v>
      </c>
      <c r="EB129" s="162" t="str">
        <f>EXP(-LN(2)/25)*EB128+(1-EXP(-LN(2)/25))/(LN(2)/25)*Calculateur!DW129*Calculateur!DY129*VLOOKUP('Données projet'!$B$14,'Paramètres'!$A$1:$I$88,3,0)*0.475*44/12</f>
        <v>#N/A</v>
      </c>
      <c r="EC129" s="162" t="str">
        <f>EXP(-LN(2)/2)*EC128+(1-EXP(-LN(2)/2))/(LN(2)/2)*DW129*DZ129*VLOOKUP('Données projet'!$B$14,'Paramètres'!$A$1:$I$88,3,0)*0.475*44/12</f>
        <v>#N/A</v>
      </c>
      <c r="ED129" s="163" t="str">
        <f t="shared" si="19"/>
        <v>#N/A</v>
      </c>
      <c r="EE129" s="159">
        <f>('Scénario référence'!$F$8+'Scénario référence'!$F$9+'Scénario référence'!$B$17+'Scénario référence'!$B$9+'Scénario référence'!$B$10)*70+IF((45+25*(1-EXP(-0.0175*A129)))&lt;70,'Scénario référence'!$B$16*(45+25*(1-EXP(-0.0175*A129))),70*'Scénario référence'!$B$16)+IF((32+38*(1-EXP(-0.0175*A129)))&lt;70,'Scénario référence'!$B$18*(32+38*(1-EXP(-0.0175*A129))),70*'Scénario référence'!$B$18)</f>
        <v>70</v>
      </c>
      <c r="EF129" s="151">
        <f>IF(A129&gt;30,10,('Scénario référence'!$B$16+'Scénario référence'!$B$17+'Scénario référence'!$B$18+'Scénario référence'!$B$9+'Scénario référence'!$B$10)*A129*10/30+('Scénario référence'!$F$8+'Scénario référence'!$F$9)*10)</f>
        <v>10</v>
      </c>
      <c r="EG129" s="151" t="str">
        <f>VLOOKUP(A129,'Données projet'!$A$191:$I$211,2,0)</f>
        <v>#N/A</v>
      </c>
      <c r="EH129" s="151" t="str">
        <f>VLOOKUP(A129,'Données projet'!$A$191:$I$211,9,0)</f>
        <v>#N/A</v>
      </c>
      <c r="EI129" s="151" t="str">
        <f t="array" ref="EI129">INDEX(EH:EH,MIN(IF(ISNUMBER(EH129:EH325),ROW(EH129:EH325),"")))</f>
        <v/>
      </c>
      <c r="EJ129" s="151">
        <f>IF('Données projet'!$A$192&gt;35,EJ128+EI129-ER128,IF(A129&lt;'Données projet'!$A$192,$EG$205^A129,IF(A129='Données projet'!$A$192,'Données projet'!$B$192,EJ128+EI129-ER128)))</f>
        <v>0</v>
      </c>
      <c r="EK129" s="158" t="str">
        <f>EJ129*VLOOKUP('Données projet'!$B$15,'Paramètres'!$A$1:$I$88,3,0)*VLOOKUP('Données projet'!$B$15,'Paramètres'!$A$1:$I$88,5,0)</f>
        <v>#N/A</v>
      </c>
      <c r="EL129" s="150" t="str">
        <f t="shared" si="46"/>
        <v>#N/A</v>
      </c>
      <c r="EM129" s="161" t="str">
        <f t="shared" si="20"/>
        <v>#N/A</v>
      </c>
      <c r="EN129" s="153" t="str">
        <f t="shared" si="21"/>
        <v>#N/A</v>
      </c>
      <c r="EO129" s="153" t="str">
        <f>AVERAGE(OFFSET($EN$3,0,0,'Données projet'!$E$15+1,1))-AVERAGE(OFFSET($H$3,0,0,'Données projet'!$E$15+1,1))</f>
        <v>#N/A</v>
      </c>
      <c r="EP129" s="153" t="str">
        <f t="shared" si="47"/>
        <v>#N/A</v>
      </c>
      <c r="EQ129" s="154">
        <f>IF(ISNA(VLOOKUP(A129,'Données projet'!$A$191:$I$211,3,0)),0,VLOOKUP(A129,'Données projet'!$A$191:$I$211,3,0))</f>
        <v>0</v>
      </c>
      <c r="ER129" s="154">
        <f>IF(ISNA(VLOOKUP(A129,'Données projet'!$A$191:$I$211,4,0)),0,VLOOKUP(A129,'Données projet'!$A$191:$I$211,4,0))</f>
        <v>0</v>
      </c>
      <c r="ES129" s="155">
        <f>IF(ISNA(VLOOKUP(A129,'Données projet'!$A$191:$I$211,5,0)),0%,VLOOKUP(A129,'Données projet'!$A$191:$I$211,5,0)*VLOOKUP('Données projet'!$B$15,'Paramètres'!$A$1:$I$88,7,0))</f>
        <v>0</v>
      </c>
      <c r="ET129" s="155">
        <f>IF(ISNA(VLOOKUP(A129,'Données projet'!$A$191:$I$211,6,0)),0%,VLOOKUP(A129,'Données projet'!$A$191:$I$211,6,0)*VLOOKUP('Données projet'!$B$15,'Paramètres'!$A$1:$I$88,7,0))</f>
        <v>0</v>
      </c>
      <c r="EU129" s="155">
        <f>IF(ISNA(VLOOKUP(A129,'Données projet'!$A$191:$I$211,7,0)),0%,VLOOKUP(A129,'Données projet'!$A$191:$I$211,7,0))</f>
        <v>0</v>
      </c>
      <c r="EV129" s="162" t="str">
        <f>EXP(-LN(2)/35)*EV128+(1-EXP(-LN(2)/35))/(LN(2)/35)*ER129*ES129*VLOOKUP('Données projet'!$B$15,'Paramètres'!$A$1:$I$88,3,0)*0.475*44/12</f>
        <v>#N/A</v>
      </c>
      <c r="EW129" s="162" t="str">
        <f>EXP(-LN(2)/25)*EW128+(1-EXP(-LN(2)/25))/(LN(2)/25)*Calculateur!ER129*Calculateur!ET129*VLOOKUP('Données projet'!$B$15,'Paramètres'!$A$1:$I$88,3,0)*0.475*44/12</f>
        <v>#N/A</v>
      </c>
      <c r="EX129" s="162" t="str">
        <f>EXP(-LN(2)/2)*EX128+(1-EXP(-LN(2)/2))/(LN(2)/2)*ER129*EU129*VLOOKUP('Données projet'!$B$15,'Paramètres'!$A$1:$I$88,3,0)*0.475*44/12</f>
        <v>#N/A</v>
      </c>
      <c r="EY129" s="163" t="str">
        <f t="shared" si="22"/>
        <v>#N/A</v>
      </c>
      <c r="EZ129" s="159">
        <f>('Scénario référence'!$F$8+'Scénario référence'!$F$9+'Scénario référence'!$B$17+'Scénario référence'!$B$9+'Scénario référence'!$B$10)*70+IF((45+25*(1-EXP(-0.0175*A129)))&lt;70,'Scénario référence'!$B$16*(45+25*(1-EXP(-0.0175*A129))),70*'Scénario référence'!$B$16)+IF((32+38*(1-EXP(-0.0175*A129)))&lt;70,'Scénario référence'!$B$18*(32+38*(1-EXP(-0.0175*A129))),70*'Scénario référence'!$B$18)</f>
        <v>70</v>
      </c>
      <c r="FA129" s="151">
        <f>IF(A129&gt;30,10,('Scénario référence'!$B$16+'Scénario référence'!$B$17+'Scénario référence'!$B$18+'Scénario référence'!$B$9+'Scénario référence'!$B$10)*A129*10/30+('Scénario référence'!$F$8+'Scénario référence'!$F$9)*10)</f>
        <v>10</v>
      </c>
      <c r="FB129" s="151" t="str">
        <f>VLOOKUP(A129,'Données projet'!$A$217:$I$237,2,0)</f>
        <v>#N/A</v>
      </c>
      <c r="FC129" s="151" t="str">
        <f>VLOOKUP(A129,'Données projet'!$A$217:$I$237,9,0)</f>
        <v>#N/A</v>
      </c>
      <c r="FD129" s="151" t="str">
        <f t="array" ref="FD129">INDEX(FC:FC,MIN(IF(ISNUMBER(FC129:FC325),ROW(FC129:FC325),"")))</f>
        <v/>
      </c>
      <c r="FE129" s="151">
        <f>IF('Données projet'!$A$218&gt;35,FE128+FD129-FM128,IF(A129&lt;'Données projet'!$A$218,$FB$205^A129,IF(A129='Données projet'!$A$218,'Données projet'!$B$218,FE128+FD129-FM128)))</f>
        <v>0</v>
      </c>
      <c r="FF129" s="158" t="str">
        <f>FE129*VLOOKUP('Données projet'!$B$16,'Paramètres'!$A$1:$I$88,3,0)*VLOOKUP('Données projet'!$B$16,'Paramètres'!$A$1:$I$88,5,0)</f>
        <v>#N/A</v>
      </c>
      <c r="FG129" s="150" t="str">
        <f t="shared" si="48"/>
        <v>#N/A</v>
      </c>
      <c r="FH129" s="161" t="str">
        <f t="shared" si="23"/>
        <v>#N/A</v>
      </c>
      <c r="FI129" s="153" t="str">
        <f t="shared" si="24"/>
        <v>#N/A</v>
      </c>
      <c r="FJ129" s="153" t="str">
        <f>AVERAGE(OFFSET($FI$3,0,0,'Données projet'!$E$16+1,1))-AVERAGE(OFFSET($H$3,0,0,'Données projet'!$E$16+1,1))</f>
        <v>#N/A</v>
      </c>
      <c r="FK129" s="153" t="str">
        <f t="shared" si="49"/>
        <v>#N/A</v>
      </c>
      <c r="FL129" s="154">
        <f>IF(ISNA(VLOOKUP(A129,'Données projet'!$A$217:$I$237,3,0)),0,VLOOKUP(A129,'Données projet'!$A$217:$I$237,3,0))</f>
        <v>0</v>
      </c>
      <c r="FM129" s="154">
        <f>IF(ISNA(VLOOKUP(A129,'Données projet'!$A$217:$I$237,4,0)),0,VLOOKUP(A129,'Données projet'!$A$217:$I$237,4,0))</f>
        <v>0</v>
      </c>
      <c r="FN129" s="155">
        <f>IF(ISNA(VLOOKUP(A129,'Données projet'!$A$217:$I$237,5,0)),0%,VLOOKUP(A129,'Données projet'!$A$217:$I$237,5,0)*VLOOKUP('Données projet'!$B$16,'Paramètres'!$A$1:$I$88,7,0))</f>
        <v>0</v>
      </c>
      <c r="FO129" s="155">
        <f>IF(ISNA(VLOOKUP(A129,'Données projet'!$A$217:$I$237,6,0)),0%,VLOOKUP(A129,'Données projet'!$A$217:$I$237,6,0)*VLOOKUP('Données projet'!$B$16,'Paramètres'!$A$1:$I$88,7,0))</f>
        <v>0</v>
      </c>
      <c r="FP129" s="155">
        <f>IF(ISNA(VLOOKUP(A129,'Données projet'!$A$217:$I$237,7,0)),0%,VLOOKUP(A129,'Données projet'!$A$217:$I$237,7,0))</f>
        <v>0</v>
      </c>
      <c r="FQ129" s="162" t="str">
        <f>EXP(-LN(2)/35)*FQ128+(1-EXP(-LN(2)/35))/(LN(2)/35)*FM129*FN129*VLOOKUP('Données projet'!$B$16,'Paramètres'!$A$1:$I$88,3,0)*0.475*44/12</f>
        <v>#N/A</v>
      </c>
      <c r="FR129" s="162" t="str">
        <f>EXP(-LN(2)/25)*FR128+(1-EXP(-LN(2)/25))/(LN(2)/25)*Calculateur!FM129*Calculateur!FO129*VLOOKUP('Données projet'!$B$16,'Paramètres'!$A$1:$I$88,3,0)*0.475*44/12</f>
        <v>#N/A</v>
      </c>
      <c r="FS129" s="162" t="str">
        <f>EXP(-LN(2)/2)*FS128+(1-EXP(-LN(2)/2))/(LN(2)/2)*FM129*FP129*VLOOKUP('Données projet'!$B$16,'Paramètres'!$A$1:$I$88,3,0)*0.475*44/12</f>
        <v>#N/A</v>
      </c>
      <c r="FT129" s="163" t="str">
        <f t="shared" si="25"/>
        <v>#N/A</v>
      </c>
      <c r="FU129" s="159">
        <f>('Scénario référence'!$F$8+'Scénario référence'!$F$9+'Scénario référence'!$B$17+'Scénario référence'!$B$9+'Scénario référence'!$B$10)*70+IF((45+25*(1-EXP(-0.0175*A129)))&lt;70,'Scénario référence'!$B$16*(45+25*(1-EXP(-0.0175*A129))),70*'Scénario référence'!$B$16)+IF((32+38*(1-EXP(-0.0175*A129)))&lt;70,'Scénario référence'!$B$18*(32+38*(1-EXP(-0.0175*A129))),70*'Scénario référence'!$B$18)</f>
        <v>70</v>
      </c>
      <c r="FV129" s="151">
        <f>IF(A129&gt;30,10,('Scénario référence'!$B$16+'Scénario référence'!$B$17+'Scénario référence'!$B$18+'Scénario référence'!$B$9+'Scénario référence'!$B$10)*A129*10/30+('Scénario référence'!$F$8+'Scénario référence'!$F$9)*10)</f>
        <v>10</v>
      </c>
      <c r="FW129" s="151" t="str">
        <f>VLOOKUP(A129,'Données projet'!$A$243:$I$263,2,0)</f>
        <v>#N/A</v>
      </c>
      <c r="FX129" s="151" t="str">
        <f>VLOOKUP(A129,'Données projet'!$A$243:$I$263,9,0)</f>
        <v>#N/A</v>
      </c>
      <c r="FY129" s="151" t="str">
        <f t="array" ref="FY129">INDEX(FX:FX,MIN(IF(ISNUMBER(FX129:FX325),ROW(FX129:FX325),"")))</f>
        <v/>
      </c>
      <c r="FZ129" s="151">
        <f>IF('Données projet'!$A$244&gt;35,FZ128+FY129-GH128,IF(A129&lt;'Données projet'!$A$244,$FW$205^A129,IF(A129='Données projet'!$A$244,'Données projet'!$B$244,FZ128+FY129-GH128)))</f>
        <v>0</v>
      </c>
      <c r="GA129" s="158" t="str">
        <f>FZ129*VLOOKUP('Données projet'!$B$17,'Paramètres'!$A$1:$I$88,3,0)*VLOOKUP('Données projet'!$B$17,'Paramètres'!$A$1:$I$88,5,0)</f>
        <v>#N/A</v>
      </c>
      <c r="GB129" s="150" t="str">
        <f t="shared" si="50"/>
        <v>#N/A</v>
      </c>
      <c r="GC129" s="161" t="str">
        <f t="shared" si="26"/>
        <v>#N/A</v>
      </c>
      <c r="GD129" s="153" t="str">
        <f t="shared" si="27"/>
        <v>#N/A</v>
      </c>
      <c r="GE129" s="153" t="str">
        <f>AVERAGE(OFFSET($GD$3,0,0,'Données projet'!$E$17+1,1))-AVERAGE(OFFSET($H$3,0,0,'Données projet'!$E$17+1,1))</f>
        <v>#N/A</v>
      </c>
      <c r="GF129" s="153" t="str">
        <f t="shared" si="51"/>
        <v>#N/A</v>
      </c>
      <c r="GG129" s="154">
        <f>IF(ISNA(VLOOKUP(A129,'Données projet'!$A$243:$I$263,3,0)),0,VLOOKUP(A129,'Données projet'!$A$243:$I$263,3,0))</f>
        <v>0</v>
      </c>
      <c r="GH129" s="154">
        <f>IF(ISNA(VLOOKUP(A129,'Données projet'!$A$243:$I$263,4,0)),0,VLOOKUP(A129,'Données projet'!$A$243:$I$263,4,0))</f>
        <v>0</v>
      </c>
      <c r="GI129" s="155">
        <f>IF(ISNA(VLOOKUP(A129,'Données projet'!$A$243:$I$263,5,0)),0%,VLOOKUP(A129,'Données projet'!$A$243:$I$263,5,0)*VLOOKUP('Données projet'!$B$17,'Paramètres'!$A$1:$I$88,7,0))</f>
        <v>0</v>
      </c>
      <c r="GJ129" s="155">
        <f>IF(ISNA(VLOOKUP(A129,'Données projet'!$A$243:$I$263,6,0)),0%,VLOOKUP(A129,'Données projet'!$A$243:$I$263,6,0)*VLOOKUP('Données projet'!$B$17,'Paramètres'!$A$1:$I$88,7,0))</f>
        <v>0</v>
      </c>
      <c r="GK129" s="155">
        <f>IF(ISNA(VLOOKUP(A129,'Données projet'!$A$243:$I$263,7,0)),0%,VLOOKUP(A129,'Données projet'!$A$243:$I$263,7,0))</f>
        <v>0</v>
      </c>
      <c r="GL129" s="162" t="str">
        <f>EXP(-LN(2)/35)*GL128+(1-EXP(-LN(2)/35))/(LN(2)/35)*GH129*GI129*VLOOKUP('Données projet'!$B$17,'Paramètres'!$A$1:$I$88,3,0)*0.475*44/12</f>
        <v>#N/A</v>
      </c>
      <c r="GM129" s="162" t="str">
        <f>EXP(-LN(2)/25)*GM128+(1-EXP(-LN(2)/25))/(LN(2)/25)*Calculateur!GH129*Calculateur!GJ129*VLOOKUP('Données projet'!$B$17,'Paramètres'!$A$1:$I$88,3,0)*0.475*44/12</f>
        <v>#N/A</v>
      </c>
      <c r="GN129" s="162" t="str">
        <f>EXP(-LN(2)/2)*GN128+(1-EXP(-LN(2)/2))/(LN(2)/2)*GH129*GK129*VLOOKUP('Données projet'!$B$17,'Paramètres'!$A$1:$I$88,3,0)*0.475*44/12</f>
        <v>#N/A</v>
      </c>
      <c r="GO129" s="162" t="str">
        <f t="shared" si="28"/>
        <v>#N/A</v>
      </c>
      <c r="GP129" s="159">
        <f>('Scénario référence'!$F$8+'Scénario référence'!$F$9+'Scénario référence'!$B$17+'Scénario référence'!$B$9+'Scénario référence'!$B$10)*70+IF((45+25*(1-EXP(-0.0175*A129)))&lt;70,'Scénario référence'!$B$16*(45+25*(1-EXP(-0.0175*A129))),70*'Scénario référence'!$B$16)+IF((32+38*(1-EXP(-0.0175*A129)))&lt;70,'Scénario référence'!$B$18*(32+38*(1-EXP(-0.0175*A129))),70*'Scénario référence'!$B$18)</f>
        <v>70</v>
      </c>
      <c r="GQ129" s="151">
        <f>IF(A129&gt;30,10,('Scénario référence'!$B$16+'Scénario référence'!$B$17+'Scénario référence'!$B$18+'Scénario référence'!$B$9+'Scénario référence'!$B$10)*A129*10/30+('Scénario référence'!$F$8+'Scénario référence'!$F$9)*10)</f>
        <v>10</v>
      </c>
      <c r="GR129" s="151" t="str">
        <f>VLOOKUP(A129,'Données projet'!$A$269:$I$289,2,0)</f>
        <v>#N/A</v>
      </c>
      <c r="GS129" s="151" t="str">
        <f>VLOOKUP(A129,'Données projet'!$A$269:$I$289,9,0)</f>
        <v>#N/A</v>
      </c>
      <c r="GT129" s="151" t="str">
        <f t="array" ref="GT129">INDEX(GS:GS,MIN(IF(ISNUMBER(GS129:GS325),ROW(GS129:GS325),"")))</f>
        <v/>
      </c>
      <c r="GU129" s="151">
        <f>IF('Données projet'!$A$270&gt;35,GU128+GT129-HC128,IF(A129&lt;'Données projet'!$A$270,$GR$205^A129,IF(A129='Données projet'!$A$270,'Données projet'!$B$270,GU128+GT129-HC128)))</f>
        <v>0</v>
      </c>
      <c r="GV129" s="158" t="str">
        <f>GU129*VLOOKUP('Données projet'!$B$18,'Paramètres'!$A$1:$I$88,3,0)*VLOOKUP('Données projet'!$B$18,'Paramètres'!$A$1:$I$88,5,0)</f>
        <v>#N/A</v>
      </c>
      <c r="GW129" s="150" t="str">
        <f t="shared" si="52"/>
        <v>#N/A</v>
      </c>
      <c r="GX129" s="161" t="str">
        <f t="shared" si="29"/>
        <v>#N/A</v>
      </c>
      <c r="GY129" s="153" t="str">
        <f t="shared" si="30"/>
        <v>#N/A</v>
      </c>
      <c r="GZ129" s="153" t="str">
        <f>AVERAGE(OFFSET($GY$3,0,0,'Données projet'!$E$18+1,1))-AVERAGE(OFFSET($H$3,0,0,'Données projet'!$E$18+1,1))</f>
        <v>#N/A</v>
      </c>
      <c r="HA129" s="153" t="str">
        <f t="shared" si="53"/>
        <v>#N/A</v>
      </c>
      <c r="HB129" s="154">
        <f>IF(ISNA(VLOOKUP(A129,'Données projet'!$A$269:$I$289,3,0)),0,VLOOKUP(A129,'Données projet'!$A$269:$I$289,3,0))</f>
        <v>0</v>
      </c>
      <c r="HC129" s="154">
        <f>IF(ISNA(VLOOKUP(A129,'Données projet'!$A$269:$I$289,4,0)),0,VLOOKUP(A129,'Données projet'!$A$269:$I$289,4,0))</f>
        <v>0</v>
      </c>
      <c r="HD129" s="155">
        <f>IF(ISNA(VLOOKUP(A129,'Données projet'!$A$269:$I$289,5,0)),0%,VLOOKUP(A129,'Données projet'!$A$269:$I$289,5,0)*VLOOKUP('Données projet'!$B$18,'Paramètres'!$A$1:$I$88,7,0))</f>
        <v>0</v>
      </c>
      <c r="HE129" s="155">
        <f>IF(ISNA(VLOOKUP(A129,'Données projet'!$A$269:$I$289,6,0)),0%,VLOOKUP(A129,'Données projet'!$A$269:$I$289,6,0)*VLOOKUP('Données projet'!$B$18,'Paramètres'!$A$1:$I$88,7,0))</f>
        <v>0</v>
      </c>
      <c r="HF129" s="155">
        <f>IF(ISNA(VLOOKUP(A129,'Données projet'!$A$269:$I$289,7,0)),0%,VLOOKUP(A129,'Données projet'!$A$269:$I$289,7,0))</f>
        <v>0</v>
      </c>
      <c r="HG129" s="162" t="str">
        <f>EXP(-LN(2)/35)*HG128+(1-EXP(-LN(2)/35))/(LN(2)/35)*HC129*HD129*VLOOKUP('Données projet'!$B$18,'Paramètres'!$A$1:$I$88,3,0)*0.475*44/12</f>
        <v>#N/A</v>
      </c>
      <c r="HH129" s="162" t="str">
        <f>EXP(-LN(2)/25)*HH128+(1-EXP(-LN(2)/25))/(LN(2)/25)*Calculateur!HC129*Calculateur!HE129*VLOOKUP('Données projet'!$B$18,'Paramètres'!$A$1:$I$88,3,0)*0.475*44/12</f>
        <v>#N/A</v>
      </c>
      <c r="HI129" s="162" t="str">
        <f>EXP(-LN(2)/2)*HI128+(1-EXP(-LN(2)/2))/(LN(2)/2)*HC129*HF129*VLOOKUP('Données projet'!$B$18,'Paramètres'!$A$1:$I$88,3,0)*0.475*44/12</f>
        <v>#N/A</v>
      </c>
      <c r="HJ129" s="163" t="str">
        <f t="shared" si="31"/>
        <v>#N/A</v>
      </c>
    </row>
    <row r="130" ht="15.75" customHeight="1">
      <c r="A130" s="145">
        <f t="shared" si="32"/>
        <v>127</v>
      </c>
      <c r="B130" s="146">
        <f>'Scénario référence'!$B$16*5+'Scénario référence'!$B$17*0+'Scénario référence'!$B$18*5</f>
        <v>0</v>
      </c>
      <c r="C130" s="160">
        <f>Calculateur!C129+'Scénario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30" s="147">
        <f t="shared" si="33"/>
        <v>0</v>
      </c>
      <c r="E130" s="147">
        <f>'Scénario référence'!$B$16*45+('Scénario référence'!$B$17+'Scénario référence'!$F$8+'Scénario référence'!$F$9+'Scénario référence'!$B$10+'Scénario référence'!$B$9)*70+'Scénario référence'!$B$18*32</f>
        <v>70</v>
      </c>
      <c r="F130" s="147">
        <f>IF(OR('Scénario référence'!$F$8&gt;0,'Scénario référence'!$F$9&gt;0),('Scénario référence'!$F$8+'Scénario référence'!$F$9)*10,0)</f>
        <v>0</v>
      </c>
      <c r="G130" s="147">
        <f>'Scénario référence'!$B$8*B130*44/12+'Scénario référence'!$B$9*(C130+D130)/0.475*44/12+'Scénario référence'!$B$10*(C130+D130)/0.475*44/12+'Scénario référence'!$F$8*(C130+D130)/0.475*44/12+'Scénario référence'!$F$9*(C130+D130)/0.475*44/12</f>
        <v>0</v>
      </c>
      <c r="H130" s="148">
        <f t="shared" si="1"/>
        <v>256.6666667</v>
      </c>
      <c r="I130" s="149">
        <f>('Scénario référence'!$F$8+'Scénario référence'!$F$9+'Scénario référence'!$B$17+'Scénario référence'!$B$9+'Scénario référence'!$B$10)*70+IF((45+25*(1-EXP(-0.0175*A130)))&lt;70,'Scénario référence'!$B$16*(45+25*(1-EXP(-0.0175*A130))),70*'Scénario référence'!$B$16)+IF((32+38*(1-EXP(-0.0175*A130)))&lt;70,'Scénario référence'!$B$18*(32+38*(1-EXP(-0.0175*A130))),70*'Scénario référence'!$B$18)</f>
        <v>70</v>
      </c>
      <c r="J130" s="150">
        <f>IF(A130&gt;30,10,('Scénario référence'!$B$16+'Scénario référence'!$B$17+'Scénario référence'!$B$18+'Scénario référence'!$B$9+'Scénario référence'!$B$10)*A130*10/30+('Scénario référence'!$F$8+'Scénario référence'!$F$9)*10)</f>
        <v>10</v>
      </c>
      <c r="K130" s="151" t="str">
        <f>VLOOKUP(A130,'Données projet'!$A$35:$I$55,2,0)</f>
        <v>#N/A</v>
      </c>
      <c r="L130" s="151" t="str">
        <f>VLOOKUP(A130,'Données projet'!$A$35:$I$55,9,0)</f>
        <v>#N/A</v>
      </c>
      <c r="M130" s="151" t="str">
        <f t="array" ref="M130">INDEX(L:L,MIN(IF(ISNUMBER(L130:L326),ROW(L130:L326),"")))</f>
        <v/>
      </c>
      <c r="N130" s="150">
        <f>IF('Données projet'!$A$36&gt;35,N129+M130-V129,IF(A130&lt;'Données projet'!$A$36,$K$205^A130,IF(A130='Données projet'!$A$36,'Données projet'!$B$36,N129+M130-V129)))</f>
        <v>307</v>
      </c>
      <c r="O130" s="150">
        <f>N130*VLOOKUP('Données projet'!$B$9,'Paramètres'!$A$1:$I$88,3,0)*VLOOKUP('Données projet'!$B$9,'Paramètres'!$A$1:$I$88,5,0)</f>
        <v>277.7736</v>
      </c>
      <c r="P130" s="150">
        <f t="shared" si="34"/>
        <v>66.49628818</v>
      </c>
      <c r="Q130" s="161">
        <f t="shared" si="2"/>
        <v>599.6033886</v>
      </c>
      <c r="R130" s="153">
        <f t="shared" si="3"/>
        <v>892.9367219</v>
      </c>
      <c r="S130" s="153">
        <f>AVERAGE(OFFSET($R$3,0,0,'Données projet'!$E$9+1,1))-AVERAGE(OFFSET($H$3,0,0,'Données projet'!$E$9+1,1))</f>
        <v>439.1985427</v>
      </c>
      <c r="T130" s="153">
        <f t="shared" si="35"/>
        <v>278.2174123</v>
      </c>
      <c r="U130" s="154">
        <f>IF(ISNA(VLOOKUP(A130,'Données projet'!$A$35:$I$55,3,0)),0,VLOOKUP(A130,'Données projet'!$A$35:$I$55,3,0))</f>
        <v>0</v>
      </c>
      <c r="V130" s="154">
        <f>IF(ISNA(VLOOKUP(A130,'Données projet'!$A$35:$I$55,4,0)),0,VLOOKUP(A130,'Données projet'!$A$35:$I$55,4,0))</f>
        <v>0</v>
      </c>
      <c r="W130" s="155">
        <f>IF(ISNA(VLOOKUP(A130,'Données projet'!$A$35:$I$55,5,0)),0%,VLOOKUP(A130,'Données projet'!$A$35:$I$55,5,0)*VLOOKUP('Données projet'!$B$9,'Paramètres'!$A$1:$I$88,7,0))</f>
        <v>0</v>
      </c>
      <c r="X130" s="155">
        <f>IF(ISNA(VLOOKUP(A130,'Données projet'!$A$35:$I$55,6,0)),0%,VLOOKUP(A130,'Données projet'!$A$35:$I$55,6,0)*VLOOKUP('Données projet'!$B$9,'Paramètres'!$A$1:$I$88,7,0))</f>
        <v>0</v>
      </c>
      <c r="Y130" s="155">
        <f>IF(ISNA(VLOOKUP(A130,'Données projet'!$A$35:$I$55,7,0)),0%,VLOOKUP(A130,'Données projet'!$A$35:$I$55,7,0))</f>
        <v>0</v>
      </c>
      <c r="Z130" s="162">
        <f>EXP(-LN(2)/35)*Z129+(1-EXP(-LN(2)/35))/(LN(2)/35)*V130*W130*VLOOKUP('Données projet'!$B$9,'Paramètres'!$A$1:$I$88,3,0)*0.475*44/12</f>
        <v>0</v>
      </c>
      <c r="AA130" s="162">
        <f>EXP(-LN(2)/25)*AA129+(1-EXP(-LN(2)/25))/(LN(2)/25)*Calculateur!V130*Calculateur!X130*VLOOKUP('Données projet'!$B$9,'Paramètres'!$A$1:$I$88,3,0)*0.475*44/12</f>
        <v>0.3048006549</v>
      </c>
      <c r="AB130" s="162">
        <f>EXP(-LN(2)/2)*AB129+(1-EXP(-LN(2)/2))/(LN(2)/2)*V130*Y130*VLOOKUP('Données projet'!$B$9,'Paramètres'!$A$1:$I$88,3,0)*0.475*44/12</f>
        <v>0</v>
      </c>
      <c r="AC130" s="163">
        <f t="shared" si="4"/>
        <v>0.3048006549</v>
      </c>
      <c r="AD130" s="150">
        <f>('Scénario référence'!$F$8+'Scénario référence'!$F$9+'Scénario référence'!$B$17+'Scénario référence'!$B$9+'Scénario référence'!$B$10)*70+IF((45+25*(1-EXP(-0.0175*A130)))&lt;70,'Scénario référence'!$B$16*(45+25*(1-EXP(-0.0175*A130))),70*'Scénario référence'!$B$16)+IF((32+38*(1-EXP(-0.0175*A130)))&lt;70,'Scénario référence'!$B$18*(32+38*(1-EXP(-0.0175*A130))),70*'Scénario référence'!$B$18)</f>
        <v>70</v>
      </c>
      <c r="AE130" s="150">
        <f>IF(A130&gt;30,10,('Scénario référence'!$B$16+'Scénario référence'!$B$17+'Scénario référence'!$B$18+'Scénario référence'!$B$9+'Scénario référence'!$B$10)*A130*10/30+('Scénario référence'!$F$8+'Scénario référence'!$F$9)*10)</f>
        <v>10</v>
      </c>
      <c r="AF130" s="151" t="str">
        <f>VLOOKUP(A130,'Données projet'!$A$61:$I$81,2,0)</f>
        <v>#N/A</v>
      </c>
      <c r="AG130" s="151" t="str">
        <f>VLOOKUP(A130,'Données projet'!$A$61:$I$81,9,0)</f>
        <v>#N/A</v>
      </c>
      <c r="AH130" s="151" t="str">
        <f t="array" ref="AH130">INDEX(AG:AG,MIN(IF(ISNUMBER(AG130:AG326),ROW(AG130:AG326),"")))</f>
        <v/>
      </c>
      <c r="AI130" s="150">
        <f>IF('Données projet'!$A$62&gt;35,AI129+AH130-AQ129,IF(A130&lt;'Données projet'!$A$62,$AF$205^A130,IF(A130='Données projet'!$A$62,'Données projet'!$B$62,AI129+AH130-AQ129)))</f>
        <v>369</v>
      </c>
      <c r="AJ130" s="150">
        <f>AI130*VLOOKUP('Données projet'!$B$10,'Paramètres'!$A$1:$I$88,3,0)*VLOOKUP('Données projet'!$B$10,'Paramètres'!$A$1:$I$88,5,0)</f>
        <v>293.5764</v>
      </c>
      <c r="AK130" s="150">
        <f t="shared" si="36"/>
        <v>69.82813851</v>
      </c>
      <c r="AL130" s="161">
        <f t="shared" si="5"/>
        <v>632.9295712</v>
      </c>
      <c r="AM130" s="153">
        <f t="shared" si="6"/>
        <v>926.2629046</v>
      </c>
      <c r="AN130" s="153">
        <f>AVERAGE(OFFSET($AM$3,0,0,'Données projet'!$E$10+1,1))-AVERAGE(OFFSET($H$3,0,0,'Données projet'!$E$10+1,1))</f>
        <v>405.6113614</v>
      </c>
      <c r="AO130" s="153">
        <f t="shared" si="37"/>
        <v>393.0787141</v>
      </c>
      <c r="AP130" s="154">
        <f>IF(ISNA(VLOOKUP(A130,'Données projet'!$A$61:$I$81,3,0)),0,VLOOKUP(A130,'Données projet'!$A$61:$I$81,3,0))</f>
        <v>0</v>
      </c>
      <c r="AQ130" s="154">
        <f>IF(ISNA(VLOOKUP(A130,'Données projet'!$A$61:$I$81,4,0)),0,VLOOKUP(A130,'Données projet'!$A$61:$I$81,4,0))</f>
        <v>0</v>
      </c>
      <c r="AR130" s="155">
        <f>IF(ISNA(VLOOKUP(A130,'Données projet'!$A$61:$I$81,5,0)),0%,VLOOKUP(A130,'Données projet'!$A$61:$I$81,5,0)*VLOOKUP('Données projet'!$B$10,'Paramètres'!$A$1:$I$88,7,0))</f>
        <v>0</v>
      </c>
      <c r="AS130" s="155">
        <f>IF(ISNA(VLOOKUP(A130,'Données projet'!$A$61:$I$81,6,0)),0%,VLOOKUP(A130,'Données projet'!$A$61:$I$81,6,0)*VLOOKUP('Données projet'!$B$10,'Paramètres'!$A$1:$I$88,7,0))</f>
        <v>0</v>
      </c>
      <c r="AT130" s="155">
        <f>IF(ISNA(VLOOKUP(A130,'Données projet'!$A$61:$I$81,7,0)),0%,VLOOKUP(A130,'Données projet'!$A$61:$I$81,7,0))</f>
        <v>0</v>
      </c>
      <c r="AU130" s="162">
        <f>EXP(-LN(2)/35)*AU129+(1-EXP(-LN(2)/35))/(LN(2)/35)*AQ130*AR130*VLOOKUP('Données projet'!$B$10,'Paramètres'!$A$1:$I$88,3,0)*0.475*44/12</f>
        <v>0</v>
      </c>
      <c r="AV130" s="162">
        <f>EXP(-LN(2)/25)*AV129+(1-EXP(-LN(2)/25))/(LN(2)/25)*Calculateur!AQ130*Calculateur!AS130*VLOOKUP('Données projet'!$B$10,'Paramètres'!$A$1:$I$88,3,0)*0.475*44/12</f>
        <v>1.238787345</v>
      </c>
      <c r="AW130" s="162">
        <f>EXP(-LN(2)/2)*AW129+(1-EXP(-LN(2)/2))/(LN(2)/2)*AQ130*AT130*VLOOKUP('Données projet'!$B$10,'Paramètres'!$A$1:$I$88,3,0)*0.475*44/12</f>
        <v>0</v>
      </c>
      <c r="AX130" s="162">
        <f t="shared" si="7"/>
        <v>1.238787345</v>
      </c>
      <c r="AY130" s="157">
        <f>('Scénario référence'!$F$8+'Scénario référence'!$F$9+'Scénario référence'!$B$17+'Scénario référence'!$B$9+'Scénario référence'!$B$10)*70+IF((45+25*(1-EXP(-0.0175*A130)))&lt;70,'Scénario référence'!$B$16*(45+25*(1-EXP(-0.0175*A130))),70*'Scénario référence'!$B$16)+IF((32+38*(1-EXP(-0.0175*A130)))&lt;70,'Scénario référence'!$B$18*(32+38*(1-EXP(-0.0175*A130))),70*'Scénario référence'!$B$18)</f>
        <v>70</v>
      </c>
      <c r="AZ130" s="151">
        <f>IF(A130&gt;30,10,('Scénario référence'!$B$16+'Scénario référence'!$B$17+'Scénario référence'!$B$18+'Scénario référence'!$B$9+'Scénario référence'!$B$10)*A130*10/30+('Scénario référence'!$F$8+'Scénario référence'!$F$9)*10)</f>
        <v>10</v>
      </c>
      <c r="BA130" s="151" t="str">
        <f>VLOOKUP(A130,'Données projet'!$A$87:$I$107,2,0)</f>
        <v>#N/A</v>
      </c>
      <c r="BB130" s="151" t="str">
        <f>VLOOKUP(A130,'Données projet'!$A$87:$I$107,9,0)</f>
        <v>#N/A</v>
      </c>
      <c r="BC130" s="151" t="str">
        <f t="array" ref="BC130">INDEX(BB:BB,MIN(IF(ISNUMBER(BB130:BB326),ROW(BB130:BB326),"")))</f>
        <v/>
      </c>
      <c r="BD130" s="150">
        <f>IF('Données projet'!$A$88&gt;35,BD129+BC130-BL129,IF(A130&lt;'Données projet'!$A$88,$BA$205^A130,IF(A130='Données projet'!$A$88,'Données projet'!$B$88,BD129+BC130-BL129)))</f>
        <v>0</v>
      </c>
      <c r="BE130" s="150">
        <f>BD130*VLOOKUP('Données projet'!$B$11,'Paramètres'!$A$1:$I$88,3,0)*VLOOKUP('Données projet'!$B$11,'Paramètres'!$A$1:$I$88,5,0)</f>
        <v>0</v>
      </c>
      <c r="BF130" s="150" t="str">
        <f t="shared" si="38"/>
        <v>#NUM!</v>
      </c>
      <c r="BG130" s="161" t="str">
        <f t="shared" si="8"/>
        <v>#NUM!</v>
      </c>
      <c r="BH130" s="153" t="str">
        <f t="shared" si="9"/>
        <v>#NUM!</v>
      </c>
      <c r="BI130" s="153">
        <f>AVERAGE(OFFSET($BH$3,0,0,'Données projet'!$E$11+1,1))-AVERAGE(OFFSET($H$3,0,0,'Données projet'!$E$11+1,1))</f>
        <v>0</v>
      </c>
      <c r="BJ130" s="153">
        <f t="shared" si="39"/>
        <v>0</v>
      </c>
      <c r="BK130" s="154">
        <f>IF(ISNA(VLOOKUP(A130,'Données projet'!$A$87:$I$107,3,0)),0,VLOOKUP(A130,'Données projet'!$A$87:$I$107,3,0))</f>
        <v>0</v>
      </c>
      <c r="BL130" s="154">
        <f>IF(ISNA(VLOOKUP(A130,'Données projet'!$A$87:$I$107,4,0)),0,VLOOKUP(A130,'Données projet'!$A$87:$I$107,4,0))</f>
        <v>0</v>
      </c>
      <c r="BM130" s="155">
        <f>IF(ISNA(VLOOKUP(A130,'Données projet'!$A$87:$I$107,5,0)),0%,VLOOKUP(A130,'Données projet'!$A$87:$I$107,5,0)*VLOOKUP('Données projet'!$B$11,'Paramètres'!$A$1:$I$88,7,0))</f>
        <v>0</v>
      </c>
      <c r="BN130" s="155">
        <f>IF(ISNA(VLOOKUP(A130,'Données projet'!$A$87:$I$107,6,0)),0%,VLOOKUP(A130,'Données projet'!$A$87:$I$107,6,0)*VLOOKUP('Données projet'!$B$11,'Paramètres'!$A$1:$I$88,7,0))</f>
        <v>0</v>
      </c>
      <c r="BO130" s="155">
        <f>IF(ISNA(VLOOKUP(A130,'Données projet'!$A$87:$I$107,7,0)),0%,VLOOKUP(A130,'Données projet'!$A$87:$I$107,7,0))</f>
        <v>0</v>
      </c>
      <c r="BP130" s="162">
        <f>EXP(-LN(2)/35)*BP129+(1-EXP(-LN(2)/35))/(LN(2)/35)*BL130*BM130*VLOOKUP('Données projet'!$B$11,'Paramètres'!$A$1:$I$88,3,0)*0.475*44/12</f>
        <v>0</v>
      </c>
      <c r="BQ130" s="162">
        <f>EXP(-LN(2)/25)*BQ129+(1-EXP(-LN(2)/25))/(LN(2)/25)*Calculateur!BL130*Calculateur!BN130*VLOOKUP('Données projet'!$B$11,'Paramètres'!$A$1:$I$88,3,0)*0.475*44/12</f>
        <v>0</v>
      </c>
      <c r="BR130" s="162">
        <f>EXP(-LN(2)/2)*BR129+(1-EXP(-LN(2)/2))/(LN(2)/2)*BL130*BO130*VLOOKUP('Données projet'!$B$11,'Paramètres'!$A$1:$I$88,3,0)*0.475*44/12</f>
        <v>0</v>
      </c>
      <c r="BS130" s="163">
        <f t="shared" si="10"/>
        <v>0</v>
      </c>
      <c r="BT130" s="159">
        <f>('Scénario référence'!$F$8+'Scénario référence'!$F$9+'Scénario référence'!$B$17+'Scénario référence'!$B$9+'Scénario référence'!$B$10)*70+IF((45+25*(1-EXP(-0.0175*A130)))&lt;70,'Scénario référence'!$B$16*(45+25*(1-EXP(-0.0175*A130))),70*'Scénario référence'!$B$16)+IF((32+38*(1-EXP(-0.0175*A130)))&lt;70,'Scénario référence'!$B$18*(32+38*(1-EXP(-0.0175*A130))),70*'Scénario référence'!$B$18)</f>
        <v>70</v>
      </c>
      <c r="BU130" s="151">
        <f>IF(A130&gt;30,10,('Scénario référence'!$B$16+'Scénario référence'!$B$17+'Scénario référence'!$B$18+'Scénario référence'!$B$9+'Scénario référence'!$B$10)*A130*10/30+('Scénario référence'!$F$8+'Scénario référence'!$F$9)*10)</f>
        <v>10</v>
      </c>
      <c r="BV130" s="151" t="str">
        <f>VLOOKUP(A130,'Données projet'!$A$113:$I$133,2,0)</f>
        <v>#N/A</v>
      </c>
      <c r="BW130" s="151" t="str">
        <f>VLOOKUP(A130,'Données projet'!$A$113:$I$133,9,0)</f>
        <v>#N/A</v>
      </c>
      <c r="BX130" s="151" t="str">
        <f t="array" ref="BX130">INDEX(BW:BW,MIN(IF(ISNUMBER(BW130:BW326),ROW(BW130:BW326),"")))</f>
        <v/>
      </c>
      <c r="BY130" s="150">
        <f>IF('Données projet'!$A$114&gt;35,BY129+BX130-CG129,IF(A130&lt;'Données projet'!$A$114,$BV$205^A130,IF(A130='Données projet'!$A$114,'Données projet'!$B$114,BY129+BX130-CG129)))</f>
        <v>0</v>
      </c>
      <c r="BZ130" s="150" t="str">
        <f>BY130*VLOOKUP('Données projet'!$B$12,'Paramètres'!$A$1:$I$88,3,0)*VLOOKUP('Données projet'!$B$12,'Paramètres'!$A$1:$I$88,5,0)</f>
        <v>#N/A</v>
      </c>
      <c r="CA130" s="150" t="str">
        <f t="shared" si="40"/>
        <v>#N/A</v>
      </c>
      <c r="CB130" s="161" t="str">
        <f t="shared" si="11"/>
        <v>#N/A</v>
      </c>
      <c r="CC130" s="153" t="str">
        <f t="shared" si="12"/>
        <v>#N/A</v>
      </c>
      <c r="CD130" s="153" t="str">
        <f>AVERAGE(OFFSET($CC$3,0,0,'Données projet'!$E$12+1,1))-AVERAGE(OFFSET($H$3,0,0,'Données projet'!$E$12+1,1))</f>
        <v>#N/A</v>
      </c>
      <c r="CE130" s="153" t="str">
        <f t="shared" si="41"/>
        <v>#N/A</v>
      </c>
      <c r="CF130" s="154">
        <f>IF(ISNA(VLOOKUP(A130,'Données projet'!$A$113:$I$133,3,0)),0,VLOOKUP(A130,'Données projet'!$A$113:$I$133,3,0))</f>
        <v>0</v>
      </c>
      <c r="CG130" s="154">
        <f>IF(ISNA(VLOOKUP(A130,'Données projet'!$A$113:$I$133,4,0)),0,VLOOKUP(A130,'Données projet'!$A$113:$I$133,4,0))</f>
        <v>0</v>
      </c>
      <c r="CH130" s="155">
        <f>IF(ISNA(VLOOKUP(A130,'Données projet'!$A$113:$I$133,5,0)),0%,VLOOKUP(A130,'Données projet'!$A$113:$I$133,5,0)*VLOOKUP('Données projet'!$B$12,'Paramètres'!$A$1:$I$88,7,0))</f>
        <v>0</v>
      </c>
      <c r="CI130" s="155">
        <f>IF(ISNA(VLOOKUP(A130,'Données projet'!$A$113:$I$133,6,0)),0%,VLOOKUP(A130,'Données projet'!$A$113:$I$133,6,0)*VLOOKUP('Données projet'!$B$12,'Paramètres'!$A$1:$I$88,7,0))</f>
        <v>0</v>
      </c>
      <c r="CJ130" s="155">
        <f>IF(ISNA(VLOOKUP(A130,'Données projet'!$A$113:$I$133,7,0)),0%,VLOOKUP(A130,'Données projet'!$A$113:$I$133,7,0))</f>
        <v>0</v>
      </c>
      <c r="CK130" s="162" t="str">
        <f>EXP(-LN(2)/35)*CK129+(1-EXP(-LN(2)/35))/(LN(2)/35)*CG130*CH130*VLOOKUP('Données projet'!$B$12,'Paramètres'!$A$1:$I$88,3,0)*0.475*44/12</f>
        <v>#N/A</v>
      </c>
      <c r="CL130" s="162" t="str">
        <f>EXP(-LN(2)/25)*CL129+(1-EXP(-LN(2)/25))/(LN(2)/25)*Calculateur!CG130*Calculateur!CI130*VLOOKUP('Données projet'!$B$12,'Paramètres'!$A$1:$I$88,3,0)*0.475*44/12</f>
        <v>#N/A</v>
      </c>
      <c r="CM130" s="162" t="str">
        <f>EXP(-LN(2)/2)*CM129+(1-EXP(-LN(2)/2))/(LN(2)/2)*CG130*CJ130*VLOOKUP('Données projet'!$B$12,'Paramètres'!$A$1:$I$88,3,0)*0.475*44/12</f>
        <v>#N/A</v>
      </c>
      <c r="CN130" s="163" t="str">
        <f t="shared" si="13"/>
        <v>#N/A</v>
      </c>
      <c r="CO130" s="159">
        <f>('Scénario référence'!$F$8+'Scénario référence'!$F$9+'Scénario référence'!$B$17+'Scénario référence'!$B$9+'Scénario référence'!$B$10)*70+IF((45+25*(1-EXP(-0.0175*A130)))&lt;70,'Scénario référence'!$B$16*(45+25*(1-EXP(-0.0175*A130))),70*'Scénario référence'!$B$16)+IF((32+38*(1-EXP(-0.0175*A130)))&lt;70,'Scénario référence'!$B$18*(32+38*(1-EXP(-0.0175*A130))),70*'Scénario référence'!$B$18)</f>
        <v>70</v>
      </c>
      <c r="CP130" s="151">
        <f>IF(A130&gt;30,10,('Scénario référence'!$B$16+'Scénario référence'!$B$17+'Scénario référence'!$B$18+'Scénario référence'!$B$9+'Scénario référence'!$B$10)*A130*10/30+('Scénario référence'!$F$8+'Scénario référence'!$F$9)*10)</f>
        <v>10</v>
      </c>
      <c r="CQ130" s="151" t="str">
        <f>VLOOKUP(A130,'Données projet'!$A$139:$I$159,2,0)</f>
        <v>#N/A</v>
      </c>
      <c r="CR130" s="151" t="str">
        <f>VLOOKUP(A130,'Données projet'!$A$139:$I$159,9,0)</f>
        <v>#N/A</v>
      </c>
      <c r="CS130" s="151" t="str">
        <f t="array" ref="CS130">INDEX(CR:CR,MIN(IF(ISNUMBER(CR130:CR326),ROW(CR130:CR326),"")))</f>
        <v/>
      </c>
      <c r="CT130" s="151">
        <f>IF('Données projet'!$A$140&gt;35,CT129+CS130-DB129,IF(A130&lt;'Données projet'!$A$140,$CQ$205^A130,IF(A130='Données projet'!$A$140,'Données projet'!$B$140,CT129+CS130-DB129)))</f>
        <v>0</v>
      </c>
      <c r="CU130" s="158" t="str">
        <f>CT130*VLOOKUP('Données projet'!$B$13,'Paramètres'!$A$1:$I$88,3,0)*VLOOKUP('Données projet'!$B$13,'Paramètres'!$A$1:$I$88,5,0)</f>
        <v>#N/A</v>
      </c>
      <c r="CV130" s="150" t="str">
        <f t="shared" si="42"/>
        <v>#N/A</v>
      </c>
      <c r="CW130" s="161" t="str">
        <f t="shared" si="14"/>
        <v>#N/A</v>
      </c>
      <c r="CX130" s="153" t="str">
        <f t="shared" si="15"/>
        <v>#N/A</v>
      </c>
      <c r="CY130" s="153" t="str">
        <f>AVERAGE(OFFSET($CX$3,0,0,'Données projet'!$E$13+1,1))-AVERAGE(OFFSET($H$3,0,0,'Données projet'!$E$13+1,1))</f>
        <v>#N/A</v>
      </c>
      <c r="CZ130" s="153" t="str">
        <f t="shared" si="43"/>
        <v>#N/A</v>
      </c>
      <c r="DA130" s="154">
        <f>IF(ISNA(VLOOKUP(A130,'Données projet'!$A$139:$I$159,3,0)),0,VLOOKUP(A130,'Données projet'!$A$139:$I$159,3,0))</f>
        <v>0</v>
      </c>
      <c r="DB130" s="154">
        <f>IF(ISNA(VLOOKUP(A130,'Données projet'!$A$139:$I$159,4,0)),0,VLOOKUP(A130,'Données projet'!$A$139:$I$159,4,0))</f>
        <v>0</v>
      </c>
      <c r="DC130" s="155">
        <f>IF(ISNA(VLOOKUP(A130,'Données projet'!$A$139:$I$159,5,0)),0%,VLOOKUP(A130,'Données projet'!$A$139:$I$159,5,0)*VLOOKUP('Données projet'!$B$13,'Paramètres'!$A$1:$I$88,7,0))</f>
        <v>0</v>
      </c>
      <c r="DD130" s="155">
        <f>IF(ISNA(VLOOKUP(A130,'Données projet'!$A$139:$I$159,6,0)),0%,VLOOKUP(A130,'Données projet'!$A$139:$I$159,6,0)*VLOOKUP('Données projet'!$B$13,'Paramètres'!$A$1:$I$88,7,0))</f>
        <v>0</v>
      </c>
      <c r="DE130" s="155">
        <f>IF(ISNA(VLOOKUP(A130,'Données projet'!$A$139:$I$159,7,0)),0%,VLOOKUP(A130,'Données projet'!$A$139:$I$159,7,0))</f>
        <v>0</v>
      </c>
      <c r="DF130" s="162" t="str">
        <f>EXP(-LN(2)/35)*DF129+(1-EXP(-LN(2)/35))/(LN(2)/35)*DB130*DC130*VLOOKUP('Données projet'!$B$13,'Paramètres'!$A$1:$I$88,3,0)*0.475*44/12</f>
        <v>#N/A</v>
      </c>
      <c r="DG130" s="162" t="str">
        <f>EXP(-LN(2)/25)*DG129+(1-EXP(-LN(2)/25))/(LN(2)/25)*Calculateur!DB130*Calculateur!DD130*VLOOKUP('Données projet'!$B$13,'Paramètres'!$A$1:$I$88,3,0)*0.475*44/12</f>
        <v>#N/A</v>
      </c>
      <c r="DH130" s="162" t="str">
        <f>EXP(-LN(2)/2)*DH129+(1-EXP(-LN(2)/2))/(LN(2)/2)*DB130*DE130*VLOOKUP('Données projet'!$B$13,'Paramètres'!$A$1:$I$88,3,0)*0.475*44/12</f>
        <v>#N/A</v>
      </c>
      <c r="DI130" s="163" t="str">
        <f t="shared" si="16"/>
        <v>#N/A</v>
      </c>
      <c r="DJ130" s="159">
        <f>('Scénario référence'!$F$8+'Scénario référence'!$F$9+'Scénario référence'!$B$17+'Scénario référence'!$B$9+'Scénario référence'!$B$10)*70+IF((45+25*(1-EXP(-0.0175*A130)))&lt;70,'Scénario référence'!$B$16*(45+25*(1-EXP(-0.0175*A130))),70*'Scénario référence'!$B$16)+IF((32+38*(1-EXP(-0.0175*A130)))&lt;70,'Scénario référence'!$B$18*(32+38*(1-EXP(-0.0175*A130))),70*'Scénario référence'!$B$18)</f>
        <v>70</v>
      </c>
      <c r="DK130" s="151">
        <f>IF(A130&gt;30,10,('Scénario référence'!$B$16+'Scénario référence'!$B$17+'Scénario référence'!$B$18+'Scénario référence'!$B$9+'Scénario référence'!$B$10)*A130*10/30+('Scénario référence'!$F$8+'Scénario référence'!$F$9)*10)</f>
        <v>10</v>
      </c>
      <c r="DL130" s="151" t="str">
        <f>VLOOKUP(A130,'Données projet'!$A$165:$I$185,2,0)</f>
        <v>#N/A</v>
      </c>
      <c r="DM130" s="151" t="str">
        <f>VLOOKUP(A130,'Données projet'!$A$165:$I$185,9,0)</f>
        <v>#N/A</v>
      </c>
      <c r="DN130" s="151" t="str">
        <f t="array" ref="DN130">INDEX(DM:DM,MIN(IF(ISNUMBER(DM130:DM326),ROW(DM130:DM326),"")))</f>
        <v/>
      </c>
      <c r="DO130" s="151">
        <f>IF('Données projet'!$A$166&gt;35,DO129+DN130-DW129,IF(A130&lt;'Données projet'!$A$166,$DL$205^A130,IF(A130='Données projet'!$A$166,'Données projet'!$B$166,DO129+DN130-DW129)))</f>
        <v>0</v>
      </c>
      <c r="DP130" s="158" t="str">
        <f>DO130*VLOOKUP('Données projet'!$B$14,'Paramètres'!$A$1:$I$88,3,0)*VLOOKUP('Données projet'!$B$14,'Paramètres'!$A$1:$I$88,5,0)</f>
        <v>#N/A</v>
      </c>
      <c r="DQ130" s="150" t="str">
        <f t="shared" si="44"/>
        <v>#N/A</v>
      </c>
      <c r="DR130" s="161" t="str">
        <f t="shared" si="17"/>
        <v>#N/A</v>
      </c>
      <c r="DS130" s="153" t="str">
        <f t="shared" si="18"/>
        <v>#N/A</v>
      </c>
      <c r="DT130" s="153" t="str">
        <f>AVERAGE(OFFSET($DS$3,0,0,'Données projet'!$E$14+1,1))-AVERAGE(OFFSET($H$3,0,0,'Données projet'!$E$14+1,1))</f>
        <v>#N/A</v>
      </c>
      <c r="DU130" s="153" t="str">
        <f t="shared" si="45"/>
        <v>#N/A</v>
      </c>
      <c r="DV130" s="154">
        <f>IF(ISNA(VLOOKUP(A130,'Données projet'!$A$165:$I$185,3,0)),0,VLOOKUP(A130,'Données projet'!$A$165:$I$185,3,0))</f>
        <v>0</v>
      </c>
      <c r="DW130" s="154">
        <f>IF(ISNA(VLOOKUP(A130,'Données projet'!$A$165:$I$185,4,0)),0,VLOOKUP(A130,'Données projet'!$A$165:$I$185,4,0))</f>
        <v>0</v>
      </c>
      <c r="DX130" s="155">
        <f>IF(ISNA(VLOOKUP(A130,'Données projet'!$A$165:$I$185,5,0)),0%,VLOOKUP(A130,'Données projet'!$A$165:$I$185,5,0)*VLOOKUP('Données projet'!$B$14,'Paramètres'!$A$1:$I$88,7,0))</f>
        <v>0</v>
      </c>
      <c r="DY130" s="155">
        <f>IF(ISNA(VLOOKUP(A130,'Données projet'!$A$165:$I$185,6,0)),0%,VLOOKUP(A130,'Données projet'!$A$165:$I$185,6,0)*VLOOKUP('Données projet'!$B$14,'Paramètres'!$A$1:$I$88,7,0))</f>
        <v>0</v>
      </c>
      <c r="DZ130" s="155">
        <f>IF(ISNA(VLOOKUP(A130,'Données projet'!$A$165:$I$185,7,0)),0%,VLOOKUP(A130,'Données projet'!$A$165:$I$185,7,0))</f>
        <v>0</v>
      </c>
      <c r="EA130" s="162" t="str">
        <f>EXP(-LN(2)/35)*EA129+(1-EXP(-LN(2)/35))/(LN(2)/35)*DW130*DX130*VLOOKUP('Données projet'!$B$14,'Paramètres'!$A$1:$I$88,3,0)*0.475*44/12</f>
        <v>#N/A</v>
      </c>
      <c r="EB130" s="162" t="str">
        <f>EXP(-LN(2)/25)*EB129+(1-EXP(-LN(2)/25))/(LN(2)/25)*Calculateur!DW130*Calculateur!DY130*VLOOKUP('Données projet'!$B$14,'Paramètres'!$A$1:$I$88,3,0)*0.475*44/12</f>
        <v>#N/A</v>
      </c>
      <c r="EC130" s="162" t="str">
        <f>EXP(-LN(2)/2)*EC129+(1-EXP(-LN(2)/2))/(LN(2)/2)*DW130*DZ130*VLOOKUP('Données projet'!$B$14,'Paramètres'!$A$1:$I$88,3,0)*0.475*44/12</f>
        <v>#N/A</v>
      </c>
      <c r="ED130" s="163" t="str">
        <f t="shared" si="19"/>
        <v>#N/A</v>
      </c>
      <c r="EE130" s="159">
        <f>('Scénario référence'!$F$8+'Scénario référence'!$F$9+'Scénario référence'!$B$17+'Scénario référence'!$B$9+'Scénario référence'!$B$10)*70+IF((45+25*(1-EXP(-0.0175*A130)))&lt;70,'Scénario référence'!$B$16*(45+25*(1-EXP(-0.0175*A130))),70*'Scénario référence'!$B$16)+IF((32+38*(1-EXP(-0.0175*A130)))&lt;70,'Scénario référence'!$B$18*(32+38*(1-EXP(-0.0175*A130))),70*'Scénario référence'!$B$18)</f>
        <v>70</v>
      </c>
      <c r="EF130" s="151">
        <f>IF(A130&gt;30,10,('Scénario référence'!$B$16+'Scénario référence'!$B$17+'Scénario référence'!$B$18+'Scénario référence'!$B$9+'Scénario référence'!$B$10)*A130*10/30+('Scénario référence'!$F$8+'Scénario référence'!$F$9)*10)</f>
        <v>10</v>
      </c>
      <c r="EG130" s="151" t="str">
        <f>VLOOKUP(A130,'Données projet'!$A$191:$I$211,2,0)</f>
        <v>#N/A</v>
      </c>
      <c r="EH130" s="151" t="str">
        <f>VLOOKUP(A130,'Données projet'!$A$191:$I$211,9,0)</f>
        <v>#N/A</v>
      </c>
      <c r="EI130" s="151" t="str">
        <f t="array" ref="EI130">INDEX(EH:EH,MIN(IF(ISNUMBER(EH130:EH326),ROW(EH130:EH326),"")))</f>
        <v/>
      </c>
      <c r="EJ130" s="151">
        <f>IF('Données projet'!$A$192&gt;35,EJ129+EI130-ER129,IF(A130&lt;'Données projet'!$A$192,$EG$205^A130,IF(A130='Données projet'!$A$192,'Données projet'!$B$192,EJ129+EI130-ER129)))</f>
        <v>0</v>
      </c>
      <c r="EK130" s="158" t="str">
        <f>EJ130*VLOOKUP('Données projet'!$B$15,'Paramètres'!$A$1:$I$88,3,0)*VLOOKUP('Données projet'!$B$15,'Paramètres'!$A$1:$I$88,5,0)</f>
        <v>#N/A</v>
      </c>
      <c r="EL130" s="150" t="str">
        <f t="shared" si="46"/>
        <v>#N/A</v>
      </c>
      <c r="EM130" s="161" t="str">
        <f t="shared" si="20"/>
        <v>#N/A</v>
      </c>
      <c r="EN130" s="153" t="str">
        <f t="shared" si="21"/>
        <v>#N/A</v>
      </c>
      <c r="EO130" s="153" t="str">
        <f>AVERAGE(OFFSET($EN$3,0,0,'Données projet'!$E$15+1,1))-AVERAGE(OFFSET($H$3,0,0,'Données projet'!$E$15+1,1))</f>
        <v>#N/A</v>
      </c>
      <c r="EP130" s="153" t="str">
        <f t="shared" si="47"/>
        <v>#N/A</v>
      </c>
      <c r="EQ130" s="154">
        <f>IF(ISNA(VLOOKUP(A130,'Données projet'!$A$191:$I$211,3,0)),0,VLOOKUP(A130,'Données projet'!$A$191:$I$211,3,0))</f>
        <v>0</v>
      </c>
      <c r="ER130" s="154">
        <f>IF(ISNA(VLOOKUP(A130,'Données projet'!$A$191:$I$211,4,0)),0,VLOOKUP(A130,'Données projet'!$A$191:$I$211,4,0))</f>
        <v>0</v>
      </c>
      <c r="ES130" s="155">
        <f>IF(ISNA(VLOOKUP(A130,'Données projet'!$A$191:$I$211,5,0)),0%,VLOOKUP(A130,'Données projet'!$A$191:$I$211,5,0)*VLOOKUP('Données projet'!$B$15,'Paramètres'!$A$1:$I$88,7,0))</f>
        <v>0</v>
      </c>
      <c r="ET130" s="155">
        <f>IF(ISNA(VLOOKUP(A130,'Données projet'!$A$191:$I$211,6,0)),0%,VLOOKUP(A130,'Données projet'!$A$191:$I$211,6,0)*VLOOKUP('Données projet'!$B$15,'Paramètres'!$A$1:$I$88,7,0))</f>
        <v>0</v>
      </c>
      <c r="EU130" s="155">
        <f>IF(ISNA(VLOOKUP(A130,'Données projet'!$A$191:$I$211,7,0)),0%,VLOOKUP(A130,'Données projet'!$A$191:$I$211,7,0))</f>
        <v>0</v>
      </c>
      <c r="EV130" s="162" t="str">
        <f>EXP(-LN(2)/35)*EV129+(1-EXP(-LN(2)/35))/(LN(2)/35)*ER130*ES130*VLOOKUP('Données projet'!$B$15,'Paramètres'!$A$1:$I$88,3,0)*0.475*44/12</f>
        <v>#N/A</v>
      </c>
      <c r="EW130" s="162" t="str">
        <f>EXP(-LN(2)/25)*EW129+(1-EXP(-LN(2)/25))/(LN(2)/25)*Calculateur!ER130*Calculateur!ET130*VLOOKUP('Données projet'!$B$15,'Paramètres'!$A$1:$I$88,3,0)*0.475*44/12</f>
        <v>#N/A</v>
      </c>
      <c r="EX130" s="162" t="str">
        <f>EXP(-LN(2)/2)*EX129+(1-EXP(-LN(2)/2))/(LN(2)/2)*ER130*EU130*VLOOKUP('Données projet'!$B$15,'Paramètres'!$A$1:$I$88,3,0)*0.475*44/12</f>
        <v>#N/A</v>
      </c>
      <c r="EY130" s="163" t="str">
        <f t="shared" si="22"/>
        <v>#N/A</v>
      </c>
      <c r="EZ130" s="159">
        <f>('Scénario référence'!$F$8+'Scénario référence'!$F$9+'Scénario référence'!$B$17+'Scénario référence'!$B$9+'Scénario référence'!$B$10)*70+IF((45+25*(1-EXP(-0.0175*A130)))&lt;70,'Scénario référence'!$B$16*(45+25*(1-EXP(-0.0175*A130))),70*'Scénario référence'!$B$16)+IF((32+38*(1-EXP(-0.0175*A130)))&lt;70,'Scénario référence'!$B$18*(32+38*(1-EXP(-0.0175*A130))),70*'Scénario référence'!$B$18)</f>
        <v>70</v>
      </c>
      <c r="FA130" s="151">
        <f>IF(A130&gt;30,10,('Scénario référence'!$B$16+'Scénario référence'!$B$17+'Scénario référence'!$B$18+'Scénario référence'!$B$9+'Scénario référence'!$B$10)*A130*10/30+('Scénario référence'!$F$8+'Scénario référence'!$F$9)*10)</f>
        <v>10</v>
      </c>
      <c r="FB130" s="151" t="str">
        <f>VLOOKUP(A130,'Données projet'!$A$217:$I$237,2,0)</f>
        <v>#N/A</v>
      </c>
      <c r="FC130" s="151" t="str">
        <f>VLOOKUP(A130,'Données projet'!$A$217:$I$237,9,0)</f>
        <v>#N/A</v>
      </c>
      <c r="FD130" s="151" t="str">
        <f t="array" ref="FD130">INDEX(FC:FC,MIN(IF(ISNUMBER(FC130:FC326),ROW(FC130:FC326),"")))</f>
        <v/>
      </c>
      <c r="FE130" s="151">
        <f>IF('Données projet'!$A$218&gt;35,FE129+FD130-FM129,IF(A130&lt;'Données projet'!$A$218,$FB$205^A130,IF(A130='Données projet'!$A$218,'Données projet'!$B$218,FE129+FD130-FM129)))</f>
        <v>0</v>
      </c>
      <c r="FF130" s="158" t="str">
        <f>FE130*VLOOKUP('Données projet'!$B$16,'Paramètres'!$A$1:$I$88,3,0)*VLOOKUP('Données projet'!$B$16,'Paramètres'!$A$1:$I$88,5,0)</f>
        <v>#N/A</v>
      </c>
      <c r="FG130" s="150" t="str">
        <f t="shared" si="48"/>
        <v>#N/A</v>
      </c>
      <c r="FH130" s="161" t="str">
        <f t="shared" si="23"/>
        <v>#N/A</v>
      </c>
      <c r="FI130" s="153" t="str">
        <f t="shared" si="24"/>
        <v>#N/A</v>
      </c>
      <c r="FJ130" s="153" t="str">
        <f>AVERAGE(OFFSET($FI$3,0,0,'Données projet'!$E$16+1,1))-AVERAGE(OFFSET($H$3,0,0,'Données projet'!$E$16+1,1))</f>
        <v>#N/A</v>
      </c>
      <c r="FK130" s="153" t="str">
        <f t="shared" si="49"/>
        <v>#N/A</v>
      </c>
      <c r="FL130" s="154">
        <f>IF(ISNA(VLOOKUP(A130,'Données projet'!$A$217:$I$237,3,0)),0,VLOOKUP(A130,'Données projet'!$A$217:$I$237,3,0))</f>
        <v>0</v>
      </c>
      <c r="FM130" s="154">
        <f>IF(ISNA(VLOOKUP(A130,'Données projet'!$A$217:$I$237,4,0)),0,VLOOKUP(A130,'Données projet'!$A$217:$I$237,4,0))</f>
        <v>0</v>
      </c>
      <c r="FN130" s="155">
        <f>IF(ISNA(VLOOKUP(A130,'Données projet'!$A$217:$I$237,5,0)),0%,VLOOKUP(A130,'Données projet'!$A$217:$I$237,5,0)*VLOOKUP('Données projet'!$B$16,'Paramètres'!$A$1:$I$88,7,0))</f>
        <v>0</v>
      </c>
      <c r="FO130" s="155">
        <f>IF(ISNA(VLOOKUP(A130,'Données projet'!$A$217:$I$237,6,0)),0%,VLOOKUP(A130,'Données projet'!$A$217:$I$237,6,0)*VLOOKUP('Données projet'!$B$16,'Paramètres'!$A$1:$I$88,7,0))</f>
        <v>0</v>
      </c>
      <c r="FP130" s="155">
        <f>IF(ISNA(VLOOKUP(A130,'Données projet'!$A$217:$I$237,7,0)),0%,VLOOKUP(A130,'Données projet'!$A$217:$I$237,7,0))</f>
        <v>0</v>
      </c>
      <c r="FQ130" s="162" t="str">
        <f>EXP(-LN(2)/35)*FQ129+(1-EXP(-LN(2)/35))/(LN(2)/35)*FM130*FN130*VLOOKUP('Données projet'!$B$16,'Paramètres'!$A$1:$I$88,3,0)*0.475*44/12</f>
        <v>#N/A</v>
      </c>
      <c r="FR130" s="162" t="str">
        <f>EXP(-LN(2)/25)*FR129+(1-EXP(-LN(2)/25))/(LN(2)/25)*Calculateur!FM130*Calculateur!FO130*VLOOKUP('Données projet'!$B$16,'Paramètres'!$A$1:$I$88,3,0)*0.475*44/12</f>
        <v>#N/A</v>
      </c>
      <c r="FS130" s="162" t="str">
        <f>EXP(-LN(2)/2)*FS129+(1-EXP(-LN(2)/2))/(LN(2)/2)*FM130*FP130*VLOOKUP('Données projet'!$B$16,'Paramètres'!$A$1:$I$88,3,0)*0.475*44/12</f>
        <v>#N/A</v>
      </c>
      <c r="FT130" s="163" t="str">
        <f t="shared" si="25"/>
        <v>#N/A</v>
      </c>
      <c r="FU130" s="159">
        <f>('Scénario référence'!$F$8+'Scénario référence'!$F$9+'Scénario référence'!$B$17+'Scénario référence'!$B$9+'Scénario référence'!$B$10)*70+IF((45+25*(1-EXP(-0.0175*A130)))&lt;70,'Scénario référence'!$B$16*(45+25*(1-EXP(-0.0175*A130))),70*'Scénario référence'!$B$16)+IF((32+38*(1-EXP(-0.0175*A130)))&lt;70,'Scénario référence'!$B$18*(32+38*(1-EXP(-0.0175*A130))),70*'Scénario référence'!$B$18)</f>
        <v>70</v>
      </c>
      <c r="FV130" s="151">
        <f>IF(A130&gt;30,10,('Scénario référence'!$B$16+'Scénario référence'!$B$17+'Scénario référence'!$B$18+'Scénario référence'!$B$9+'Scénario référence'!$B$10)*A130*10/30+('Scénario référence'!$F$8+'Scénario référence'!$F$9)*10)</f>
        <v>10</v>
      </c>
      <c r="FW130" s="151" t="str">
        <f>VLOOKUP(A130,'Données projet'!$A$243:$I$263,2,0)</f>
        <v>#N/A</v>
      </c>
      <c r="FX130" s="151" t="str">
        <f>VLOOKUP(A130,'Données projet'!$A$243:$I$263,9,0)</f>
        <v>#N/A</v>
      </c>
      <c r="FY130" s="151" t="str">
        <f t="array" ref="FY130">INDEX(FX:FX,MIN(IF(ISNUMBER(FX130:FX326),ROW(FX130:FX326),"")))</f>
        <v/>
      </c>
      <c r="FZ130" s="151">
        <f>IF('Données projet'!$A$244&gt;35,FZ129+FY130-GH129,IF(A130&lt;'Données projet'!$A$244,$FW$205^A130,IF(A130='Données projet'!$A$244,'Données projet'!$B$244,FZ129+FY130-GH129)))</f>
        <v>0</v>
      </c>
      <c r="GA130" s="158" t="str">
        <f>FZ130*VLOOKUP('Données projet'!$B$17,'Paramètres'!$A$1:$I$88,3,0)*VLOOKUP('Données projet'!$B$17,'Paramètres'!$A$1:$I$88,5,0)</f>
        <v>#N/A</v>
      </c>
      <c r="GB130" s="150" t="str">
        <f t="shared" si="50"/>
        <v>#N/A</v>
      </c>
      <c r="GC130" s="161" t="str">
        <f t="shared" si="26"/>
        <v>#N/A</v>
      </c>
      <c r="GD130" s="153" t="str">
        <f t="shared" si="27"/>
        <v>#N/A</v>
      </c>
      <c r="GE130" s="153" t="str">
        <f>AVERAGE(OFFSET($GD$3,0,0,'Données projet'!$E$17+1,1))-AVERAGE(OFFSET($H$3,0,0,'Données projet'!$E$17+1,1))</f>
        <v>#N/A</v>
      </c>
      <c r="GF130" s="153" t="str">
        <f t="shared" si="51"/>
        <v>#N/A</v>
      </c>
      <c r="GG130" s="154">
        <f>IF(ISNA(VLOOKUP(A130,'Données projet'!$A$243:$I$263,3,0)),0,VLOOKUP(A130,'Données projet'!$A$243:$I$263,3,0))</f>
        <v>0</v>
      </c>
      <c r="GH130" s="154">
        <f>IF(ISNA(VLOOKUP(A130,'Données projet'!$A$243:$I$263,4,0)),0,VLOOKUP(A130,'Données projet'!$A$243:$I$263,4,0))</f>
        <v>0</v>
      </c>
      <c r="GI130" s="155">
        <f>IF(ISNA(VLOOKUP(A130,'Données projet'!$A$243:$I$263,5,0)),0%,VLOOKUP(A130,'Données projet'!$A$243:$I$263,5,0)*VLOOKUP('Données projet'!$B$17,'Paramètres'!$A$1:$I$88,7,0))</f>
        <v>0</v>
      </c>
      <c r="GJ130" s="155">
        <f>IF(ISNA(VLOOKUP(A130,'Données projet'!$A$243:$I$263,6,0)),0%,VLOOKUP(A130,'Données projet'!$A$243:$I$263,6,0)*VLOOKUP('Données projet'!$B$17,'Paramètres'!$A$1:$I$88,7,0))</f>
        <v>0</v>
      </c>
      <c r="GK130" s="155">
        <f>IF(ISNA(VLOOKUP(A130,'Données projet'!$A$243:$I$263,7,0)),0%,VLOOKUP(A130,'Données projet'!$A$243:$I$263,7,0))</f>
        <v>0</v>
      </c>
      <c r="GL130" s="162" t="str">
        <f>EXP(-LN(2)/35)*GL129+(1-EXP(-LN(2)/35))/(LN(2)/35)*GH130*GI130*VLOOKUP('Données projet'!$B$17,'Paramètres'!$A$1:$I$88,3,0)*0.475*44/12</f>
        <v>#N/A</v>
      </c>
      <c r="GM130" s="162" t="str">
        <f>EXP(-LN(2)/25)*GM129+(1-EXP(-LN(2)/25))/(LN(2)/25)*Calculateur!GH130*Calculateur!GJ130*VLOOKUP('Données projet'!$B$17,'Paramètres'!$A$1:$I$88,3,0)*0.475*44/12</f>
        <v>#N/A</v>
      </c>
      <c r="GN130" s="162" t="str">
        <f>EXP(-LN(2)/2)*GN129+(1-EXP(-LN(2)/2))/(LN(2)/2)*GH130*GK130*VLOOKUP('Données projet'!$B$17,'Paramètres'!$A$1:$I$88,3,0)*0.475*44/12</f>
        <v>#N/A</v>
      </c>
      <c r="GO130" s="162" t="str">
        <f t="shared" si="28"/>
        <v>#N/A</v>
      </c>
      <c r="GP130" s="159">
        <f>('Scénario référence'!$F$8+'Scénario référence'!$F$9+'Scénario référence'!$B$17+'Scénario référence'!$B$9+'Scénario référence'!$B$10)*70+IF((45+25*(1-EXP(-0.0175*A130)))&lt;70,'Scénario référence'!$B$16*(45+25*(1-EXP(-0.0175*A130))),70*'Scénario référence'!$B$16)+IF((32+38*(1-EXP(-0.0175*A130)))&lt;70,'Scénario référence'!$B$18*(32+38*(1-EXP(-0.0175*A130))),70*'Scénario référence'!$B$18)</f>
        <v>70</v>
      </c>
      <c r="GQ130" s="151">
        <f>IF(A130&gt;30,10,('Scénario référence'!$B$16+'Scénario référence'!$B$17+'Scénario référence'!$B$18+'Scénario référence'!$B$9+'Scénario référence'!$B$10)*A130*10/30+('Scénario référence'!$F$8+'Scénario référence'!$F$9)*10)</f>
        <v>10</v>
      </c>
      <c r="GR130" s="151" t="str">
        <f>VLOOKUP(A130,'Données projet'!$A$269:$I$289,2,0)</f>
        <v>#N/A</v>
      </c>
      <c r="GS130" s="151" t="str">
        <f>VLOOKUP(A130,'Données projet'!$A$269:$I$289,9,0)</f>
        <v>#N/A</v>
      </c>
      <c r="GT130" s="151" t="str">
        <f t="array" ref="GT130">INDEX(GS:GS,MIN(IF(ISNUMBER(GS130:GS326),ROW(GS130:GS326),"")))</f>
        <v/>
      </c>
      <c r="GU130" s="151">
        <f>IF('Données projet'!$A$270&gt;35,GU129+GT130-HC129,IF(A130&lt;'Données projet'!$A$270,$GR$205^A130,IF(A130='Données projet'!$A$270,'Données projet'!$B$270,GU129+GT130-HC129)))</f>
        <v>0</v>
      </c>
      <c r="GV130" s="158" t="str">
        <f>GU130*VLOOKUP('Données projet'!$B$18,'Paramètres'!$A$1:$I$88,3,0)*VLOOKUP('Données projet'!$B$18,'Paramètres'!$A$1:$I$88,5,0)</f>
        <v>#N/A</v>
      </c>
      <c r="GW130" s="150" t="str">
        <f t="shared" si="52"/>
        <v>#N/A</v>
      </c>
      <c r="GX130" s="161" t="str">
        <f t="shared" si="29"/>
        <v>#N/A</v>
      </c>
      <c r="GY130" s="153" t="str">
        <f t="shared" si="30"/>
        <v>#N/A</v>
      </c>
      <c r="GZ130" s="153" t="str">
        <f>AVERAGE(OFFSET($GY$3,0,0,'Données projet'!$E$18+1,1))-AVERAGE(OFFSET($H$3,0,0,'Données projet'!$E$18+1,1))</f>
        <v>#N/A</v>
      </c>
      <c r="HA130" s="153" t="str">
        <f t="shared" si="53"/>
        <v>#N/A</v>
      </c>
      <c r="HB130" s="154">
        <f>IF(ISNA(VLOOKUP(A130,'Données projet'!$A$269:$I$289,3,0)),0,VLOOKUP(A130,'Données projet'!$A$269:$I$289,3,0))</f>
        <v>0</v>
      </c>
      <c r="HC130" s="154">
        <f>IF(ISNA(VLOOKUP(A130,'Données projet'!$A$269:$I$289,4,0)),0,VLOOKUP(A130,'Données projet'!$A$269:$I$289,4,0))</f>
        <v>0</v>
      </c>
      <c r="HD130" s="155">
        <f>IF(ISNA(VLOOKUP(A130,'Données projet'!$A$269:$I$289,5,0)),0%,VLOOKUP(A130,'Données projet'!$A$269:$I$289,5,0)*VLOOKUP('Données projet'!$B$18,'Paramètres'!$A$1:$I$88,7,0))</f>
        <v>0</v>
      </c>
      <c r="HE130" s="155">
        <f>IF(ISNA(VLOOKUP(A130,'Données projet'!$A$269:$I$289,6,0)),0%,VLOOKUP(A130,'Données projet'!$A$269:$I$289,6,0)*VLOOKUP('Données projet'!$B$18,'Paramètres'!$A$1:$I$88,7,0))</f>
        <v>0</v>
      </c>
      <c r="HF130" s="155">
        <f>IF(ISNA(VLOOKUP(A130,'Données projet'!$A$269:$I$289,7,0)),0%,VLOOKUP(A130,'Données projet'!$A$269:$I$289,7,0))</f>
        <v>0</v>
      </c>
      <c r="HG130" s="162" t="str">
        <f>EXP(-LN(2)/35)*HG129+(1-EXP(-LN(2)/35))/(LN(2)/35)*HC130*HD130*VLOOKUP('Données projet'!$B$18,'Paramètres'!$A$1:$I$88,3,0)*0.475*44/12</f>
        <v>#N/A</v>
      </c>
      <c r="HH130" s="162" t="str">
        <f>EXP(-LN(2)/25)*HH129+(1-EXP(-LN(2)/25))/(LN(2)/25)*Calculateur!HC130*Calculateur!HE130*VLOOKUP('Données projet'!$B$18,'Paramètres'!$A$1:$I$88,3,0)*0.475*44/12</f>
        <v>#N/A</v>
      </c>
      <c r="HI130" s="162" t="str">
        <f>EXP(-LN(2)/2)*HI129+(1-EXP(-LN(2)/2))/(LN(2)/2)*HC130*HF130*VLOOKUP('Données projet'!$B$18,'Paramètres'!$A$1:$I$88,3,0)*0.475*44/12</f>
        <v>#N/A</v>
      </c>
      <c r="HJ130" s="163" t="str">
        <f t="shared" si="31"/>
        <v>#N/A</v>
      </c>
    </row>
    <row r="131" ht="15.75" customHeight="1">
      <c r="A131" s="145">
        <f t="shared" si="32"/>
        <v>128</v>
      </c>
      <c r="B131" s="146">
        <f>'Scénario référence'!$B$16*5+'Scénario référence'!$B$17*0+'Scénario référence'!$B$18*5</f>
        <v>0</v>
      </c>
      <c r="C131" s="160">
        <f>Calculateur!C130+'Scénario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31" s="147">
        <f t="shared" si="33"/>
        <v>0</v>
      </c>
      <c r="E131" s="147">
        <f>'Scénario référence'!$B$16*45+('Scénario référence'!$B$17+'Scénario référence'!$F$8+'Scénario référence'!$F$9+'Scénario référence'!$B$10+'Scénario référence'!$B$9)*70+'Scénario référence'!$B$18*32</f>
        <v>70</v>
      </c>
      <c r="F131" s="147">
        <f>IF(OR('Scénario référence'!$F$8&gt;0,'Scénario référence'!$F$9&gt;0),('Scénario référence'!$F$8+'Scénario référence'!$F$9)*10,0)</f>
        <v>0</v>
      </c>
      <c r="G131" s="147">
        <f>'Scénario référence'!$B$8*B131*44/12+'Scénario référence'!$B$9*(C131+D131)/0.475*44/12+'Scénario référence'!$B$10*(C131+D131)/0.475*44/12+'Scénario référence'!$F$8*(C131+D131)/0.475*44/12+'Scénario référence'!$F$9*(C131+D131)/0.475*44/12</f>
        <v>0</v>
      </c>
      <c r="H131" s="148">
        <f t="shared" si="1"/>
        <v>256.6666667</v>
      </c>
      <c r="I131" s="149">
        <f>('Scénario référence'!$F$8+'Scénario référence'!$F$9+'Scénario référence'!$B$17+'Scénario référence'!$B$9+'Scénario référence'!$B$10)*70+IF((45+25*(1-EXP(-0.0175*A131)))&lt;70,'Scénario référence'!$B$16*(45+25*(1-EXP(-0.0175*A131))),70*'Scénario référence'!$B$16)+IF((32+38*(1-EXP(-0.0175*A131)))&lt;70,'Scénario référence'!$B$18*(32+38*(1-EXP(-0.0175*A131))),70*'Scénario référence'!$B$18)</f>
        <v>70</v>
      </c>
      <c r="J131" s="150">
        <f>IF(A131&gt;30,10,('Scénario référence'!$B$16+'Scénario référence'!$B$17+'Scénario référence'!$B$18+'Scénario référence'!$B$9+'Scénario référence'!$B$10)*A131*10/30+('Scénario référence'!$F$8+'Scénario référence'!$F$9)*10)</f>
        <v>10</v>
      </c>
      <c r="K131" s="151" t="str">
        <f>VLOOKUP(A131,'Données projet'!$A$35:$I$55,2,0)</f>
        <v>#N/A</v>
      </c>
      <c r="L131" s="151" t="str">
        <f>VLOOKUP(A131,'Données projet'!$A$35:$I$55,9,0)</f>
        <v>#N/A</v>
      </c>
      <c r="M131" s="151" t="str">
        <f t="array" ref="M131">INDEX(L:L,MIN(IF(ISNUMBER(L131:L327),ROW(L131:L327),"")))</f>
        <v/>
      </c>
      <c r="N131" s="150">
        <f>IF('Données projet'!$A$36&gt;35,N130+M131-V130,IF(A131&lt;'Données projet'!$A$36,$K$205^A131,IF(A131='Données projet'!$A$36,'Données projet'!$B$36,N130+M131-V130)))</f>
        <v>307</v>
      </c>
      <c r="O131" s="150">
        <f>N131*VLOOKUP('Données projet'!$B$9,'Paramètres'!$A$1:$I$88,3,0)*VLOOKUP('Données projet'!$B$9,'Paramètres'!$A$1:$I$88,5,0)</f>
        <v>277.7736</v>
      </c>
      <c r="P131" s="150">
        <f t="shared" si="34"/>
        <v>66.49628818</v>
      </c>
      <c r="Q131" s="161">
        <f t="shared" si="2"/>
        <v>599.6033886</v>
      </c>
      <c r="R131" s="153">
        <f t="shared" si="3"/>
        <v>892.9367219</v>
      </c>
      <c r="S131" s="153">
        <f>AVERAGE(OFFSET($R$3,0,0,'Données projet'!$E$9+1,1))-AVERAGE(OFFSET($H$3,0,0,'Données projet'!$E$9+1,1))</f>
        <v>439.1985427</v>
      </c>
      <c r="T131" s="153">
        <f t="shared" si="35"/>
        <v>278.2174123</v>
      </c>
      <c r="U131" s="154">
        <f>IF(ISNA(VLOOKUP(A131,'Données projet'!$A$35:$I$55,3,0)),0,VLOOKUP(A131,'Données projet'!$A$35:$I$55,3,0))</f>
        <v>0</v>
      </c>
      <c r="V131" s="154">
        <f>IF(ISNA(VLOOKUP(A131,'Données projet'!$A$35:$I$55,4,0)),0,VLOOKUP(A131,'Données projet'!$A$35:$I$55,4,0))</f>
        <v>0</v>
      </c>
      <c r="W131" s="155">
        <f>IF(ISNA(VLOOKUP(A131,'Données projet'!$A$35:$I$55,5,0)),0%,VLOOKUP(A131,'Données projet'!$A$35:$I$55,5,0)*VLOOKUP('Données projet'!$B$9,'Paramètres'!$A$1:$I$88,7,0))</f>
        <v>0</v>
      </c>
      <c r="X131" s="155">
        <f>IF(ISNA(VLOOKUP(A131,'Données projet'!$A$35:$I$55,6,0)),0%,VLOOKUP(A131,'Données projet'!$A$35:$I$55,6,0)*VLOOKUP('Données projet'!$B$9,'Paramètres'!$A$1:$I$88,7,0))</f>
        <v>0</v>
      </c>
      <c r="Y131" s="155">
        <f>IF(ISNA(VLOOKUP(A131,'Données projet'!$A$35:$I$55,7,0)),0%,VLOOKUP(A131,'Données projet'!$A$35:$I$55,7,0))</f>
        <v>0</v>
      </c>
      <c r="Z131" s="162">
        <f>EXP(-LN(2)/35)*Z130+(1-EXP(-LN(2)/35))/(LN(2)/35)*V131*W131*VLOOKUP('Données projet'!$B$9,'Paramètres'!$A$1:$I$88,3,0)*0.475*44/12</f>
        <v>0</v>
      </c>
      <c r="AA131" s="162">
        <f>EXP(-LN(2)/25)*AA130+(1-EXP(-LN(2)/25))/(LN(2)/25)*Calculateur!V131*Calculateur!X131*VLOOKUP('Données projet'!$B$9,'Paramètres'!$A$1:$I$88,3,0)*0.475*44/12</f>
        <v>0.296465865</v>
      </c>
      <c r="AB131" s="162">
        <f>EXP(-LN(2)/2)*AB130+(1-EXP(-LN(2)/2))/(LN(2)/2)*V131*Y131*VLOOKUP('Données projet'!$B$9,'Paramètres'!$A$1:$I$88,3,0)*0.475*44/12</f>
        <v>0</v>
      </c>
      <c r="AC131" s="163">
        <f t="shared" si="4"/>
        <v>0.296465865</v>
      </c>
      <c r="AD131" s="150">
        <f>('Scénario référence'!$F$8+'Scénario référence'!$F$9+'Scénario référence'!$B$17+'Scénario référence'!$B$9+'Scénario référence'!$B$10)*70+IF((45+25*(1-EXP(-0.0175*A131)))&lt;70,'Scénario référence'!$B$16*(45+25*(1-EXP(-0.0175*A131))),70*'Scénario référence'!$B$16)+IF((32+38*(1-EXP(-0.0175*A131)))&lt;70,'Scénario référence'!$B$18*(32+38*(1-EXP(-0.0175*A131))),70*'Scénario référence'!$B$18)</f>
        <v>70</v>
      </c>
      <c r="AE131" s="150">
        <f>IF(A131&gt;30,10,('Scénario référence'!$B$16+'Scénario référence'!$B$17+'Scénario référence'!$B$18+'Scénario référence'!$B$9+'Scénario référence'!$B$10)*A131*10/30+('Scénario référence'!$F$8+'Scénario référence'!$F$9)*10)</f>
        <v>10</v>
      </c>
      <c r="AF131" s="151" t="str">
        <f>VLOOKUP(A131,'Données projet'!$A$61:$I$81,2,0)</f>
        <v>#N/A</v>
      </c>
      <c r="AG131" s="151" t="str">
        <f>VLOOKUP(A131,'Données projet'!$A$61:$I$81,9,0)</f>
        <v>#N/A</v>
      </c>
      <c r="AH131" s="151" t="str">
        <f t="array" ref="AH131">INDEX(AG:AG,MIN(IF(ISNUMBER(AG131:AG327),ROW(AG131:AG327),"")))</f>
        <v/>
      </c>
      <c r="AI131" s="150">
        <f>IF('Données projet'!$A$62&gt;35,AI130+AH131-AQ130,IF(A131&lt;'Données projet'!$A$62,$AF$205^A131,IF(A131='Données projet'!$A$62,'Données projet'!$B$62,AI130+AH131-AQ130)))</f>
        <v>369</v>
      </c>
      <c r="AJ131" s="150">
        <f>AI131*VLOOKUP('Données projet'!$B$10,'Paramètres'!$A$1:$I$88,3,0)*VLOOKUP('Données projet'!$B$10,'Paramètres'!$A$1:$I$88,5,0)</f>
        <v>293.5764</v>
      </c>
      <c r="AK131" s="150">
        <f t="shared" si="36"/>
        <v>69.82813851</v>
      </c>
      <c r="AL131" s="161">
        <f t="shared" si="5"/>
        <v>632.9295712</v>
      </c>
      <c r="AM131" s="153">
        <f t="shared" si="6"/>
        <v>926.2629046</v>
      </c>
      <c r="AN131" s="153">
        <f>AVERAGE(OFFSET($AM$3,0,0,'Données projet'!$E$10+1,1))-AVERAGE(OFFSET($H$3,0,0,'Données projet'!$E$10+1,1))</f>
        <v>405.6113614</v>
      </c>
      <c r="AO131" s="153">
        <f t="shared" si="37"/>
        <v>393.0787141</v>
      </c>
      <c r="AP131" s="154">
        <f>IF(ISNA(VLOOKUP(A131,'Données projet'!$A$61:$I$81,3,0)),0,VLOOKUP(A131,'Données projet'!$A$61:$I$81,3,0))</f>
        <v>0</v>
      </c>
      <c r="AQ131" s="154">
        <f>IF(ISNA(VLOOKUP(A131,'Données projet'!$A$61:$I$81,4,0)),0,VLOOKUP(A131,'Données projet'!$A$61:$I$81,4,0))</f>
        <v>0</v>
      </c>
      <c r="AR131" s="155">
        <f>IF(ISNA(VLOOKUP(A131,'Données projet'!$A$61:$I$81,5,0)),0%,VLOOKUP(A131,'Données projet'!$A$61:$I$81,5,0)*VLOOKUP('Données projet'!$B$10,'Paramètres'!$A$1:$I$88,7,0))</f>
        <v>0</v>
      </c>
      <c r="AS131" s="155">
        <f>IF(ISNA(VLOOKUP(A131,'Données projet'!$A$61:$I$81,6,0)),0%,VLOOKUP(A131,'Données projet'!$A$61:$I$81,6,0)*VLOOKUP('Données projet'!$B$10,'Paramètres'!$A$1:$I$88,7,0))</f>
        <v>0</v>
      </c>
      <c r="AT131" s="155">
        <f>IF(ISNA(VLOOKUP(A131,'Données projet'!$A$61:$I$81,7,0)),0%,VLOOKUP(A131,'Données projet'!$A$61:$I$81,7,0))</f>
        <v>0</v>
      </c>
      <c r="AU131" s="162">
        <f>EXP(-LN(2)/35)*AU130+(1-EXP(-LN(2)/35))/(LN(2)/35)*AQ131*AR131*VLOOKUP('Données projet'!$B$10,'Paramètres'!$A$1:$I$88,3,0)*0.475*44/12</f>
        <v>0</v>
      </c>
      <c r="AV131" s="162">
        <f>EXP(-LN(2)/25)*AV130+(1-EXP(-LN(2)/25))/(LN(2)/25)*Calculateur!AQ131*Calculateur!AS131*VLOOKUP('Données projet'!$B$10,'Paramètres'!$A$1:$I$88,3,0)*0.475*44/12</f>
        <v>1.20491264</v>
      </c>
      <c r="AW131" s="162">
        <f>EXP(-LN(2)/2)*AW130+(1-EXP(-LN(2)/2))/(LN(2)/2)*AQ131*AT131*VLOOKUP('Données projet'!$B$10,'Paramètres'!$A$1:$I$88,3,0)*0.475*44/12</f>
        <v>0</v>
      </c>
      <c r="AX131" s="162">
        <f t="shared" si="7"/>
        <v>1.20491264</v>
      </c>
      <c r="AY131" s="157">
        <f>('Scénario référence'!$F$8+'Scénario référence'!$F$9+'Scénario référence'!$B$17+'Scénario référence'!$B$9+'Scénario référence'!$B$10)*70+IF((45+25*(1-EXP(-0.0175*A131)))&lt;70,'Scénario référence'!$B$16*(45+25*(1-EXP(-0.0175*A131))),70*'Scénario référence'!$B$16)+IF((32+38*(1-EXP(-0.0175*A131)))&lt;70,'Scénario référence'!$B$18*(32+38*(1-EXP(-0.0175*A131))),70*'Scénario référence'!$B$18)</f>
        <v>70</v>
      </c>
      <c r="AZ131" s="151">
        <f>IF(A131&gt;30,10,('Scénario référence'!$B$16+'Scénario référence'!$B$17+'Scénario référence'!$B$18+'Scénario référence'!$B$9+'Scénario référence'!$B$10)*A131*10/30+('Scénario référence'!$F$8+'Scénario référence'!$F$9)*10)</f>
        <v>10</v>
      </c>
      <c r="BA131" s="151" t="str">
        <f>VLOOKUP(A131,'Données projet'!$A$87:$I$107,2,0)</f>
        <v>#N/A</v>
      </c>
      <c r="BB131" s="151" t="str">
        <f>VLOOKUP(A131,'Données projet'!$A$87:$I$107,9,0)</f>
        <v>#N/A</v>
      </c>
      <c r="BC131" s="151" t="str">
        <f t="array" ref="BC131">INDEX(BB:BB,MIN(IF(ISNUMBER(BB131:BB327),ROW(BB131:BB327),"")))</f>
        <v/>
      </c>
      <c r="BD131" s="150">
        <f>IF('Données projet'!$A$88&gt;35,BD130+BC131-BL130,IF(A131&lt;'Données projet'!$A$88,$BA$205^A131,IF(A131='Données projet'!$A$88,'Données projet'!$B$88,BD130+BC131-BL130)))</f>
        <v>0</v>
      </c>
      <c r="BE131" s="150">
        <f>BD131*VLOOKUP('Données projet'!$B$11,'Paramètres'!$A$1:$I$88,3,0)*VLOOKUP('Données projet'!$B$11,'Paramètres'!$A$1:$I$88,5,0)</f>
        <v>0</v>
      </c>
      <c r="BF131" s="150" t="str">
        <f t="shared" si="38"/>
        <v>#NUM!</v>
      </c>
      <c r="BG131" s="161" t="str">
        <f t="shared" si="8"/>
        <v>#NUM!</v>
      </c>
      <c r="BH131" s="153" t="str">
        <f t="shared" si="9"/>
        <v>#NUM!</v>
      </c>
      <c r="BI131" s="153">
        <f>AVERAGE(OFFSET($BH$3,0,0,'Données projet'!$E$11+1,1))-AVERAGE(OFFSET($H$3,0,0,'Données projet'!$E$11+1,1))</f>
        <v>0</v>
      </c>
      <c r="BJ131" s="153">
        <f t="shared" si="39"/>
        <v>0</v>
      </c>
      <c r="BK131" s="154">
        <f>IF(ISNA(VLOOKUP(A131,'Données projet'!$A$87:$I$107,3,0)),0,VLOOKUP(A131,'Données projet'!$A$87:$I$107,3,0))</f>
        <v>0</v>
      </c>
      <c r="BL131" s="154">
        <f>IF(ISNA(VLOOKUP(A131,'Données projet'!$A$87:$I$107,4,0)),0,VLOOKUP(A131,'Données projet'!$A$87:$I$107,4,0))</f>
        <v>0</v>
      </c>
      <c r="BM131" s="155">
        <f>IF(ISNA(VLOOKUP(A131,'Données projet'!$A$87:$I$107,5,0)),0%,VLOOKUP(A131,'Données projet'!$A$87:$I$107,5,0)*VLOOKUP('Données projet'!$B$11,'Paramètres'!$A$1:$I$88,7,0))</f>
        <v>0</v>
      </c>
      <c r="BN131" s="155">
        <f>IF(ISNA(VLOOKUP(A131,'Données projet'!$A$87:$I$107,6,0)),0%,VLOOKUP(A131,'Données projet'!$A$87:$I$107,6,0)*VLOOKUP('Données projet'!$B$11,'Paramètres'!$A$1:$I$88,7,0))</f>
        <v>0</v>
      </c>
      <c r="BO131" s="155">
        <f>IF(ISNA(VLOOKUP(A131,'Données projet'!$A$87:$I$107,7,0)),0%,VLOOKUP(A131,'Données projet'!$A$87:$I$107,7,0))</f>
        <v>0</v>
      </c>
      <c r="BP131" s="162">
        <f>EXP(-LN(2)/35)*BP130+(1-EXP(-LN(2)/35))/(LN(2)/35)*BL131*BM131*VLOOKUP('Données projet'!$B$11,'Paramètres'!$A$1:$I$88,3,0)*0.475*44/12</f>
        <v>0</v>
      </c>
      <c r="BQ131" s="162">
        <f>EXP(-LN(2)/25)*BQ130+(1-EXP(-LN(2)/25))/(LN(2)/25)*Calculateur!BL131*Calculateur!BN131*VLOOKUP('Données projet'!$B$11,'Paramètres'!$A$1:$I$88,3,0)*0.475*44/12</f>
        <v>0</v>
      </c>
      <c r="BR131" s="162">
        <f>EXP(-LN(2)/2)*BR130+(1-EXP(-LN(2)/2))/(LN(2)/2)*BL131*BO131*VLOOKUP('Données projet'!$B$11,'Paramètres'!$A$1:$I$88,3,0)*0.475*44/12</f>
        <v>0</v>
      </c>
      <c r="BS131" s="163">
        <f t="shared" si="10"/>
        <v>0</v>
      </c>
      <c r="BT131" s="159">
        <f>('Scénario référence'!$F$8+'Scénario référence'!$F$9+'Scénario référence'!$B$17+'Scénario référence'!$B$9+'Scénario référence'!$B$10)*70+IF((45+25*(1-EXP(-0.0175*A131)))&lt;70,'Scénario référence'!$B$16*(45+25*(1-EXP(-0.0175*A131))),70*'Scénario référence'!$B$16)+IF((32+38*(1-EXP(-0.0175*A131)))&lt;70,'Scénario référence'!$B$18*(32+38*(1-EXP(-0.0175*A131))),70*'Scénario référence'!$B$18)</f>
        <v>70</v>
      </c>
      <c r="BU131" s="151">
        <f>IF(A131&gt;30,10,('Scénario référence'!$B$16+'Scénario référence'!$B$17+'Scénario référence'!$B$18+'Scénario référence'!$B$9+'Scénario référence'!$B$10)*A131*10/30+('Scénario référence'!$F$8+'Scénario référence'!$F$9)*10)</f>
        <v>10</v>
      </c>
      <c r="BV131" s="151" t="str">
        <f>VLOOKUP(A131,'Données projet'!$A$113:$I$133,2,0)</f>
        <v>#N/A</v>
      </c>
      <c r="BW131" s="151" t="str">
        <f>VLOOKUP(A131,'Données projet'!$A$113:$I$133,9,0)</f>
        <v>#N/A</v>
      </c>
      <c r="BX131" s="151" t="str">
        <f t="array" ref="BX131">INDEX(BW:BW,MIN(IF(ISNUMBER(BW131:BW327),ROW(BW131:BW327),"")))</f>
        <v/>
      </c>
      <c r="BY131" s="150">
        <f>IF('Données projet'!$A$114&gt;35,BY130+BX131-CG130,IF(A131&lt;'Données projet'!$A$114,$BV$205^A131,IF(A131='Données projet'!$A$114,'Données projet'!$B$114,BY130+BX131-CG130)))</f>
        <v>0</v>
      </c>
      <c r="BZ131" s="150" t="str">
        <f>BY131*VLOOKUP('Données projet'!$B$12,'Paramètres'!$A$1:$I$88,3,0)*VLOOKUP('Données projet'!$B$12,'Paramètres'!$A$1:$I$88,5,0)</f>
        <v>#N/A</v>
      </c>
      <c r="CA131" s="150" t="str">
        <f t="shared" si="40"/>
        <v>#N/A</v>
      </c>
      <c r="CB131" s="161" t="str">
        <f t="shared" si="11"/>
        <v>#N/A</v>
      </c>
      <c r="CC131" s="153" t="str">
        <f t="shared" si="12"/>
        <v>#N/A</v>
      </c>
      <c r="CD131" s="153" t="str">
        <f>AVERAGE(OFFSET($CC$3,0,0,'Données projet'!$E$12+1,1))-AVERAGE(OFFSET($H$3,0,0,'Données projet'!$E$12+1,1))</f>
        <v>#N/A</v>
      </c>
      <c r="CE131" s="153" t="str">
        <f t="shared" si="41"/>
        <v>#N/A</v>
      </c>
      <c r="CF131" s="154">
        <f>IF(ISNA(VLOOKUP(A131,'Données projet'!$A$113:$I$133,3,0)),0,VLOOKUP(A131,'Données projet'!$A$113:$I$133,3,0))</f>
        <v>0</v>
      </c>
      <c r="CG131" s="154">
        <f>IF(ISNA(VLOOKUP(A131,'Données projet'!$A$113:$I$133,4,0)),0,VLOOKUP(A131,'Données projet'!$A$113:$I$133,4,0))</f>
        <v>0</v>
      </c>
      <c r="CH131" s="155">
        <f>IF(ISNA(VLOOKUP(A131,'Données projet'!$A$113:$I$133,5,0)),0%,VLOOKUP(A131,'Données projet'!$A$113:$I$133,5,0)*VLOOKUP('Données projet'!$B$12,'Paramètres'!$A$1:$I$88,7,0))</f>
        <v>0</v>
      </c>
      <c r="CI131" s="155">
        <f>IF(ISNA(VLOOKUP(A131,'Données projet'!$A$113:$I$133,6,0)),0%,VLOOKUP(A131,'Données projet'!$A$113:$I$133,6,0)*VLOOKUP('Données projet'!$B$12,'Paramètres'!$A$1:$I$88,7,0))</f>
        <v>0</v>
      </c>
      <c r="CJ131" s="155">
        <f>IF(ISNA(VLOOKUP(A131,'Données projet'!$A$113:$I$133,7,0)),0%,VLOOKUP(A131,'Données projet'!$A$113:$I$133,7,0))</f>
        <v>0</v>
      </c>
      <c r="CK131" s="162" t="str">
        <f>EXP(-LN(2)/35)*CK130+(1-EXP(-LN(2)/35))/(LN(2)/35)*CG131*CH131*VLOOKUP('Données projet'!$B$12,'Paramètres'!$A$1:$I$88,3,0)*0.475*44/12</f>
        <v>#N/A</v>
      </c>
      <c r="CL131" s="162" t="str">
        <f>EXP(-LN(2)/25)*CL130+(1-EXP(-LN(2)/25))/(LN(2)/25)*Calculateur!CG131*Calculateur!CI131*VLOOKUP('Données projet'!$B$12,'Paramètres'!$A$1:$I$88,3,0)*0.475*44/12</f>
        <v>#N/A</v>
      </c>
      <c r="CM131" s="162" t="str">
        <f>EXP(-LN(2)/2)*CM130+(1-EXP(-LN(2)/2))/(LN(2)/2)*CG131*CJ131*VLOOKUP('Données projet'!$B$12,'Paramètres'!$A$1:$I$88,3,0)*0.475*44/12</f>
        <v>#N/A</v>
      </c>
      <c r="CN131" s="163" t="str">
        <f t="shared" si="13"/>
        <v>#N/A</v>
      </c>
      <c r="CO131" s="159">
        <f>('Scénario référence'!$F$8+'Scénario référence'!$F$9+'Scénario référence'!$B$17+'Scénario référence'!$B$9+'Scénario référence'!$B$10)*70+IF((45+25*(1-EXP(-0.0175*A131)))&lt;70,'Scénario référence'!$B$16*(45+25*(1-EXP(-0.0175*A131))),70*'Scénario référence'!$B$16)+IF((32+38*(1-EXP(-0.0175*A131)))&lt;70,'Scénario référence'!$B$18*(32+38*(1-EXP(-0.0175*A131))),70*'Scénario référence'!$B$18)</f>
        <v>70</v>
      </c>
      <c r="CP131" s="151">
        <f>IF(A131&gt;30,10,('Scénario référence'!$B$16+'Scénario référence'!$B$17+'Scénario référence'!$B$18+'Scénario référence'!$B$9+'Scénario référence'!$B$10)*A131*10/30+('Scénario référence'!$F$8+'Scénario référence'!$F$9)*10)</f>
        <v>10</v>
      </c>
      <c r="CQ131" s="151" t="str">
        <f>VLOOKUP(A131,'Données projet'!$A$139:$I$159,2,0)</f>
        <v>#N/A</v>
      </c>
      <c r="CR131" s="151" t="str">
        <f>VLOOKUP(A131,'Données projet'!$A$139:$I$159,9,0)</f>
        <v>#N/A</v>
      </c>
      <c r="CS131" s="151" t="str">
        <f t="array" ref="CS131">INDEX(CR:CR,MIN(IF(ISNUMBER(CR131:CR327),ROW(CR131:CR327),"")))</f>
        <v/>
      </c>
      <c r="CT131" s="151">
        <f>IF('Données projet'!$A$140&gt;35,CT130+CS131-DB130,IF(A131&lt;'Données projet'!$A$140,$CQ$205^A131,IF(A131='Données projet'!$A$140,'Données projet'!$B$140,CT130+CS131-DB130)))</f>
        <v>0</v>
      </c>
      <c r="CU131" s="158" t="str">
        <f>CT131*VLOOKUP('Données projet'!$B$13,'Paramètres'!$A$1:$I$88,3,0)*VLOOKUP('Données projet'!$B$13,'Paramètres'!$A$1:$I$88,5,0)</f>
        <v>#N/A</v>
      </c>
      <c r="CV131" s="150" t="str">
        <f t="shared" si="42"/>
        <v>#N/A</v>
      </c>
      <c r="CW131" s="161" t="str">
        <f t="shared" si="14"/>
        <v>#N/A</v>
      </c>
      <c r="CX131" s="153" t="str">
        <f t="shared" si="15"/>
        <v>#N/A</v>
      </c>
      <c r="CY131" s="153" t="str">
        <f>AVERAGE(OFFSET($CX$3,0,0,'Données projet'!$E$13+1,1))-AVERAGE(OFFSET($H$3,0,0,'Données projet'!$E$13+1,1))</f>
        <v>#N/A</v>
      </c>
      <c r="CZ131" s="153" t="str">
        <f t="shared" si="43"/>
        <v>#N/A</v>
      </c>
      <c r="DA131" s="154">
        <f>IF(ISNA(VLOOKUP(A131,'Données projet'!$A$139:$I$159,3,0)),0,VLOOKUP(A131,'Données projet'!$A$139:$I$159,3,0))</f>
        <v>0</v>
      </c>
      <c r="DB131" s="154">
        <f>IF(ISNA(VLOOKUP(A131,'Données projet'!$A$139:$I$159,4,0)),0,VLOOKUP(A131,'Données projet'!$A$139:$I$159,4,0))</f>
        <v>0</v>
      </c>
      <c r="DC131" s="155">
        <f>IF(ISNA(VLOOKUP(A131,'Données projet'!$A$139:$I$159,5,0)),0%,VLOOKUP(A131,'Données projet'!$A$139:$I$159,5,0)*VLOOKUP('Données projet'!$B$13,'Paramètres'!$A$1:$I$88,7,0))</f>
        <v>0</v>
      </c>
      <c r="DD131" s="155">
        <f>IF(ISNA(VLOOKUP(A131,'Données projet'!$A$139:$I$159,6,0)),0%,VLOOKUP(A131,'Données projet'!$A$139:$I$159,6,0)*VLOOKUP('Données projet'!$B$13,'Paramètres'!$A$1:$I$88,7,0))</f>
        <v>0</v>
      </c>
      <c r="DE131" s="155">
        <f>IF(ISNA(VLOOKUP(A131,'Données projet'!$A$139:$I$159,7,0)),0%,VLOOKUP(A131,'Données projet'!$A$139:$I$159,7,0))</f>
        <v>0</v>
      </c>
      <c r="DF131" s="162" t="str">
        <f>EXP(-LN(2)/35)*DF130+(1-EXP(-LN(2)/35))/(LN(2)/35)*DB131*DC131*VLOOKUP('Données projet'!$B$13,'Paramètres'!$A$1:$I$88,3,0)*0.475*44/12</f>
        <v>#N/A</v>
      </c>
      <c r="DG131" s="162" t="str">
        <f>EXP(-LN(2)/25)*DG130+(1-EXP(-LN(2)/25))/(LN(2)/25)*Calculateur!DB131*Calculateur!DD131*VLOOKUP('Données projet'!$B$13,'Paramètres'!$A$1:$I$88,3,0)*0.475*44/12</f>
        <v>#N/A</v>
      </c>
      <c r="DH131" s="162" t="str">
        <f>EXP(-LN(2)/2)*DH130+(1-EXP(-LN(2)/2))/(LN(2)/2)*DB131*DE131*VLOOKUP('Données projet'!$B$13,'Paramètres'!$A$1:$I$88,3,0)*0.475*44/12</f>
        <v>#N/A</v>
      </c>
      <c r="DI131" s="163" t="str">
        <f t="shared" si="16"/>
        <v>#N/A</v>
      </c>
      <c r="DJ131" s="159">
        <f>('Scénario référence'!$F$8+'Scénario référence'!$F$9+'Scénario référence'!$B$17+'Scénario référence'!$B$9+'Scénario référence'!$B$10)*70+IF((45+25*(1-EXP(-0.0175*A131)))&lt;70,'Scénario référence'!$B$16*(45+25*(1-EXP(-0.0175*A131))),70*'Scénario référence'!$B$16)+IF((32+38*(1-EXP(-0.0175*A131)))&lt;70,'Scénario référence'!$B$18*(32+38*(1-EXP(-0.0175*A131))),70*'Scénario référence'!$B$18)</f>
        <v>70</v>
      </c>
      <c r="DK131" s="151">
        <f>IF(A131&gt;30,10,('Scénario référence'!$B$16+'Scénario référence'!$B$17+'Scénario référence'!$B$18+'Scénario référence'!$B$9+'Scénario référence'!$B$10)*A131*10/30+('Scénario référence'!$F$8+'Scénario référence'!$F$9)*10)</f>
        <v>10</v>
      </c>
      <c r="DL131" s="151" t="str">
        <f>VLOOKUP(A131,'Données projet'!$A$165:$I$185,2,0)</f>
        <v>#N/A</v>
      </c>
      <c r="DM131" s="151" t="str">
        <f>VLOOKUP(A131,'Données projet'!$A$165:$I$185,9,0)</f>
        <v>#N/A</v>
      </c>
      <c r="DN131" s="151" t="str">
        <f t="array" ref="DN131">INDEX(DM:DM,MIN(IF(ISNUMBER(DM131:DM327),ROW(DM131:DM327),"")))</f>
        <v/>
      </c>
      <c r="DO131" s="151">
        <f>IF('Données projet'!$A$166&gt;35,DO130+DN131-DW130,IF(A131&lt;'Données projet'!$A$166,$DL$205^A131,IF(A131='Données projet'!$A$166,'Données projet'!$B$166,DO130+DN131-DW130)))</f>
        <v>0</v>
      </c>
      <c r="DP131" s="158" t="str">
        <f>DO131*VLOOKUP('Données projet'!$B$14,'Paramètres'!$A$1:$I$88,3,0)*VLOOKUP('Données projet'!$B$14,'Paramètres'!$A$1:$I$88,5,0)</f>
        <v>#N/A</v>
      </c>
      <c r="DQ131" s="150" t="str">
        <f t="shared" si="44"/>
        <v>#N/A</v>
      </c>
      <c r="DR131" s="161" t="str">
        <f t="shared" si="17"/>
        <v>#N/A</v>
      </c>
      <c r="DS131" s="153" t="str">
        <f t="shared" si="18"/>
        <v>#N/A</v>
      </c>
      <c r="DT131" s="153" t="str">
        <f>AVERAGE(OFFSET($DS$3,0,0,'Données projet'!$E$14+1,1))-AVERAGE(OFFSET($H$3,0,0,'Données projet'!$E$14+1,1))</f>
        <v>#N/A</v>
      </c>
      <c r="DU131" s="153" t="str">
        <f t="shared" si="45"/>
        <v>#N/A</v>
      </c>
      <c r="DV131" s="154">
        <f>IF(ISNA(VLOOKUP(A131,'Données projet'!$A$165:$I$185,3,0)),0,VLOOKUP(A131,'Données projet'!$A$165:$I$185,3,0))</f>
        <v>0</v>
      </c>
      <c r="DW131" s="154">
        <f>IF(ISNA(VLOOKUP(A131,'Données projet'!$A$165:$I$185,4,0)),0,VLOOKUP(A131,'Données projet'!$A$165:$I$185,4,0))</f>
        <v>0</v>
      </c>
      <c r="DX131" s="155">
        <f>IF(ISNA(VLOOKUP(A131,'Données projet'!$A$165:$I$185,5,0)),0%,VLOOKUP(A131,'Données projet'!$A$165:$I$185,5,0)*VLOOKUP('Données projet'!$B$14,'Paramètres'!$A$1:$I$88,7,0))</f>
        <v>0</v>
      </c>
      <c r="DY131" s="155">
        <f>IF(ISNA(VLOOKUP(A131,'Données projet'!$A$165:$I$185,6,0)),0%,VLOOKUP(A131,'Données projet'!$A$165:$I$185,6,0)*VLOOKUP('Données projet'!$B$14,'Paramètres'!$A$1:$I$88,7,0))</f>
        <v>0</v>
      </c>
      <c r="DZ131" s="155">
        <f>IF(ISNA(VLOOKUP(A131,'Données projet'!$A$165:$I$185,7,0)),0%,VLOOKUP(A131,'Données projet'!$A$165:$I$185,7,0))</f>
        <v>0</v>
      </c>
      <c r="EA131" s="162" t="str">
        <f>EXP(-LN(2)/35)*EA130+(1-EXP(-LN(2)/35))/(LN(2)/35)*DW131*DX131*VLOOKUP('Données projet'!$B$14,'Paramètres'!$A$1:$I$88,3,0)*0.475*44/12</f>
        <v>#N/A</v>
      </c>
      <c r="EB131" s="162" t="str">
        <f>EXP(-LN(2)/25)*EB130+(1-EXP(-LN(2)/25))/(LN(2)/25)*Calculateur!DW131*Calculateur!DY131*VLOOKUP('Données projet'!$B$14,'Paramètres'!$A$1:$I$88,3,0)*0.475*44/12</f>
        <v>#N/A</v>
      </c>
      <c r="EC131" s="162" t="str">
        <f>EXP(-LN(2)/2)*EC130+(1-EXP(-LN(2)/2))/(LN(2)/2)*DW131*DZ131*VLOOKUP('Données projet'!$B$14,'Paramètres'!$A$1:$I$88,3,0)*0.475*44/12</f>
        <v>#N/A</v>
      </c>
      <c r="ED131" s="163" t="str">
        <f t="shared" si="19"/>
        <v>#N/A</v>
      </c>
      <c r="EE131" s="159">
        <f>('Scénario référence'!$F$8+'Scénario référence'!$F$9+'Scénario référence'!$B$17+'Scénario référence'!$B$9+'Scénario référence'!$B$10)*70+IF((45+25*(1-EXP(-0.0175*A131)))&lt;70,'Scénario référence'!$B$16*(45+25*(1-EXP(-0.0175*A131))),70*'Scénario référence'!$B$16)+IF((32+38*(1-EXP(-0.0175*A131)))&lt;70,'Scénario référence'!$B$18*(32+38*(1-EXP(-0.0175*A131))),70*'Scénario référence'!$B$18)</f>
        <v>70</v>
      </c>
      <c r="EF131" s="151">
        <f>IF(A131&gt;30,10,('Scénario référence'!$B$16+'Scénario référence'!$B$17+'Scénario référence'!$B$18+'Scénario référence'!$B$9+'Scénario référence'!$B$10)*A131*10/30+('Scénario référence'!$F$8+'Scénario référence'!$F$9)*10)</f>
        <v>10</v>
      </c>
      <c r="EG131" s="151" t="str">
        <f>VLOOKUP(A131,'Données projet'!$A$191:$I$211,2,0)</f>
        <v>#N/A</v>
      </c>
      <c r="EH131" s="151" t="str">
        <f>VLOOKUP(A131,'Données projet'!$A$191:$I$211,9,0)</f>
        <v>#N/A</v>
      </c>
      <c r="EI131" s="151" t="str">
        <f t="array" ref="EI131">INDEX(EH:EH,MIN(IF(ISNUMBER(EH131:EH327),ROW(EH131:EH327),"")))</f>
        <v/>
      </c>
      <c r="EJ131" s="151">
        <f>IF('Données projet'!$A$192&gt;35,EJ130+EI131-ER130,IF(A131&lt;'Données projet'!$A$192,$EG$205^A131,IF(A131='Données projet'!$A$192,'Données projet'!$B$192,EJ130+EI131-ER130)))</f>
        <v>0</v>
      </c>
      <c r="EK131" s="158" t="str">
        <f>EJ131*VLOOKUP('Données projet'!$B$15,'Paramètres'!$A$1:$I$88,3,0)*VLOOKUP('Données projet'!$B$15,'Paramètres'!$A$1:$I$88,5,0)</f>
        <v>#N/A</v>
      </c>
      <c r="EL131" s="150" t="str">
        <f t="shared" si="46"/>
        <v>#N/A</v>
      </c>
      <c r="EM131" s="161" t="str">
        <f t="shared" si="20"/>
        <v>#N/A</v>
      </c>
      <c r="EN131" s="153" t="str">
        <f t="shared" si="21"/>
        <v>#N/A</v>
      </c>
      <c r="EO131" s="153" t="str">
        <f>AVERAGE(OFFSET($EN$3,0,0,'Données projet'!$E$15+1,1))-AVERAGE(OFFSET($H$3,0,0,'Données projet'!$E$15+1,1))</f>
        <v>#N/A</v>
      </c>
      <c r="EP131" s="153" t="str">
        <f t="shared" si="47"/>
        <v>#N/A</v>
      </c>
      <c r="EQ131" s="154">
        <f>IF(ISNA(VLOOKUP(A131,'Données projet'!$A$191:$I$211,3,0)),0,VLOOKUP(A131,'Données projet'!$A$191:$I$211,3,0))</f>
        <v>0</v>
      </c>
      <c r="ER131" s="154">
        <f>IF(ISNA(VLOOKUP(A131,'Données projet'!$A$191:$I$211,4,0)),0,VLOOKUP(A131,'Données projet'!$A$191:$I$211,4,0))</f>
        <v>0</v>
      </c>
      <c r="ES131" s="155">
        <f>IF(ISNA(VLOOKUP(A131,'Données projet'!$A$191:$I$211,5,0)),0%,VLOOKUP(A131,'Données projet'!$A$191:$I$211,5,0)*VLOOKUP('Données projet'!$B$15,'Paramètres'!$A$1:$I$88,7,0))</f>
        <v>0</v>
      </c>
      <c r="ET131" s="155">
        <f>IF(ISNA(VLOOKUP(A131,'Données projet'!$A$191:$I$211,6,0)),0%,VLOOKUP(A131,'Données projet'!$A$191:$I$211,6,0)*VLOOKUP('Données projet'!$B$15,'Paramètres'!$A$1:$I$88,7,0))</f>
        <v>0</v>
      </c>
      <c r="EU131" s="155">
        <f>IF(ISNA(VLOOKUP(A131,'Données projet'!$A$191:$I$211,7,0)),0%,VLOOKUP(A131,'Données projet'!$A$191:$I$211,7,0))</f>
        <v>0</v>
      </c>
      <c r="EV131" s="162" t="str">
        <f>EXP(-LN(2)/35)*EV130+(1-EXP(-LN(2)/35))/(LN(2)/35)*ER131*ES131*VLOOKUP('Données projet'!$B$15,'Paramètres'!$A$1:$I$88,3,0)*0.475*44/12</f>
        <v>#N/A</v>
      </c>
      <c r="EW131" s="162" t="str">
        <f>EXP(-LN(2)/25)*EW130+(1-EXP(-LN(2)/25))/(LN(2)/25)*Calculateur!ER131*Calculateur!ET131*VLOOKUP('Données projet'!$B$15,'Paramètres'!$A$1:$I$88,3,0)*0.475*44/12</f>
        <v>#N/A</v>
      </c>
      <c r="EX131" s="162" t="str">
        <f>EXP(-LN(2)/2)*EX130+(1-EXP(-LN(2)/2))/(LN(2)/2)*ER131*EU131*VLOOKUP('Données projet'!$B$15,'Paramètres'!$A$1:$I$88,3,0)*0.475*44/12</f>
        <v>#N/A</v>
      </c>
      <c r="EY131" s="163" t="str">
        <f t="shared" si="22"/>
        <v>#N/A</v>
      </c>
      <c r="EZ131" s="159">
        <f>('Scénario référence'!$F$8+'Scénario référence'!$F$9+'Scénario référence'!$B$17+'Scénario référence'!$B$9+'Scénario référence'!$B$10)*70+IF((45+25*(1-EXP(-0.0175*A131)))&lt;70,'Scénario référence'!$B$16*(45+25*(1-EXP(-0.0175*A131))),70*'Scénario référence'!$B$16)+IF((32+38*(1-EXP(-0.0175*A131)))&lt;70,'Scénario référence'!$B$18*(32+38*(1-EXP(-0.0175*A131))),70*'Scénario référence'!$B$18)</f>
        <v>70</v>
      </c>
      <c r="FA131" s="151">
        <f>IF(A131&gt;30,10,('Scénario référence'!$B$16+'Scénario référence'!$B$17+'Scénario référence'!$B$18+'Scénario référence'!$B$9+'Scénario référence'!$B$10)*A131*10/30+('Scénario référence'!$F$8+'Scénario référence'!$F$9)*10)</f>
        <v>10</v>
      </c>
      <c r="FB131" s="151" t="str">
        <f>VLOOKUP(A131,'Données projet'!$A$217:$I$237,2,0)</f>
        <v>#N/A</v>
      </c>
      <c r="FC131" s="151" t="str">
        <f>VLOOKUP(A131,'Données projet'!$A$217:$I$237,9,0)</f>
        <v>#N/A</v>
      </c>
      <c r="FD131" s="151" t="str">
        <f t="array" ref="FD131">INDEX(FC:FC,MIN(IF(ISNUMBER(FC131:FC327),ROW(FC131:FC327),"")))</f>
        <v/>
      </c>
      <c r="FE131" s="151">
        <f>IF('Données projet'!$A$218&gt;35,FE130+FD131-FM130,IF(A131&lt;'Données projet'!$A$218,$FB$205^A131,IF(A131='Données projet'!$A$218,'Données projet'!$B$218,FE130+FD131-FM130)))</f>
        <v>0</v>
      </c>
      <c r="FF131" s="158" t="str">
        <f>FE131*VLOOKUP('Données projet'!$B$16,'Paramètres'!$A$1:$I$88,3,0)*VLOOKUP('Données projet'!$B$16,'Paramètres'!$A$1:$I$88,5,0)</f>
        <v>#N/A</v>
      </c>
      <c r="FG131" s="150" t="str">
        <f t="shared" si="48"/>
        <v>#N/A</v>
      </c>
      <c r="FH131" s="161" t="str">
        <f t="shared" si="23"/>
        <v>#N/A</v>
      </c>
      <c r="FI131" s="153" t="str">
        <f t="shared" si="24"/>
        <v>#N/A</v>
      </c>
      <c r="FJ131" s="153" t="str">
        <f>AVERAGE(OFFSET($FI$3,0,0,'Données projet'!$E$16+1,1))-AVERAGE(OFFSET($H$3,0,0,'Données projet'!$E$16+1,1))</f>
        <v>#N/A</v>
      </c>
      <c r="FK131" s="153" t="str">
        <f t="shared" si="49"/>
        <v>#N/A</v>
      </c>
      <c r="FL131" s="154">
        <f>IF(ISNA(VLOOKUP(A131,'Données projet'!$A$217:$I$237,3,0)),0,VLOOKUP(A131,'Données projet'!$A$217:$I$237,3,0))</f>
        <v>0</v>
      </c>
      <c r="FM131" s="154">
        <f>IF(ISNA(VLOOKUP(A131,'Données projet'!$A$217:$I$237,4,0)),0,VLOOKUP(A131,'Données projet'!$A$217:$I$237,4,0))</f>
        <v>0</v>
      </c>
      <c r="FN131" s="155">
        <f>IF(ISNA(VLOOKUP(A131,'Données projet'!$A$217:$I$237,5,0)),0%,VLOOKUP(A131,'Données projet'!$A$217:$I$237,5,0)*VLOOKUP('Données projet'!$B$16,'Paramètres'!$A$1:$I$88,7,0))</f>
        <v>0</v>
      </c>
      <c r="FO131" s="155">
        <f>IF(ISNA(VLOOKUP(A131,'Données projet'!$A$217:$I$237,6,0)),0%,VLOOKUP(A131,'Données projet'!$A$217:$I$237,6,0)*VLOOKUP('Données projet'!$B$16,'Paramètres'!$A$1:$I$88,7,0))</f>
        <v>0</v>
      </c>
      <c r="FP131" s="155">
        <f>IF(ISNA(VLOOKUP(A131,'Données projet'!$A$217:$I$237,7,0)),0%,VLOOKUP(A131,'Données projet'!$A$217:$I$237,7,0))</f>
        <v>0</v>
      </c>
      <c r="FQ131" s="162" t="str">
        <f>EXP(-LN(2)/35)*FQ130+(1-EXP(-LN(2)/35))/(LN(2)/35)*FM131*FN131*VLOOKUP('Données projet'!$B$16,'Paramètres'!$A$1:$I$88,3,0)*0.475*44/12</f>
        <v>#N/A</v>
      </c>
      <c r="FR131" s="162" t="str">
        <f>EXP(-LN(2)/25)*FR130+(1-EXP(-LN(2)/25))/(LN(2)/25)*Calculateur!FM131*Calculateur!FO131*VLOOKUP('Données projet'!$B$16,'Paramètres'!$A$1:$I$88,3,0)*0.475*44/12</f>
        <v>#N/A</v>
      </c>
      <c r="FS131" s="162" t="str">
        <f>EXP(-LN(2)/2)*FS130+(1-EXP(-LN(2)/2))/(LN(2)/2)*FM131*FP131*VLOOKUP('Données projet'!$B$16,'Paramètres'!$A$1:$I$88,3,0)*0.475*44/12</f>
        <v>#N/A</v>
      </c>
      <c r="FT131" s="163" t="str">
        <f t="shared" si="25"/>
        <v>#N/A</v>
      </c>
      <c r="FU131" s="159">
        <f>('Scénario référence'!$F$8+'Scénario référence'!$F$9+'Scénario référence'!$B$17+'Scénario référence'!$B$9+'Scénario référence'!$B$10)*70+IF((45+25*(1-EXP(-0.0175*A131)))&lt;70,'Scénario référence'!$B$16*(45+25*(1-EXP(-0.0175*A131))),70*'Scénario référence'!$B$16)+IF((32+38*(1-EXP(-0.0175*A131)))&lt;70,'Scénario référence'!$B$18*(32+38*(1-EXP(-0.0175*A131))),70*'Scénario référence'!$B$18)</f>
        <v>70</v>
      </c>
      <c r="FV131" s="151">
        <f>IF(A131&gt;30,10,('Scénario référence'!$B$16+'Scénario référence'!$B$17+'Scénario référence'!$B$18+'Scénario référence'!$B$9+'Scénario référence'!$B$10)*A131*10/30+('Scénario référence'!$F$8+'Scénario référence'!$F$9)*10)</f>
        <v>10</v>
      </c>
      <c r="FW131" s="151" t="str">
        <f>VLOOKUP(A131,'Données projet'!$A$243:$I$263,2,0)</f>
        <v>#N/A</v>
      </c>
      <c r="FX131" s="151" t="str">
        <f>VLOOKUP(A131,'Données projet'!$A$243:$I$263,9,0)</f>
        <v>#N/A</v>
      </c>
      <c r="FY131" s="151" t="str">
        <f t="array" ref="FY131">INDEX(FX:FX,MIN(IF(ISNUMBER(FX131:FX327),ROW(FX131:FX327),"")))</f>
        <v/>
      </c>
      <c r="FZ131" s="151">
        <f>IF('Données projet'!$A$244&gt;35,FZ130+FY131-GH130,IF(A131&lt;'Données projet'!$A$244,$FW$205^A131,IF(A131='Données projet'!$A$244,'Données projet'!$B$244,FZ130+FY131-GH130)))</f>
        <v>0</v>
      </c>
      <c r="GA131" s="158" t="str">
        <f>FZ131*VLOOKUP('Données projet'!$B$17,'Paramètres'!$A$1:$I$88,3,0)*VLOOKUP('Données projet'!$B$17,'Paramètres'!$A$1:$I$88,5,0)</f>
        <v>#N/A</v>
      </c>
      <c r="GB131" s="150" t="str">
        <f t="shared" si="50"/>
        <v>#N/A</v>
      </c>
      <c r="GC131" s="161" t="str">
        <f t="shared" si="26"/>
        <v>#N/A</v>
      </c>
      <c r="GD131" s="153" t="str">
        <f t="shared" si="27"/>
        <v>#N/A</v>
      </c>
      <c r="GE131" s="153" t="str">
        <f>AVERAGE(OFFSET($GD$3,0,0,'Données projet'!$E$17+1,1))-AVERAGE(OFFSET($H$3,0,0,'Données projet'!$E$17+1,1))</f>
        <v>#N/A</v>
      </c>
      <c r="GF131" s="153" t="str">
        <f t="shared" si="51"/>
        <v>#N/A</v>
      </c>
      <c r="GG131" s="154">
        <f>IF(ISNA(VLOOKUP(A131,'Données projet'!$A$243:$I$263,3,0)),0,VLOOKUP(A131,'Données projet'!$A$243:$I$263,3,0))</f>
        <v>0</v>
      </c>
      <c r="GH131" s="154">
        <f>IF(ISNA(VLOOKUP(A131,'Données projet'!$A$243:$I$263,4,0)),0,VLOOKUP(A131,'Données projet'!$A$243:$I$263,4,0))</f>
        <v>0</v>
      </c>
      <c r="GI131" s="155">
        <f>IF(ISNA(VLOOKUP(A131,'Données projet'!$A$243:$I$263,5,0)),0%,VLOOKUP(A131,'Données projet'!$A$243:$I$263,5,0)*VLOOKUP('Données projet'!$B$17,'Paramètres'!$A$1:$I$88,7,0))</f>
        <v>0</v>
      </c>
      <c r="GJ131" s="155">
        <f>IF(ISNA(VLOOKUP(A131,'Données projet'!$A$243:$I$263,6,0)),0%,VLOOKUP(A131,'Données projet'!$A$243:$I$263,6,0)*VLOOKUP('Données projet'!$B$17,'Paramètres'!$A$1:$I$88,7,0))</f>
        <v>0</v>
      </c>
      <c r="GK131" s="155">
        <f>IF(ISNA(VLOOKUP(A131,'Données projet'!$A$243:$I$263,7,0)),0%,VLOOKUP(A131,'Données projet'!$A$243:$I$263,7,0))</f>
        <v>0</v>
      </c>
      <c r="GL131" s="162" t="str">
        <f>EXP(-LN(2)/35)*GL130+(1-EXP(-LN(2)/35))/(LN(2)/35)*GH131*GI131*VLOOKUP('Données projet'!$B$17,'Paramètres'!$A$1:$I$88,3,0)*0.475*44/12</f>
        <v>#N/A</v>
      </c>
      <c r="GM131" s="162" t="str">
        <f>EXP(-LN(2)/25)*GM130+(1-EXP(-LN(2)/25))/(LN(2)/25)*Calculateur!GH131*Calculateur!GJ131*VLOOKUP('Données projet'!$B$17,'Paramètres'!$A$1:$I$88,3,0)*0.475*44/12</f>
        <v>#N/A</v>
      </c>
      <c r="GN131" s="162" t="str">
        <f>EXP(-LN(2)/2)*GN130+(1-EXP(-LN(2)/2))/(LN(2)/2)*GH131*GK131*VLOOKUP('Données projet'!$B$17,'Paramètres'!$A$1:$I$88,3,0)*0.475*44/12</f>
        <v>#N/A</v>
      </c>
      <c r="GO131" s="162" t="str">
        <f t="shared" si="28"/>
        <v>#N/A</v>
      </c>
      <c r="GP131" s="159">
        <f>('Scénario référence'!$F$8+'Scénario référence'!$F$9+'Scénario référence'!$B$17+'Scénario référence'!$B$9+'Scénario référence'!$B$10)*70+IF((45+25*(1-EXP(-0.0175*A131)))&lt;70,'Scénario référence'!$B$16*(45+25*(1-EXP(-0.0175*A131))),70*'Scénario référence'!$B$16)+IF((32+38*(1-EXP(-0.0175*A131)))&lt;70,'Scénario référence'!$B$18*(32+38*(1-EXP(-0.0175*A131))),70*'Scénario référence'!$B$18)</f>
        <v>70</v>
      </c>
      <c r="GQ131" s="151">
        <f>IF(A131&gt;30,10,('Scénario référence'!$B$16+'Scénario référence'!$B$17+'Scénario référence'!$B$18+'Scénario référence'!$B$9+'Scénario référence'!$B$10)*A131*10/30+('Scénario référence'!$F$8+'Scénario référence'!$F$9)*10)</f>
        <v>10</v>
      </c>
      <c r="GR131" s="151" t="str">
        <f>VLOOKUP(A131,'Données projet'!$A$269:$I$289,2,0)</f>
        <v>#N/A</v>
      </c>
      <c r="GS131" s="151" t="str">
        <f>VLOOKUP(A131,'Données projet'!$A$269:$I$289,9,0)</f>
        <v>#N/A</v>
      </c>
      <c r="GT131" s="151" t="str">
        <f t="array" ref="GT131">INDEX(GS:GS,MIN(IF(ISNUMBER(GS131:GS327),ROW(GS131:GS327),"")))</f>
        <v/>
      </c>
      <c r="GU131" s="151">
        <f>IF('Données projet'!$A$270&gt;35,GU130+GT131-HC130,IF(A131&lt;'Données projet'!$A$270,$GR$205^A131,IF(A131='Données projet'!$A$270,'Données projet'!$B$270,GU130+GT131-HC130)))</f>
        <v>0</v>
      </c>
      <c r="GV131" s="158" t="str">
        <f>GU131*VLOOKUP('Données projet'!$B$18,'Paramètres'!$A$1:$I$88,3,0)*VLOOKUP('Données projet'!$B$18,'Paramètres'!$A$1:$I$88,5,0)</f>
        <v>#N/A</v>
      </c>
      <c r="GW131" s="150" t="str">
        <f t="shared" si="52"/>
        <v>#N/A</v>
      </c>
      <c r="GX131" s="161" t="str">
        <f t="shared" si="29"/>
        <v>#N/A</v>
      </c>
      <c r="GY131" s="153" t="str">
        <f t="shared" si="30"/>
        <v>#N/A</v>
      </c>
      <c r="GZ131" s="153" t="str">
        <f>AVERAGE(OFFSET($GY$3,0,0,'Données projet'!$E$18+1,1))-AVERAGE(OFFSET($H$3,0,0,'Données projet'!$E$18+1,1))</f>
        <v>#N/A</v>
      </c>
      <c r="HA131" s="153" t="str">
        <f t="shared" si="53"/>
        <v>#N/A</v>
      </c>
      <c r="HB131" s="154">
        <f>IF(ISNA(VLOOKUP(A131,'Données projet'!$A$269:$I$289,3,0)),0,VLOOKUP(A131,'Données projet'!$A$269:$I$289,3,0))</f>
        <v>0</v>
      </c>
      <c r="HC131" s="154">
        <f>IF(ISNA(VLOOKUP(A131,'Données projet'!$A$269:$I$289,4,0)),0,VLOOKUP(A131,'Données projet'!$A$269:$I$289,4,0))</f>
        <v>0</v>
      </c>
      <c r="HD131" s="155">
        <f>IF(ISNA(VLOOKUP(A131,'Données projet'!$A$269:$I$289,5,0)),0%,VLOOKUP(A131,'Données projet'!$A$269:$I$289,5,0)*VLOOKUP('Données projet'!$B$18,'Paramètres'!$A$1:$I$88,7,0))</f>
        <v>0</v>
      </c>
      <c r="HE131" s="155">
        <f>IF(ISNA(VLOOKUP(A131,'Données projet'!$A$269:$I$289,6,0)),0%,VLOOKUP(A131,'Données projet'!$A$269:$I$289,6,0)*VLOOKUP('Données projet'!$B$18,'Paramètres'!$A$1:$I$88,7,0))</f>
        <v>0</v>
      </c>
      <c r="HF131" s="155">
        <f>IF(ISNA(VLOOKUP(A131,'Données projet'!$A$269:$I$289,7,0)),0%,VLOOKUP(A131,'Données projet'!$A$269:$I$289,7,0))</f>
        <v>0</v>
      </c>
      <c r="HG131" s="162" t="str">
        <f>EXP(-LN(2)/35)*HG130+(1-EXP(-LN(2)/35))/(LN(2)/35)*HC131*HD131*VLOOKUP('Données projet'!$B$18,'Paramètres'!$A$1:$I$88,3,0)*0.475*44/12</f>
        <v>#N/A</v>
      </c>
      <c r="HH131" s="162" t="str">
        <f>EXP(-LN(2)/25)*HH130+(1-EXP(-LN(2)/25))/(LN(2)/25)*Calculateur!HC131*Calculateur!HE131*VLOOKUP('Données projet'!$B$18,'Paramètres'!$A$1:$I$88,3,0)*0.475*44/12</f>
        <v>#N/A</v>
      </c>
      <c r="HI131" s="162" t="str">
        <f>EXP(-LN(2)/2)*HI130+(1-EXP(-LN(2)/2))/(LN(2)/2)*HC131*HF131*VLOOKUP('Données projet'!$B$18,'Paramètres'!$A$1:$I$88,3,0)*0.475*44/12</f>
        <v>#N/A</v>
      </c>
      <c r="HJ131" s="163" t="str">
        <f t="shared" si="31"/>
        <v>#N/A</v>
      </c>
    </row>
    <row r="132" ht="15.75" customHeight="1">
      <c r="A132" s="145">
        <f t="shared" si="32"/>
        <v>129</v>
      </c>
      <c r="B132" s="146">
        <f>'Scénario référence'!$B$16*5+'Scénario référence'!$B$17*0+'Scénario référence'!$B$18*5</f>
        <v>0</v>
      </c>
      <c r="C132" s="160">
        <f>Calculateur!C131+'Scénario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32" s="147">
        <f t="shared" si="33"/>
        <v>0</v>
      </c>
      <c r="E132" s="147">
        <f>'Scénario référence'!$B$16*45+('Scénario référence'!$B$17+'Scénario référence'!$F$8+'Scénario référence'!$F$9+'Scénario référence'!$B$10+'Scénario référence'!$B$9)*70+'Scénario référence'!$B$18*32</f>
        <v>70</v>
      </c>
      <c r="F132" s="147">
        <f>IF(OR('Scénario référence'!$F$8&gt;0,'Scénario référence'!$F$9&gt;0),('Scénario référence'!$F$8+'Scénario référence'!$F$9)*10,0)</f>
        <v>0</v>
      </c>
      <c r="G132" s="147">
        <f>'Scénario référence'!$B$8*B132*44/12+'Scénario référence'!$B$9*(C132+D132)/0.475*44/12+'Scénario référence'!$B$10*(C132+D132)/0.475*44/12+'Scénario référence'!$F$8*(C132+D132)/0.475*44/12+'Scénario référence'!$F$9*(C132+D132)/0.475*44/12</f>
        <v>0</v>
      </c>
      <c r="H132" s="148">
        <f t="shared" si="1"/>
        <v>256.6666667</v>
      </c>
      <c r="I132" s="149">
        <f>('Scénario référence'!$F$8+'Scénario référence'!$F$9+'Scénario référence'!$B$17+'Scénario référence'!$B$9+'Scénario référence'!$B$10)*70+IF((45+25*(1-EXP(-0.0175*A132)))&lt;70,'Scénario référence'!$B$16*(45+25*(1-EXP(-0.0175*A132))),70*'Scénario référence'!$B$16)+IF((32+38*(1-EXP(-0.0175*A132)))&lt;70,'Scénario référence'!$B$18*(32+38*(1-EXP(-0.0175*A132))),70*'Scénario référence'!$B$18)</f>
        <v>70</v>
      </c>
      <c r="J132" s="150">
        <f>IF(A132&gt;30,10,('Scénario référence'!$B$16+'Scénario référence'!$B$17+'Scénario référence'!$B$18+'Scénario référence'!$B$9+'Scénario référence'!$B$10)*A132*10/30+('Scénario référence'!$F$8+'Scénario référence'!$F$9)*10)</f>
        <v>10</v>
      </c>
      <c r="K132" s="151" t="str">
        <f>VLOOKUP(A132,'Données projet'!$A$35:$I$55,2,0)</f>
        <v>#N/A</v>
      </c>
      <c r="L132" s="151" t="str">
        <f>VLOOKUP(A132,'Données projet'!$A$35:$I$55,9,0)</f>
        <v>#N/A</v>
      </c>
      <c r="M132" s="151" t="str">
        <f t="array" ref="M132">INDEX(L:L,MIN(IF(ISNUMBER(L132:L328),ROW(L132:L328),"")))</f>
        <v/>
      </c>
      <c r="N132" s="150">
        <f>IF('Données projet'!$A$36&gt;35,N131+M132-V131,IF(A132&lt;'Données projet'!$A$36,$K$205^A132,IF(A132='Données projet'!$A$36,'Données projet'!$B$36,N131+M132-V131)))</f>
        <v>307</v>
      </c>
      <c r="O132" s="150">
        <f>N132*VLOOKUP('Données projet'!$B$9,'Paramètres'!$A$1:$I$88,3,0)*VLOOKUP('Données projet'!$B$9,'Paramètres'!$A$1:$I$88,5,0)</f>
        <v>277.7736</v>
      </c>
      <c r="P132" s="150">
        <f t="shared" si="34"/>
        <v>66.49628818</v>
      </c>
      <c r="Q132" s="161">
        <f t="shared" si="2"/>
        <v>599.6033886</v>
      </c>
      <c r="R132" s="153">
        <f t="shared" si="3"/>
        <v>892.9367219</v>
      </c>
      <c r="S132" s="153">
        <f>AVERAGE(OFFSET($R$3,0,0,'Données projet'!$E$9+1,1))-AVERAGE(OFFSET($H$3,0,0,'Données projet'!$E$9+1,1))</f>
        <v>439.1985427</v>
      </c>
      <c r="T132" s="153">
        <f t="shared" si="35"/>
        <v>278.2174123</v>
      </c>
      <c r="U132" s="154">
        <f>IF(ISNA(VLOOKUP(A132,'Données projet'!$A$35:$I$55,3,0)),0,VLOOKUP(A132,'Données projet'!$A$35:$I$55,3,0))</f>
        <v>0</v>
      </c>
      <c r="V132" s="154">
        <f>IF(ISNA(VLOOKUP(A132,'Données projet'!$A$35:$I$55,4,0)),0,VLOOKUP(A132,'Données projet'!$A$35:$I$55,4,0))</f>
        <v>0</v>
      </c>
      <c r="W132" s="155">
        <f>IF(ISNA(VLOOKUP(A132,'Données projet'!$A$35:$I$55,5,0)),0%,VLOOKUP(A132,'Données projet'!$A$35:$I$55,5,0)*VLOOKUP('Données projet'!$B$9,'Paramètres'!$A$1:$I$88,7,0))</f>
        <v>0</v>
      </c>
      <c r="X132" s="155">
        <f>IF(ISNA(VLOOKUP(A132,'Données projet'!$A$35:$I$55,6,0)),0%,VLOOKUP(A132,'Données projet'!$A$35:$I$55,6,0)*VLOOKUP('Données projet'!$B$9,'Paramètres'!$A$1:$I$88,7,0))</f>
        <v>0</v>
      </c>
      <c r="Y132" s="155">
        <f>IF(ISNA(VLOOKUP(A132,'Données projet'!$A$35:$I$55,7,0)),0%,VLOOKUP(A132,'Données projet'!$A$35:$I$55,7,0))</f>
        <v>0</v>
      </c>
      <c r="Z132" s="162">
        <f>EXP(-LN(2)/35)*Z131+(1-EXP(-LN(2)/35))/(LN(2)/35)*V132*W132*VLOOKUP('Données projet'!$B$9,'Paramètres'!$A$1:$I$88,3,0)*0.475*44/12</f>
        <v>0</v>
      </c>
      <c r="AA132" s="162">
        <f>EXP(-LN(2)/25)*AA131+(1-EXP(-LN(2)/25))/(LN(2)/25)*Calculateur!V132*Calculateur!X132*VLOOKUP('Données projet'!$B$9,'Paramètres'!$A$1:$I$88,3,0)*0.475*44/12</f>
        <v>0.2883589903</v>
      </c>
      <c r="AB132" s="162">
        <f>EXP(-LN(2)/2)*AB131+(1-EXP(-LN(2)/2))/(LN(2)/2)*V132*Y132*VLOOKUP('Données projet'!$B$9,'Paramètres'!$A$1:$I$88,3,0)*0.475*44/12</f>
        <v>0</v>
      </c>
      <c r="AC132" s="163">
        <f t="shared" si="4"/>
        <v>0.2883589903</v>
      </c>
      <c r="AD132" s="150">
        <f>('Scénario référence'!$F$8+'Scénario référence'!$F$9+'Scénario référence'!$B$17+'Scénario référence'!$B$9+'Scénario référence'!$B$10)*70+IF((45+25*(1-EXP(-0.0175*A132)))&lt;70,'Scénario référence'!$B$16*(45+25*(1-EXP(-0.0175*A132))),70*'Scénario référence'!$B$16)+IF((32+38*(1-EXP(-0.0175*A132)))&lt;70,'Scénario référence'!$B$18*(32+38*(1-EXP(-0.0175*A132))),70*'Scénario référence'!$B$18)</f>
        <v>70</v>
      </c>
      <c r="AE132" s="150">
        <f>IF(A132&gt;30,10,('Scénario référence'!$B$16+'Scénario référence'!$B$17+'Scénario référence'!$B$18+'Scénario référence'!$B$9+'Scénario référence'!$B$10)*A132*10/30+('Scénario référence'!$F$8+'Scénario référence'!$F$9)*10)</f>
        <v>10</v>
      </c>
      <c r="AF132" s="151" t="str">
        <f>VLOOKUP(A132,'Données projet'!$A$61:$I$81,2,0)</f>
        <v>#N/A</v>
      </c>
      <c r="AG132" s="151" t="str">
        <f>VLOOKUP(A132,'Données projet'!$A$61:$I$81,9,0)</f>
        <v>#N/A</v>
      </c>
      <c r="AH132" s="151" t="str">
        <f t="array" ref="AH132">INDEX(AG:AG,MIN(IF(ISNUMBER(AG132:AG328),ROW(AG132:AG328),"")))</f>
        <v/>
      </c>
      <c r="AI132" s="150">
        <f>IF('Données projet'!$A$62&gt;35,AI131+AH132-AQ131,IF(A132&lt;'Données projet'!$A$62,$AF$205^A132,IF(A132='Données projet'!$A$62,'Données projet'!$B$62,AI131+AH132-AQ131)))</f>
        <v>369</v>
      </c>
      <c r="AJ132" s="150">
        <f>AI132*VLOOKUP('Données projet'!$B$10,'Paramètres'!$A$1:$I$88,3,0)*VLOOKUP('Données projet'!$B$10,'Paramètres'!$A$1:$I$88,5,0)</f>
        <v>293.5764</v>
      </c>
      <c r="AK132" s="150">
        <f t="shared" si="36"/>
        <v>69.82813851</v>
      </c>
      <c r="AL132" s="161">
        <f t="shared" si="5"/>
        <v>632.9295712</v>
      </c>
      <c r="AM132" s="153">
        <f t="shared" si="6"/>
        <v>926.2629046</v>
      </c>
      <c r="AN132" s="153">
        <f>AVERAGE(OFFSET($AM$3,0,0,'Données projet'!$E$10+1,1))-AVERAGE(OFFSET($H$3,0,0,'Données projet'!$E$10+1,1))</f>
        <v>405.6113614</v>
      </c>
      <c r="AO132" s="153">
        <f t="shared" si="37"/>
        <v>393.0787141</v>
      </c>
      <c r="AP132" s="154">
        <f>IF(ISNA(VLOOKUP(A132,'Données projet'!$A$61:$I$81,3,0)),0,VLOOKUP(A132,'Données projet'!$A$61:$I$81,3,0))</f>
        <v>0</v>
      </c>
      <c r="AQ132" s="154">
        <f>IF(ISNA(VLOOKUP(A132,'Données projet'!$A$61:$I$81,4,0)),0,VLOOKUP(A132,'Données projet'!$A$61:$I$81,4,0))</f>
        <v>0</v>
      </c>
      <c r="AR132" s="155">
        <f>IF(ISNA(VLOOKUP(A132,'Données projet'!$A$61:$I$81,5,0)),0%,VLOOKUP(A132,'Données projet'!$A$61:$I$81,5,0)*VLOOKUP('Données projet'!$B$10,'Paramètres'!$A$1:$I$88,7,0))</f>
        <v>0</v>
      </c>
      <c r="AS132" s="155">
        <f>IF(ISNA(VLOOKUP(A132,'Données projet'!$A$61:$I$81,6,0)),0%,VLOOKUP(A132,'Données projet'!$A$61:$I$81,6,0)*VLOOKUP('Données projet'!$B$10,'Paramètres'!$A$1:$I$88,7,0))</f>
        <v>0</v>
      </c>
      <c r="AT132" s="155">
        <f>IF(ISNA(VLOOKUP(A132,'Données projet'!$A$61:$I$81,7,0)),0%,VLOOKUP(A132,'Données projet'!$A$61:$I$81,7,0))</f>
        <v>0</v>
      </c>
      <c r="AU132" s="162">
        <f>EXP(-LN(2)/35)*AU131+(1-EXP(-LN(2)/35))/(LN(2)/35)*AQ132*AR132*VLOOKUP('Données projet'!$B$10,'Paramètres'!$A$1:$I$88,3,0)*0.475*44/12</f>
        <v>0</v>
      </c>
      <c r="AV132" s="162">
        <f>EXP(-LN(2)/25)*AV131+(1-EXP(-LN(2)/25))/(LN(2)/25)*Calculateur!AQ132*Calculateur!AS132*VLOOKUP('Données projet'!$B$10,'Paramètres'!$A$1:$I$88,3,0)*0.475*44/12</f>
        <v>1.17196424</v>
      </c>
      <c r="AW132" s="162">
        <f>EXP(-LN(2)/2)*AW131+(1-EXP(-LN(2)/2))/(LN(2)/2)*AQ132*AT132*VLOOKUP('Données projet'!$B$10,'Paramètres'!$A$1:$I$88,3,0)*0.475*44/12</f>
        <v>0</v>
      </c>
      <c r="AX132" s="162">
        <f t="shared" si="7"/>
        <v>1.17196424</v>
      </c>
      <c r="AY132" s="157">
        <f>('Scénario référence'!$F$8+'Scénario référence'!$F$9+'Scénario référence'!$B$17+'Scénario référence'!$B$9+'Scénario référence'!$B$10)*70+IF((45+25*(1-EXP(-0.0175*A132)))&lt;70,'Scénario référence'!$B$16*(45+25*(1-EXP(-0.0175*A132))),70*'Scénario référence'!$B$16)+IF((32+38*(1-EXP(-0.0175*A132)))&lt;70,'Scénario référence'!$B$18*(32+38*(1-EXP(-0.0175*A132))),70*'Scénario référence'!$B$18)</f>
        <v>70</v>
      </c>
      <c r="AZ132" s="151">
        <f>IF(A132&gt;30,10,('Scénario référence'!$B$16+'Scénario référence'!$B$17+'Scénario référence'!$B$18+'Scénario référence'!$B$9+'Scénario référence'!$B$10)*A132*10/30+('Scénario référence'!$F$8+'Scénario référence'!$F$9)*10)</f>
        <v>10</v>
      </c>
      <c r="BA132" s="151" t="str">
        <f>VLOOKUP(A132,'Données projet'!$A$87:$I$107,2,0)</f>
        <v>#N/A</v>
      </c>
      <c r="BB132" s="151" t="str">
        <f>VLOOKUP(A132,'Données projet'!$A$87:$I$107,9,0)</f>
        <v>#N/A</v>
      </c>
      <c r="BC132" s="151" t="str">
        <f t="array" ref="BC132">INDEX(BB:BB,MIN(IF(ISNUMBER(BB132:BB328),ROW(BB132:BB328),"")))</f>
        <v/>
      </c>
      <c r="BD132" s="150">
        <f>IF('Données projet'!$A$88&gt;35,BD131+BC132-BL131,IF(A132&lt;'Données projet'!$A$88,$BA$205^A132,IF(A132='Données projet'!$A$88,'Données projet'!$B$88,BD131+BC132-BL131)))</f>
        <v>0</v>
      </c>
      <c r="BE132" s="150">
        <f>BD132*VLOOKUP('Données projet'!$B$11,'Paramètres'!$A$1:$I$88,3,0)*VLOOKUP('Données projet'!$B$11,'Paramètres'!$A$1:$I$88,5,0)</f>
        <v>0</v>
      </c>
      <c r="BF132" s="150" t="str">
        <f t="shared" si="38"/>
        <v>#NUM!</v>
      </c>
      <c r="BG132" s="161" t="str">
        <f t="shared" si="8"/>
        <v>#NUM!</v>
      </c>
      <c r="BH132" s="153" t="str">
        <f t="shared" si="9"/>
        <v>#NUM!</v>
      </c>
      <c r="BI132" s="153">
        <f>AVERAGE(OFFSET($BH$3,0,0,'Données projet'!$E$11+1,1))-AVERAGE(OFFSET($H$3,0,0,'Données projet'!$E$11+1,1))</f>
        <v>0</v>
      </c>
      <c r="BJ132" s="153">
        <f t="shared" si="39"/>
        <v>0</v>
      </c>
      <c r="BK132" s="154">
        <f>IF(ISNA(VLOOKUP(A132,'Données projet'!$A$87:$I$107,3,0)),0,VLOOKUP(A132,'Données projet'!$A$87:$I$107,3,0))</f>
        <v>0</v>
      </c>
      <c r="BL132" s="154">
        <f>IF(ISNA(VLOOKUP(A132,'Données projet'!$A$87:$I$107,4,0)),0,VLOOKUP(A132,'Données projet'!$A$87:$I$107,4,0))</f>
        <v>0</v>
      </c>
      <c r="BM132" s="155">
        <f>IF(ISNA(VLOOKUP(A132,'Données projet'!$A$87:$I$107,5,0)),0%,VLOOKUP(A132,'Données projet'!$A$87:$I$107,5,0)*VLOOKUP('Données projet'!$B$11,'Paramètres'!$A$1:$I$88,7,0))</f>
        <v>0</v>
      </c>
      <c r="BN132" s="155">
        <f>IF(ISNA(VLOOKUP(A132,'Données projet'!$A$87:$I$107,6,0)),0%,VLOOKUP(A132,'Données projet'!$A$87:$I$107,6,0)*VLOOKUP('Données projet'!$B$11,'Paramètres'!$A$1:$I$88,7,0))</f>
        <v>0</v>
      </c>
      <c r="BO132" s="155">
        <f>IF(ISNA(VLOOKUP(A132,'Données projet'!$A$87:$I$107,7,0)),0%,VLOOKUP(A132,'Données projet'!$A$87:$I$107,7,0))</f>
        <v>0</v>
      </c>
      <c r="BP132" s="162">
        <f>EXP(-LN(2)/35)*BP131+(1-EXP(-LN(2)/35))/(LN(2)/35)*BL132*BM132*VLOOKUP('Données projet'!$B$11,'Paramètres'!$A$1:$I$88,3,0)*0.475*44/12</f>
        <v>0</v>
      </c>
      <c r="BQ132" s="162">
        <f>EXP(-LN(2)/25)*BQ131+(1-EXP(-LN(2)/25))/(LN(2)/25)*Calculateur!BL132*Calculateur!BN132*VLOOKUP('Données projet'!$B$11,'Paramètres'!$A$1:$I$88,3,0)*0.475*44/12</f>
        <v>0</v>
      </c>
      <c r="BR132" s="162">
        <f>EXP(-LN(2)/2)*BR131+(1-EXP(-LN(2)/2))/(LN(2)/2)*BL132*BO132*VLOOKUP('Données projet'!$B$11,'Paramètres'!$A$1:$I$88,3,0)*0.475*44/12</f>
        <v>0</v>
      </c>
      <c r="BS132" s="163">
        <f t="shared" si="10"/>
        <v>0</v>
      </c>
      <c r="BT132" s="159">
        <f>('Scénario référence'!$F$8+'Scénario référence'!$F$9+'Scénario référence'!$B$17+'Scénario référence'!$B$9+'Scénario référence'!$B$10)*70+IF((45+25*(1-EXP(-0.0175*A132)))&lt;70,'Scénario référence'!$B$16*(45+25*(1-EXP(-0.0175*A132))),70*'Scénario référence'!$B$16)+IF((32+38*(1-EXP(-0.0175*A132)))&lt;70,'Scénario référence'!$B$18*(32+38*(1-EXP(-0.0175*A132))),70*'Scénario référence'!$B$18)</f>
        <v>70</v>
      </c>
      <c r="BU132" s="151">
        <f>IF(A132&gt;30,10,('Scénario référence'!$B$16+'Scénario référence'!$B$17+'Scénario référence'!$B$18+'Scénario référence'!$B$9+'Scénario référence'!$B$10)*A132*10/30+('Scénario référence'!$F$8+'Scénario référence'!$F$9)*10)</f>
        <v>10</v>
      </c>
      <c r="BV132" s="151" t="str">
        <f>VLOOKUP(A132,'Données projet'!$A$113:$I$133,2,0)</f>
        <v>#N/A</v>
      </c>
      <c r="BW132" s="151" t="str">
        <f>VLOOKUP(A132,'Données projet'!$A$113:$I$133,9,0)</f>
        <v>#N/A</v>
      </c>
      <c r="BX132" s="151" t="str">
        <f t="array" ref="BX132">INDEX(BW:BW,MIN(IF(ISNUMBER(BW132:BW328),ROW(BW132:BW328),"")))</f>
        <v/>
      </c>
      <c r="BY132" s="150">
        <f>IF('Données projet'!$A$114&gt;35,BY131+BX132-CG131,IF(A132&lt;'Données projet'!$A$114,$BV$205^A132,IF(A132='Données projet'!$A$114,'Données projet'!$B$114,BY131+BX132-CG131)))</f>
        <v>0</v>
      </c>
      <c r="BZ132" s="150" t="str">
        <f>BY132*VLOOKUP('Données projet'!$B$12,'Paramètres'!$A$1:$I$88,3,0)*VLOOKUP('Données projet'!$B$12,'Paramètres'!$A$1:$I$88,5,0)</f>
        <v>#N/A</v>
      </c>
      <c r="CA132" s="150" t="str">
        <f t="shared" si="40"/>
        <v>#N/A</v>
      </c>
      <c r="CB132" s="161" t="str">
        <f t="shared" si="11"/>
        <v>#N/A</v>
      </c>
      <c r="CC132" s="153" t="str">
        <f t="shared" si="12"/>
        <v>#N/A</v>
      </c>
      <c r="CD132" s="153" t="str">
        <f>AVERAGE(OFFSET($CC$3,0,0,'Données projet'!$E$12+1,1))-AVERAGE(OFFSET($H$3,0,0,'Données projet'!$E$12+1,1))</f>
        <v>#N/A</v>
      </c>
      <c r="CE132" s="153" t="str">
        <f t="shared" si="41"/>
        <v>#N/A</v>
      </c>
      <c r="CF132" s="154">
        <f>IF(ISNA(VLOOKUP(A132,'Données projet'!$A$113:$I$133,3,0)),0,VLOOKUP(A132,'Données projet'!$A$113:$I$133,3,0))</f>
        <v>0</v>
      </c>
      <c r="CG132" s="154">
        <f>IF(ISNA(VLOOKUP(A132,'Données projet'!$A$113:$I$133,4,0)),0,VLOOKUP(A132,'Données projet'!$A$113:$I$133,4,0))</f>
        <v>0</v>
      </c>
      <c r="CH132" s="155">
        <f>IF(ISNA(VLOOKUP(A132,'Données projet'!$A$113:$I$133,5,0)),0%,VLOOKUP(A132,'Données projet'!$A$113:$I$133,5,0)*VLOOKUP('Données projet'!$B$12,'Paramètres'!$A$1:$I$88,7,0))</f>
        <v>0</v>
      </c>
      <c r="CI132" s="155">
        <f>IF(ISNA(VLOOKUP(A132,'Données projet'!$A$113:$I$133,6,0)),0%,VLOOKUP(A132,'Données projet'!$A$113:$I$133,6,0)*VLOOKUP('Données projet'!$B$12,'Paramètres'!$A$1:$I$88,7,0))</f>
        <v>0</v>
      </c>
      <c r="CJ132" s="155">
        <f>IF(ISNA(VLOOKUP(A132,'Données projet'!$A$113:$I$133,7,0)),0%,VLOOKUP(A132,'Données projet'!$A$113:$I$133,7,0))</f>
        <v>0</v>
      </c>
      <c r="CK132" s="162" t="str">
        <f>EXP(-LN(2)/35)*CK131+(1-EXP(-LN(2)/35))/(LN(2)/35)*CG132*CH132*VLOOKUP('Données projet'!$B$12,'Paramètres'!$A$1:$I$88,3,0)*0.475*44/12</f>
        <v>#N/A</v>
      </c>
      <c r="CL132" s="162" t="str">
        <f>EXP(-LN(2)/25)*CL131+(1-EXP(-LN(2)/25))/(LN(2)/25)*Calculateur!CG132*Calculateur!CI132*VLOOKUP('Données projet'!$B$12,'Paramètres'!$A$1:$I$88,3,0)*0.475*44/12</f>
        <v>#N/A</v>
      </c>
      <c r="CM132" s="162" t="str">
        <f>EXP(-LN(2)/2)*CM131+(1-EXP(-LN(2)/2))/(LN(2)/2)*CG132*CJ132*VLOOKUP('Données projet'!$B$12,'Paramètres'!$A$1:$I$88,3,0)*0.475*44/12</f>
        <v>#N/A</v>
      </c>
      <c r="CN132" s="163" t="str">
        <f t="shared" si="13"/>
        <v>#N/A</v>
      </c>
      <c r="CO132" s="159">
        <f>('Scénario référence'!$F$8+'Scénario référence'!$F$9+'Scénario référence'!$B$17+'Scénario référence'!$B$9+'Scénario référence'!$B$10)*70+IF((45+25*(1-EXP(-0.0175*A132)))&lt;70,'Scénario référence'!$B$16*(45+25*(1-EXP(-0.0175*A132))),70*'Scénario référence'!$B$16)+IF((32+38*(1-EXP(-0.0175*A132)))&lt;70,'Scénario référence'!$B$18*(32+38*(1-EXP(-0.0175*A132))),70*'Scénario référence'!$B$18)</f>
        <v>70</v>
      </c>
      <c r="CP132" s="151">
        <f>IF(A132&gt;30,10,('Scénario référence'!$B$16+'Scénario référence'!$B$17+'Scénario référence'!$B$18+'Scénario référence'!$B$9+'Scénario référence'!$B$10)*A132*10/30+('Scénario référence'!$F$8+'Scénario référence'!$F$9)*10)</f>
        <v>10</v>
      </c>
      <c r="CQ132" s="151" t="str">
        <f>VLOOKUP(A132,'Données projet'!$A$139:$I$159,2,0)</f>
        <v>#N/A</v>
      </c>
      <c r="CR132" s="151" t="str">
        <f>VLOOKUP(A132,'Données projet'!$A$139:$I$159,9,0)</f>
        <v>#N/A</v>
      </c>
      <c r="CS132" s="151" t="str">
        <f t="array" ref="CS132">INDEX(CR:CR,MIN(IF(ISNUMBER(CR132:CR328),ROW(CR132:CR328),"")))</f>
        <v/>
      </c>
      <c r="CT132" s="151">
        <f>IF('Données projet'!$A$140&gt;35,CT131+CS132-DB131,IF(A132&lt;'Données projet'!$A$140,$CQ$205^A132,IF(A132='Données projet'!$A$140,'Données projet'!$B$140,CT131+CS132-DB131)))</f>
        <v>0</v>
      </c>
      <c r="CU132" s="158" t="str">
        <f>CT132*VLOOKUP('Données projet'!$B$13,'Paramètres'!$A$1:$I$88,3,0)*VLOOKUP('Données projet'!$B$13,'Paramètres'!$A$1:$I$88,5,0)</f>
        <v>#N/A</v>
      </c>
      <c r="CV132" s="150" t="str">
        <f t="shared" si="42"/>
        <v>#N/A</v>
      </c>
      <c r="CW132" s="161" t="str">
        <f t="shared" si="14"/>
        <v>#N/A</v>
      </c>
      <c r="CX132" s="153" t="str">
        <f t="shared" si="15"/>
        <v>#N/A</v>
      </c>
      <c r="CY132" s="153" t="str">
        <f>AVERAGE(OFFSET($CX$3,0,0,'Données projet'!$E$13+1,1))-AVERAGE(OFFSET($H$3,0,0,'Données projet'!$E$13+1,1))</f>
        <v>#N/A</v>
      </c>
      <c r="CZ132" s="153" t="str">
        <f t="shared" si="43"/>
        <v>#N/A</v>
      </c>
      <c r="DA132" s="154">
        <f>IF(ISNA(VLOOKUP(A132,'Données projet'!$A$139:$I$159,3,0)),0,VLOOKUP(A132,'Données projet'!$A$139:$I$159,3,0))</f>
        <v>0</v>
      </c>
      <c r="DB132" s="154">
        <f>IF(ISNA(VLOOKUP(A132,'Données projet'!$A$139:$I$159,4,0)),0,VLOOKUP(A132,'Données projet'!$A$139:$I$159,4,0))</f>
        <v>0</v>
      </c>
      <c r="DC132" s="155">
        <f>IF(ISNA(VLOOKUP(A132,'Données projet'!$A$139:$I$159,5,0)),0%,VLOOKUP(A132,'Données projet'!$A$139:$I$159,5,0)*VLOOKUP('Données projet'!$B$13,'Paramètres'!$A$1:$I$88,7,0))</f>
        <v>0</v>
      </c>
      <c r="DD132" s="155">
        <f>IF(ISNA(VLOOKUP(A132,'Données projet'!$A$139:$I$159,6,0)),0%,VLOOKUP(A132,'Données projet'!$A$139:$I$159,6,0)*VLOOKUP('Données projet'!$B$13,'Paramètres'!$A$1:$I$88,7,0))</f>
        <v>0</v>
      </c>
      <c r="DE132" s="155">
        <f>IF(ISNA(VLOOKUP(A132,'Données projet'!$A$139:$I$159,7,0)),0%,VLOOKUP(A132,'Données projet'!$A$139:$I$159,7,0))</f>
        <v>0</v>
      </c>
      <c r="DF132" s="162" t="str">
        <f>EXP(-LN(2)/35)*DF131+(1-EXP(-LN(2)/35))/(LN(2)/35)*DB132*DC132*VLOOKUP('Données projet'!$B$13,'Paramètres'!$A$1:$I$88,3,0)*0.475*44/12</f>
        <v>#N/A</v>
      </c>
      <c r="DG132" s="162" t="str">
        <f>EXP(-LN(2)/25)*DG131+(1-EXP(-LN(2)/25))/(LN(2)/25)*Calculateur!DB132*Calculateur!DD132*VLOOKUP('Données projet'!$B$13,'Paramètres'!$A$1:$I$88,3,0)*0.475*44/12</f>
        <v>#N/A</v>
      </c>
      <c r="DH132" s="162" t="str">
        <f>EXP(-LN(2)/2)*DH131+(1-EXP(-LN(2)/2))/(LN(2)/2)*DB132*DE132*VLOOKUP('Données projet'!$B$13,'Paramètres'!$A$1:$I$88,3,0)*0.475*44/12</f>
        <v>#N/A</v>
      </c>
      <c r="DI132" s="163" t="str">
        <f t="shared" si="16"/>
        <v>#N/A</v>
      </c>
      <c r="DJ132" s="159">
        <f>('Scénario référence'!$F$8+'Scénario référence'!$F$9+'Scénario référence'!$B$17+'Scénario référence'!$B$9+'Scénario référence'!$B$10)*70+IF((45+25*(1-EXP(-0.0175*A132)))&lt;70,'Scénario référence'!$B$16*(45+25*(1-EXP(-0.0175*A132))),70*'Scénario référence'!$B$16)+IF((32+38*(1-EXP(-0.0175*A132)))&lt;70,'Scénario référence'!$B$18*(32+38*(1-EXP(-0.0175*A132))),70*'Scénario référence'!$B$18)</f>
        <v>70</v>
      </c>
      <c r="DK132" s="151">
        <f>IF(A132&gt;30,10,('Scénario référence'!$B$16+'Scénario référence'!$B$17+'Scénario référence'!$B$18+'Scénario référence'!$B$9+'Scénario référence'!$B$10)*A132*10/30+('Scénario référence'!$F$8+'Scénario référence'!$F$9)*10)</f>
        <v>10</v>
      </c>
      <c r="DL132" s="151" t="str">
        <f>VLOOKUP(A132,'Données projet'!$A$165:$I$185,2,0)</f>
        <v>#N/A</v>
      </c>
      <c r="DM132" s="151" t="str">
        <f>VLOOKUP(A132,'Données projet'!$A$165:$I$185,9,0)</f>
        <v>#N/A</v>
      </c>
      <c r="DN132" s="151" t="str">
        <f t="array" ref="DN132">INDEX(DM:DM,MIN(IF(ISNUMBER(DM132:DM328),ROW(DM132:DM328),"")))</f>
        <v/>
      </c>
      <c r="DO132" s="151">
        <f>IF('Données projet'!$A$166&gt;35,DO131+DN132-DW131,IF(A132&lt;'Données projet'!$A$166,$DL$205^A132,IF(A132='Données projet'!$A$166,'Données projet'!$B$166,DO131+DN132-DW131)))</f>
        <v>0</v>
      </c>
      <c r="DP132" s="158" t="str">
        <f>DO132*VLOOKUP('Données projet'!$B$14,'Paramètres'!$A$1:$I$88,3,0)*VLOOKUP('Données projet'!$B$14,'Paramètres'!$A$1:$I$88,5,0)</f>
        <v>#N/A</v>
      </c>
      <c r="DQ132" s="150" t="str">
        <f t="shared" si="44"/>
        <v>#N/A</v>
      </c>
      <c r="DR132" s="161" t="str">
        <f t="shared" si="17"/>
        <v>#N/A</v>
      </c>
      <c r="DS132" s="153" t="str">
        <f t="shared" si="18"/>
        <v>#N/A</v>
      </c>
      <c r="DT132" s="153" t="str">
        <f>AVERAGE(OFFSET($DS$3,0,0,'Données projet'!$E$14+1,1))-AVERAGE(OFFSET($H$3,0,0,'Données projet'!$E$14+1,1))</f>
        <v>#N/A</v>
      </c>
      <c r="DU132" s="153" t="str">
        <f t="shared" si="45"/>
        <v>#N/A</v>
      </c>
      <c r="DV132" s="154">
        <f>IF(ISNA(VLOOKUP(A132,'Données projet'!$A$165:$I$185,3,0)),0,VLOOKUP(A132,'Données projet'!$A$165:$I$185,3,0))</f>
        <v>0</v>
      </c>
      <c r="DW132" s="154">
        <f>IF(ISNA(VLOOKUP(A132,'Données projet'!$A$165:$I$185,4,0)),0,VLOOKUP(A132,'Données projet'!$A$165:$I$185,4,0))</f>
        <v>0</v>
      </c>
      <c r="DX132" s="155">
        <f>IF(ISNA(VLOOKUP(A132,'Données projet'!$A$165:$I$185,5,0)),0%,VLOOKUP(A132,'Données projet'!$A$165:$I$185,5,0)*VLOOKUP('Données projet'!$B$14,'Paramètres'!$A$1:$I$88,7,0))</f>
        <v>0</v>
      </c>
      <c r="DY132" s="155">
        <f>IF(ISNA(VLOOKUP(A132,'Données projet'!$A$165:$I$185,6,0)),0%,VLOOKUP(A132,'Données projet'!$A$165:$I$185,6,0)*VLOOKUP('Données projet'!$B$14,'Paramètres'!$A$1:$I$88,7,0))</f>
        <v>0</v>
      </c>
      <c r="DZ132" s="155">
        <f>IF(ISNA(VLOOKUP(A132,'Données projet'!$A$165:$I$185,7,0)),0%,VLOOKUP(A132,'Données projet'!$A$165:$I$185,7,0))</f>
        <v>0</v>
      </c>
      <c r="EA132" s="162" t="str">
        <f>EXP(-LN(2)/35)*EA131+(1-EXP(-LN(2)/35))/(LN(2)/35)*DW132*DX132*VLOOKUP('Données projet'!$B$14,'Paramètres'!$A$1:$I$88,3,0)*0.475*44/12</f>
        <v>#N/A</v>
      </c>
      <c r="EB132" s="162" t="str">
        <f>EXP(-LN(2)/25)*EB131+(1-EXP(-LN(2)/25))/(LN(2)/25)*Calculateur!DW132*Calculateur!DY132*VLOOKUP('Données projet'!$B$14,'Paramètres'!$A$1:$I$88,3,0)*0.475*44/12</f>
        <v>#N/A</v>
      </c>
      <c r="EC132" s="162" t="str">
        <f>EXP(-LN(2)/2)*EC131+(1-EXP(-LN(2)/2))/(LN(2)/2)*DW132*DZ132*VLOOKUP('Données projet'!$B$14,'Paramètres'!$A$1:$I$88,3,0)*0.475*44/12</f>
        <v>#N/A</v>
      </c>
      <c r="ED132" s="163" t="str">
        <f t="shared" si="19"/>
        <v>#N/A</v>
      </c>
      <c r="EE132" s="159">
        <f>('Scénario référence'!$F$8+'Scénario référence'!$F$9+'Scénario référence'!$B$17+'Scénario référence'!$B$9+'Scénario référence'!$B$10)*70+IF((45+25*(1-EXP(-0.0175*A132)))&lt;70,'Scénario référence'!$B$16*(45+25*(1-EXP(-0.0175*A132))),70*'Scénario référence'!$B$16)+IF((32+38*(1-EXP(-0.0175*A132)))&lt;70,'Scénario référence'!$B$18*(32+38*(1-EXP(-0.0175*A132))),70*'Scénario référence'!$B$18)</f>
        <v>70</v>
      </c>
      <c r="EF132" s="151">
        <f>IF(A132&gt;30,10,('Scénario référence'!$B$16+'Scénario référence'!$B$17+'Scénario référence'!$B$18+'Scénario référence'!$B$9+'Scénario référence'!$B$10)*A132*10/30+('Scénario référence'!$F$8+'Scénario référence'!$F$9)*10)</f>
        <v>10</v>
      </c>
      <c r="EG132" s="151" t="str">
        <f>VLOOKUP(A132,'Données projet'!$A$191:$I$211,2,0)</f>
        <v>#N/A</v>
      </c>
      <c r="EH132" s="151" t="str">
        <f>VLOOKUP(A132,'Données projet'!$A$191:$I$211,9,0)</f>
        <v>#N/A</v>
      </c>
      <c r="EI132" s="151" t="str">
        <f t="array" ref="EI132">INDEX(EH:EH,MIN(IF(ISNUMBER(EH132:EH328),ROW(EH132:EH328),"")))</f>
        <v/>
      </c>
      <c r="EJ132" s="151">
        <f>IF('Données projet'!$A$192&gt;35,EJ131+EI132-ER131,IF(A132&lt;'Données projet'!$A$192,$EG$205^A132,IF(A132='Données projet'!$A$192,'Données projet'!$B$192,EJ131+EI132-ER131)))</f>
        <v>0</v>
      </c>
      <c r="EK132" s="158" t="str">
        <f>EJ132*VLOOKUP('Données projet'!$B$15,'Paramètres'!$A$1:$I$88,3,0)*VLOOKUP('Données projet'!$B$15,'Paramètres'!$A$1:$I$88,5,0)</f>
        <v>#N/A</v>
      </c>
      <c r="EL132" s="150" t="str">
        <f t="shared" si="46"/>
        <v>#N/A</v>
      </c>
      <c r="EM132" s="161" t="str">
        <f t="shared" si="20"/>
        <v>#N/A</v>
      </c>
      <c r="EN132" s="153" t="str">
        <f t="shared" si="21"/>
        <v>#N/A</v>
      </c>
      <c r="EO132" s="153" t="str">
        <f>AVERAGE(OFFSET($EN$3,0,0,'Données projet'!$E$15+1,1))-AVERAGE(OFFSET($H$3,0,0,'Données projet'!$E$15+1,1))</f>
        <v>#N/A</v>
      </c>
      <c r="EP132" s="153" t="str">
        <f t="shared" si="47"/>
        <v>#N/A</v>
      </c>
      <c r="EQ132" s="154">
        <f>IF(ISNA(VLOOKUP(A132,'Données projet'!$A$191:$I$211,3,0)),0,VLOOKUP(A132,'Données projet'!$A$191:$I$211,3,0))</f>
        <v>0</v>
      </c>
      <c r="ER132" s="154">
        <f>IF(ISNA(VLOOKUP(A132,'Données projet'!$A$191:$I$211,4,0)),0,VLOOKUP(A132,'Données projet'!$A$191:$I$211,4,0))</f>
        <v>0</v>
      </c>
      <c r="ES132" s="155">
        <f>IF(ISNA(VLOOKUP(A132,'Données projet'!$A$191:$I$211,5,0)),0%,VLOOKUP(A132,'Données projet'!$A$191:$I$211,5,0)*VLOOKUP('Données projet'!$B$15,'Paramètres'!$A$1:$I$88,7,0))</f>
        <v>0</v>
      </c>
      <c r="ET132" s="155">
        <f>IF(ISNA(VLOOKUP(A132,'Données projet'!$A$191:$I$211,6,0)),0%,VLOOKUP(A132,'Données projet'!$A$191:$I$211,6,0)*VLOOKUP('Données projet'!$B$15,'Paramètres'!$A$1:$I$88,7,0))</f>
        <v>0</v>
      </c>
      <c r="EU132" s="155">
        <f>IF(ISNA(VLOOKUP(A132,'Données projet'!$A$191:$I$211,7,0)),0%,VLOOKUP(A132,'Données projet'!$A$191:$I$211,7,0))</f>
        <v>0</v>
      </c>
      <c r="EV132" s="162" t="str">
        <f>EXP(-LN(2)/35)*EV131+(1-EXP(-LN(2)/35))/(LN(2)/35)*ER132*ES132*VLOOKUP('Données projet'!$B$15,'Paramètres'!$A$1:$I$88,3,0)*0.475*44/12</f>
        <v>#N/A</v>
      </c>
      <c r="EW132" s="162" t="str">
        <f>EXP(-LN(2)/25)*EW131+(1-EXP(-LN(2)/25))/(LN(2)/25)*Calculateur!ER132*Calculateur!ET132*VLOOKUP('Données projet'!$B$15,'Paramètres'!$A$1:$I$88,3,0)*0.475*44/12</f>
        <v>#N/A</v>
      </c>
      <c r="EX132" s="162" t="str">
        <f>EXP(-LN(2)/2)*EX131+(1-EXP(-LN(2)/2))/(LN(2)/2)*ER132*EU132*VLOOKUP('Données projet'!$B$15,'Paramètres'!$A$1:$I$88,3,0)*0.475*44/12</f>
        <v>#N/A</v>
      </c>
      <c r="EY132" s="163" t="str">
        <f t="shared" si="22"/>
        <v>#N/A</v>
      </c>
      <c r="EZ132" s="159">
        <f>('Scénario référence'!$F$8+'Scénario référence'!$F$9+'Scénario référence'!$B$17+'Scénario référence'!$B$9+'Scénario référence'!$B$10)*70+IF((45+25*(1-EXP(-0.0175*A132)))&lt;70,'Scénario référence'!$B$16*(45+25*(1-EXP(-0.0175*A132))),70*'Scénario référence'!$B$16)+IF((32+38*(1-EXP(-0.0175*A132)))&lt;70,'Scénario référence'!$B$18*(32+38*(1-EXP(-0.0175*A132))),70*'Scénario référence'!$B$18)</f>
        <v>70</v>
      </c>
      <c r="FA132" s="151">
        <f>IF(A132&gt;30,10,('Scénario référence'!$B$16+'Scénario référence'!$B$17+'Scénario référence'!$B$18+'Scénario référence'!$B$9+'Scénario référence'!$B$10)*A132*10/30+('Scénario référence'!$F$8+'Scénario référence'!$F$9)*10)</f>
        <v>10</v>
      </c>
      <c r="FB132" s="151" t="str">
        <f>VLOOKUP(A132,'Données projet'!$A$217:$I$237,2,0)</f>
        <v>#N/A</v>
      </c>
      <c r="FC132" s="151" t="str">
        <f>VLOOKUP(A132,'Données projet'!$A$217:$I$237,9,0)</f>
        <v>#N/A</v>
      </c>
      <c r="FD132" s="151" t="str">
        <f t="array" ref="FD132">INDEX(FC:FC,MIN(IF(ISNUMBER(FC132:FC328),ROW(FC132:FC328),"")))</f>
        <v/>
      </c>
      <c r="FE132" s="151">
        <f>IF('Données projet'!$A$218&gt;35,FE131+FD132-FM131,IF(A132&lt;'Données projet'!$A$218,$FB$205^A132,IF(A132='Données projet'!$A$218,'Données projet'!$B$218,FE131+FD132-FM131)))</f>
        <v>0</v>
      </c>
      <c r="FF132" s="158" t="str">
        <f>FE132*VLOOKUP('Données projet'!$B$16,'Paramètres'!$A$1:$I$88,3,0)*VLOOKUP('Données projet'!$B$16,'Paramètres'!$A$1:$I$88,5,0)</f>
        <v>#N/A</v>
      </c>
      <c r="FG132" s="150" t="str">
        <f t="shared" si="48"/>
        <v>#N/A</v>
      </c>
      <c r="FH132" s="161" t="str">
        <f t="shared" si="23"/>
        <v>#N/A</v>
      </c>
      <c r="FI132" s="153" t="str">
        <f t="shared" si="24"/>
        <v>#N/A</v>
      </c>
      <c r="FJ132" s="153" t="str">
        <f>AVERAGE(OFFSET($FI$3,0,0,'Données projet'!$E$16+1,1))-AVERAGE(OFFSET($H$3,0,0,'Données projet'!$E$16+1,1))</f>
        <v>#N/A</v>
      </c>
      <c r="FK132" s="153" t="str">
        <f t="shared" si="49"/>
        <v>#N/A</v>
      </c>
      <c r="FL132" s="154">
        <f>IF(ISNA(VLOOKUP(A132,'Données projet'!$A$217:$I$237,3,0)),0,VLOOKUP(A132,'Données projet'!$A$217:$I$237,3,0))</f>
        <v>0</v>
      </c>
      <c r="FM132" s="154">
        <f>IF(ISNA(VLOOKUP(A132,'Données projet'!$A$217:$I$237,4,0)),0,VLOOKUP(A132,'Données projet'!$A$217:$I$237,4,0))</f>
        <v>0</v>
      </c>
      <c r="FN132" s="155">
        <f>IF(ISNA(VLOOKUP(A132,'Données projet'!$A$217:$I$237,5,0)),0%,VLOOKUP(A132,'Données projet'!$A$217:$I$237,5,0)*VLOOKUP('Données projet'!$B$16,'Paramètres'!$A$1:$I$88,7,0))</f>
        <v>0</v>
      </c>
      <c r="FO132" s="155">
        <f>IF(ISNA(VLOOKUP(A132,'Données projet'!$A$217:$I$237,6,0)),0%,VLOOKUP(A132,'Données projet'!$A$217:$I$237,6,0)*VLOOKUP('Données projet'!$B$16,'Paramètres'!$A$1:$I$88,7,0))</f>
        <v>0</v>
      </c>
      <c r="FP132" s="155">
        <f>IF(ISNA(VLOOKUP(A132,'Données projet'!$A$217:$I$237,7,0)),0%,VLOOKUP(A132,'Données projet'!$A$217:$I$237,7,0))</f>
        <v>0</v>
      </c>
      <c r="FQ132" s="162" t="str">
        <f>EXP(-LN(2)/35)*FQ131+(1-EXP(-LN(2)/35))/(LN(2)/35)*FM132*FN132*VLOOKUP('Données projet'!$B$16,'Paramètres'!$A$1:$I$88,3,0)*0.475*44/12</f>
        <v>#N/A</v>
      </c>
      <c r="FR132" s="162" t="str">
        <f>EXP(-LN(2)/25)*FR131+(1-EXP(-LN(2)/25))/(LN(2)/25)*Calculateur!FM132*Calculateur!FO132*VLOOKUP('Données projet'!$B$16,'Paramètres'!$A$1:$I$88,3,0)*0.475*44/12</f>
        <v>#N/A</v>
      </c>
      <c r="FS132" s="162" t="str">
        <f>EXP(-LN(2)/2)*FS131+(1-EXP(-LN(2)/2))/(LN(2)/2)*FM132*FP132*VLOOKUP('Données projet'!$B$16,'Paramètres'!$A$1:$I$88,3,0)*0.475*44/12</f>
        <v>#N/A</v>
      </c>
      <c r="FT132" s="163" t="str">
        <f t="shared" si="25"/>
        <v>#N/A</v>
      </c>
      <c r="FU132" s="159">
        <f>('Scénario référence'!$F$8+'Scénario référence'!$F$9+'Scénario référence'!$B$17+'Scénario référence'!$B$9+'Scénario référence'!$B$10)*70+IF((45+25*(1-EXP(-0.0175*A132)))&lt;70,'Scénario référence'!$B$16*(45+25*(1-EXP(-0.0175*A132))),70*'Scénario référence'!$B$16)+IF((32+38*(1-EXP(-0.0175*A132)))&lt;70,'Scénario référence'!$B$18*(32+38*(1-EXP(-0.0175*A132))),70*'Scénario référence'!$B$18)</f>
        <v>70</v>
      </c>
      <c r="FV132" s="151">
        <f>IF(A132&gt;30,10,('Scénario référence'!$B$16+'Scénario référence'!$B$17+'Scénario référence'!$B$18+'Scénario référence'!$B$9+'Scénario référence'!$B$10)*A132*10/30+('Scénario référence'!$F$8+'Scénario référence'!$F$9)*10)</f>
        <v>10</v>
      </c>
      <c r="FW132" s="151" t="str">
        <f>VLOOKUP(A132,'Données projet'!$A$243:$I$263,2,0)</f>
        <v>#N/A</v>
      </c>
      <c r="FX132" s="151" t="str">
        <f>VLOOKUP(A132,'Données projet'!$A$243:$I$263,9,0)</f>
        <v>#N/A</v>
      </c>
      <c r="FY132" s="151" t="str">
        <f t="array" ref="FY132">INDEX(FX:FX,MIN(IF(ISNUMBER(FX132:FX328),ROW(FX132:FX328),"")))</f>
        <v/>
      </c>
      <c r="FZ132" s="151">
        <f>IF('Données projet'!$A$244&gt;35,FZ131+FY132-GH131,IF(A132&lt;'Données projet'!$A$244,$FW$205^A132,IF(A132='Données projet'!$A$244,'Données projet'!$B$244,FZ131+FY132-GH131)))</f>
        <v>0</v>
      </c>
      <c r="GA132" s="158" t="str">
        <f>FZ132*VLOOKUP('Données projet'!$B$17,'Paramètres'!$A$1:$I$88,3,0)*VLOOKUP('Données projet'!$B$17,'Paramètres'!$A$1:$I$88,5,0)</f>
        <v>#N/A</v>
      </c>
      <c r="GB132" s="150" t="str">
        <f t="shared" si="50"/>
        <v>#N/A</v>
      </c>
      <c r="GC132" s="161" t="str">
        <f t="shared" si="26"/>
        <v>#N/A</v>
      </c>
      <c r="GD132" s="153" t="str">
        <f t="shared" si="27"/>
        <v>#N/A</v>
      </c>
      <c r="GE132" s="153" t="str">
        <f>AVERAGE(OFFSET($GD$3,0,0,'Données projet'!$E$17+1,1))-AVERAGE(OFFSET($H$3,0,0,'Données projet'!$E$17+1,1))</f>
        <v>#N/A</v>
      </c>
      <c r="GF132" s="153" t="str">
        <f t="shared" si="51"/>
        <v>#N/A</v>
      </c>
      <c r="GG132" s="154">
        <f>IF(ISNA(VLOOKUP(A132,'Données projet'!$A$243:$I$263,3,0)),0,VLOOKUP(A132,'Données projet'!$A$243:$I$263,3,0))</f>
        <v>0</v>
      </c>
      <c r="GH132" s="154">
        <f>IF(ISNA(VLOOKUP(A132,'Données projet'!$A$243:$I$263,4,0)),0,VLOOKUP(A132,'Données projet'!$A$243:$I$263,4,0))</f>
        <v>0</v>
      </c>
      <c r="GI132" s="155">
        <f>IF(ISNA(VLOOKUP(A132,'Données projet'!$A$243:$I$263,5,0)),0%,VLOOKUP(A132,'Données projet'!$A$243:$I$263,5,0)*VLOOKUP('Données projet'!$B$17,'Paramètres'!$A$1:$I$88,7,0))</f>
        <v>0</v>
      </c>
      <c r="GJ132" s="155">
        <f>IF(ISNA(VLOOKUP(A132,'Données projet'!$A$243:$I$263,6,0)),0%,VLOOKUP(A132,'Données projet'!$A$243:$I$263,6,0)*VLOOKUP('Données projet'!$B$17,'Paramètres'!$A$1:$I$88,7,0))</f>
        <v>0</v>
      </c>
      <c r="GK132" s="155">
        <f>IF(ISNA(VLOOKUP(A132,'Données projet'!$A$243:$I$263,7,0)),0%,VLOOKUP(A132,'Données projet'!$A$243:$I$263,7,0))</f>
        <v>0</v>
      </c>
      <c r="GL132" s="162" t="str">
        <f>EXP(-LN(2)/35)*GL131+(1-EXP(-LN(2)/35))/(LN(2)/35)*GH132*GI132*VLOOKUP('Données projet'!$B$17,'Paramètres'!$A$1:$I$88,3,0)*0.475*44/12</f>
        <v>#N/A</v>
      </c>
      <c r="GM132" s="162" t="str">
        <f>EXP(-LN(2)/25)*GM131+(1-EXP(-LN(2)/25))/(LN(2)/25)*Calculateur!GH132*Calculateur!GJ132*VLOOKUP('Données projet'!$B$17,'Paramètres'!$A$1:$I$88,3,0)*0.475*44/12</f>
        <v>#N/A</v>
      </c>
      <c r="GN132" s="162" t="str">
        <f>EXP(-LN(2)/2)*GN131+(1-EXP(-LN(2)/2))/(LN(2)/2)*GH132*GK132*VLOOKUP('Données projet'!$B$17,'Paramètres'!$A$1:$I$88,3,0)*0.475*44/12</f>
        <v>#N/A</v>
      </c>
      <c r="GO132" s="162" t="str">
        <f t="shared" si="28"/>
        <v>#N/A</v>
      </c>
      <c r="GP132" s="159">
        <f>('Scénario référence'!$F$8+'Scénario référence'!$F$9+'Scénario référence'!$B$17+'Scénario référence'!$B$9+'Scénario référence'!$B$10)*70+IF((45+25*(1-EXP(-0.0175*A132)))&lt;70,'Scénario référence'!$B$16*(45+25*(1-EXP(-0.0175*A132))),70*'Scénario référence'!$B$16)+IF((32+38*(1-EXP(-0.0175*A132)))&lt;70,'Scénario référence'!$B$18*(32+38*(1-EXP(-0.0175*A132))),70*'Scénario référence'!$B$18)</f>
        <v>70</v>
      </c>
      <c r="GQ132" s="151">
        <f>IF(A132&gt;30,10,('Scénario référence'!$B$16+'Scénario référence'!$B$17+'Scénario référence'!$B$18+'Scénario référence'!$B$9+'Scénario référence'!$B$10)*A132*10/30+('Scénario référence'!$F$8+'Scénario référence'!$F$9)*10)</f>
        <v>10</v>
      </c>
      <c r="GR132" s="151" t="str">
        <f>VLOOKUP(A132,'Données projet'!$A$269:$I$289,2,0)</f>
        <v>#N/A</v>
      </c>
      <c r="GS132" s="151" t="str">
        <f>VLOOKUP(A132,'Données projet'!$A$269:$I$289,9,0)</f>
        <v>#N/A</v>
      </c>
      <c r="GT132" s="151" t="str">
        <f t="array" ref="GT132">INDEX(GS:GS,MIN(IF(ISNUMBER(GS132:GS328),ROW(GS132:GS328),"")))</f>
        <v/>
      </c>
      <c r="GU132" s="151">
        <f>IF('Données projet'!$A$270&gt;35,GU131+GT132-HC131,IF(A132&lt;'Données projet'!$A$270,$GR$205^A132,IF(A132='Données projet'!$A$270,'Données projet'!$B$270,GU131+GT132-HC131)))</f>
        <v>0</v>
      </c>
      <c r="GV132" s="158" t="str">
        <f>GU132*VLOOKUP('Données projet'!$B$18,'Paramètres'!$A$1:$I$88,3,0)*VLOOKUP('Données projet'!$B$18,'Paramètres'!$A$1:$I$88,5,0)</f>
        <v>#N/A</v>
      </c>
      <c r="GW132" s="150" t="str">
        <f t="shared" si="52"/>
        <v>#N/A</v>
      </c>
      <c r="GX132" s="161" t="str">
        <f t="shared" si="29"/>
        <v>#N/A</v>
      </c>
      <c r="GY132" s="153" t="str">
        <f t="shared" si="30"/>
        <v>#N/A</v>
      </c>
      <c r="GZ132" s="153" t="str">
        <f>AVERAGE(OFFSET($GY$3,0,0,'Données projet'!$E$18+1,1))-AVERAGE(OFFSET($H$3,0,0,'Données projet'!$E$18+1,1))</f>
        <v>#N/A</v>
      </c>
      <c r="HA132" s="153" t="str">
        <f t="shared" si="53"/>
        <v>#N/A</v>
      </c>
      <c r="HB132" s="154">
        <f>IF(ISNA(VLOOKUP(A132,'Données projet'!$A$269:$I$289,3,0)),0,VLOOKUP(A132,'Données projet'!$A$269:$I$289,3,0))</f>
        <v>0</v>
      </c>
      <c r="HC132" s="154">
        <f>IF(ISNA(VLOOKUP(A132,'Données projet'!$A$269:$I$289,4,0)),0,VLOOKUP(A132,'Données projet'!$A$269:$I$289,4,0))</f>
        <v>0</v>
      </c>
      <c r="HD132" s="155">
        <f>IF(ISNA(VLOOKUP(A132,'Données projet'!$A$269:$I$289,5,0)),0%,VLOOKUP(A132,'Données projet'!$A$269:$I$289,5,0)*VLOOKUP('Données projet'!$B$18,'Paramètres'!$A$1:$I$88,7,0))</f>
        <v>0</v>
      </c>
      <c r="HE132" s="155">
        <f>IF(ISNA(VLOOKUP(A132,'Données projet'!$A$269:$I$289,6,0)),0%,VLOOKUP(A132,'Données projet'!$A$269:$I$289,6,0)*VLOOKUP('Données projet'!$B$18,'Paramètres'!$A$1:$I$88,7,0))</f>
        <v>0</v>
      </c>
      <c r="HF132" s="155">
        <f>IF(ISNA(VLOOKUP(A132,'Données projet'!$A$269:$I$289,7,0)),0%,VLOOKUP(A132,'Données projet'!$A$269:$I$289,7,0))</f>
        <v>0</v>
      </c>
      <c r="HG132" s="162" t="str">
        <f>EXP(-LN(2)/35)*HG131+(1-EXP(-LN(2)/35))/(LN(2)/35)*HC132*HD132*VLOOKUP('Données projet'!$B$18,'Paramètres'!$A$1:$I$88,3,0)*0.475*44/12</f>
        <v>#N/A</v>
      </c>
      <c r="HH132" s="162" t="str">
        <f>EXP(-LN(2)/25)*HH131+(1-EXP(-LN(2)/25))/(LN(2)/25)*Calculateur!HC132*Calculateur!HE132*VLOOKUP('Données projet'!$B$18,'Paramètres'!$A$1:$I$88,3,0)*0.475*44/12</f>
        <v>#N/A</v>
      </c>
      <c r="HI132" s="162" t="str">
        <f>EXP(-LN(2)/2)*HI131+(1-EXP(-LN(2)/2))/(LN(2)/2)*HC132*HF132*VLOOKUP('Données projet'!$B$18,'Paramètres'!$A$1:$I$88,3,0)*0.475*44/12</f>
        <v>#N/A</v>
      </c>
      <c r="HJ132" s="163" t="str">
        <f t="shared" si="31"/>
        <v>#N/A</v>
      </c>
    </row>
    <row r="133" ht="15.75" customHeight="1">
      <c r="A133" s="145">
        <f t="shared" si="32"/>
        <v>130</v>
      </c>
      <c r="B133" s="146">
        <f>'Scénario référence'!$B$16*5+'Scénario référence'!$B$17*0+'Scénario référence'!$B$18*5</f>
        <v>0</v>
      </c>
      <c r="C133" s="160">
        <f>Calculateur!C132+'Scénario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33" s="147">
        <f t="shared" si="33"/>
        <v>0</v>
      </c>
      <c r="E133" s="147">
        <f>'Scénario référence'!$B$16*45+('Scénario référence'!$B$17+'Scénario référence'!$F$8+'Scénario référence'!$F$9+'Scénario référence'!$B$10+'Scénario référence'!$B$9)*70+'Scénario référence'!$B$18*32</f>
        <v>70</v>
      </c>
      <c r="F133" s="147">
        <f>IF(OR('Scénario référence'!$F$8&gt;0,'Scénario référence'!$F$9&gt;0),('Scénario référence'!$F$8+'Scénario référence'!$F$9)*10,0)</f>
        <v>0</v>
      </c>
      <c r="G133" s="147">
        <f>'Scénario référence'!$B$8*B133*44/12+'Scénario référence'!$B$9*(C133+D133)/0.475*44/12+'Scénario référence'!$B$10*(C133+D133)/0.475*44/12+'Scénario référence'!$F$8*(C133+D133)/0.475*44/12+'Scénario référence'!$F$9*(C133+D133)/0.475*44/12</f>
        <v>0</v>
      </c>
      <c r="H133" s="148">
        <f t="shared" si="1"/>
        <v>256.6666667</v>
      </c>
      <c r="I133" s="149">
        <f>('Scénario référence'!$F$8+'Scénario référence'!$F$9+'Scénario référence'!$B$17+'Scénario référence'!$B$9+'Scénario référence'!$B$10)*70+IF((45+25*(1-EXP(-0.0175*A133)))&lt;70,'Scénario référence'!$B$16*(45+25*(1-EXP(-0.0175*A133))),70*'Scénario référence'!$B$16)+IF((32+38*(1-EXP(-0.0175*A133)))&lt;70,'Scénario référence'!$B$18*(32+38*(1-EXP(-0.0175*A133))),70*'Scénario référence'!$B$18)</f>
        <v>70</v>
      </c>
      <c r="J133" s="150">
        <f>IF(A133&gt;30,10,('Scénario référence'!$B$16+'Scénario référence'!$B$17+'Scénario référence'!$B$18+'Scénario référence'!$B$9+'Scénario référence'!$B$10)*A133*10/30+('Scénario référence'!$F$8+'Scénario référence'!$F$9)*10)</f>
        <v>10</v>
      </c>
      <c r="K133" s="151" t="str">
        <f>VLOOKUP(A133,'Données projet'!$A$35:$I$55,2,0)</f>
        <v>#N/A</v>
      </c>
      <c r="L133" s="151" t="str">
        <f>VLOOKUP(A133,'Données projet'!$A$35:$I$55,9,0)</f>
        <v>#N/A</v>
      </c>
      <c r="M133" s="151" t="str">
        <f t="array" ref="M133">INDEX(L:L,MIN(IF(ISNUMBER(L133:L329),ROW(L133:L329),"")))</f>
        <v/>
      </c>
      <c r="N133" s="150">
        <f>IF('Données projet'!$A$36&gt;35,N132+M133-V132,IF(A133&lt;'Données projet'!$A$36,$K$205^A133,IF(A133='Données projet'!$A$36,'Données projet'!$B$36,N132+M133-V132)))</f>
        <v>307</v>
      </c>
      <c r="O133" s="150">
        <f>N133*VLOOKUP('Données projet'!$B$9,'Paramètres'!$A$1:$I$88,3,0)*VLOOKUP('Données projet'!$B$9,'Paramètres'!$A$1:$I$88,5,0)</f>
        <v>277.7736</v>
      </c>
      <c r="P133" s="150">
        <f t="shared" si="34"/>
        <v>66.49628818</v>
      </c>
      <c r="Q133" s="161">
        <f t="shared" si="2"/>
        <v>599.6033886</v>
      </c>
      <c r="R133" s="153">
        <f t="shared" si="3"/>
        <v>892.9367219</v>
      </c>
      <c r="S133" s="153">
        <f>AVERAGE(OFFSET($R$3,0,0,'Données projet'!$E$9+1,1))-AVERAGE(OFFSET($H$3,0,0,'Données projet'!$E$9+1,1))</f>
        <v>439.1985427</v>
      </c>
      <c r="T133" s="153">
        <f t="shared" si="35"/>
        <v>278.2174123</v>
      </c>
      <c r="U133" s="154">
        <f>IF(ISNA(VLOOKUP(A133,'Données projet'!$A$35:$I$55,3,0)),0,VLOOKUP(A133,'Données projet'!$A$35:$I$55,3,0))</f>
        <v>0</v>
      </c>
      <c r="V133" s="154">
        <f>IF(ISNA(VLOOKUP(A133,'Données projet'!$A$35:$I$55,4,0)),0,VLOOKUP(A133,'Données projet'!$A$35:$I$55,4,0))</f>
        <v>0</v>
      </c>
      <c r="W133" s="155">
        <f>IF(ISNA(VLOOKUP(A133,'Données projet'!$A$35:$I$55,5,0)),0%,VLOOKUP(A133,'Données projet'!$A$35:$I$55,5,0)*VLOOKUP('Données projet'!$B$9,'Paramètres'!$A$1:$I$88,7,0))</f>
        <v>0</v>
      </c>
      <c r="X133" s="155">
        <f>IF(ISNA(VLOOKUP(A133,'Données projet'!$A$35:$I$55,6,0)),0%,VLOOKUP(A133,'Données projet'!$A$35:$I$55,6,0)*VLOOKUP('Données projet'!$B$9,'Paramètres'!$A$1:$I$88,7,0))</f>
        <v>0</v>
      </c>
      <c r="Y133" s="155">
        <f>IF(ISNA(VLOOKUP(A133,'Données projet'!$A$35:$I$55,7,0)),0%,VLOOKUP(A133,'Données projet'!$A$35:$I$55,7,0))</f>
        <v>0</v>
      </c>
      <c r="Z133" s="162">
        <f>EXP(-LN(2)/35)*Z132+(1-EXP(-LN(2)/35))/(LN(2)/35)*V133*W133*VLOOKUP('Données projet'!$B$9,'Paramètres'!$A$1:$I$88,3,0)*0.475*44/12</f>
        <v>0</v>
      </c>
      <c r="AA133" s="162">
        <f>EXP(-LN(2)/25)*AA132+(1-EXP(-LN(2)/25))/(LN(2)/25)*Calculateur!V133*Calculateur!X133*VLOOKUP('Données projet'!$B$9,'Paramètres'!$A$1:$I$88,3,0)*0.475*44/12</f>
        <v>0.2804737985</v>
      </c>
      <c r="AB133" s="162">
        <f>EXP(-LN(2)/2)*AB132+(1-EXP(-LN(2)/2))/(LN(2)/2)*V133*Y133*VLOOKUP('Données projet'!$B$9,'Paramètres'!$A$1:$I$88,3,0)*0.475*44/12</f>
        <v>0</v>
      </c>
      <c r="AC133" s="163">
        <f t="shared" si="4"/>
        <v>0.2804737985</v>
      </c>
      <c r="AD133" s="150">
        <f>('Scénario référence'!$F$8+'Scénario référence'!$F$9+'Scénario référence'!$B$17+'Scénario référence'!$B$9+'Scénario référence'!$B$10)*70+IF((45+25*(1-EXP(-0.0175*A133)))&lt;70,'Scénario référence'!$B$16*(45+25*(1-EXP(-0.0175*A133))),70*'Scénario référence'!$B$16)+IF((32+38*(1-EXP(-0.0175*A133)))&lt;70,'Scénario référence'!$B$18*(32+38*(1-EXP(-0.0175*A133))),70*'Scénario référence'!$B$18)</f>
        <v>70</v>
      </c>
      <c r="AE133" s="150">
        <f>IF(A133&gt;30,10,('Scénario référence'!$B$16+'Scénario référence'!$B$17+'Scénario référence'!$B$18+'Scénario référence'!$B$9+'Scénario référence'!$B$10)*A133*10/30+('Scénario référence'!$F$8+'Scénario référence'!$F$9)*10)</f>
        <v>10</v>
      </c>
      <c r="AF133" s="151" t="str">
        <f>VLOOKUP(A133,'Données projet'!$A$61:$I$81,2,0)</f>
        <v>#N/A</v>
      </c>
      <c r="AG133" s="151" t="str">
        <f>VLOOKUP(A133,'Données projet'!$A$61:$I$81,9,0)</f>
        <v>#N/A</v>
      </c>
      <c r="AH133" s="151" t="str">
        <f t="array" ref="AH133">INDEX(AG:AG,MIN(IF(ISNUMBER(AG133:AG329),ROW(AG133:AG329),"")))</f>
        <v/>
      </c>
      <c r="AI133" s="150">
        <f>IF('Données projet'!$A$62&gt;35,AI132+AH133-AQ132,IF(A133&lt;'Données projet'!$A$62,$AF$205^A133,IF(A133='Données projet'!$A$62,'Données projet'!$B$62,AI132+AH133-AQ132)))</f>
        <v>369</v>
      </c>
      <c r="AJ133" s="150">
        <f>AI133*VLOOKUP('Données projet'!$B$10,'Paramètres'!$A$1:$I$88,3,0)*VLOOKUP('Données projet'!$B$10,'Paramètres'!$A$1:$I$88,5,0)</f>
        <v>293.5764</v>
      </c>
      <c r="AK133" s="150">
        <f t="shared" si="36"/>
        <v>69.82813851</v>
      </c>
      <c r="AL133" s="161">
        <f t="shared" si="5"/>
        <v>632.9295712</v>
      </c>
      <c r="AM133" s="153">
        <f t="shared" si="6"/>
        <v>926.2629046</v>
      </c>
      <c r="AN133" s="153">
        <f>AVERAGE(OFFSET($AM$3,0,0,'Données projet'!$E$10+1,1))-AVERAGE(OFFSET($H$3,0,0,'Données projet'!$E$10+1,1))</f>
        <v>405.6113614</v>
      </c>
      <c r="AO133" s="153">
        <f t="shared" si="37"/>
        <v>393.0787141</v>
      </c>
      <c r="AP133" s="154">
        <f>IF(ISNA(VLOOKUP(A133,'Données projet'!$A$61:$I$81,3,0)),0,VLOOKUP(A133,'Données projet'!$A$61:$I$81,3,0))</f>
        <v>0</v>
      </c>
      <c r="AQ133" s="154">
        <f>IF(ISNA(VLOOKUP(A133,'Données projet'!$A$61:$I$81,4,0)),0,VLOOKUP(A133,'Données projet'!$A$61:$I$81,4,0))</f>
        <v>0</v>
      </c>
      <c r="AR133" s="155">
        <f>IF(ISNA(VLOOKUP(A133,'Données projet'!$A$61:$I$81,5,0)),0%,VLOOKUP(A133,'Données projet'!$A$61:$I$81,5,0)*VLOOKUP('Données projet'!$B$10,'Paramètres'!$A$1:$I$88,7,0))</f>
        <v>0</v>
      </c>
      <c r="AS133" s="155">
        <f>IF(ISNA(VLOOKUP(A133,'Données projet'!$A$61:$I$81,6,0)),0%,VLOOKUP(A133,'Données projet'!$A$61:$I$81,6,0)*VLOOKUP('Données projet'!$B$10,'Paramètres'!$A$1:$I$88,7,0))</f>
        <v>0</v>
      </c>
      <c r="AT133" s="155">
        <f>IF(ISNA(VLOOKUP(A133,'Données projet'!$A$61:$I$81,7,0)),0%,VLOOKUP(A133,'Données projet'!$A$61:$I$81,7,0))</f>
        <v>0</v>
      </c>
      <c r="AU133" s="162">
        <f>EXP(-LN(2)/35)*AU132+(1-EXP(-LN(2)/35))/(LN(2)/35)*AQ133*AR133*VLOOKUP('Données projet'!$B$10,'Paramètres'!$A$1:$I$88,3,0)*0.475*44/12</f>
        <v>0</v>
      </c>
      <c r="AV133" s="162">
        <f>EXP(-LN(2)/25)*AV132+(1-EXP(-LN(2)/25))/(LN(2)/25)*Calculateur!AQ133*Calculateur!AS133*VLOOKUP('Données projet'!$B$10,'Paramètres'!$A$1:$I$88,3,0)*0.475*44/12</f>
        <v>1.139916816</v>
      </c>
      <c r="AW133" s="162">
        <f>EXP(-LN(2)/2)*AW132+(1-EXP(-LN(2)/2))/(LN(2)/2)*AQ133*AT133*VLOOKUP('Données projet'!$B$10,'Paramètres'!$A$1:$I$88,3,0)*0.475*44/12</f>
        <v>0</v>
      </c>
      <c r="AX133" s="162">
        <f t="shared" si="7"/>
        <v>1.139916816</v>
      </c>
      <c r="AY133" s="157">
        <f>('Scénario référence'!$F$8+'Scénario référence'!$F$9+'Scénario référence'!$B$17+'Scénario référence'!$B$9+'Scénario référence'!$B$10)*70+IF((45+25*(1-EXP(-0.0175*A133)))&lt;70,'Scénario référence'!$B$16*(45+25*(1-EXP(-0.0175*A133))),70*'Scénario référence'!$B$16)+IF((32+38*(1-EXP(-0.0175*A133)))&lt;70,'Scénario référence'!$B$18*(32+38*(1-EXP(-0.0175*A133))),70*'Scénario référence'!$B$18)</f>
        <v>70</v>
      </c>
      <c r="AZ133" s="151">
        <f>IF(A133&gt;30,10,('Scénario référence'!$B$16+'Scénario référence'!$B$17+'Scénario référence'!$B$18+'Scénario référence'!$B$9+'Scénario référence'!$B$10)*A133*10/30+('Scénario référence'!$F$8+'Scénario référence'!$F$9)*10)</f>
        <v>10</v>
      </c>
      <c r="BA133" s="151" t="str">
        <f>VLOOKUP(A133,'Données projet'!$A$87:$I$107,2,0)</f>
        <v>#N/A</v>
      </c>
      <c r="BB133" s="151" t="str">
        <f>VLOOKUP(A133,'Données projet'!$A$87:$I$107,9,0)</f>
        <v>#N/A</v>
      </c>
      <c r="BC133" s="151" t="str">
        <f t="array" ref="BC133">INDEX(BB:BB,MIN(IF(ISNUMBER(BB133:BB329),ROW(BB133:BB329),"")))</f>
        <v/>
      </c>
      <c r="BD133" s="150">
        <f>IF('Données projet'!$A$88&gt;35,BD132+BC133-BL132,IF(A133&lt;'Données projet'!$A$88,$BA$205^A133,IF(A133='Données projet'!$A$88,'Données projet'!$B$88,BD132+BC133-BL132)))</f>
        <v>0</v>
      </c>
      <c r="BE133" s="150">
        <f>BD133*VLOOKUP('Données projet'!$B$11,'Paramètres'!$A$1:$I$88,3,0)*VLOOKUP('Données projet'!$B$11,'Paramètres'!$A$1:$I$88,5,0)</f>
        <v>0</v>
      </c>
      <c r="BF133" s="150" t="str">
        <f t="shared" si="38"/>
        <v>#NUM!</v>
      </c>
      <c r="BG133" s="161" t="str">
        <f t="shared" si="8"/>
        <v>#NUM!</v>
      </c>
      <c r="BH133" s="153" t="str">
        <f t="shared" si="9"/>
        <v>#NUM!</v>
      </c>
      <c r="BI133" s="153">
        <f>AVERAGE(OFFSET($BH$3,0,0,'Données projet'!$E$11+1,1))-AVERAGE(OFFSET($H$3,0,0,'Données projet'!$E$11+1,1))</f>
        <v>0</v>
      </c>
      <c r="BJ133" s="153">
        <f t="shared" si="39"/>
        <v>0</v>
      </c>
      <c r="BK133" s="154">
        <f>IF(ISNA(VLOOKUP(A133,'Données projet'!$A$87:$I$107,3,0)),0,VLOOKUP(A133,'Données projet'!$A$87:$I$107,3,0))</f>
        <v>0</v>
      </c>
      <c r="BL133" s="154">
        <f>IF(ISNA(VLOOKUP(A133,'Données projet'!$A$87:$I$107,4,0)),0,VLOOKUP(A133,'Données projet'!$A$87:$I$107,4,0))</f>
        <v>0</v>
      </c>
      <c r="BM133" s="155">
        <f>IF(ISNA(VLOOKUP(A133,'Données projet'!$A$87:$I$107,5,0)),0%,VLOOKUP(A133,'Données projet'!$A$87:$I$107,5,0)*VLOOKUP('Données projet'!$B$11,'Paramètres'!$A$1:$I$88,7,0))</f>
        <v>0</v>
      </c>
      <c r="BN133" s="155">
        <f>IF(ISNA(VLOOKUP(A133,'Données projet'!$A$87:$I$107,6,0)),0%,VLOOKUP(A133,'Données projet'!$A$87:$I$107,6,0)*VLOOKUP('Données projet'!$B$11,'Paramètres'!$A$1:$I$88,7,0))</f>
        <v>0</v>
      </c>
      <c r="BO133" s="155">
        <f>IF(ISNA(VLOOKUP(A133,'Données projet'!$A$87:$I$107,7,0)),0%,VLOOKUP(A133,'Données projet'!$A$87:$I$107,7,0))</f>
        <v>0</v>
      </c>
      <c r="BP133" s="162">
        <f>EXP(-LN(2)/35)*BP132+(1-EXP(-LN(2)/35))/(LN(2)/35)*BL133*BM133*VLOOKUP('Données projet'!$B$11,'Paramètres'!$A$1:$I$88,3,0)*0.475*44/12</f>
        <v>0</v>
      </c>
      <c r="BQ133" s="162">
        <f>EXP(-LN(2)/25)*BQ132+(1-EXP(-LN(2)/25))/(LN(2)/25)*Calculateur!BL133*Calculateur!BN133*VLOOKUP('Données projet'!$B$11,'Paramètres'!$A$1:$I$88,3,0)*0.475*44/12</f>
        <v>0</v>
      </c>
      <c r="BR133" s="162">
        <f>EXP(-LN(2)/2)*BR132+(1-EXP(-LN(2)/2))/(LN(2)/2)*BL133*BO133*VLOOKUP('Données projet'!$B$11,'Paramètres'!$A$1:$I$88,3,0)*0.475*44/12</f>
        <v>0</v>
      </c>
      <c r="BS133" s="163">
        <f t="shared" si="10"/>
        <v>0</v>
      </c>
      <c r="BT133" s="159">
        <f>('Scénario référence'!$F$8+'Scénario référence'!$F$9+'Scénario référence'!$B$17+'Scénario référence'!$B$9+'Scénario référence'!$B$10)*70+IF((45+25*(1-EXP(-0.0175*A133)))&lt;70,'Scénario référence'!$B$16*(45+25*(1-EXP(-0.0175*A133))),70*'Scénario référence'!$B$16)+IF((32+38*(1-EXP(-0.0175*A133)))&lt;70,'Scénario référence'!$B$18*(32+38*(1-EXP(-0.0175*A133))),70*'Scénario référence'!$B$18)</f>
        <v>70</v>
      </c>
      <c r="BU133" s="151">
        <f>IF(A133&gt;30,10,('Scénario référence'!$B$16+'Scénario référence'!$B$17+'Scénario référence'!$B$18+'Scénario référence'!$B$9+'Scénario référence'!$B$10)*A133*10/30+('Scénario référence'!$F$8+'Scénario référence'!$F$9)*10)</f>
        <v>10</v>
      </c>
      <c r="BV133" s="151" t="str">
        <f>VLOOKUP(A133,'Données projet'!$A$113:$I$133,2,0)</f>
        <v>#N/A</v>
      </c>
      <c r="BW133" s="151" t="str">
        <f>VLOOKUP(A133,'Données projet'!$A$113:$I$133,9,0)</f>
        <v>#N/A</v>
      </c>
      <c r="BX133" s="151" t="str">
        <f t="array" ref="BX133">INDEX(BW:BW,MIN(IF(ISNUMBER(BW133:BW329),ROW(BW133:BW329),"")))</f>
        <v/>
      </c>
      <c r="BY133" s="150">
        <f>IF('Données projet'!$A$114&gt;35,BY132+BX133-CG132,IF(A133&lt;'Données projet'!$A$114,$BV$205^A133,IF(A133='Données projet'!$A$114,'Données projet'!$B$114,BY132+BX133-CG132)))</f>
        <v>0</v>
      </c>
      <c r="BZ133" s="150" t="str">
        <f>BY133*VLOOKUP('Données projet'!$B$12,'Paramètres'!$A$1:$I$88,3,0)*VLOOKUP('Données projet'!$B$12,'Paramètres'!$A$1:$I$88,5,0)</f>
        <v>#N/A</v>
      </c>
      <c r="CA133" s="150" t="str">
        <f t="shared" si="40"/>
        <v>#N/A</v>
      </c>
      <c r="CB133" s="161" t="str">
        <f t="shared" si="11"/>
        <v>#N/A</v>
      </c>
      <c r="CC133" s="153" t="str">
        <f t="shared" si="12"/>
        <v>#N/A</v>
      </c>
      <c r="CD133" s="153" t="str">
        <f>AVERAGE(OFFSET($CC$3,0,0,'Données projet'!$E$12+1,1))-AVERAGE(OFFSET($H$3,0,0,'Données projet'!$E$12+1,1))</f>
        <v>#N/A</v>
      </c>
      <c r="CE133" s="153" t="str">
        <f t="shared" si="41"/>
        <v>#N/A</v>
      </c>
      <c r="CF133" s="154">
        <f>IF(ISNA(VLOOKUP(A133,'Données projet'!$A$113:$I$133,3,0)),0,VLOOKUP(A133,'Données projet'!$A$113:$I$133,3,0))</f>
        <v>0</v>
      </c>
      <c r="CG133" s="154">
        <f>IF(ISNA(VLOOKUP(A133,'Données projet'!$A$113:$I$133,4,0)),0,VLOOKUP(A133,'Données projet'!$A$113:$I$133,4,0))</f>
        <v>0</v>
      </c>
      <c r="CH133" s="155">
        <f>IF(ISNA(VLOOKUP(A133,'Données projet'!$A$113:$I$133,5,0)),0%,VLOOKUP(A133,'Données projet'!$A$113:$I$133,5,0)*VLOOKUP('Données projet'!$B$12,'Paramètres'!$A$1:$I$88,7,0))</f>
        <v>0</v>
      </c>
      <c r="CI133" s="155">
        <f>IF(ISNA(VLOOKUP(A133,'Données projet'!$A$113:$I$133,6,0)),0%,VLOOKUP(A133,'Données projet'!$A$113:$I$133,6,0)*VLOOKUP('Données projet'!$B$12,'Paramètres'!$A$1:$I$88,7,0))</f>
        <v>0</v>
      </c>
      <c r="CJ133" s="155">
        <f>IF(ISNA(VLOOKUP(A133,'Données projet'!$A$113:$I$133,7,0)),0%,VLOOKUP(A133,'Données projet'!$A$113:$I$133,7,0))</f>
        <v>0</v>
      </c>
      <c r="CK133" s="162" t="str">
        <f>EXP(-LN(2)/35)*CK132+(1-EXP(-LN(2)/35))/(LN(2)/35)*CG133*CH133*VLOOKUP('Données projet'!$B$12,'Paramètres'!$A$1:$I$88,3,0)*0.475*44/12</f>
        <v>#N/A</v>
      </c>
      <c r="CL133" s="162" t="str">
        <f>EXP(-LN(2)/25)*CL132+(1-EXP(-LN(2)/25))/(LN(2)/25)*Calculateur!CG133*Calculateur!CI133*VLOOKUP('Données projet'!$B$12,'Paramètres'!$A$1:$I$88,3,0)*0.475*44/12</f>
        <v>#N/A</v>
      </c>
      <c r="CM133" s="162" t="str">
        <f>EXP(-LN(2)/2)*CM132+(1-EXP(-LN(2)/2))/(LN(2)/2)*CG133*CJ133*VLOOKUP('Données projet'!$B$12,'Paramètres'!$A$1:$I$88,3,0)*0.475*44/12</f>
        <v>#N/A</v>
      </c>
      <c r="CN133" s="163" t="str">
        <f t="shared" si="13"/>
        <v>#N/A</v>
      </c>
      <c r="CO133" s="159">
        <f>('Scénario référence'!$F$8+'Scénario référence'!$F$9+'Scénario référence'!$B$17+'Scénario référence'!$B$9+'Scénario référence'!$B$10)*70+IF((45+25*(1-EXP(-0.0175*A133)))&lt;70,'Scénario référence'!$B$16*(45+25*(1-EXP(-0.0175*A133))),70*'Scénario référence'!$B$16)+IF((32+38*(1-EXP(-0.0175*A133)))&lt;70,'Scénario référence'!$B$18*(32+38*(1-EXP(-0.0175*A133))),70*'Scénario référence'!$B$18)</f>
        <v>70</v>
      </c>
      <c r="CP133" s="151">
        <f>IF(A133&gt;30,10,('Scénario référence'!$B$16+'Scénario référence'!$B$17+'Scénario référence'!$B$18+'Scénario référence'!$B$9+'Scénario référence'!$B$10)*A133*10/30+('Scénario référence'!$F$8+'Scénario référence'!$F$9)*10)</f>
        <v>10</v>
      </c>
      <c r="CQ133" s="151" t="str">
        <f>VLOOKUP(A133,'Données projet'!$A$139:$I$159,2,0)</f>
        <v>#N/A</v>
      </c>
      <c r="CR133" s="151" t="str">
        <f>VLOOKUP(A133,'Données projet'!$A$139:$I$159,9,0)</f>
        <v>#N/A</v>
      </c>
      <c r="CS133" s="151" t="str">
        <f t="array" ref="CS133">INDEX(CR:CR,MIN(IF(ISNUMBER(CR133:CR329),ROW(CR133:CR329),"")))</f>
        <v/>
      </c>
      <c r="CT133" s="151">
        <f>IF('Données projet'!$A$140&gt;35,CT132+CS133-DB132,IF(A133&lt;'Données projet'!$A$140,$CQ$205^A133,IF(A133='Données projet'!$A$140,'Données projet'!$B$140,CT132+CS133-DB132)))</f>
        <v>0</v>
      </c>
      <c r="CU133" s="158" t="str">
        <f>CT133*VLOOKUP('Données projet'!$B$13,'Paramètres'!$A$1:$I$88,3,0)*VLOOKUP('Données projet'!$B$13,'Paramètres'!$A$1:$I$88,5,0)</f>
        <v>#N/A</v>
      </c>
      <c r="CV133" s="150" t="str">
        <f t="shared" si="42"/>
        <v>#N/A</v>
      </c>
      <c r="CW133" s="161" t="str">
        <f t="shared" si="14"/>
        <v>#N/A</v>
      </c>
      <c r="CX133" s="153" t="str">
        <f t="shared" si="15"/>
        <v>#N/A</v>
      </c>
      <c r="CY133" s="153" t="str">
        <f>AVERAGE(OFFSET($CX$3,0,0,'Données projet'!$E$13+1,1))-AVERAGE(OFFSET($H$3,0,0,'Données projet'!$E$13+1,1))</f>
        <v>#N/A</v>
      </c>
      <c r="CZ133" s="153" t="str">
        <f t="shared" si="43"/>
        <v>#N/A</v>
      </c>
      <c r="DA133" s="154">
        <f>IF(ISNA(VLOOKUP(A133,'Données projet'!$A$139:$I$159,3,0)),0,VLOOKUP(A133,'Données projet'!$A$139:$I$159,3,0))</f>
        <v>0</v>
      </c>
      <c r="DB133" s="154">
        <f>IF(ISNA(VLOOKUP(A133,'Données projet'!$A$139:$I$159,4,0)),0,VLOOKUP(A133,'Données projet'!$A$139:$I$159,4,0))</f>
        <v>0</v>
      </c>
      <c r="DC133" s="155">
        <f>IF(ISNA(VLOOKUP(A133,'Données projet'!$A$139:$I$159,5,0)),0%,VLOOKUP(A133,'Données projet'!$A$139:$I$159,5,0)*VLOOKUP('Données projet'!$B$13,'Paramètres'!$A$1:$I$88,7,0))</f>
        <v>0</v>
      </c>
      <c r="DD133" s="155">
        <f>IF(ISNA(VLOOKUP(A133,'Données projet'!$A$139:$I$159,6,0)),0%,VLOOKUP(A133,'Données projet'!$A$139:$I$159,6,0)*VLOOKUP('Données projet'!$B$13,'Paramètres'!$A$1:$I$88,7,0))</f>
        <v>0</v>
      </c>
      <c r="DE133" s="155">
        <f>IF(ISNA(VLOOKUP(A133,'Données projet'!$A$139:$I$159,7,0)),0%,VLOOKUP(A133,'Données projet'!$A$139:$I$159,7,0))</f>
        <v>0</v>
      </c>
      <c r="DF133" s="162" t="str">
        <f>EXP(-LN(2)/35)*DF132+(1-EXP(-LN(2)/35))/(LN(2)/35)*DB133*DC133*VLOOKUP('Données projet'!$B$13,'Paramètres'!$A$1:$I$88,3,0)*0.475*44/12</f>
        <v>#N/A</v>
      </c>
      <c r="DG133" s="162" t="str">
        <f>EXP(-LN(2)/25)*DG132+(1-EXP(-LN(2)/25))/(LN(2)/25)*Calculateur!DB133*Calculateur!DD133*VLOOKUP('Données projet'!$B$13,'Paramètres'!$A$1:$I$88,3,0)*0.475*44/12</f>
        <v>#N/A</v>
      </c>
      <c r="DH133" s="162" t="str">
        <f>EXP(-LN(2)/2)*DH132+(1-EXP(-LN(2)/2))/(LN(2)/2)*DB133*DE133*VLOOKUP('Données projet'!$B$13,'Paramètres'!$A$1:$I$88,3,0)*0.475*44/12</f>
        <v>#N/A</v>
      </c>
      <c r="DI133" s="163" t="str">
        <f t="shared" si="16"/>
        <v>#N/A</v>
      </c>
      <c r="DJ133" s="159">
        <f>('Scénario référence'!$F$8+'Scénario référence'!$F$9+'Scénario référence'!$B$17+'Scénario référence'!$B$9+'Scénario référence'!$B$10)*70+IF((45+25*(1-EXP(-0.0175*A133)))&lt;70,'Scénario référence'!$B$16*(45+25*(1-EXP(-0.0175*A133))),70*'Scénario référence'!$B$16)+IF((32+38*(1-EXP(-0.0175*A133)))&lt;70,'Scénario référence'!$B$18*(32+38*(1-EXP(-0.0175*A133))),70*'Scénario référence'!$B$18)</f>
        <v>70</v>
      </c>
      <c r="DK133" s="151">
        <f>IF(A133&gt;30,10,('Scénario référence'!$B$16+'Scénario référence'!$B$17+'Scénario référence'!$B$18+'Scénario référence'!$B$9+'Scénario référence'!$B$10)*A133*10/30+('Scénario référence'!$F$8+'Scénario référence'!$F$9)*10)</f>
        <v>10</v>
      </c>
      <c r="DL133" s="151" t="str">
        <f>VLOOKUP(A133,'Données projet'!$A$165:$I$185,2,0)</f>
        <v>#N/A</v>
      </c>
      <c r="DM133" s="151" t="str">
        <f>VLOOKUP(A133,'Données projet'!$A$165:$I$185,9,0)</f>
        <v>#N/A</v>
      </c>
      <c r="DN133" s="151" t="str">
        <f t="array" ref="DN133">INDEX(DM:DM,MIN(IF(ISNUMBER(DM133:DM329),ROW(DM133:DM329),"")))</f>
        <v/>
      </c>
      <c r="DO133" s="151">
        <f>IF('Données projet'!$A$166&gt;35,DO132+DN133-DW132,IF(A133&lt;'Données projet'!$A$166,$DL$205^A133,IF(A133='Données projet'!$A$166,'Données projet'!$B$166,DO132+DN133-DW132)))</f>
        <v>0</v>
      </c>
      <c r="DP133" s="158" t="str">
        <f>DO133*VLOOKUP('Données projet'!$B$14,'Paramètres'!$A$1:$I$88,3,0)*VLOOKUP('Données projet'!$B$14,'Paramètres'!$A$1:$I$88,5,0)</f>
        <v>#N/A</v>
      </c>
      <c r="DQ133" s="150" t="str">
        <f t="shared" si="44"/>
        <v>#N/A</v>
      </c>
      <c r="DR133" s="161" t="str">
        <f t="shared" si="17"/>
        <v>#N/A</v>
      </c>
      <c r="DS133" s="153" t="str">
        <f t="shared" si="18"/>
        <v>#N/A</v>
      </c>
      <c r="DT133" s="153" t="str">
        <f>AVERAGE(OFFSET($DS$3,0,0,'Données projet'!$E$14+1,1))-AVERAGE(OFFSET($H$3,0,0,'Données projet'!$E$14+1,1))</f>
        <v>#N/A</v>
      </c>
      <c r="DU133" s="153" t="str">
        <f t="shared" si="45"/>
        <v>#N/A</v>
      </c>
      <c r="DV133" s="154">
        <f>IF(ISNA(VLOOKUP(A133,'Données projet'!$A$165:$I$185,3,0)),0,VLOOKUP(A133,'Données projet'!$A$165:$I$185,3,0))</f>
        <v>0</v>
      </c>
      <c r="DW133" s="154">
        <f>IF(ISNA(VLOOKUP(A133,'Données projet'!$A$165:$I$185,4,0)),0,VLOOKUP(A133,'Données projet'!$A$165:$I$185,4,0))</f>
        <v>0</v>
      </c>
      <c r="DX133" s="155">
        <f>IF(ISNA(VLOOKUP(A133,'Données projet'!$A$165:$I$185,5,0)),0%,VLOOKUP(A133,'Données projet'!$A$165:$I$185,5,0)*VLOOKUP('Données projet'!$B$14,'Paramètres'!$A$1:$I$88,7,0))</f>
        <v>0</v>
      </c>
      <c r="DY133" s="155">
        <f>IF(ISNA(VLOOKUP(A133,'Données projet'!$A$165:$I$185,6,0)),0%,VLOOKUP(A133,'Données projet'!$A$165:$I$185,6,0)*VLOOKUP('Données projet'!$B$14,'Paramètres'!$A$1:$I$88,7,0))</f>
        <v>0</v>
      </c>
      <c r="DZ133" s="155">
        <f>IF(ISNA(VLOOKUP(A133,'Données projet'!$A$165:$I$185,7,0)),0%,VLOOKUP(A133,'Données projet'!$A$165:$I$185,7,0))</f>
        <v>0</v>
      </c>
      <c r="EA133" s="162" t="str">
        <f>EXP(-LN(2)/35)*EA132+(1-EXP(-LN(2)/35))/(LN(2)/35)*DW133*DX133*VLOOKUP('Données projet'!$B$14,'Paramètres'!$A$1:$I$88,3,0)*0.475*44/12</f>
        <v>#N/A</v>
      </c>
      <c r="EB133" s="162" t="str">
        <f>EXP(-LN(2)/25)*EB132+(1-EXP(-LN(2)/25))/(LN(2)/25)*Calculateur!DW133*Calculateur!DY133*VLOOKUP('Données projet'!$B$14,'Paramètres'!$A$1:$I$88,3,0)*0.475*44/12</f>
        <v>#N/A</v>
      </c>
      <c r="EC133" s="162" t="str">
        <f>EXP(-LN(2)/2)*EC132+(1-EXP(-LN(2)/2))/(LN(2)/2)*DW133*DZ133*VLOOKUP('Données projet'!$B$14,'Paramètres'!$A$1:$I$88,3,0)*0.475*44/12</f>
        <v>#N/A</v>
      </c>
      <c r="ED133" s="163" t="str">
        <f t="shared" si="19"/>
        <v>#N/A</v>
      </c>
      <c r="EE133" s="159">
        <f>('Scénario référence'!$F$8+'Scénario référence'!$F$9+'Scénario référence'!$B$17+'Scénario référence'!$B$9+'Scénario référence'!$B$10)*70+IF((45+25*(1-EXP(-0.0175*A133)))&lt;70,'Scénario référence'!$B$16*(45+25*(1-EXP(-0.0175*A133))),70*'Scénario référence'!$B$16)+IF((32+38*(1-EXP(-0.0175*A133)))&lt;70,'Scénario référence'!$B$18*(32+38*(1-EXP(-0.0175*A133))),70*'Scénario référence'!$B$18)</f>
        <v>70</v>
      </c>
      <c r="EF133" s="151">
        <f>IF(A133&gt;30,10,('Scénario référence'!$B$16+'Scénario référence'!$B$17+'Scénario référence'!$B$18+'Scénario référence'!$B$9+'Scénario référence'!$B$10)*A133*10/30+('Scénario référence'!$F$8+'Scénario référence'!$F$9)*10)</f>
        <v>10</v>
      </c>
      <c r="EG133" s="151" t="str">
        <f>VLOOKUP(A133,'Données projet'!$A$191:$I$211,2,0)</f>
        <v>#N/A</v>
      </c>
      <c r="EH133" s="151" t="str">
        <f>VLOOKUP(A133,'Données projet'!$A$191:$I$211,9,0)</f>
        <v>#N/A</v>
      </c>
      <c r="EI133" s="151" t="str">
        <f t="array" ref="EI133">INDEX(EH:EH,MIN(IF(ISNUMBER(EH133:EH329),ROW(EH133:EH329),"")))</f>
        <v/>
      </c>
      <c r="EJ133" s="151">
        <f>IF('Données projet'!$A$192&gt;35,EJ132+EI133-ER132,IF(A133&lt;'Données projet'!$A$192,$EG$205^A133,IF(A133='Données projet'!$A$192,'Données projet'!$B$192,EJ132+EI133-ER132)))</f>
        <v>0</v>
      </c>
      <c r="EK133" s="158" t="str">
        <f>EJ133*VLOOKUP('Données projet'!$B$15,'Paramètres'!$A$1:$I$88,3,0)*VLOOKUP('Données projet'!$B$15,'Paramètres'!$A$1:$I$88,5,0)</f>
        <v>#N/A</v>
      </c>
      <c r="EL133" s="150" t="str">
        <f t="shared" si="46"/>
        <v>#N/A</v>
      </c>
      <c r="EM133" s="161" t="str">
        <f t="shared" si="20"/>
        <v>#N/A</v>
      </c>
      <c r="EN133" s="153" t="str">
        <f t="shared" si="21"/>
        <v>#N/A</v>
      </c>
      <c r="EO133" s="153" t="str">
        <f>AVERAGE(OFFSET($EN$3,0,0,'Données projet'!$E$15+1,1))-AVERAGE(OFFSET($H$3,0,0,'Données projet'!$E$15+1,1))</f>
        <v>#N/A</v>
      </c>
      <c r="EP133" s="153" t="str">
        <f t="shared" si="47"/>
        <v>#N/A</v>
      </c>
      <c r="EQ133" s="154">
        <f>IF(ISNA(VLOOKUP(A133,'Données projet'!$A$191:$I$211,3,0)),0,VLOOKUP(A133,'Données projet'!$A$191:$I$211,3,0))</f>
        <v>0</v>
      </c>
      <c r="ER133" s="154">
        <f>IF(ISNA(VLOOKUP(A133,'Données projet'!$A$191:$I$211,4,0)),0,VLOOKUP(A133,'Données projet'!$A$191:$I$211,4,0))</f>
        <v>0</v>
      </c>
      <c r="ES133" s="155">
        <f>IF(ISNA(VLOOKUP(A133,'Données projet'!$A$191:$I$211,5,0)),0%,VLOOKUP(A133,'Données projet'!$A$191:$I$211,5,0)*VLOOKUP('Données projet'!$B$15,'Paramètres'!$A$1:$I$88,7,0))</f>
        <v>0</v>
      </c>
      <c r="ET133" s="155">
        <f>IF(ISNA(VLOOKUP(A133,'Données projet'!$A$191:$I$211,6,0)),0%,VLOOKUP(A133,'Données projet'!$A$191:$I$211,6,0)*VLOOKUP('Données projet'!$B$15,'Paramètres'!$A$1:$I$88,7,0))</f>
        <v>0</v>
      </c>
      <c r="EU133" s="155">
        <f>IF(ISNA(VLOOKUP(A133,'Données projet'!$A$191:$I$211,7,0)),0%,VLOOKUP(A133,'Données projet'!$A$191:$I$211,7,0))</f>
        <v>0</v>
      </c>
      <c r="EV133" s="162" t="str">
        <f>EXP(-LN(2)/35)*EV132+(1-EXP(-LN(2)/35))/(LN(2)/35)*ER133*ES133*VLOOKUP('Données projet'!$B$15,'Paramètres'!$A$1:$I$88,3,0)*0.475*44/12</f>
        <v>#N/A</v>
      </c>
      <c r="EW133" s="162" t="str">
        <f>EXP(-LN(2)/25)*EW132+(1-EXP(-LN(2)/25))/(LN(2)/25)*Calculateur!ER133*Calculateur!ET133*VLOOKUP('Données projet'!$B$15,'Paramètres'!$A$1:$I$88,3,0)*0.475*44/12</f>
        <v>#N/A</v>
      </c>
      <c r="EX133" s="162" t="str">
        <f>EXP(-LN(2)/2)*EX132+(1-EXP(-LN(2)/2))/(LN(2)/2)*ER133*EU133*VLOOKUP('Données projet'!$B$15,'Paramètres'!$A$1:$I$88,3,0)*0.475*44/12</f>
        <v>#N/A</v>
      </c>
      <c r="EY133" s="163" t="str">
        <f t="shared" si="22"/>
        <v>#N/A</v>
      </c>
      <c r="EZ133" s="159">
        <f>('Scénario référence'!$F$8+'Scénario référence'!$F$9+'Scénario référence'!$B$17+'Scénario référence'!$B$9+'Scénario référence'!$B$10)*70+IF((45+25*(1-EXP(-0.0175*A133)))&lt;70,'Scénario référence'!$B$16*(45+25*(1-EXP(-0.0175*A133))),70*'Scénario référence'!$B$16)+IF((32+38*(1-EXP(-0.0175*A133)))&lt;70,'Scénario référence'!$B$18*(32+38*(1-EXP(-0.0175*A133))),70*'Scénario référence'!$B$18)</f>
        <v>70</v>
      </c>
      <c r="FA133" s="151">
        <f>IF(A133&gt;30,10,('Scénario référence'!$B$16+'Scénario référence'!$B$17+'Scénario référence'!$B$18+'Scénario référence'!$B$9+'Scénario référence'!$B$10)*A133*10/30+('Scénario référence'!$F$8+'Scénario référence'!$F$9)*10)</f>
        <v>10</v>
      </c>
      <c r="FB133" s="151" t="str">
        <f>VLOOKUP(A133,'Données projet'!$A$217:$I$237,2,0)</f>
        <v>#N/A</v>
      </c>
      <c r="FC133" s="151" t="str">
        <f>VLOOKUP(A133,'Données projet'!$A$217:$I$237,9,0)</f>
        <v>#N/A</v>
      </c>
      <c r="FD133" s="151" t="str">
        <f t="array" ref="FD133">INDEX(FC:FC,MIN(IF(ISNUMBER(FC133:FC329),ROW(FC133:FC329),"")))</f>
        <v/>
      </c>
      <c r="FE133" s="151">
        <f>IF('Données projet'!$A$218&gt;35,FE132+FD133-FM132,IF(A133&lt;'Données projet'!$A$218,$FB$205^A133,IF(A133='Données projet'!$A$218,'Données projet'!$B$218,FE132+FD133-FM132)))</f>
        <v>0</v>
      </c>
      <c r="FF133" s="158" t="str">
        <f>FE133*VLOOKUP('Données projet'!$B$16,'Paramètres'!$A$1:$I$88,3,0)*VLOOKUP('Données projet'!$B$16,'Paramètres'!$A$1:$I$88,5,0)</f>
        <v>#N/A</v>
      </c>
      <c r="FG133" s="150" t="str">
        <f t="shared" si="48"/>
        <v>#N/A</v>
      </c>
      <c r="FH133" s="161" t="str">
        <f t="shared" si="23"/>
        <v>#N/A</v>
      </c>
      <c r="FI133" s="153" t="str">
        <f t="shared" si="24"/>
        <v>#N/A</v>
      </c>
      <c r="FJ133" s="153" t="str">
        <f>AVERAGE(OFFSET($FI$3,0,0,'Données projet'!$E$16+1,1))-AVERAGE(OFFSET($H$3,0,0,'Données projet'!$E$16+1,1))</f>
        <v>#N/A</v>
      </c>
      <c r="FK133" s="153" t="str">
        <f t="shared" si="49"/>
        <v>#N/A</v>
      </c>
      <c r="FL133" s="154">
        <f>IF(ISNA(VLOOKUP(A133,'Données projet'!$A$217:$I$237,3,0)),0,VLOOKUP(A133,'Données projet'!$A$217:$I$237,3,0))</f>
        <v>0</v>
      </c>
      <c r="FM133" s="154">
        <f>IF(ISNA(VLOOKUP(A133,'Données projet'!$A$217:$I$237,4,0)),0,VLOOKUP(A133,'Données projet'!$A$217:$I$237,4,0))</f>
        <v>0</v>
      </c>
      <c r="FN133" s="155">
        <f>IF(ISNA(VLOOKUP(A133,'Données projet'!$A$217:$I$237,5,0)),0%,VLOOKUP(A133,'Données projet'!$A$217:$I$237,5,0)*VLOOKUP('Données projet'!$B$16,'Paramètres'!$A$1:$I$88,7,0))</f>
        <v>0</v>
      </c>
      <c r="FO133" s="155">
        <f>IF(ISNA(VLOOKUP(A133,'Données projet'!$A$217:$I$237,6,0)),0%,VLOOKUP(A133,'Données projet'!$A$217:$I$237,6,0)*VLOOKUP('Données projet'!$B$16,'Paramètres'!$A$1:$I$88,7,0))</f>
        <v>0</v>
      </c>
      <c r="FP133" s="155">
        <f>IF(ISNA(VLOOKUP(A133,'Données projet'!$A$217:$I$237,7,0)),0%,VLOOKUP(A133,'Données projet'!$A$217:$I$237,7,0))</f>
        <v>0</v>
      </c>
      <c r="FQ133" s="162" t="str">
        <f>EXP(-LN(2)/35)*FQ132+(1-EXP(-LN(2)/35))/(LN(2)/35)*FM133*FN133*VLOOKUP('Données projet'!$B$16,'Paramètres'!$A$1:$I$88,3,0)*0.475*44/12</f>
        <v>#N/A</v>
      </c>
      <c r="FR133" s="162" t="str">
        <f>EXP(-LN(2)/25)*FR132+(1-EXP(-LN(2)/25))/(LN(2)/25)*Calculateur!FM133*Calculateur!FO133*VLOOKUP('Données projet'!$B$16,'Paramètres'!$A$1:$I$88,3,0)*0.475*44/12</f>
        <v>#N/A</v>
      </c>
      <c r="FS133" s="162" t="str">
        <f>EXP(-LN(2)/2)*FS132+(1-EXP(-LN(2)/2))/(LN(2)/2)*FM133*FP133*VLOOKUP('Données projet'!$B$16,'Paramètres'!$A$1:$I$88,3,0)*0.475*44/12</f>
        <v>#N/A</v>
      </c>
      <c r="FT133" s="163" t="str">
        <f t="shared" si="25"/>
        <v>#N/A</v>
      </c>
      <c r="FU133" s="159">
        <f>('Scénario référence'!$F$8+'Scénario référence'!$F$9+'Scénario référence'!$B$17+'Scénario référence'!$B$9+'Scénario référence'!$B$10)*70+IF((45+25*(1-EXP(-0.0175*A133)))&lt;70,'Scénario référence'!$B$16*(45+25*(1-EXP(-0.0175*A133))),70*'Scénario référence'!$B$16)+IF((32+38*(1-EXP(-0.0175*A133)))&lt;70,'Scénario référence'!$B$18*(32+38*(1-EXP(-0.0175*A133))),70*'Scénario référence'!$B$18)</f>
        <v>70</v>
      </c>
      <c r="FV133" s="151">
        <f>IF(A133&gt;30,10,('Scénario référence'!$B$16+'Scénario référence'!$B$17+'Scénario référence'!$B$18+'Scénario référence'!$B$9+'Scénario référence'!$B$10)*A133*10/30+('Scénario référence'!$F$8+'Scénario référence'!$F$9)*10)</f>
        <v>10</v>
      </c>
      <c r="FW133" s="151" t="str">
        <f>VLOOKUP(A133,'Données projet'!$A$243:$I$263,2,0)</f>
        <v>#N/A</v>
      </c>
      <c r="FX133" s="151" t="str">
        <f>VLOOKUP(A133,'Données projet'!$A$243:$I$263,9,0)</f>
        <v>#N/A</v>
      </c>
      <c r="FY133" s="151" t="str">
        <f t="array" ref="FY133">INDEX(FX:FX,MIN(IF(ISNUMBER(FX133:FX329),ROW(FX133:FX329),"")))</f>
        <v/>
      </c>
      <c r="FZ133" s="151">
        <f>IF('Données projet'!$A$244&gt;35,FZ132+FY133-GH132,IF(A133&lt;'Données projet'!$A$244,$FW$205^A133,IF(A133='Données projet'!$A$244,'Données projet'!$B$244,FZ132+FY133-GH132)))</f>
        <v>0</v>
      </c>
      <c r="GA133" s="158" t="str">
        <f>FZ133*VLOOKUP('Données projet'!$B$17,'Paramètres'!$A$1:$I$88,3,0)*VLOOKUP('Données projet'!$B$17,'Paramètres'!$A$1:$I$88,5,0)</f>
        <v>#N/A</v>
      </c>
      <c r="GB133" s="150" t="str">
        <f t="shared" si="50"/>
        <v>#N/A</v>
      </c>
      <c r="GC133" s="161" t="str">
        <f t="shared" si="26"/>
        <v>#N/A</v>
      </c>
      <c r="GD133" s="153" t="str">
        <f t="shared" si="27"/>
        <v>#N/A</v>
      </c>
      <c r="GE133" s="153" t="str">
        <f>AVERAGE(OFFSET($GD$3,0,0,'Données projet'!$E$17+1,1))-AVERAGE(OFFSET($H$3,0,0,'Données projet'!$E$17+1,1))</f>
        <v>#N/A</v>
      </c>
      <c r="GF133" s="153" t="str">
        <f t="shared" si="51"/>
        <v>#N/A</v>
      </c>
      <c r="GG133" s="154">
        <f>IF(ISNA(VLOOKUP(A133,'Données projet'!$A$243:$I$263,3,0)),0,VLOOKUP(A133,'Données projet'!$A$243:$I$263,3,0))</f>
        <v>0</v>
      </c>
      <c r="GH133" s="154">
        <f>IF(ISNA(VLOOKUP(A133,'Données projet'!$A$243:$I$263,4,0)),0,VLOOKUP(A133,'Données projet'!$A$243:$I$263,4,0))</f>
        <v>0</v>
      </c>
      <c r="GI133" s="155">
        <f>IF(ISNA(VLOOKUP(A133,'Données projet'!$A$243:$I$263,5,0)),0%,VLOOKUP(A133,'Données projet'!$A$243:$I$263,5,0)*VLOOKUP('Données projet'!$B$17,'Paramètres'!$A$1:$I$88,7,0))</f>
        <v>0</v>
      </c>
      <c r="GJ133" s="155">
        <f>IF(ISNA(VLOOKUP(A133,'Données projet'!$A$243:$I$263,6,0)),0%,VLOOKUP(A133,'Données projet'!$A$243:$I$263,6,0)*VLOOKUP('Données projet'!$B$17,'Paramètres'!$A$1:$I$88,7,0))</f>
        <v>0</v>
      </c>
      <c r="GK133" s="155">
        <f>IF(ISNA(VLOOKUP(A133,'Données projet'!$A$243:$I$263,7,0)),0%,VLOOKUP(A133,'Données projet'!$A$243:$I$263,7,0))</f>
        <v>0</v>
      </c>
      <c r="GL133" s="162" t="str">
        <f>EXP(-LN(2)/35)*GL132+(1-EXP(-LN(2)/35))/(LN(2)/35)*GH133*GI133*VLOOKUP('Données projet'!$B$17,'Paramètres'!$A$1:$I$88,3,0)*0.475*44/12</f>
        <v>#N/A</v>
      </c>
      <c r="GM133" s="162" t="str">
        <f>EXP(-LN(2)/25)*GM132+(1-EXP(-LN(2)/25))/(LN(2)/25)*Calculateur!GH133*Calculateur!GJ133*VLOOKUP('Données projet'!$B$17,'Paramètres'!$A$1:$I$88,3,0)*0.475*44/12</f>
        <v>#N/A</v>
      </c>
      <c r="GN133" s="162" t="str">
        <f>EXP(-LN(2)/2)*GN132+(1-EXP(-LN(2)/2))/(LN(2)/2)*GH133*GK133*VLOOKUP('Données projet'!$B$17,'Paramètres'!$A$1:$I$88,3,0)*0.475*44/12</f>
        <v>#N/A</v>
      </c>
      <c r="GO133" s="162" t="str">
        <f t="shared" si="28"/>
        <v>#N/A</v>
      </c>
      <c r="GP133" s="159">
        <f>('Scénario référence'!$F$8+'Scénario référence'!$F$9+'Scénario référence'!$B$17+'Scénario référence'!$B$9+'Scénario référence'!$B$10)*70+IF((45+25*(1-EXP(-0.0175*A133)))&lt;70,'Scénario référence'!$B$16*(45+25*(1-EXP(-0.0175*A133))),70*'Scénario référence'!$B$16)+IF((32+38*(1-EXP(-0.0175*A133)))&lt;70,'Scénario référence'!$B$18*(32+38*(1-EXP(-0.0175*A133))),70*'Scénario référence'!$B$18)</f>
        <v>70</v>
      </c>
      <c r="GQ133" s="151">
        <f>IF(A133&gt;30,10,('Scénario référence'!$B$16+'Scénario référence'!$B$17+'Scénario référence'!$B$18+'Scénario référence'!$B$9+'Scénario référence'!$B$10)*A133*10/30+('Scénario référence'!$F$8+'Scénario référence'!$F$9)*10)</f>
        <v>10</v>
      </c>
      <c r="GR133" s="151" t="str">
        <f>VLOOKUP(A133,'Données projet'!$A$269:$I$289,2,0)</f>
        <v>#N/A</v>
      </c>
      <c r="GS133" s="151" t="str">
        <f>VLOOKUP(A133,'Données projet'!$A$269:$I$289,9,0)</f>
        <v>#N/A</v>
      </c>
      <c r="GT133" s="151" t="str">
        <f t="array" ref="GT133">INDEX(GS:GS,MIN(IF(ISNUMBER(GS133:GS329),ROW(GS133:GS329),"")))</f>
        <v/>
      </c>
      <c r="GU133" s="151">
        <f>IF('Données projet'!$A$270&gt;35,GU132+GT133-HC132,IF(A133&lt;'Données projet'!$A$270,$GR$205^A133,IF(A133='Données projet'!$A$270,'Données projet'!$B$270,GU132+GT133-HC132)))</f>
        <v>0</v>
      </c>
      <c r="GV133" s="158" t="str">
        <f>GU133*VLOOKUP('Données projet'!$B$18,'Paramètres'!$A$1:$I$88,3,0)*VLOOKUP('Données projet'!$B$18,'Paramètres'!$A$1:$I$88,5,0)</f>
        <v>#N/A</v>
      </c>
      <c r="GW133" s="150" t="str">
        <f t="shared" si="52"/>
        <v>#N/A</v>
      </c>
      <c r="GX133" s="161" t="str">
        <f t="shared" si="29"/>
        <v>#N/A</v>
      </c>
      <c r="GY133" s="153" t="str">
        <f t="shared" si="30"/>
        <v>#N/A</v>
      </c>
      <c r="GZ133" s="153" t="str">
        <f>AVERAGE(OFFSET($GY$3,0,0,'Données projet'!$E$18+1,1))-AVERAGE(OFFSET($H$3,0,0,'Données projet'!$E$18+1,1))</f>
        <v>#N/A</v>
      </c>
      <c r="HA133" s="153" t="str">
        <f t="shared" si="53"/>
        <v>#N/A</v>
      </c>
      <c r="HB133" s="154">
        <f>IF(ISNA(VLOOKUP(A133,'Données projet'!$A$269:$I$289,3,0)),0,VLOOKUP(A133,'Données projet'!$A$269:$I$289,3,0))</f>
        <v>0</v>
      </c>
      <c r="HC133" s="154">
        <f>IF(ISNA(VLOOKUP(A133,'Données projet'!$A$269:$I$289,4,0)),0,VLOOKUP(A133,'Données projet'!$A$269:$I$289,4,0))</f>
        <v>0</v>
      </c>
      <c r="HD133" s="155">
        <f>IF(ISNA(VLOOKUP(A133,'Données projet'!$A$269:$I$289,5,0)),0%,VLOOKUP(A133,'Données projet'!$A$269:$I$289,5,0)*VLOOKUP('Données projet'!$B$18,'Paramètres'!$A$1:$I$88,7,0))</f>
        <v>0</v>
      </c>
      <c r="HE133" s="155">
        <f>IF(ISNA(VLOOKUP(A133,'Données projet'!$A$269:$I$289,6,0)),0%,VLOOKUP(A133,'Données projet'!$A$269:$I$289,6,0)*VLOOKUP('Données projet'!$B$18,'Paramètres'!$A$1:$I$88,7,0))</f>
        <v>0</v>
      </c>
      <c r="HF133" s="155">
        <f>IF(ISNA(VLOOKUP(A133,'Données projet'!$A$269:$I$289,7,0)),0%,VLOOKUP(A133,'Données projet'!$A$269:$I$289,7,0))</f>
        <v>0</v>
      </c>
      <c r="HG133" s="162" t="str">
        <f>EXP(-LN(2)/35)*HG132+(1-EXP(-LN(2)/35))/(LN(2)/35)*HC133*HD133*VLOOKUP('Données projet'!$B$18,'Paramètres'!$A$1:$I$88,3,0)*0.475*44/12</f>
        <v>#N/A</v>
      </c>
      <c r="HH133" s="162" t="str">
        <f>EXP(-LN(2)/25)*HH132+(1-EXP(-LN(2)/25))/(LN(2)/25)*Calculateur!HC133*Calculateur!HE133*VLOOKUP('Données projet'!$B$18,'Paramètres'!$A$1:$I$88,3,0)*0.475*44/12</f>
        <v>#N/A</v>
      </c>
      <c r="HI133" s="162" t="str">
        <f>EXP(-LN(2)/2)*HI132+(1-EXP(-LN(2)/2))/(LN(2)/2)*HC133*HF133*VLOOKUP('Données projet'!$B$18,'Paramètres'!$A$1:$I$88,3,0)*0.475*44/12</f>
        <v>#N/A</v>
      </c>
      <c r="HJ133" s="163" t="str">
        <f t="shared" si="31"/>
        <v>#N/A</v>
      </c>
    </row>
    <row r="134" ht="15.75" customHeight="1">
      <c r="A134" s="145">
        <f t="shared" si="32"/>
        <v>131</v>
      </c>
      <c r="B134" s="146">
        <f>'Scénario référence'!$B$16*5+'Scénario référence'!$B$17*0+'Scénario référence'!$B$18*5</f>
        <v>0</v>
      </c>
      <c r="C134" s="160">
        <f>Calculateur!C133+'Scénario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34" s="147">
        <f t="shared" si="33"/>
        <v>0</v>
      </c>
      <c r="E134" s="147">
        <f>'Scénario référence'!$B$16*45+('Scénario référence'!$B$17+'Scénario référence'!$F$8+'Scénario référence'!$F$9+'Scénario référence'!$B$10+'Scénario référence'!$B$9)*70+'Scénario référence'!$B$18*32</f>
        <v>70</v>
      </c>
      <c r="F134" s="147">
        <f>IF(OR('Scénario référence'!$F$8&gt;0,'Scénario référence'!$F$9&gt;0),('Scénario référence'!$F$8+'Scénario référence'!$F$9)*10,0)</f>
        <v>0</v>
      </c>
      <c r="G134" s="147">
        <f>'Scénario référence'!$B$8*B134*44/12+'Scénario référence'!$B$9*(C134+D134)/0.475*44/12+'Scénario référence'!$B$10*(C134+D134)/0.475*44/12+'Scénario référence'!$F$8*(C134+D134)/0.475*44/12+'Scénario référence'!$F$9*(C134+D134)/0.475*44/12</f>
        <v>0</v>
      </c>
      <c r="H134" s="148">
        <f t="shared" si="1"/>
        <v>256.6666667</v>
      </c>
      <c r="I134" s="149">
        <f>('Scénario référence'!$F$8+'Scénario référence'!$F$9+'Scénario référence'!$B$17+'Scénario référence'!$B$9+'Scénario référence'!$B$10)*70+IF((45+25*(1-EXP(-0.0175*A134)))&lt;70,'Scénario référence'!$B$16*(45+25*(1-EXP(-0.0175*A134))),70*'Scénario référence'!$B$16)+IF((32+38*(1-EXP(-0.0175*A134)))&lt;70,'Scénario référence'!$B$18*(32+38*(1-EXP(-0.0175*A134))),70*'Scénario référence'!$B$18)</f>
        <v>70</v>
      </c>
      <c r="J134" s="150">
        <f>IF(A134&gt;30,10,('Scénario référence'!$B$16+'Scénario référence'!$B$17+'Scénario référence'!$B$18+'Scénario référence'!$B$9+'Scénario référence'!$B$10)*A134*10/30+('Scénario référence'!$F$8+'Scénario référence'!$F$9)*10)</f>
        <v>10</v>
      </c>
      <c r="K134" s="151" t="str">
        <f>VLOOKUP(A134,'Données projet'!$A$35:$I$55,2,0)</f>
        <v>#N/A</v>
      </c>
      <c r="L134" s="151" t="str">
        <f>VLOOKUP(A134,'Données projet'!$A$35:$I$55,9,0)</f>
        <v>#N/A</v>
      </c>
      <c r="M134" s="151" t="str">
        <f t="array" ref="M134">INDEX(L:L,MIN(IF(ISNUMBER(L134:L330),ROW(L134:L330),"")))</f>
        <v/>
      </c>
      <c r="N134" s="150">
        <f>IF('Données projet'!$A$36&gt;35,N133+M134-V133,IF(A134&lt;'Données projet'!$A$36,$K$205^A134,IF(A134='Données projet'!$A$36,'Données projet'!$B$36,N133+M134-V133)))</f>
        <v>307</v>
      </c>
      <c r="O134" s="150">
        <f>N134*VLOOKUP('Données projet'!$B$9,'Paramètres'!$A$1:$I$88,3,0)*VLOOKUP('Données projet'!$B$9,'Paramètres'!$A$1:$I$88,5,0)</f>
        <v>277.7736</v>
      </c>
      <c r="P134" s="150">
        <f t="shared" si="34"/>
        <v>66.49628818</v>
      </c>
      <c r="Q134" s="161">
        <f t="shared" si="2"/>
        <v>599.6033886</v>
      </c>
      <c r="R134" s="153">
        <f t="shared" si="3"/>
        <v>892.9367219</v>
      </c>
      <c r="S134" s="153">
        <f>AVERAGE(OFFSET($R$3,0,0,'Données projet'!$E$9+1,1))-AVERAGE(OFFSET($H$3,0,0,'Données projet'!$E$9+1,1))</f>
        <v>439.1985427</v>
      </c>
      <c r="T134" s="153">
        <f t="shared" si="35"/>
        <v>278.2174123</v>
      </c>
      <c r="U134" s="154">
        <f>IF(ISNA(VLOOKUP(A134,'Données projet'!$A$35:$I$55,3,0)),0,VLOOKUP(A134,'Données projet'!$A$35:$I$55,3,0))</f>
        <v>0</v>
      </c>
      <c r="V134" s="154">
        <f>IF(ISNA(VLOOKUP(A134,'Données projet'!$A$35:$I$55,4,0)),0,VLOOKUP(A134,'Données projet'!$A$35:$I$55,4,0))</f>
        <v>0</v>
      </c>
      <c r="W134" s="155">
        <f>IF(ISNA(VLOOKUP(A134,'Données projet'!$A$35:$I$55,5,0)),0%,VLOOKUP(A134,'Données projet'!$A$35:$I$55,5,0)*VLOOKUP('Données projet'!$B$9,'Paramètres'!$A$1:$I$88,7,0))</f>
        <v>0</v>
      </c>
      <c r="X134" s="155">
        <f>IF(ISNA(VLOOKUP(A134,'Données projet'!$A$35:$I$55,6,0)),0%,VLOOKUP(A134,'Données projet'!$A$35:$I$55,6,0)*VLOOKUP('Données projet'!$B$9,'Paramètres'!$A$1:$I$88,7,0))</f>
        <v>0</v>
      </c>
      <c r="Y134" s="155">
        <f>IF(ISNA(VLOOKUP(A134,'Données projet'!$A$35:$I$55,7,0)),0%,VLOOKUP(A134,'Données projet'!$A$35:$I$55,7,0))</f>
        <v>0</v>
      </c>
      <c r="Z134" s="162">
        <f>EXP(-LN(2)/35)*Z133+(1-EXP(-LN(2)/35))/(LN(2)/35)*V134*W134*VLOOKUP('Données projet'!$B$9,'Paramètres'!$A$1:$I$88,3,0)*0.475*44/12</f>
        <v>0</v>
      </c>
      <c r="AA134" s="162">
        <f>EXP(-LN(2)/25)*AA133+(1-EXP(-LN(2)/25))/(LN(2)/25)*Calculateur!V134*Calculateur!X134*VLOOKUP('Données projet'!$B$9,'Paramètres'!$A$1:$I$88,3,0)*0.475*44/12</f>
        <v>0.2728042278</v>
      </c>
      <c r="AB134" s="162">
        <f>EXP(-LN(2)/2)*AB133+(1-EXP(-LN(2)/2))/(LN(2)/2)*V134*Y134*VLOOKUP('Données projet'!$B$9,'Paramètres'!$A$1:$I$88,3,0)*0.475*44/12</f>
        <v>0</v>
      </c>
      <c r="AC134" s="163">
        <f t="shared" si="4"/>
        <v>0.2728042278</v>
      </c>
      <c r="AD134" s="150">
        <f>('Scénario référence'!$F$8+'Scénario référence'!$F$9+'Scénario référence'!$B$17+'Scénario référence'!$B$9+'Scénario référence'!$B$10)*70+IF((45+25*(1-EXP(-0.0175*A134)))&lt;70,'Scénario référence'!$B$16*(45+25*(1-EXP(-0.0175*A134))),70*'Scénario référence'!$B$16)+IF((32+38*(1-EXP(-0.0175*A134)))&lt;70,'Scénario référence'!$B$18*(32+38*(1-EXP(-0.0175*A134))),70*'Scénario référence'!$B$18)</f>
        <v>70</v>
      </c>
      <c r="AE134" s="150">
        <f>IF(A134&gt;30,10,('Scénario référence'!$B$16+'Scénario référence'!$B$17+'Scénario référence'!$B$18+'Scénario référence'!$B$9+'Scénario référence'!$B$10)*A134*10/30+('Scénario référence'!$F$8+'Scénario référence'!$F$9)*10)</f>
        <v>10</v>
      </c>
      <c r="AF134" s="151" t="str">
        <f>VLOOKUP(A134,'Données projet'!$A$61:$I$81,2,0)</f>
        <v>#N/A</v>
      </c>
      <c r="AG134" s="151" t="str">
        <f>VLOOKUP(A134,'Données projet'!$A$61:$I$81,9,0)</f>
        <v>#N/A</v>
      </c>
      <c r="AH134" s="151" t="str">
        <f t="array" ref="AH134">INDEX(AG:AG,MIN(IF(ISNUMBER(AG134:AG330),ROW(AG134:AG330),"")))</f>
        <v/>
      </c>
      <c r="AI134" s="150">
        <f>IF('Données projet'!$A$62&gt;35,AI133+AH134-AQ133,IF(A134&lt;'Données projet'!$A$62,$AF$205^A134,IF(A134='Données projet'!$A$62,'Données projet'!$B$62,AI133+AH134-AQ133)))</f>
        <v>369</v>
      </c>
      <c r="AJ134" s="150">
        <f>AI134*VLOOKUP('Données projet'!$B$10,'Paramètres'!$A$1:$I$88,3,0)*VLOOKUP('Données projet'!$B$10,'Paramètres'!$A$1:$I$88,5,0)</f>
        <v>293.5764</v>
      </c>
      <c r="AK134" s="150">
        <f t="shared" si="36"/>
        <v>69.82813851</v>
      </c>
      <c r="AL134" s="161">
        <f t="shared" si="5"/>
        <v>632.9295712</v>
      </c>
      <c r="AM134" s="153">
        <f t="shared" si="6"/>
        <v>926.2629046</v>
      </c>
      <c r="AN134" s="153">
        <f>AVERAGE(OFFSET($AM$3,0,0,'Données projet'!$E$10+1,1))-AVERAGE(OFFSET($H$3,0,0,'Données projet'!$E$10+1,1))</f>
        <v>405.6113614</v>
      </c>
      <c r="AO134" s="153">
        <f t="shared" si="37"/>
        <v>393.0787141</v>
      </c>
      <c r="AP134" s="154">
        <f>IF(ISNA(VLOOKUP(A134,'Données projet'!$A$61:$I$81,3,0)),0,VLOOKUP(A134,'Données projet'!$A$61:$I$81,3,0))</f>
        <v>0</v>
      </c>
      <c r="AQ134" s="154">
        <f>IF(ISNA(VLOOKUP(A134,'Données projet'!$A$61:$I$81,4,0)),0,VLOOKUP(A134,'Données projet'!$A$61:$I$81,4,0))</f>
        <v>0</v>
      </c>
      <c r="AR134" s="155">
        <f>IF(ISNA(VLOOKUP(A134,'Données projet'!$A$61:$I$81,5,0)),0%,VLOOKUP(A134,'Données projet'!$A$61:$I$81,5,0)*VLOOKUP('Données projet'!$B$10,'Paramètres'!$A$1:$I$88,7,0))</f>
        <v>0</v>
      </c>
      <c r="AS134" s="155">
        <f>IF(ISNA(VLOOKUP(A134,'Données projet'!$A$61:$I$81,6,0)),0%,VLOOKUP(A134,'Données projet'!$A$61:$I$81,6,0)*VLOOKUP('Données projet'!$B$10,'Paramètres'!$A$1:$I$88,7,0))</f>
        <v>0</v>
      </c>
      <c r="AT134" s="155">
        <f>IF(ISNA(VLOOKUP(A134,'Données projet'!$A$61:$I$81,7,0)),0%,VLOOKUP(A134,'Données projet'!$A$61:$I$81,7,0))</f>
        <v>0</v>
      </c>
      <c r="AU134" s="162">
        <f>EXP(-LN(2)/35)*AU133+(1-EXP(-LN(2)/35))/(LN(2)/35)*AQ134*AR134*VLOOKUP('Données projet'!$B$10,'Paramètres'!$A$1:$I$88,3,0)*0.475*44/12</f>
        <v>0</v>
      </c>
      <c r="AV134" s="162">
        <f>EXP(-LN(2)/25)*AV133+(1-EXP(-LN(2)/25))/(LN(2)/25)*Calculateur!AQ134*Calculateur!AS134*VLOOKUP('Données projet'!$B$10,'Paramètres'!$A$1:$I$88,3,0)*0.475*44/12</f>
        <v>1.108745731</v>
      </c>
      <c r="AW134" s="162">
        <f>EXP(-LN(2)/2)*AW133+(1-EXP(-LN(2)/2))/(LN(2)/2)*AQ134*AT134*VLOOKUP('Données projet'!$B$10,'Paramètres'!$A$1:$I$88,3,0)*0.475*44/12</f>
        <v>0</v>
      </c>
      <c r="AX134" s="162">
        <f t="shared" si="7"/>
        <v>1.108745731</v>
      </c>
      <c r="AY134" s="157">
        <f>('Scénario référence'!$F$8+'Scénario référence'!$F$9+'Scénario référence'!$B$17+'Scénario référence'!$B$9+'Scénario référence'!$B$10)*70+IF((45+25*(1-EXP(-0.0175*A134)))&lt;70,'Scénario référence'!$B$16*(45+25*(1-EXP(-0.0175*A134))),70*'Scénario référence'!$B$16)+IF((32+38*(1-EXP(-0.0175*A134)))&lt;70,'Scénario référence'!$B$18*(32+38*(1-EXP(-0.0175*A134))),70*'Scénario référence'!$B$18)</f>
        <v>70</v>
      </c>
      <c r="AZ134" s="151">
        <f>IF(A134&gt;30,10,('Scénario référence'!$B$16+'Scénario référence'!$B$17+'Scénario référence'!$B$18+'Scénario référence'!$B$9+'Scénario référence'!$B$10)*A134*10/30+('Scénario référence'!$F$8+'Scénario référence'!$F$9)*10)</f>
        <v>10</v>
      </c>
      <c r="BA134" s="151" t="str">
        <f>VLOOKUP(A134,'Données projet'!$A$87:$I$107,2,0)</f>
        <v>#N/A</v>
      </c>
      <c r="BB134" s="151" t="str">
        <f>VLOOKUP(A134,'Données projet'!$A$87:$I$107,9,0)</f>
        <v>#N/A</v>
      </c>
      <c r="BC134" s="151" t="str">
        <f t="array" ref="BC134">INDEX(BB:BB,MIN(IF(ISNUMBER(BB134:BB330),ROW(BB134:BB330),"")))</f>
        <v/>
      </c>
      <c r="BD134" s="150">
        <f>IF('Données projet'!$A$88&gt;35,BD133+BC134-BL133,IF(A134&lt;'Données projet'!$A$88,$BA$205^A134,IF(A134='Données projet'!$A$88,'Données projet'!$B$88,BD133+BC134-BL133)))</f>
        <v>0</v>
      </c>
      <c r="BE134" s="150">
        <f>BD134*VLOOKUP('Données projet'!$B$11,'Paramètres'!$A$1:$I$88,3,0)*VLOOKUP('Données projet'!$B$11,'Paramètres'!$A$1:$I$88,5,0)</f>
        <v>0</v>
      </c>
      <c r="BF134" s="150" t="str">
        <f t="shared" si="38"/>
        <v>#NUM!</v>
      </c>
      <c r="BG134" s="161" t="str">
        <f t="shared" si="8"/>
        <v>#NUM!</v>
      </c>
      <c r="BH134" s="153" t="str">
        <f t="shared" si="9"/>
        <v>#NUM!</v>
      </c>
      <c r="BI134" s="153">
        <f>AVERAGE(OFFSET($BH$3,0,0,'Données projet'!$E$11+1,1))-AVERAGE(OFFSET($H$3,0,0,'Données projet'!$E$11+1,1))</f>
        <v>0</v>
      </c>
      <c r="BJ134" s="153">
        <f t="shared" si="39"/>
        <v>0</v>
      </c>
      <c r="BK134" s="154">
        <f>IF(ISNA(VLOOKUP(A134,'Données projet'!$A$87:$I$107,3,0)),0,VLOOKUP(A134,'Données projet'!$A$87:$I$107,3,0))</f>
        <v>0</v>
      </c>
      <c r="BL134" s="154">
        <f>IF(ISNA(VLOOKUP(A134,'Données projet'!$A$87:$I$107,4,0)),0,VLOOKUP(A134,'Données projet'!$A$87:$I$107,4,0))</f>
        <v>0</v>
      </c>
      <c r="BM134" s="155">
        <f>IF(ISNA(VLOOKUP(A134,'Données projet'!$A$87:$I$107,5,0)),0%,VLOOKUP(A134,'Données projet'!$A$87:$I$107,5,0)*VLOOKUP('Données projet'!$B$11,'Paramètres'!$A$1:$I$88,7,0))</f>
        <v>0</v>
      </c>
      <c r="BN134" s="155">
        <f>IF(ISNA(VLOOKUP(A134,'Données projet'!$A$87:$I$107,6,0)),0%,VLOOKUP(A134,'Données projet'!$A$87:$I$107,6,0)*VLOOKUP('Données projet'!$B$11,'Paramètres'!$A$1:$I$88,7,0))</f>
        <v>0</v>
      </c>
      <c r="BO134" s="155">
        <f>IF(ISNA(VLOOKUP(A134,'Données projet'!$A$87:$I$107,7,0)),0%,VLOOKUP(A134,'Données projet'!$A$87:$I$107,7,0))</f>
        <v>0</v>
      </c>
      <c r="BP134" s="162">
        <f>EXP(-LN(2)/35)*BP133+(1-EXP(-LN(2)/35))/(LN(2)/35)*BL134*BM134*VLOOKUP('Données projet'!$B$11,'Paramètres'!$A$1:$I$88,3,0)*0.475*44/12</f>
        <v>0</v>
      </c>
      <c r="BQ134" s="162">
        <f>EXP(-LN(2)/25)*BQ133+(1-EXP(-LN(2)/25))/(LN(2)/25)*Calculateur!BL134*Calculateur!BN134*VLOOKUP('Données projet'!$B$11,'Paramètres'!$A$1:$I$88,3,0)*0.475*44/12</f>
        <v>0</v>
      </c>
      <c r="BR134" s="162">
        <f>EXP(-LN(2)/2)*BR133+(1-EXP(-LN(2)/2))/(LN(2)/2)*BL134*BO134*VLOOKUP('Données projet'!$B$11,'Paramètres'!$A$1:$I$88,3,0)*0.475*44/12</f>
        <v>0</v>
      </c>
      <c r="BS134" s="163">
        <f t="shared" si="10"/>
        <v>0</v>
      </c>
      <c r="BT134" s="159">
        <f>('Scénario référence'!$F$8+'Scénario référence'!$F$9+'Scénario référence'!$B$17+'Scénario référence'!$B$9+'Scénario référence'!$B$10)*70+IF((45+25*(1-EXP(-0.0175*A134)))&lt;70,'Scénario référence'!$B$16*(45+25*(1-EXP(-0.0175*A134))),70*'Scénario référence'!$B$16)+IF((32+38*(1-EXP(-0.0175*A134)))&lt;70,'Scénario référence'!$B$18*(32+38*(1-EXP(-0.0175*A134))),70*'Scénario référence'!$B$18)</f>
        <v>70</v>
      </c>
      <c r="BU134" s="151">
        <f>IF(A134&gt;30,10,('Scénario référence'!$B$16+'Scénario référence'!$B$17+'Scénario référence'!$B$18+'Scénario référence'!$B$9+'Scénario référence'!$B$10)*A134*10/30+('Scénario référence'!$F$8+'Scénario référence'!$F$9)*10)</f>
        <v>10</v>
      </c>
      <c r="BV134" s="151" t="str">
        <f>VLOOKUP(A134,'Données projet'!$A$113:$I$133,2,0)</f>
        <v>#N/A</v>
      </c>
      <c r="BW134" s="151" t="str">
        <f>VLOOKUP(A134,'Données projet'!$A$113:$I$133,9,0)</f>
        <v>#N/A</v>
      </c>
      <c r="BX134" s="151" t="str">
        <f t="array" ref="BX134">INDEX(BW:BW,MIN(IF(ISNUMBER(BW134:BW330),ROW(BW134:BW330),"")))</f>
        <v/>
      </c>
      <c r="BY134" s="150">
        <f>IF('Données projet'!$A$114&gt;35,BY133+BX134-CG133,IF(A134&lt;'Données projet'!$A$114,$BV$205^A134,IF(A134='Données projet'!$A$114,'Données projet'!$B$114,BY133+BX134-CG133)))</f>
        <v>0</v>
      </c>
      <c r="BZ134" s="150" t="str">
        <f>BY134*VLOOKUP('Données projet'!$B$12,'Paramètres'!$A$1:$I$88,3,0)*VLOOKUP('Données projet'!$B$12,'Paramètres'!$A$1:$I$88,5,0)</f>
        <v>#N/A</v>
      </c>
      <c r="CA134" s="150" t="str">
        <f t="shared" si="40"/>
        <v>#N/A</v>
      </c>
      <c r="CB134" s="161" t="str">
        <f t="shared" si="11"/>
        <v>#N/A</v>
      </c>
      <c r="CC134" s="153" t="str">
        <f t="shared" si="12"/>
        <v>#N/A</v>
      </c>
      <c r="CD134" s="153" t="str">
        <f>AVERAGE(OFFSET($CC$3,0,0,'Données projet'!$E$12+1,1))-AVERAGE(OFFSET($H$3,0,0,'Données projet'!$E$12+1,1))</f>
        <v>#N/A</v>
      </c>
      <c r="CE134" s="153" t="str">
        <f t="shared" si="41"/>
        <v>#N/A</v>
      </c>
      <c r="CF134" s="154">
        <f>IF(ISNA(VLOOKUP(A134,'Données projet'!$A$113:$I$133,3,0)),0,VLOOKUP(A134,'Données projet'!$A$113:$I$133,3,0))</f>
        <v>0</v>
      </c>
      <c r="CG134" s="154">
        <f>IF(ISNA(VLOOKUP(A134,'Données projet'!$A$113:$I$133,4,0)),0,VLOOKUP(A134,'Données projet'!$A$113:$I$133,4,0))</f>
        <v>0</v>
      </c>
      <c r="CH134" s="155">
        <f>IF(ISNA(VLOOKUP(A134,'Données projet'!$A$113:$I$133,5,0)),0%,VLOOKUP(A134,'Données projet'!$A$113:$I$133,5,0)*VLOOKUP('Données projet'!$B$12,'Paramètres'!$A$1:$I$88,7,0))</f>
        <v>0</v>
      </c>
      <c r="CI134" s="155">
        <f>IF(ISNA(VLOOKUP(A134,'Données projet'!$A$113:$I$133,6,0)),0%,VLOOKUP(A134,'Données projet'!$A$113:$I$133,6,0)*VLOOKUP('Données projet'!$B$12,'Paramètres'!$A$1:$I$88,7,0))</f>
        <v>0</v>
      </c>
      <c r="CJ134" s="155">
        <f>IF(ISNA(VLOOKUP(A134,'Données projet'!$A$113:$I$133,7,0)),0%,VLOOKUP(A134,'Données projet'!$A$113:$I$133,7,0))</f>
        <v>0</v>
      </c>
      <c r="CK134" s="162" t="str">
        <f>EXP(-LN(2)/35)*CK133+(1-EXP(-LN(2)/35))/(LN(2)/35)*CG134*CH134*VLOOKUP('Données projet'!$B$12,'Paramètres'!$A$1:$I$88,3,0)*0.475*44/12</f>
        <v>#N/A</v>
      </c>
      <c r="CL134" s="162" t="str">
        <f>EXP(-LN(2)/25)*CL133+(1-EXP(-LN(2)/25))/(LN(2)/25)*Calculateur!CG134*Calculateur!CI134*VLOOKUP('Données projet'!$B$12,'Paramètres'!$A$1:$I$88,3,0)*0.475*44/12</f>
        <v>#N/A</v>
      </c>
      <c r="CM134" s="162" t="str">
        <f>EXP(-LN(2)/2)*CM133+(1-EXP(-LN(2)/2))/(LN(2)/2)*CG134*CJ134*VLOOKUP('Données projet'!$B$12,'Paramètres'!$A$1:$I$88,3,0)*0.475*44/12</f>
        <v>#N/A</v>
      </c>
      <c r="CN134" s="163" t="str">
        <f t="shared" si="13"/>
        <v>#N/A</v>
      </c>
      <c r="CO134" s="159">
        <f>('Scénario référence'!$F$8+'Scénario référence'!$F$9+'Scénario référence'!$B$17+'Scénario référence'!$B$9+'Scénario référence'!$B$10)*70+IF((45+25*(1-EXP(-0.0175*A134)))&lt;70,'Scénario référence'!$B$16*(45+25*(1-EXP(-0.0175*A134))),70*'Scénario référence'!$B$16)+IF((32+38*(1-EXP(-0.0175*A134)))&lt;70,'Scénario référence'!$B$18*(32+38*(1-EXP(-0.0175*A134))),70*'Scénario référence'!$B$18)</f>
        <v>70</v>
      </c>
      <c r="CP134" s="151">
        <f>IF(A134&gt;30,10,('Scénario référence'!$B$16+'Scénario référence'!$B$17+'Scénario référence'!$B$18+'Scénario référence'!$B$9+'Scénario référence'!$B$10)*A134*10/30+('Scénario référence'!$F$8+'Scénario référence'!$F$9)*10)</f>
        <v>10</v>
      </c>
      <c r="CQ134" s="151" t="str">
        <f>VLOOKUP(A134,'Données projet'!$A$139:$I$159,2,0)</f>
        <v>#N/A</v>
      </c>
      <c r="CR134" s="151" t="str">
        <f>VLOOKUP(A134,'Données projet'!$A$139:$I$159,9,0)</f>
        <v>#N/A</v>
      </c>
      <c r="CS134" s="151" t="str">
        <f t="array" ref="CS134">INDEX(CR:CR,MIN(IF(ISNUMBER(CR134:CR330),ROW(CR134:CR330),"")))</f>
        <v/>
      </c>
      <c r="CT134" s="151">
        <f>IF('Données projet'!$A$140&gt;35,CT133+CS134-DB133,IF(A134&lt;'Données projet'!$A$140,$CQ$205^A134,IF(A134='Données projet'!$A$140,'Données projet'!$B$140,CT133+CS134-DB133)))</f>
        <v>0</v>
      </c>
      <c r="CU134" s="158" t="str">
        <f>CT134*VLOOKUP('Données projet'!$B$13,'Paramètres'!$A$1:$I$88,3,0)*VLOOKUP('Données projet'!$B$13,'Paramètres'!$A$1:$I$88,5,0)</f>
        <v>#N/A</v>
      </c>
      <c r="CV134" s="150" t="str">
        <f t="shared" si="42"/>
        <v>#N/A</v>
      </c>
      <c r="CW134" s="161" t="str">
        <f t="shared" si="14"/>
        <v>#N/A</v>
      </c>
      <c r="CX134" s="153" t="str">
        <f t="shared" si="15"/>
        <v>#N/A</v>
      </c>
      <c r="CY134" s="153" t="str">
        <f>AVERAGE(OFFSET($CX$3,0,0,'Données projet'!$E$13+1,1))-AVERAGE(OFFSET($H$3,0,0,'Données projet'!$E$13+1,1))</f>
        <v>#N/A</v>
      </c>
      <c r="CZ134" s="153" t="str">
        <f t="shared" si="43"/>
        <v>#N/A</v>
      </c>
      <c r="DA134" s="154">
        <f>IF(ISNA(VLOOKUP(A134,'Données projet'!$A$139:$I$159,3,0)),0,VLOOKUP(A134,'Données projet'!$A$139:$I$159,3,0))</f>
        <v>0</v>
      </c>
      <c r="DB134" s="154">
        <f>IF(ISNA(VLOOKUP(A134,'Données projet'!$A$139:$I$159,4,0)),0,VLOOKUP(A134,'Données projet'!$A$139:$I$159,4,0))</f>
        <v>0</v>
      </c>
      <c r="DC134" s="155">
        <f>IF(ISNA(VLOOKUP(A134,'Données projet'!$A$139:$I$159,5,0)),0%,VLOOKUP(A134,'Données projet'!$A$139:$I$159,5,0)*VLOOKUP('Données projet'!$B$13,'Paramètres'!$A$1:$I$88,7,0))</f>
        <v>0</v>
      </c>
      <c r="DD134" s="155">
        <f>IF(ISNA(VLOOKUP(A134,'Données projet'!$A$139:$I$159,6,0)),0%,VLOOKUP(A134,'Données projet'!$A$139:$I$159,6,0)*VLOOKUP('Données projet'!$B$13,'Paramètres'!$A$1:$I$88,7,0))</f>
        <v>0</v>
      </c>
      <c r="DE134" s="155">
        <f>IF(ISNA(VLOOKUP(A134,'Données projet'!$A$139:$I$159,7,0)),0%,VLOOKUP(A134,'Données projet'!$A$139:$I$159,7,0))</f>
        <v>0</v>
      </c>
      <c r="DF134" s="162" t="str">
        <f>EXP(-LN(2)/35)*DF133+(1-EXP(-LN(2)/35))/(LN(2)/35)*DB134*DC134*VLOOKUP('Données projet'!$B$13,'Paramètres'!$A$1:$I$88,3,0)*0.475*44/12</f>
        <v>#N/A</v>
      </c>
      <c r="DG134" s="162" t="str">
        <f>EXP(-LN(2)/25)*DG133+(1-EXP(-LN(2)/25))/(LN(2)/25)*Calculateur!DB134*Calculateur!DD134*VLOOKUP('Données projet'!$B$13,'Paramètres'!$A$1:$I$88,3,0)*0.475*44/12</f>
        <v>#N/A</v>
      </c>
      <c r="DH134" s="162" t="str">
        <f>EXP(-LN(2)/2)*DH133+(1-EXP(-LN(2)/2))/(LN(2)/2)*DB134*DE134*VLOOKUP('Données projet'!$B$13,'Paramètres'!$A$1:$I$88,3,0)*0.475*44/12</f>
        <v>#N/A</v>
      </c>
      <c r="DI134" s="163" t="str">
        <f t="shared" si="16"/>
        <v>#N/A</v>
      </c>
      <c r="DJ134" s="159">
        <f>('Scénario référence'!$F$8+'Scénario référence'!$F$9+'Scénario référence'!$B$17+'Scénario référence'!$B$9+'Scénario référence'!$B$10)*70+IF((45+25*(1-EXP(-0.0175*A134)))&lt;70,'Scénario référence'!$B$16*(45+25*(1-EXP(-0.0175*A134))),70*'Scénario référence'!$B$16)+IF((32+38*(1-EXP(-0.0175*A134)))&lt;70,'Scénario référence'!$B$18*(32+38*(1-EXP(-0.0175*A134))),70*'Scénario référence'!$B$18)</f>
        <v>70</v>
      </c>
      <c r="DK134" s="151">
        <f>IF(A134&gt;30,10,('Scénario référence'!$B$16+'Scénario référence'!$B$17+'Scénario référence'!$B$18+'Scénario référence'!$B$9+'Scénario référence'!$B$10)*A134*10/30+('Scénario référence'!$F$8+'Scénario référence'!$F$9)*10)</f>
        <v>10</v>
      </c>
      <c r="DL134" s="151" t="str">
        <f>VLOOKUP(A134,'Données projet'!$A$165:$I$185,2,0)</f>
        <v>#N/A</v>
      </c>
      <c r="DM134" s="151" t="str">
        <f>VLOOKUP(A134,'Données projet'!$A$165:$I$185,9,0)</f>
        <v>#N/A</v>
      </c>
      <c r="DN134" s="151" t="str">
        <f t="array" ref="DN134">INDEX(DM:DM,MIN(IF(ISNUMBER(DM134:DM330),ROW(DM134:DM330),"")))</f>
        <v/>
      </c>
      <c r="DO134" s="151">
        <f>IF('Données projet'!$A$166&gt;35,DO133+DN134-DW133,IF(A134&lt;'Données projet'!$A$166,$DL$205^A134,IF(A134='Données projet'!$A$166,'Données projet'!$B$166,DO133+DN134-DW133)))</f>
        <v>0</v>
      </c>
      <c r="DP134" s="158" t="str">
        <f>DO134*VLOOKUP('Données projet'!$B$14,'Paramètres'!$A$1:$I$88,3,0)*VLOOKUP('Données projet'!$B$14,'Paramètres'!$A$1:$I$88,5,0)</f>
        <v>#N/A</v>
      </c>
      <c r="DQ134" s="150" t="str">
        <f t="shared" si="44"/>
        <v>#N/A</v>
      </c>
      <c r="DR134" s="161" t="str">
        <f t="shared" si="17"/>
        <v>#N/A</v>
      </c>
      <c r="DS134" s="153" t="str">
        <f t="shared" si="18"/>
        <v>#N/A</v>
      </c>
      <c r="DT134" s="153" t="str">
        <f>AVERAGE(OFFSET($DS$3,0,0,'Données projet'!$E$14+1,1))-AVERAGE(OFFSET($H$3,0,0,'Données projet'!$E$14+1,1))</f>
        <v>#N/A</v>
      </c>
      <c r="DU134" s="153" t="str">
        <f t="shared" si="45"/>
        <v>#N/A</v>
      </c>
      <c r="DV134" s="154">
        <f>IF(ISNA(VLOOKUP(A134,'Données projet'!$A$165:$I$185,3,0)),0,VLOOKUP(A134,'Données projet'!$A$165:$I$185,3,0))</f>
        <v>0</v>
      </c>
      <c r="DW134" s="154">
        <f>IF(ISNA(VLOOKUP(A134,'Données projet'!$A$165:$I$185,4,0)),0,VLOOKUP(A134,'Données projet'!$A$165:$I$185,4,0))</f>
        <v>0</v>
      </c>
      <c r="DX134" s="155">
        <f>IF(ISNA(VLOOKUP(A134,'Données projet'!$A$165:$I$185,5,0)),0%,VLOOKUP(A134,'Données projet'!$A$165:$I$185,5,0)*VLOOKUP('Données projet'!$B$14,'Paramètres'!$A$1:$I$88,7,0))</f>
        <v>0</v>
      </c>
      <c r="DY134" s="155">
        <f>IF(ISNA(VLOOKUP(A134,'Données projet'!$A$165:$I$185,6,0)),0%,VLOOKUP(A134,'Données projet'!$A$165:$I$185,6,0)*VLOOKUP('Données projet'!$B$14,'Paramètres'!$A$1:$I$88,7,0))</f>
        <v>0</v>
      </c>
      <c r="DZ134" s="155">
        <f>IF(ISNA(VLOOKUP(A134,'Données projet'!$A$165:$I$185,7,0)),0%,VLOOKUP(A134,'Données projet'!$A$165:$I$185,7,0))</f>
        <v>0</v>
      </c>
      <c r="EA134" s="162" t="str">
        <f>EXP(-LN(2)/35)*EA133+(1-EXP(-LN(2)/35))/(LN(2)/35)*DW134*DX134*VLOOKUP('Données projet'!$B$14,'Paramètres'!$A$1:$I$88,3,0)*0.475*44/12</f>
        <v>#N/A</v>
      </c>
      <c r="EB134" s="162" t="str">
        <f>EXP(-LN(2)/25)*EB133+(1-EXP(-LN(2)/25))/(LN(2)/25)*Calculateur!DW134*Calculateur!DY134*VLOOKUP('Données projet'!$B$14,'Paramètres'!$A$1:$I$88,3,0)*0.475*44/12</f>
        <v>#N/A</v>
      </c>
      <c r="EC134" s="162" t="str">
        <f>EXP(-LN(2)/2)*EC133+(1-EXP(-LN(2)/2))/(LN(2)/2)*DW134*DZ134*VLOOKUP('Données projet'!$B$14,'Paramètres'!$A$1:$I$88,3,0)*0.475*44/12</f>
        <v>#N/A</v>
      </c>
      <c r="ED134" s="163" t="str">
        <f t="shared" si="19"/>
        <v>#N/A</v>
      </c>
      <c r="EE134" s="159">
        <f>('Scénario référence'!$F$8+'Scénario référence'!$F$9+'Scénario référence'!$B$17+'Scénario référence'!$B$9+'Scénario référence'!$B$10)*70+IF((45+25*(1-EXP(-0.0175*A134)))&lt;70,'Scénario référence'!$B$16*(45+25*(1-EXP(-0.0175*A134))),70*'Scénario référence'!$B$16)+IF((32+38*(1-EXP(-0.0175*A134)))&lt;70,'Scénario référence'!$B$18*(32+38*(1-EXP(-0.0175*A134))),70*'Scénario référence'!$B$18)</f>
        <v>70</v>
      </c>
      <c r="EF134" s="151">
        <f>IF(A134&gt;30,10,('Scénario référence'!$B$16+'Scénario référence'!$B$17+'Scénario référence'!$B$18+'Scénario référence'!$B$9+'Scénario référence'!$B$10)*A134*10/30+('Scénario référence'!$F$8+'Scénario référence'!$F$9)*10)</f>
        <v>10</v>
      </c>
      <c r="EG134" s="151" t="str">
        <f>VLOOKUP(A134,'Données projet'!$A$191:$I$211,2,0)</f>
        <v>#N/A</v>
      </c>
      <c r="EH134" s="151" t="str">
        <f>VLOOKUP(A134,'Données projet'!$A$191:$I$211,9,0)</f>
        <v>#N/A</v>
      </c>
      <c r="EI134" s="151" t="str">
        <f t="array" ref="EI134">INDEX(EH:EH,MIN(IF(ISNUMBER(EH134:EH330),ROW(EH134:EH330),"")))</f>
        <v/>
      </c>
      <c r="EJ134" s="151">
        <f>IF('Données projet'!$A$192&gt;35,EJ133+EI134-ER133,IF(A134&lt;'Données projet'!$A$192,$EG$205^A134,IF(A134='Données projet'!$A$192,'Données projet'!$B$192,EJ133+EI134-ER133)))</f>
        <v>0</v>
      </c>
      <c r="EK134" s="158" t="str">
        <f>EJ134*VLOOKUP('Données projet'!$B$15,'Paramètres'!$A$1:$I$88,3,0)*VLOOKUP('Données projet'!$B$15,'Paramètres'!$A$1:$I$88,5,0)</f>
        <v>#N/A</v>
      </c>
      <c r="EL134" s="150" t="str">
        <f t="shared" si="46"/>
        <v>#N/A</v>
      </c>
      <c r="EM134" s="161" t="str">
        <f t="shared" si="20"/>
        <v>#N/A</v>
      </c>
      <c r="EN134" s="153" t="str">
        <f t="shared" si="21"/>
        <v>#N/A</v>
      </c>
      <c r="EO134" s="153" t="str">
        <f>AVERAGE(OFFSET($EN$3,0,0,'Données projet'!$E$15+1,1))-AVERAGE(OFFSET($H$3,0,0,'Données projet'!$E$15+1,1))</f>
        <v>#N/A</v>
      </c>
      <c r="EP134" s="153" t="str">
        <f t="shared" si="47"/>
        <v>#N/A</v>
      </c>
      <c r="EQ134" s="154">
        <f>IF(ISNA(VLOOKUP(A134,'Données projet'!$A$191:$I$211,3,0)),0,VLOOKUP(A134,'Données projet'!$A$191:$I$211,3,0))</f>
        <v>0</v>
      </c>
      <c r="ER134" s="154">
        <f>IF(ISNA(VLOOKUP(A134,'Données projet'!$A$191:$I$211,4,0)),0,VLOOKUP(A134,'Données projet'!$A$191:$I$211,4,0))</f>
        <v>0</v>
      </c>
      <c r="ES134" s="155">
        <f>IF(ISNA(VLOOKUP(A134,'Données projet'!$A$191:$I$211,5,0)),0%,VLOOKUP(A134,'Données projet'!$A$191:$I$211,5,0)*VLOOKUP('Données projet'!$B$15,'Paramètres'!$A$1:$I$88,7,0))</f>
        <v>0</v>
      </c>
      <c r="ET134" s="155">
        <f>IF(ISNA(VLOOKUP(A134,'Données projet'!$A$191:$I$211,6,0)),0%,VLOOKUP(A134,'Données projet'!$A$191:$I$211,6,0)*VLOOKUP('Données projet'!$B$15,'Paramètres'!$A$1:$I$88,7,0))</f>
        <v>0</v>
      </c>
      <c r="EU134" s="155">
        <f>IF(ISNA(VLOOKUP(A134,'Données projet'!$A$191:$I$211,7,0)),0%,VLOOKUP(A134,'Données projet'!$A$191:$I$211,7,0))</f>
        <v>0</v>
      </c>
      <c r="EV134" s="162" t="str">
        <f>EXP(-LN(2)/35)*EV133+(1-EXP(-LN(2)/35))/(LN(2)/35)*ER134*ES134*VLOOKUP('Données projet'!$B$15,'Paramètres'!$A$1:$I$88,3,0)*0.475*44/12</f>
        <v>#N/A</v>
      </c>
      <c r="EW134" s="162" t="str">
        <f>EXP(-LN(2)/25)*EW133+(1-EXP(-LN(2)/25))/(LN(2)/25)*Calculateur!ER134*Calculateur!ET134*VLOOKUP('Données projet'!$B$15,'Paramètres'!$A$1:$I$88,3,0)*0.475*44/12</f>
        <v>#N/A</v>
      </c>
      <c r="EX134" s="162" t="str">
        <f>EXP(-LN(2)/2)*EX133+(1-EXP(-LN(2)/2))/(LN(2)/2)*ER134*EU134*VLOOKUP('Données projet'!$B$15,'Paramètres'!$A$1:$I$88,3,0)*0.475*44/12</f>
        <v>#N/A</v>
      </c>
      <c r="EY134" s="163" t="str">
        <f t="shared" si="22"/>
        <v>#N/A</v>
      </c>
      <c r="EZ134" s="159">
        <f>('Scénario référence'!$F$8+'Scénario référence'!$F$9+'Scénario référence'!$B$17+'Scénario référence'!$B$9+'Scénario référence'!$B$10)*70+IF((45+25*(1-EXP(-0.0175*A134)))&lt;70,'Scénario référence'!$B$16*(45+25*(1-EXP(-0.0175*A134))),70*'Scénario référence'!$B$16)+IF((32+38*(1-EXP(-0.0175*A134)))&lt;70,'Scénario référence'!$B$18*(32+38*(1-EXP(-0.0175*A134))),70*'Scénario référence'!$B$18)</f>
        <v>70</v>
      </c>
      <c r="FA134" s="151">
        <f>IF(A134&gt;30,10,('Scénario référence'!$B$16+'Scénario référence'!$B$17+'Scénario référence'!$B$18+'Scénario référence'!$B$9+'Scénario référence'!$B$10)*A134*10/30+('Scénario référence'!$F$8+'Scénario référence'!$F$9)*10)</f>
        <v>10</v>
      </c>
      <c r="FB134" s="151" t="str">
        <f>VLOOKUP(A134,'Données projet'!$A$217:$I$237,2,0)</f>
        <v>#N/A</v>
      </c>
      <c r="FC134" s="151" t="str">
        <f>VLOOKUP(A134,'Données projet'!$A$217:$I$237,9,0)</f>
        <v>#N/A</v>
      </c>
      <c r="FD134" s="151" t="str">
        <f t="array" ref="FD134">INDEX(FC:FC,MIN(IF(ISNUMBER(FC134:FC330),ROW(FC134:FC330),"")))</f>
        <v/>
      </c>
      <c r="FE134" s="151">
        <f>IF('Données projet'!$A$218&gt;35,FE133+FD134-FM133,IF(A134&lt;'Données projet'!$A$218,$FB$205^A134,IF(A134='Données projet'!$A$218,'Données projet'!$B$218,FE133+FD134-FM133)))</f>
        <v>0</v>
      </c>
      <c r="FF134" s="158" t="str">
        <f>FE134*VLOOKUP('Données projet'!$B$16,'Paramètres'!$A$1:$I$88,3,0)*VLOOKUP('Données projet'!$B$16,'Paramètres'!$A$1:$I$88,5,0)</f>
        <v>#N/A</v>
      </c>
      <c r="FG134" s="150" t="str">
        <f t="shared" si="48"/>
        <v>#N/A</v>
      </c>
      <c r="FH134" s="161" t="str">
        <f t="shared" si="23"/>
        <v>#N/A</v>
      </c>
      <c r="FI134" s="153" t="str">
        <f t="shared" si="24"/>
        <v>#N/A</v>
      </c>
      <c r="FJ134" s="153" t="str">
        <f>AVERAGE(OFFSET($FI$3,0,0,'Données projet'!$E$16+1,1))-AVERAGE(OFFSET($H$3,0,0,'Données projet'!$E$16+1,1))</f>
        <v>#N/A</v>
      </c>
      <c r="FK134" s="153" t="str">
        <f t="shared" si="49"/>
        <v>#N/A</v>
      </c>
      <c r="FL134" s="154">
        <f>IF(ISNA(VLOOKUP(A134,'Données projet'!$A$217:$I$237,3,0)),0,VLOOKUP(A134,'Données projet'!$A$217:$I$237,3,0))</f>
        <v>0</v>
      </c>
      <c r="FM134" s="154">
        <f>IF(ISNA(VLOOKUP(A134,'Données projet'!$A$217:$I$237,4,0)),0,VLOOKUP(A134,'Données projet'!$A$217:$I$237,4,0))</f>
        <v>0</v>
      </c>
      <c r="FN134" s="155">
        <f>IF(ISNA(VLOOKUP(A134,'Données projet'!$A$217:$I$237,5,0)),0%,VLOOKUP(A134,'Données projet'!$A$217:$I$237,5,0)*VLOOKUP('Données projet'!$B$16,'Paramètres'!$A$1:$I$88,7,0))</f>
        <v>0</v>
      </c>
      <c r="FO134" s="155">
        <f>IF(ISNA(VLOOKUP(A134,'Données projet'!$A$217:$I$237,6,0)),0%,VLOOKUP(A134,'Données projet'!$A$217:$I$237,6,0)*VLOOKUP('Données projet'!$B$16,'Paramètres'!$A$1:$I$88,7,0))</f>
        <v>0</v>
      </c>
      <c r="FP134" s="155">
        <f>IF(ISNA(VLOOKUP(A134,'Données projet'!$A$217:$I$237,7,0)),0%,VLOOKUP(A134,'Données projet'!$A$217:$I$237,7,0))</f>
        <v>0</v>
      </c>
      <c r="FQ134" s="162" t="str">
        <f>EXP(-LN(2)/35)*FQ133+(1-EXP(-LN(2)/35))/(LN(2)/35)*FM134*FN134*VLOOKUP('Données projet'!$B$16,'Paramètres'!$A$1:$I$88,3,0)*0.475*44/12</f>
        <v>#N/A</v>
      </c>
      <c r="FR134" s="162" t="str">
        <f>EXP(-LN(2)/25)*FR133+(1-EXP(-LN(2)/25))/(LN(2)/25)*Calculateur!FM134*Calculateur!FO134*VLOOKUP('Données projet'!$B$16,'Paramètres'!$A$1:$I$88,3,0)*0.475*44/12</f>
        <v>#N/A</v>
      </c>
      <c r="FS134" s="162" t="str">
        <f>EXP(-LN(2)/2)*FS133+(1-EXP(-LN(2)/2))/(LN(2)/2)*FM134*FP134*VLOOKUP('Données projet'!$B$16,'Paramètres'!$A$1:$I$88,3,0)*0.475*44/12</f>
        <v>#N/A</v>
      </c>
      <c r="FT134" s="163" t="str">
        <f t="shared" si="25"/>
        <v>#N/A</v>
      </c>
      <c r="FU134" s="159">
        <f>('Scénario référence'!$F$8+'Scénario référence'!$F$9+'Scénario référence'!$B$17+'Scénario référence'!$B$9+'Scénario référence'!$B$10)*70+IF((45+25*(1-EXP(-0.0175*A134)))&lt;70,'Scénario référence'!$B$16*(45+25*(1-EXP(-0.0175*A134))),70*'Scénario référence'!$B$16)+IF((32+38*(1-EXP(-0.0175*A134)))&lt;70,'Scénario référence'!$B$18*(32+38*(1-EXP(-0.0175*A134))),70*'Scénario référence'!$B$18)</f>
        <v>70</v>
      </c>
      <c r="FV134" s="151">
        <f>IF(A134&gt;30,10,('Scénario référence'!$B$16+'Scénario référence'!$B$17+'Scénario référence'!$B$18+'Scénario référence'!$B$9+'Scénario référence'!$B$10)*A134*10/30+('Scénario référence'!$F$8+'Scénario référence'!$F$9)*10)</f>
        <v>10</v>
      </c>
      <c r="FW134" s="151" t="str">
        <f>VLOOKUP(A134,'Données projet'!$A$243:$I$263,2,0)</f>
        <v>#N/A</v>
      </c>
      <c r="FX134" s="151" t="str">
        <f>VLOOKUP(A134,'Données projet'!$A$243:$I$263,9,0)</f>
        <v>#N/A</v>
      </c>
      <c r="FY134" s="151" t="str">
        <f t="array" ref="FY134">INDEX(FX:FX,MIN(IF(ISNUMBER(FX134:FX330),ROW(FX134:FX330),"")))</f>
        <v/>
      </c>
      <c r="FZ134" s="151">
        <f>IF('Données projet'!$A$244&gt;35,FZ133+FY134-GH133,IF(A134&lt;'Données projet'!$A$244,$FW$205^A134,IF(A134='Données projet'!$A$244,'Données projet'!$B$244,FZ133+FY134-GH133)))</f>
        <v>0</v>
      </c>
      <c r="GA134" s="158" t="str">
        <f>FZ134*VLOOKUP('Données projet'!$B$17,'Paramètres'!$A$1:$I$88,3,0)*VLOOKUP('Données projet'!$B$17,'Paramètres'!$A$1:$I$88,5,0)</f>
        <v>#N/A</v>
      </c>
      <c r="GB134" s="150" t="str">
        <f t="shared" si="50"/>
        <v>#N/A</v>
      </c>
      <c r="GC134" s="161" t="str">
        <f t="shared" si="26"/>
        <v>#N/A</v>
      </c>
      <c r="GD134" s="153" t="str">
        <f t="shared" si="27"/>
        <v>#N/A</v>
      </c>
      <c r="GE134" s="153" t="str">
        <f>AVERAGE(OFFSET($GD$3,0,0,'Données projet'!$E$17+1,1))-AVERAGE(OFFSET($H$3,0,0,'Données projet'!$E$17+1,1))</f>
        <v>#N/A</v>
      </c>
      <c r="GF134" s="153" t="str">
        <f t="shared" si="51"/>
        <v>#N/A</v>
      </c>
      <c r="GG134" s="154">
        <f>IF(ISNA(VLOOKUP(A134,'Données projet'!$A$243:$I$263,3,0)),0,VLOOKUP(A134,'Données projet'!$A$243:$I$263,3,0))</f>
        <v>0</v>
      </c>
      <c r="GH134" s="154">
        <f>IF(ISNA(VLOOKUP(A134,'Données projet'!$A$243:$I$263,4,0)),0,VLOOKUP(A134,'Données projet'!$A$243:$I$263,4,0))</f>
        <v>0</v>
      </c>
      <c r="GI134" s="155">
        <f>IF(ISNA(VLOOKUP(A134,'Données projet'!$A$243:$I$263,5,0)),0%,VLOOKUP(A134,'Données projet'!$A$243:$I$263,5,0)*VLOOKUP('Données projet'!$B$17,'Paramètres'!$A$1:$I$88,7,0))</f>
        <v>0</v>
      </c>
      <c r="GJ134" s="155">
        <f>IF(ISNA(VLOOKUP(A134,'Données projet'!$A$243:$I$263,6,0)),0%,VLOOKUP(A134,'Données projet'!$A$243:$I$263,6,0)*VLOOKUP('Données projet'!$B$17,'Paramètres'!$A$1:$I$88,7,0))</f>
        <v>0</v>
      </c>
      <c r="GK134" s="155">
        <f>IF(ISNA(VLOOKUP(A134,'Données projet'!$A$243:$I$263,7,0)),0%,VLOOKUP(A134,'Données projet'!$A$243:$I$263,7,0))</f>
        <v>0</v>
      </c>
      <c r="GL134" s="162" t="str">
        <f>EXP(-LN(2)/35)*GL133+(1-EXP(-LN(2)/35))/(LN(2)/35)*GH134*GI134*VLOOKUP('Données projet'!$B$17,'Paramètres'!$A$1:$I$88,3,0)*0.475*44/12</f>
        <v>#N/A</v>
      </c>
      <c r="GM134" s="162" t="str">
        <f>EXP(-LN(2)/25)*GM133+(1-EXP(-LN(2)/25))/(LN(2)/25)*Calculateur!GH134*Calculateur!GJ134*VLOOKUP('Données projet'!$B$17,'Paramètres'!$A$1:$I$88,3,0)*0.475*44/12</f>
        <v>#N/A</v>
      </c>
      <c r="GN134" s="162" t="str">
        <f>EXP(-LN(2)/2)*GN133+(1-EXP(-LN(2)/2))/(LN(2)/2)*GH134*GK134*VLOOKUP('Données projet'!$B$17,'Paramètres'!$A$1:$I$88,3,0)*0.475*44/12</f>
        <v>#N/A</v>
      </c>
      <c r="GO134" s="162" t="str">
        <f t="shared" si="28"/>
        <v>#N/A</v>
      </c>
      <c r="GP134" s="159">
        <f>('Scénario référence'!$F$8+'Scénario référence'!$F$9+'Scénario référence'!$B$17+'Scénario référence'!$B$9+'Scénario référence'!$B$10)*70+IF((45+25*(1-EXP(-0.0175*A134)))&lt;70,'Scénario référence'!$B$16*(45+25*(1-EXP(-0.0175*A134))),70*'Scénario référence'!$B$16)+IF((32+38*(1-EXP(-0.0175*A134)))&lt;70,'Scénario référence'!$B$18*(32+38*(1-EXP(-0.0175*A134))),70*'Scénario référence'!$B$18)</f>
        <v>70</v>
      </c>
      <c r="GQ134" s="151">
        <f>IF(A134&gt;30,10,('Scénario référence'!$B$16+'Scénario référence'!$B$17+'Scénario référence'!$B$18+'Scénario référence'!$B$9+'Scénario référence'!$B$10)*A134*10/30+('Scénario référence'!$F$8+'Scénario référence'!$F$9)*10)</f>
        <v>10</v>
      </c>
      <c r="GR134" s="151" t="str">
        <f>VLOOKUP(A134,'Données projet'!$A$269:$I$289,2,0)</f>
        <v>#N/A</v>
      </c>
      <c r="GS134" s="151" t="str">
        <f>VLOOKUP(A134,'Données projet'!$A$269:$I$289,9,0)</f>
        <v>#N/A</v>
      </c>
      <c r="GT134" s="151" t="str">
        <f t="array" ref="GT134">INDEX(GS:GS,MIN(IF(ISNUMBER(GS134:GS330),ROW(GS134:GS330),"")))</f>
        <v/>
      </c>
      <c r="GU134" s="151">
        <f>IF('Données projet'!$A$270&gt;35,GU133+GT134-HC133,IF(A134&lt;'Données projet'!$A$270,$GR$205^A134,IF(A134='Données projet'!$A$270,'Données projet'!$B$270,GU133+GT134-HC133)))</f>
        <v>0</v>
      </c>
      <c r="GV134" s="158" t="str">
        <f>GU134*VLOOKUP('Données projet'!$B$18,'Paramètres'!$A$1:$I$88,3,0)*VLOOKUP('Données projet'!$B$18,'Paramètres'!$A$1:$I$88,5,0)</f>
        <v>#N/A</v>
      </c>
      <c r="GW134" s="150" t="str">
        <f t="shared" si="52"/>
        <v>#N/A</v>
      </c>
      <c r="GX134" s="161" t="str">
        <f t="shared" si="29"/>
        <v>#N/A</v>
      </c>
      <c r="GY134" s="153" t="str">
        <f t="shared" si="30"/>
        <v>#N/A</v>
      </c>
      <c r="GZ134" s="153" t="str">
        <f>AVERAGE(OFFSET($GY$3,0,0,'Données projet'!$E$18+1,1))-AVERAGE(OFFSET($H$3,0,0,'Données projet'!$E$18+1,1))</f>
        <v>#N/A</v>
      </c>
      <c r="HA134" s="153" t="str">
        <f t="shared" si="53"/>
        <v>#N/A</v>
      </c>
      <c r="HB134" s="154">
        <f>IF(ISNA(VLOOKUP(A134,'Données projet'!$A$269:$I$289,3,0)),0,VLOOKUP(A134,'Données projet'!$A$269:$I$289,3,0))</f>
        <v>0</v>
      </c>
      <c r="HC134" s="154">
        <f>IF(ISNA(VLOOKUP(A134,'Données projet'!$A$269:$I$289,4,0)),0,VLOOKUP(A134,'Données projet'!$A$269:$I$289,4,0))</f>
        <v>0</v>
      </c>
      <c r="HD134" s="155">
        <f>IF(ISNA(VLOOKUP(A134,'Données projet'!$A$269:$I$289,5,0)),0%,VLOOKUP(A134,'Données projet'!$A$269:$I$289,5,0)*VLOOKUP('Données projet'!$B$18,'Paramètres'!$A$1:$I$88,7,0))</f>
        <v>0</v>
      </c>
      <c r="HE134" s="155">
        <f>IF(ISNA(VLOOKUP(A134,'Données projet'!$A$269:$I$289,6,0)),0%,VLOOKUP(A134,'Données projet'!$A$269:$I$289,6,0)*VLOOKUP('Données projet'!$B$18,'Paramètres'!$A$1:$I$88,7,0))</f>
        <v>0</v>
      </c>
      <c r="HF134" s="155">
        <f>IF(ISNA(VLOOKUP(A134,'Données projet'!$A$269:$I$289,7,0)),0%,VLOOKUP(A134,'Données projet'!$A$269:$I$289,7,0))</f>
        <v>0</v>
      </c>
      <c r="HG134" s="162" t="str">
        <f>EXP(-LN(2)/35)*HG133+(1-EXP(-LN(2)/35))/(LN(2)/35)*HC134*HD134*VLOOKUP('Données projet'!$B$18,'Paramètres'!$A$1:$I$88,3,0)*0.475*44/12</f>
        <v>#N/A</v>
      </c>
      <c r="HH134" s="162" t="str">
        <f>EXP(-LN(2)/25)*HH133+(1-EXP(-LN(2)/25))/(LN(2)/25)*Calculateur!HC134*Calculateur!HE134*VLOOKUP('Données projet'!$B$18,'Paramètres'!$A$1:$I$88,3,0)*0.475*44/12</f>
        <v>#N/A</v>
      </c>
      <c r="HI134" s="162" t="str">
        <f>EXP(-LN(2)/2)*HI133+(1-EXP(-LN(2)/2))/(LN(2)/2)*HC134*HF134*VLOOKUP('Données projet'!$B$18,'Paramètres'!$A$1:$I$88,3,0)*0.475*44/12</f>
        <v>#N/A</v>
      </c>
      <c r="HJ134" s="163" t="str">
        <f t="shared" si="31"/>
        <v>#N/A</v>
      </c>
    </row>
    <row r="135" ht="15.75" customHeight="1">
      <c r="A135" s="145">
        <f t="shared" si="32"/>
        <v>132</v>
      </c>
      <c r="B135" s="146">
        <f>'Scénario référence'!$B$16*5+'Scénario référence'!$B$17*0+'Scénario référence'!$B$18*5</f>
        <v>0</v>
      </c>
      <c r="C135" s="160">
        <f>Calculateur!C134+'Scénario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35" s="147">
        <f t="shared" si="33"/>
        <v>0</v>
      </c>
      <c r="E135" s="147">
        <f>'Scénario référence'!$B$16*45+('Scénario référence'!$B$17+'Scénario référence'!$F$8+'Scénario référence'!$F$9+'Scénario référence'!$B$10+'Scénario référence'!$B$9)*70+'Scénario référence'!$B$18*32</f>
        <v>70</v>
      </c>
      <c r="F135" s="147">
        <f>IF(OR('Scénario référence'!$F$8&gt;0,'Scénario référence'!$F$9&gt;0),('Scénario référence'!$F$8+'Scénario référence'!$F$9)*10,0)</f>
        <v>0</v>
      </c>
      <c r="G135" s="147">
        <f>'Scénario référence'!$B$8*B135*44/12+'Scénario référence'!$B$9*(C135+D135)/0.475*44/12+'Scénario référence'!$B$10*(C135+D135)/0.475*44/12+'Scénario référence'!$F$8*(C135+D135)/0.475*44/12+'Scénario référence'!$F$9*(C135+D135)/0.475*44/12</f>
        <v>0</v>
      </c>
      <c r="H135" s="148">
        <f t="shared" si="1"/>
        <v>256.6666667</v>
      </c>
      <c r="I135" s="149">
        <f>('Scénario référence'!$F$8+'Scénario référence'!$F$9+'Scénario référence'!$B$17+'Scénario référence'!$B$9+'Scénario référence'!$B$10)*70+IF((45+25*(1-EXP(-0.0175*A135)))&lt;70,'Scénario référence'!$B$16*(45+25*(1-EXP(-0.0175*A135))),70*'Scénario référence'!$B$16)+IF((32+38*(1-EXP(-0.0175*A135)))&lt;70,'Scénario référence'!$B$18*(32+38*(1-EXP(-0.0175*A135))),70*'Scénario référence'!$B$18)</f>
        <v>70</v>
      </c>
      <c r="J135" s="150">
        <f>IF(A135&gt;30,10,('Scénario référence'!$B$16+'Scénario référence'!$B$17+'Scénario référence'!$B$18+'Scénario référence'!$B$9+'Scénario référence'!$B$10)*A135*10/30+('Scénario référence'!$F$8+'Scénario référence'!$F$9)*10)</f>
        <v>10</v>
      </c>
      <c r="K135" s="151" t="str">
        <f>VLOOKUP(A135,'Données projet'!$A$35:$I$55,2,0)</f>
        <v>#N/A</v>
      </c>
      <c r="L135" s="151" t="str">
        <f>VLOOKUP(A135,'Données projet'!$A$35:$I$55,9,0)</f>
        <v>#N/A</v>
      </c>
      <c r="M135" s="151" t="str">
        <f t="array" ref="M135">INDEX(L:L,MIN(IF(ISNUMBER(L135:L331),ROW(L135:L331),"")))</f>
        <v/>
      </c>
      <c r="N135" s="150">
        <f>IF('Données projet'!$A$36&gt;35,N134+M135-V134,IF(A135&lt;'Données projet'!$A$36,$K$205^A135,IF(A135='Données projet'!$A$36,'Données projet'!$B$36,N134+M135-V134)))</f>
        <v>307</v>
      </c>
      <c r="O135" s="150">
        <f>N135*VLOOKUP('Données projet'!$B$9,'Paramètres'!$A$1:$I$88,3,0)*VLOOKUP('Données projet'!$B$9,'Paramètres'!$A$1:$I$88,5,0)</f>
        <v>277.7736</v>
      </c>
      <c r="P135" s="150">
        <f t="shared" si="34"/>
        <v>66.49628818</v>
      </c>
      <c r="Q135" s="161">
        <f t="shared" si="2"/>
        <v>599.6033886</v>
      </c>
      <c r="R135" s="153">
        <f t="shared" si="3"/>
        <v>892.9367219</v>
      </c>
      <c r="S135" s="153">
        <f>AVERAGE(OFFSET($R$3,0,0,'Données projet'!$E$9+1,1))-AVERAGE(OFFSET($H$3,0,0,'Données projet'!$E$9+1,1))</f>
        <v>439.1985427</v>
      </c>
      <c r="T135" s="153">
        <f t="shared" si="35"/>
        <v>278.2174123</v>
      </c>
      <c r="U135" s="154">
        <f>IF(ISNA(VLOOKUP(A135,'Données projet'!$A$35:$I$55,3,0)),0,VLOOKUP(A135,'Données projet'!$A$35:$I$55,3,0))</f>
        <v>0</v>
      </c>
      <c r="V135" s="154">
        <f>IF(ISNA(VLOOKUP(A135,'Données projet'!$A$35:$I$55,4,0)),0,VLOOKUP(A135,'Données projet'!$A$35:$I$55,4,0))</f>
        <v>0</v>
      </c>
      <c r="W135" s="155">
        <f>IF(ISNA(VLOOKUP(A135,'Données projet'!$A$35:$I$55,5,0)),0%,VLOOKUP(A135,'Données projet'!$A$35:$I$55,5,0)*VLOOKUP('Données projet'!$B$9,'Paramètres'!$A$1:$I$88,7,0))</f>
        <v>0</v>
      </c>
      <c r="X135" s="155">
        <f>IF(ISNA(VLOOKUP(A135,'Données projet'!$A$35:$I$55,6,0)),0%,VLOOKUP(A135,'Données projet'!$A$35:$I$55,6,0)*VLOOKUP('Données projet'!$B$9,'Paramètres'!$A$1:$I$88,7,0))</f>
        <v>0</v>
      </c>
      <c r="Y135" s="155">
        <f>IF(ISNA(VLOOKUP(A135,'Données projet'!$A$35:$I$55,7,0)),0%,VLOOKUP(A135,'Données projet'!$A$35:$I$55,7,0))</f>
        <v>0</v>
      </c>
      <c r="Z135" s="162">
        <f>EXP(-LN(2)/35)*Z134+(1-EXP(-LN(2)/35))/(LN(2)/35)*V135*W135*VLOOKUP('Données projet'!$B$9,'Paramètres'!$A$1:$I$88,3,0)*0.475*44/12</f>
        <v>0</v>
      </c>
      <c r="AA135" s="162">
        <f>EXP(-LN(2)/25)*AA134+(1-EXP(-LN(2)/25))/(LN(2)/25)*Calculateur!V135*Calculateur!X135*VLOOKUP('Données projet'!$B$9,'Paramètres'!$A$1:$I$88,3,0)*0.475*44/12</f>
        <v>0.2653443818</v>
      </c>
      <c r="AB135" s="162">
        <f>EXP(-LN(2)/2)*AB134+(1-EXP(-LN(2)/2))/(LN(2)/2)*V135*Y135*VLOOKUP('Données projet'!$B$9,'Paramètres'!$A$1:$I$88,3,0)*0.475*44/12</f>
        <v>0</v>
      </c>
      <c r="AC135" s="163">
        <f t="shared" si="4"/>
        <v>0.2653443818</v>
      </c>
      <c r="AD135" s="150">
        <f>('Scénario référence'!$F$8+'Scénario référence'!$F$9+'Scénario référence'!$B$17+'Scénario référence'!$B$9+'Scénario référence'!$B$10)*70+IF((45+25*(1-EXP(-0.0175*A135)))&lt;70,'Scénario référence'!$B$16*(45+25*(1-EXP(-0.0175*A135))),70*'Scénario référence'!$B$16)+IF((32+38*(1-EXP(-0.0175*A135)))&lt;70,'Scénario référence'!$B$18*(32+38*(1-EXP(-0.0175*A135))),70*'Scénario référence'!$B$18)</f>
        <v>70</v>
      </c>
      <c r="AE135" s="150">
        <f>IF(A135&gt;30,10,('Scénario référence'!$B$16+'Scénario référence'!$B$17+'Scénario référence'!$B$18+'Scénario référence'!$B$9+'Scénario référence'!$B$10)*A135*10/30+('Scénario référence'!$F$8+'Scénario référence'!$F$9)*10)</f>
        <v>10</v>
      </c>
      <c r="AF135" s="151" t="str">
        <f>VLOOKUP(A135,'Données projet'!$A$61:$I$81,2,0)</f>
        <v>#N/A</v>
      </c>
      <c r="AG135" s="151" t="str">
        <f>VLOOKUP(A135,'Données projet'!$A$61:$I$81,9,0)</f>
        <v>#N/A</v>
      </c>
      <c r="AH135" s="151" t="str">
        <f t="array" ref="AH135">INDEX(AG:AG,MIN(IF(ISNUMBER(AG135:AG331),ROW(AG135:AG331),"")))</f>
        <v/>
      </c>
      <c r="AI135" s="150">
        <f>IF('Données projet'!$A$62&gt;35,AI134+AH135-AQ134,IF(A135&lt;'Données projet'!$A$62,$AF$205^A135,IF(A135='Données projet'!$A$62,'Données projet'!$B$62,AI134+AH135-AQ134)))</f>
        <v>369</v>
      </c>
      <c r="AJ135" s="150">
        <f>AI135*VLOOKUP('Données projet'!$B$10,'Paramètres'!$A$1:$I$88,3,0)*VLOOKUP('Données projet'!$B$10,'Paramètres'!$A$1:$I$88,5,0)</f>
        <v>293.5764</v>
      </c>
      <c r="AK135" s="150">
        <f t="shared" si="36"/>
        <v>69.82813851</v>
      </c>
      <c r="AL135" s="161">
        <f t="shared" si="5"/>
        <v>632.9295712</v>
      </c>
      <c r="AM135" s="153">
        <f t="shared" si="6"/>
        <v>926.2629046</v>
      </c>
      <c r="AN135" s="153">
        <f>AVERAGE(OFFSET($AM$3,0,0,'Données projet'!$E$10+1,1))-AVERAGE(OFFSET($H$3,0,0,'Données projet'!$E$10+1,1))</f>
        <v>405.6113614</v>
      </c>
      <c r="AO135" s="153">
        <f t="shared" si="37"/>
        <v>393.0787141</v>
      </c>
      <c r="AP135" s="154">
        <f>IF(ISNA(VLOOKUP(A135,'Données projet'!$A$61:$I$81,3,0)),0,VLOOKUP(A135,'Données projet'!$A$61:$I$81,3,0))</f>
        <v>0</v>
      </c>
      <c r="AQ135" s="154">
        <f>IF(ISNA(VLOOKUP(A135,'Données projet'!$A$61:$I$81,4,0)),0,VLOOKUP(A135,'Données projet'!$A$61:$I$81,4,0))</f>
        <v>0</v>
      </c>
      <c r="AR135" s="155">
        <f>IF(ISNA(VLOOKUP(A135,'Données projet'!$A$61:$I$81,5,0)),0%,VLOOKUP(A135,'Données projet'!$A$61:$I$81,5,0)*VLOOKUP('Données projet'!$B$10,'Paramètres'!$A$1:$I$88,7,0))</f>
        <v>0</v>
      </c>
      <c r="AS135" s="155">
        <f>IF(ISNA(VLOOKUP(A135,'Données projet'!$A$61:$I$81,6,0)),0%,VLOOKUP(A135,'Données projet'!$A$61:$I$81,6,0)*VLOOKUP('Données projet'!$B$10,'Paramètres'!$A$1:$I$88,7,0))</f>
        <v>0</v>
      </c>
      <c r="AT135" s="155">
        <f>IF(ISNA(VLOOKUP(A135,'Données projet'!$A$61:$I$81,7,0)),0%,VLOOKUP(A135,'Données projet'!$A$61:$I$81,7,0))</f>
        <v>0</v>
      </c>
      <c r="AU135" s="162">
        <f>EXP(-LN(2)/35)*AU134+(1-EXP(-LN(2)/35))/(LN(2)/35)*AQ135*AR135*VLOOKUP('Données projet'!$B$10,'Paramètres'!$A$1:$I$88,3,0)*0.475*44/12</f>
        <v>0</v>
      </c>
      <c r="AV135" s="162">
        <f>EXP(-LN(2)/25)*AV134+(1-EXP(-LN(2)/25))/(LN(2)/25)*Calculateur!AQ135*Calculateur!AS135*VLOOKUP('Données projet'!$B$10,'Paramètres'!$A$1:$I$88,3,0)*0.475*44/12</f>
        <v>1.078427021</v>
      </c>
      <c r="AW135" s="162">
        <f>EXP(-LN(2)/2)*AW134+(1-EXP(-LN(2)/2))/(LN(2)/2)*AQ135*AT135*VLOOKUP('Données projet'!$B$10,'Paramètres'!$A$1:$I$88,3,0)*0.475*44/12</f>
        <v>0</v>
      </c>
      <c r="AX135" s="162">
        <f t="shared" si="7"/>
        <v>1.078427021</v>
      </c>
      <c r="AY135" s="157">
        <f>('Scénario référence'!$F$8+'Scénario référence'!$F$9+'Scénario référence'!$B$17+'Scénario référence'!$B$9+'Scénario référence'!$B$10)*70+IF((45+25*(1-EXP(-0.0175*A135)))&lt;70,'Scénario référence'!$B$16*(45+25*(1-EXP(-0.0175*A135))),70*'Scénario référence'!$B$16)+IF((32+38*(1-EXP(-0.0175*A135)))&lt;70,'Scénario référence'!$B$18*(32+38*(1-EXP(-0.0175*A135))),70*'Scénario référence'!$B$18)</f>
        <v>70</v>
      </c>
      <c r="AZ135" s="151">
        <f>IF(A135&gt;30,10,('Scénario référence'!$B$16+'Scénario référence'!$B$17+'Scénario référence'!$B$18+'Scénario référence'!$B$9+'Scénario référence'!$B$10)*A135*10/30+('Scénario référence'!$F$8+'Scénario référence'!$F$9)*10)</f>
        <v>10</v>
      </c>
      <c r="BA135" s="151" t="str">
        <f>VLOOKUP(A135,'Données projet'!$A$87:$I$107,2,0)</f>
        <v>#N/A</v>
      </c>
      <c r="BB135" s="151" t="str">
        <f>VLOOKUP(A135,'Données projet'!$A$87:$I$107,9,0)</f>
        <v>#N/A</v>
      </c>
      <c r="BC135" s="151" t="str">
        <f t="array" ref="BC135">INDEX(BB:BB,MIN(IF(ISNUMBER(BB135:BB331),ROW(BB135:BB331),"")))</f>
        <v/>
      </c>
      <c r="BD135" s="150">
        <f>IF('Données projet'!$A$88&gt;35,BD134+BC135-BL134,IF(A135&lt;'Données projet'!$A$88,$BA$205^A135,IF(A135='Données projet'!$A$88,'Données projet'!$B$88,BD134+BC135-BL134)))</f>
        <v>0</v>
      </c>
      <c r="BE135" s="150">
        <f>BD135*VLOOKUP('Données projet'!$B$11,'Paramètres'!$A$1:$I$88,3,0)*VLOOKUP('Données projet'!$B$11,'Paramètres'!$A$1:$I$88,5,0)</f>
        <v>0</v>
      </c>
      <c r="BF135" s="150" t="str">
        <f t="shared" si="38"/>
        <v>#NUM!</v>
      </c>
      <c r="BG135" s="161" t="str">
        <f t="shared" si="8"/>
        <v>#NUM!</v>
      </c>
      <c r="BH135" s="153" t="str">
        <f t="shared" si="9"/>
        <v>#NUM!</v>
      </c>
      <c r="BI135" s="153">
        <f>AVERAGE(OFFSET($BH$3,0,0,'Données projet'!$E$11+1,1))-AVERAGE(OFFSET($H$3,0,0,'Données projet'!$E$11+1,1))</f>
        <v>0</v>
      </c>
      <c r="BJ135" s="153">
        <f t="shared" si="39"/>
        <v>0</v>
      </c>
      <c r="BK135" s="154">
        <f>IF(ISNA(VLOOKUP(A135,'Données projet'!$A$87:$I$107,3,0)),0,VLOOKUP(A135,'Données projet'!$A$87:$I$107,3,0))</f>
        <v>0</v>
      </c>
      <c r="BL135" s="154">
        <f>IF(ISNA(VLOOKUP(A135,'Données projet'!$A$87:$I$107,4,0)),0,VLOOKUP(A135,'Données projet'!$A$87:$I$107,4,0))</f>
        <v>0</v>
      </c>
      <c r="BM135" s="155">
        <f>IF(ISNA(VLOOKUP(A135,'Données projet'!$A$87:$I$107,5,0)),0%,VLOOKUP(A135,'Données projet'!$A$87:$I$107,5,0)*VLOOKUP('Données projet'!$B$11,'Paramètres'!$A$1:$I$88,7,0))</f>
        <v>0</v>
      </c>
      <c r="BN135" s="155">
        <f>IF(ISNA(VLOOKUP(A135,'Données projet'!$A$87:$I$107,6,0)),0%,VLOOKUP(A135,'Données projet'!$A$87:$I$107,6,0)*VLOOKUP('Données projet'!$B$11,'Paramètres'!$A$1:$I$88,7,0))</f>
        <v>0</v>
      </c>
      <c r="BO135" s="155">
        <f>IF(ISNA(VLOOKUP(A135,'Données projet'!$A$87:$I$107,7,0)),0%,VLOOKUP(A135,'Données projet'!$A$87:$I$107,7,0))</f>
        <v>0</v>
      </c>
      <c r="BP135" s="162">
        <f>EXP(-LN(2)/35)*BP134+(1-EXP(-LN(2)/35))/(LN(2)/35)*BL135*BM135*VLOOKUP('Données projet'!$B$11,'Paramètres'!$A$1:$I$88,3,0)*0.475*44/12</f>
        <v>0</v>
      </c>
      <c r="BQ135" s="162">
        <f>EXP(-LN(2)/25)*BQ134+(1-EXP(-LN(2)/25))/(LN(2)/25)*Calculateur!BL135*Calculateur!BN135*VLOOKUP('Données projet'!$B$11,'Paramètres'!$A$1:$I$88,3,0)*0.475*44/12</f>
        <v>0</v>
      </c>
      <c r="BR135" s="162">
        <f>EXP(-LN(2)/2)*BR134+(1-EXP(-LN(2)/2))/(LN(2)/2)*BL135*BO135*VLOOKUP('Données projet'!$B$11,'Paramètres'!$A$1:$I$88,3,0)*0.475*44/12</f>
        <v>0</v>
      </c>
      <c r="BS135" s="163">
        <f t="shared" si="10"/>
        <v>0</v>
      </c>
      <c r="BT135" s="159">
        <f>('Scénario référence'!$F$8+'Scénario référence'!$F$9+'Scénario référence'!$B$17+'Scénario référence'!$B$9+'Scénario référence'!$B$10)*70+IF((45+25*(1-EXP(-0.0175*A135)))&lt;70,'Scénario référence'!$B$16*(45+25*(1-EXP(-0.0175*A135))),70*'Scénario référence'!$B$16)+IF((32+38*(1-EXP(-0.0175*A135)))&lt;70,'Scénario référence'!$B$18*(32+38*(1-EXP(-0.0175*A135))),70*'Scénario référence'!$B$18)</f>
        <v>70</v>
      </c>
      <c r="BU135" s="151">
        <f>IF(A135&gt;30,10,('Scénario référence'!$B$16+'Scénario référence'!$B$17+'Scénario référence'!$B$18+'Scénario référence'!$B$9+'Scénario référence'!$B$10)*A135*10/30+('Scénario référence'!$F$8+'Scénario référence'!$F$9)*10)</f>
        <v>10</v>
      </c>
      <c r="BV135" s="151" t="str">
        <f>VLOOKUP(A135,'Données projet'!$A$113:$I$133,2,0)</f>
        <v>#N/A</v>
      </c>
      <c r="BW135" s="151" t="str">
        <f>VLOOKUP(A135,'Données projet'!$A$113:$I$133,9,0)</f>
        <v>#N/A</v>
      </c>
      <c r="BX135" s="151" t="str">
        <f t="array" ref="BX135">INDEX(BW:BW,MIN(IF(ISNUMBER(BW135:BW331),ROW(BW135:BW331),"")))</f>
        <v/>
      </c>
      <c r="BY135" s="150">
        <f>IF('Données projet'!$A$114&gt;35,BY134+BX135-CG134,IF(A135&lt;'Données projet'!$A$114,$BV$205^A135,IF(A135='Données projet'!$A$114,'Données projet'!$B$114,BY134+BX135-CG134)))</f>
        <v>0</v>
      </c>
      <c r="BZ135" s="150" t="str">
        <f>BY135*VLOOKUP('Données projet'!$B$12,'Paramètres'!$A$1:$I$88,3,0)*VLOOKUP('Données projet'!$B$12,'Paramètres'!$A$1:$I$88,5,0)</f>
        <v>#N/A</v>
      </c>
      <c r="CA135" s="150" t="str">
        <f t="shared" si="40"/>
        <v>#N/A</v>
      </c>
      <c r="CB135" s="161" t="str">
        <f t="shared" si="11"/>
        <v>#N/A</v>
      </c>
      <c r="CC135" s="153" t="str">
        <f t="shared" si="12"/>
        <v>#N/A</v>
      </c>
      <c r="CD135" s="153" t="str">
        <f>AVERAGE(OFFSET($CC$3,0,0,'Données projet'!$E$12+1,1))-AVERAGE(OFFSET($H$3,0,0,'Données projet'!$E$12+1,1))</f>
        <v>#N/A</v>
      </c>
      <c r="CE135" s="153" t="str">
        <f t="shared" si="41"/>
        <v>#N/A</v>
      </c>
      <c r="CF135" s="154">
        <f>IF(ISNA(VLOOKUP(A135,'Données projet'!$A$113:$I$133,3,0)),0,VLOOKUP(A135,'Données projet'!$A$113:$I$133,3,0))</f>
        <v>0</v>
      </c>
      <c r="CG135" s="154">
        <f>IF(ISNA(VLOOKUP(A135,'Données projet'!$A$113:$I$133,4,0)),0,VLOOKUP(A135,'Données projet'!$A$113:$I$133,4,0))</f>
        <v>0</v>
      </c>
      <c r="CH135" s="155">
        <f>IF(ISNA(VLOOKUP(A135,'Données projet'!$A$113:$I$133,5,0)),0%,VLOOKUP(A135,'Données projet'!$A$113:$I$133,5,0)*VLOOKUP('Données projet'!$B$12,'Paramètres'!$A$1:$I$88,7,0))</f>
        <v>0</v>
      </c>
      <c r="CI135" s="155">
        <f>IF(ISNA(VLOOKUP(A135,'Données projet'!$A$113:$I$133,6,0)),0%,VLOOKUP(A135,'Données projet'!$A$113:$I$133,6,0)*VLOOKUP('Données projet'!$B$12,'Paramètres'!$A$1:$I$88,7,0))</f>
        <v>0</v>
      </c>
      <c r="CJ135" s="155">
        <f>IF(ISNA(VLOOKUP(A135,'Données projet'!$A$113:$I$133,7,0)),0%,VLOOKUP(A135,'Données projet'!$A$113:$I$133,7,0))</f>
        <v>0</v>
      </c>
      <c r="CK135" s="162" t="str">
        <f>EXP(-LN(2)/35)*CK134+(1-EXP(-LN(2)/35))/(LN(2)/35)*CG135*CH135*VLOOKUP('Données projet'!$B$12,'Paramètres'!$A$1:$I$88,3,0)*0.475*44/12</f>
        <v>#N/A</v>
      </c>
      <c r="CL135" s="162" t="str">
        <f>EXP(-LN(2)/25)*CL134+(1-EXP(-LN(2)/25))/(LN(2)/25)*Calculateur!CG135*Calculateur!CI135*VLOOKUP('Données projet'!$B$12,'Paramètres'!$A$1:$I$88,3,0)*0.475*44/12</f>
        <v>#N/A</v>
      </c>
      <c r="CM135" s="162" t="str">
        <f>EXP(-LN(2)/2)*CM134+(1-EXP(-LN(2)/2))/(LN(2)/2)*CG135*CJ135*VLOOKUP('Données projet'!$B$12,'Paramètres'!$A$1:$I$88,3,0)*0.475*44/12</f>
        <v>#N/A</v>
      </c>
      <c r="CN135" s="163" t="str">
        <f t="shared" si="13"/>
        <v>#N/A</v>
      </c>
      <c r="CO135" s="159">
        <f>('Scénario référence'!$F$8+'Scénario référence'!$F$9+'Scénario référence'!$B$17+'Scénario référence'!$B$9+'Scénario référence'!$B$10)*70+IF((45+25*(1-EXP(-0.0175*A135)))&lt;70,'Scénario référence'!$B$16*(45+25*(1-EXP(-0.0175*A135))),70*'Scénario référence'!$B$16)+IF((32+38*(1-EXP(-0.0175*A135)))&lt;70,'Scénario référence'!$B$18*(32+38*(1-EXP(-0.0175*A135))),70*'Scénario référence'!$B$18)</f>
        <v>70</v>
      </c>
      <c r="CP135" s="151">
        <f>IF(A135&gt;30,10,('Scénario référence'!$B$16+'Scénario référence'!$B$17+'Scénario référence'!$B$18+'Scénario référence'!$B$9+'Scénario référence'!$B$10)*A135*10/30+('Scénario référence'!$F$8+'Scénario référence'!$F$9)*10)</f>
        <v>10</v>
      </c>
      <c r="CQ135" s="151" t="str">
        <f>VLOOKUP(A135,'Données projet'!$A$139:$I$159,2,0)</f>
        <v>#N/A</v>
      </c>
      <c r="CR135" s="151" t="str">
        <f>VLOOKUP(A135,'Données projet'!$A$139:$I$159,9,0)</f>
        <v>#N/A</v>
      </c>
      <c r="CS135" s="151" t="str">
        <f t="array" ref="CS135">INDEX(CR:CR,MIN(IF(ISNUMBER(CR135:CR331),ROW(CR135:CR331),"")))</f>
        <v/>
      </c>
      <c r="CT135" s="151">
        <f>IF('Données projet'!$A$140&gt;35,CT134+CS135-DB134,IF(A135&lt;'Données projet'!$A$140,$CQ$205^A135,IF(A135='Données projet'!$A$140,'Données projet'!$B$140,CT134+CS135-DB134)))</f>
        <v>0</v>
      </c>
      <c r="CU135" s="158" t="str">
        <f>CT135*VLOOKUP('Données projet'!$B$13,'Paramètres'!$A$1:$I$88,3,0)*VLOOKUP('Données projet'!$B$13,'Paramètres'!$A$1:$I$88,5,0)</f>
        <v>#N/A</v>
      </c>
      <c r="CV135" s="150" t="str">
        <f t="shared" si="42"/>
        <v>#N/A</v>
      </c>
      <c r="CW135" s="161" t="str">
        <f t="shared" si="14"/>
        <v>#N/A</v>
      </c>
      <c r="CX135" s="153" t="str">
        <f t="shared" si="15"/>
        <v>#N/A</v>
      </c>
      <c r="CY135" s="153" t="str">
        <f>AVERAGE(OFFSET($CX$3,0,0,'Données projet'!$E$13+1,1))-AVERAGE(OFFSET($H$3,0,0,'Données projet'!$E$13+1,1))</f>
        <v>#N/A</v>
      </c>
      <c r="CZ135" s="153" t="str">
        <f t="shared" si="43"/>
        <v>#N/A</v>
      </c>
      <c r="DA135" s="154">
        <f>IF(ISNA(VLOOKUP(A135,'Données projet'!$A$139:$I$159,3,0)),0,VLOOKUP(A135,'Données projet'!$A$139:$I$159,3,0))</f>
        <v>0</v>
      </c>
      <c r="DB135" s="154">
        <f>IF(ISNA(VLOOKUP(A135,'Données projet'!$A$139:$I$159,4,0)),0,VLOOKUP(A135,'Données projet'!$A$139:$I$159,4,0))</f>
        <v>0</v>
      </c>
      <c r="DC135" s="155">
        <f>IF(ISNA(VLOOKUP(A135,'Données projet'!$A$139:$I$159,5,0)),0%,VLOOKUP(A135,'Données projet'!$A$139:$I$159,5,0)*VLOOKUP('Données projet'!$B$13,'Paramètres'!$A$1:$I$88,7,0))</f>
        <v>0</v>
      </c>
      <c r="DD135" s="155">
        <f>IF(ISNA(VLOOKUP(A135,'Données projet'!$A$139:$I$159,6,0)),0%,VLOOKUP(A135,'Données projet'!$A$139:$I$159,6,0)*VLOOKUP('Données projet'!$B$13,'Paramètres'!$A$1:$I$88,7,0))</f>
        <v>0</v>
      </c>
      <c r="DE135" s="155">
        <f>IF(ISNA(VLOOKUP(A135,'Données projet'!$A$139:$I$159,7,0)),0%,VLOOKUP(A135,'Données projet'!$A$139:$I$159,7,0))</f>
        <v>0</v>
      </c>
      <c r="DF135" s="162" t="str">
        <f>EXP(-LN(2)/35)*DF134+(1-EXP(-LN(2)/35))/(LN(2)/35)*DB135*DC135*VLOOKUP('Données projet'!$B$13,'Paramètres'!$A$1:$I$88,3,0)*0.475*44/12</f>
        <v>#N/A</v>
      </c>
      <c r="DG135" s="162" t="str">
        <f>EXP(-LN(2)/25)*DG134+(1-EXP(-LN(2)/25))/(LN(2)/25)*Calculateur!DB135*Calculateur!DD135*VLOOKUP('Données projet'!$B$13,'Paramètres'!$A$1:$I$88,3,0)*0.475*44/12</f>
        <v>#N/A</v>
      </c>
      <c r="DH135" s="162" t="str">
        <f>EXP(-LN(2)/2)*DH134+(1-EXP(-LN(2)/2))/(LN(2)/2)*DB135*DE135*VLOOKUP('Données projet'!$B$13,'Paramètres'!$A$1:$I$88,3,0)*0.475*44/12</f>
        <v>#N/A</v>
      </c>
      <c r="DI135" s="163" t="str">
        <f t="shared" si="16"/>
        <v>#N/A</v>
      </c>
      <c r="DJ135" s="159">
        <f>('Scénario référence'!$F$8+'Scénario référence'!$F$9+'Scénario référence'!$B$17+'Scénario référence'!$B$9+'Scénario référence'!$B$10)*70+IF((45+25*(1-EXP(-0.0175*A135)))&lt;70,'Scénario référence'!$B$16*(45+25*(1-EXP(-0.0175*A135))),70*'Scénario référence'!$B$16)+IF((32+38*(1-EXP(-0.0175*A135)))&lt;70,'Scénario référence'!$B$18*(32+38*(1-EXP(-0.0175*A135))),70*'Scénario référence'!$B$18)</f>
        <v>70</v>
      </c>
      <c r="DK135" s="151">
        <f>IF(A135&gt;30,10,('Scénario référence'!$B$16+'Scénario référence'!$B$17+'Scénario référence'!$B$18+'Scénario référence'!$B$9+'Scénario référence'!$B$10)*A135*10/30+('Scénario référence'!$F$8+'Scénario référence'!$F$9)*10)</f>
        <v>10</v>
      </c>
      <c r="DL135" s="151" t="str">
        <f>VLOOKUP(A135,'Données projet'!$A$165:$I$185,2,0)</f>
        <v>#N/A</v>
      </c>
      <c r="DM135" s="151" t="str">
        <f>VLOOKUP(A135,'Données projet'!$A$165:$I$185,9,0)</f>
        <v>#N/A</v>
      </c>
      <c r="DN135" s="151" t="str">
        <f t="array" ref="DN135">INDEX(DM:DM,MIN(IF(ISNUMBER(DM135:DM331),ROW(DM135:DM331),"")))</f>
        <v/>
      </c>
      <c r="DO135" s="151">
        <f>IF('Données projet'!$A$166&gt;35,DO134+DN135-DW134,IF(A135&lt;'Données projet'!$A$166,$DL$205^A135,IF(A135='Données projet'!$A$166,'Données projet'!$B$166,DO134+DN135-DW134)))</f>
        <v>0</v>
      </c>
      <c r="DP135" s="158" t="str">
        <f>DO135*VLOOKUP('Données projet'!$B$14,'Paramètres'!$A$1:$I$88,3,0)*VLOOKUP('Données projet'!$B$14,'Paramètres'!$A$1:$I$88,5,0)</f>
        <v>#N/A</v>
      </c>
      <c r="DQ135" s="150" t="str">
        <f t="shared" si="44"/>
        <v>#N/A</v>
      </c>
      <c r="DR135" s="161" t="str">
        <f t="shared" si="17"/>
        <v>#N/A</v>
      </c>
      <c r="DS135" s="153" t="str">
        <f t="shared" si="18"/>
        <v>#N/A</v>
      </c>
      <c r="DT135" s="153" t="str">
        <f>AVERAGE(OFFSET($DS$3,0,0,'Données projet'!$E$14+1,1))-AVERAGE(OFFSET($H$3,0,0,'Données projet'!$E$14+1,1))</f>
        <v>#N/A</v>
      </c>
      <c r="DU135" s="153" t="str">
        <f t="shared" si="45"/>
        <v>#N/A</v>
      </c>
      <c r="DV135" s="154">
        <f>IF(ISNA(VLOOKUP(A135,'Données projet'!$A$165:$I$185,3,0)),0,VLOOKUP(A135,'Données projet'!$A$165:$I$185,3,0))</f>
        <v>0</v>
      </c>
      <c r="DW135" s="154">
        <f>IF(ISNA(VLOOKUP(A135,'Données projet'!$A$165:$I$185,4,0)),0,VLOOKUP(A135,'Données projet'!$A$165:$I$185,4,0))</f>
        <v>0</v>
      </c>
      <c r="DX135" s="155">
        <f>IF(ISNA(VLOOKUP(A135,'Données projet'!$A$165:$I$185,5,0)),0%,VLOOKUP(A135,'Données projet'!$A$165:$I$185,5,0)*VLOOKUP('Données projet'!$B$14,'Paramètres'!$A$1:$I$88,7,0))</f>
        <v>0</v>
      </c>
      <c r="DY135" s="155">
        <f>IF(ISNA(VLOOKUP(A135,'Données projet'!$A$165:$I$185,6,0)),0%,VLOOKUP(A135,'Données projet'!$A$165:$I$185,6,0)*VLOOKUP('Données projet'!$B$14,'Paramètres'!$A$1:$I$88,7,0))</f>
        <v>0</v>
      </c>
      <c r="DZ135" s="155">
        <f>IF(ISNA(VLOOKUP(A135,'Données projet'!$A$165:$I$185,7,0)),0%,VLOOKUP(A135,'Données projet'!$A$165:$I$185,7,0))</f>
        <v>0</v>
      </c>
      <c r="EA135" s="162" t="str">
        <f>EXP(-LN(2)/35)*EA134+(1-EXP(-LN(2)/35))/(LN(2)/35)*DW135*DX135*VLOOKUP('Données projet'!$B$14,'Paramètres'!$A$1:$I$88,3,0)*0.475*44/12</f>
        <v>#N/A</v>
      </c>
      <c r="EB135" s="162" t="str">
        <f>EXP(-LN(2)/25)*EB134+(1-EXP(-LN(2)/25))/(LN(2)/25)*Calculateur!DW135*Calculateur!DY135*VLOOKUP('Données projet'!$B$14,'Paramètres'!$A$1:$I$88,3,0)*0.475*44/12</f>
        <v>#N/A</v>
      </c>
      <c r="EC135" s="162" t="str">
        <f>EXP(-LN(2)/2)*EC134+(1-EXP(-LN(2)/2))/(LN(2)/2)*DW135*DZ135*VLOOKUP('Données projet'!$B$14,'Paramètres'!$A$1:$I$88,3,0)*0.475*44/12</f>
        <v>#N/A</v>
      </c>
      <c r="ED135" s="163" t="str">
        <f t="shared" si="19"/>
        <v>#N/A</v>
      </c>
      <c r="EE135" s="159">
        <f>('Scénario référence'!$F$8+'Scénario référence'!$F$9+'Scénario référence'!$B$17+'Scénario référence'!$B$9+'Scénario référence'!$B$10)*70+IF((45+25*(1-EXP(-0.0175*A135)))&lt;70,'Scénario référence'!$B$16*(45+25*(1-EXP(-0.0175*A135))),70*'Scénario référence'!$B$16)+IF((32+38*(1-EXP(-0.0175*A135)))&lt;70,'Scénario référence'!$B$18*(32+38*(1-EXP(-0.0175*A135))),70*'Scénario référence'!$B$18)</f>
        <v>70</v>
      </c>
      <c r="EF135" s="151">
        <f>IF(A135&gt;30,10,('Scénario référence'!$B$16+'Scénario référence'!$B$17+'Scénario référence'!$B$18+'Scénario référence'!$B$9+'Scénario référence'!$B$10)*A135*10/30+('Scénario référence'!$F$8+'Scénario référence'!$F$9)*10)</f>
        <v>10</v>
      </c>
      <c r="EG135" s="151" t="str">
        <f>VLOOKUP(A135,'Données projet'!$A$191:$I$211,2,0)</f>
        <v>#N/A</v>
      </c>
      <c r="EH135" s="151" t="str">
        <f>VLOOKUP(A135,'Données projet'!$A$191:$I$211,9,0)</f>
        <v>#N/A</v>
      </c>
      <c r="EI135" s="151" t="str">
        <f t="array" ref="EI135">INDEX(EH:EH,MIN(IF(ISNUMBER(EH135:EH331),ROW(EH135:EH331),"")))</f>
        <v/>
      </c>
      <c r="EJ135" s="151">
        <f>IF('Données projet'!$A$192&gt;35,EJ134+EI135-ER134,IF(A135&lt;'Données projet'!$A$192,$EG$205^A135,IF(A135='Données projet'!$A$192,'Données projet'!$B$192,EJ134+EI135-ER134)))</f>
        <v>0</v>
      </c>
      <c r="EK135" s="158" t="str">
        <f>EJ135*VLOOKUP('Données projet'!$B$15,'Paramètres'!$A$1:$I$88,3,0)*VLOOKUP('Données projet'!$B$15,'Paramètres'!$A$1:$I$88,5,0)</f>
        <v>#N/A</v>
      </c>
      <c r="EL135" s="150" t="str">
        <f t="shared" si="46"/>
        <v>#N/A</v>
      </c>
      <c r="EM135" s="161" t="str">
        <f t="shared" si="20"/>
        <v>#N/A</v>
      </c>
      <c r="EN135" s="153" t="str">
        <f t="shared" si="21"/>
        <v>#N/A</v>
      </c>
      <c r="EO135" s="153" t="str">
        <f>AVERAGE(OFFSET($EN$3,0,0,'Données projet'!$E$15+1,1))-AVERAGE(OFFSET($H$3,0,0,'Données projet'!$E$15+1,1))</f>
        <v>#N/A</v>
      </c>
      <c r="EP135" s="153" t="str">
        <f t="shared" si="47"/>
        <v>#N/A</v>
      </c>
      <c r="EQ135" s="154">
        <f>IF(ISNA(VLOOKUP(A135,'Données projet'!$A$191:$I$211,3,0)),0,VLOOKUP(A135,'Données projet'!$A$191:$I$211,3,0))</f>
        <v>0</v>
      </c>
      <c r="ER135" s="154">
        <f>IF(ISNA(VLOOKUP(A135,'Données projet'!$A$191:$I$211,4,0)),0,VLOOKUP(A135,'Données projet'!$A$191:$I$211,4,0))</f>
        <v>0</v>
      </c>
      <c r="ES135" s="155">
        <f>IF(ISNA(VLOOKUP(A135,'Données projet'!$A$191:$I$211,5,0)),0%,VLOOKUP(A135,'Données projet'!$A$191:$I$211,5,0)*VLOOKUP('Données projet'!$B$15,'Paramètres'!$A$1:$I$88,7,0))</f>
        <v>0</v>
      </c>
      <c r="ET135" s="155">
        <f>IF(ISNA(VLOOKUP(A135,'Données projet'!$A$191:$I$211,6,0)),0%,VLOOKUP(A135,'Données projet'!$A$191:$I$211,6,0)*VLOOKUP('Données projet'!$B$15,'Paramètres'!$A$1:$I$88,7,0))</f>
        <v>0</v>
      </c>
      <c r="EU135" s="155">
        <f>IF(ISNA(VLOOKUP(A135,'Données projet'!$A$191:$I$211,7,0)),0%,VLOOKUP(A135,'Données projet'!$A$191:$I$211,7,0))</f>
        <v>0</v>
      </c>
      <c r="EV135" s="162" t="str">
        <f>EXP(-LN(2)/35)*EV134+(1-EXP(-LN(2)/35))/(LN(2)/35)*ER135*ES135*VLOOKUP('Données projet'!$B$15,'Paramètres'!$A$1:$I$88,3,0)*0.475*44/12</f>
        <v>#N/A</v>
      </c>
      <c r="EW135" s="162" t="str">
        <f>EXP(-LN(2)/25)*EW134+(1-EXP(-LN(2)/25))/(LN(2)/25)*Calculateur!ER135*Calculateur!ET135*VLOOKUP('Données projet'!$B$15,'Paramètres'!$A$1:$I$88,3,0)*0.475*44/12</f>
        <v>#N/A</v>
      </c>
      <c r="EX135" s="162" t="str">
        <f>EXP(-LN(2)/2)*EX134+(1-EXP(-LN(2)/2))/(LN(2)/2)*ER135*EU135*VLOOKUP('Données projet'!$B$15,'Paramètres'!$A$1:$I$88,3,0)*0.475*44/12</f>
        <v>#N/A</v>
      </c>
      <c r="EY135" s="163" t="str">
        <f t="shared" si="22"/>
        <v>#N/A</v>
      </c>
      <c r="EZ135" s="159">
        <f>('Scénario référence'!$F$8+'Scénario référence'!$F$9+'Scénario référence'!$B$17+'Scénario référence'!$B$9+'Scénario référence'!$B$10)*70+IF((45+25*(1-EXP(-0.0175*A135)))&lt;70,'Scénario référence'!$B$16*(45+25*(1-EXP(-0.0175*A135))),70*'Scénario référence'!$B$16)+IF((32+38*(1-EXP(-0.0175*A135)))&lt;70,'Scénario référence'!$B$18*(32+38*(1-EXP(-0.0175*A135))),70*'Scénario référence'!$B$18)</f>
        <v>70</v>
      </c>
      <c r="FA135" s="151">
        <f>IF(A135&gt;30,10,('Scénario référence'!$B$16+'Scénario référence'!$B$17+'Scénario référence'!$B$18+'Scénario référence'!$B$9+'Scénario référence'!$B$10)*A135*10/30+('Scénario référence'!$F$8+'Scénario référence'!$F$9)*10)</f>
        <v>10</v>
      </c>
      <c r="FB135" s="151" t="str">
        <f>VLOOKUP(A135,'Données projet'!$A$217:$I$237,2,0)</f>
        <v>#N/A</v>
      </c>
      <c r="FC135" s="151" t="str">
        <f>VLOOKUP(A135,'Données projet'!$A$217:$I$237,9,0)</f>
        <v>#N/A</v>
      </c>
      <c r="FD135" s="151" t="str">
        <f t="array" ref="FD135">INDEX(FC:FC,MIN(IF(ISNUMBER(FC135:FC331),ROW(FC135:FC331),"")))</f>
        <v/>
      </c>
      <c r="FE135" s="151">
        <f>IF('Données projet'!$A$218&gt;35,FE134+FD135-FM134,IF(A135&lt;'Données projet'!$A$218,$FB$205^A135,IF(A135='Données projet'!$A$218,'Données projet'!$B$218,FE134+FD135-FM134)))</f>
        <v>0</v>
      </c>
      <c r="FF135" s="158" t="str">
        <f>FE135*VLOOKUP('Données projet'!$B$16,'Paramètres'!$A$1:$I$88,3,0)*VLOOKUP('Données projet'!$B$16,'Paramètres'!$A$1:$I$88,5,0)</f>
        <v>#N/A</v>
      </c>
      <c r="FG135" s="150" t="str">
        <f t="shared" si="48"/>
        <v>#N/A</v>
      </c>
      <c r="FH135" s="161" t="str">
        <f t="shared" si="23"/>
        <v>#N/A</v>
      </c>
      <c r="FI135" s="153" t="str">
        <f t="shared" si="24"/>
        <v>#N/A</v>
      </c>
      <c r="FJ135" s="153" t="str">
        <f>AVERAGE(OFFSET($FI$3,0,0,'Données projet'!$E$16+1,1))-AVERAGE(OFFSET($H$3,0,0,'Données projet'!$E$16+1,1))</f>
        <v>#N/A</v>
      </c>
      <c r="FK135" s="153" t="str">
        <f t="shared" si="49"/>
        <v>#N/A</v>
      </c>
      <c r="FL135" s="154">
        <f>IF(ISNA(VLOOKUP(A135,'Données projet'!$A$217:$I$237,3,0)),0,VLOOKUP(A135,'Données projet'!$A$217:$I$237,3,0))</f>
        <v>0</v>
      </c>
      <c r="FM135" s="154">
        <f>IF(ISNA(VLOOKUP(A135,'Données projet'!$A$217:$I$237,4,0)),0,VLOOKUP(A135,'Données projet'!$A$217:$I$237,4,0))</f>
        <v>0</v>
      </c>
      <c r="FN135" s="155">
        <f>IF(ISNA(VLOOKUP(A135,'Données projet'!$A$217:$I$237,5,0)),0%,VLOOKUP(A135,'Données projet'!$A$217:$I$237,5,0)*VLOOKUP('Données projet'!$B$16,'Paramètres'!$A$1:$I$88,7,0))</f>
        <v>0</v>
      </c>
      <c r="FO135" s="155">
        <f>IF(ISNA(VLOOKUP(A135,'Données projet'!$A$217:$I$237,6,0)),0%,VLOOKUP(A135,'Données projet'!$A$217:$I$237,6,0)*VLOOKUP('Données projet'!$B$16,'Paramètres'!$A$1:$I$88,7,0))</f>
        <v>0</v>
      </c>
      <c r="FP135" s="155">
        <f>IF(ISNA(VLOOKUP(A135,'Données projet'!$A$217:$I$237,7,0)),0%,VLOOKUP(A135,'Données projet'!$A$217:$I$237,7,0))</f>
        <v>0</v>
      </c>
      <c r="FQ135" s="162" t="str">
        <f>EXP(-LN(2)/35)*FQ134+(1-EXP(-LN(2)/35))/(LN(2)/35)*FM135*FN135*VLOOKUP('Données projet'!$B$16,'Paramètres'!$A$1:$I$88,3,0)*0.475*44/12</f>
        <v>#N/A</v>
      </c>
      <c r="FR135" s="162" t="str">
        <f>EXP(-LN(2)/25)*FR134+(1-EXP(-LN(2)/25))/(LN(2)/25)*Calculateur!FM135*Calculateur!FO135*VLOOKUP('Données projet'!$B$16,'Paramètres'!$A$1:$I$88,3,0)*0.475*44/12</f>
        <v>#N/A</v>
      </c>
      <c r="FS135" s="162" t="str">
        <f>EXP(-LN(2)/2)*FS134+(1-EXP(-LN(2)/2))/(LN(2)/2)*FM135*FP135*VLOOKUP('Données projet'!$B$16,'Paramètres'!$A$1:$I$88,3,0)*0.475*44/12</f>
        <v>#N/A</v>
      </c>
      <c r="FT135" s="163" t="str">
        <f t="shared" si="25"/>
        <v>#N/A</v>
      </c>
      <c r="FU135" s="159">
        <f>('Scénario référence'!$F$8+'Scénario référence'!$F$9+'Scénario référence'!$B$17+'Scénario référence'!$B$9+'Scénario référence'!$B$10)*70+IF((45+25*(1-EXP(-0.0175*A135)))&lt;70,'Scénario référence'!$B$16*(45+25*(1-EXP(-0.0175*A135))),70*'Scénario référence'!$B$16)+IF((32+38*(1-EXP(-0.0175*A135)))&lt;70,'Scénario référence'!$B$18*(32+38*(1-EXP(-0.0175*A135))),70*'Scénario référence'!$B$18)</f>
        <v>70</v>
      </c>
      <c r="FV135" s="151">
        <f>IF(A135&gt;30,10,('Scénario référence'!$B$16+'Scénario référence'!$B$17+'Scénario référence'!$B$18+'Scénario référence'!$B$9+'Scénario référence'!$B$10)*A135*10/30+('Scénario référence'!$F$8+'Scénario référence'!$F$9)*10)</f>
        <v>10</v>
      </c>
      <c r="FW135" s="151" t="str">
        <f>VLOOKUP(A135,'Données projet'!$A$243:$I$263,2,0)</f>
        <v>#N/A</v>
      </c>
      <c r="FX135" s="151" t="str">
        <f>VLOOKUP(A135,'Données projet'!$A$243:$I$263,9,0)</f>
        <v>#N/A</v>
      </c>
      <c r="FY135" s="151" t="str">
        <f t="array" ref="FY135">INDEX(FX:FX,MIN(IF(ISNUMBER(FX135:FX331),ROW(FX135:FX331),"")))</f>
        <v/>
      </c>
      <c r="FZ135" s="151">
        <f>IF('Données projet'!$A$244&gt;35,FZ134+FY135-GH134,IF(A135&lt;'Données projet'!$A$244,$FW$205^A135,IF(A135='Données projet'!$A$244,'Données projet'!$B$244,FZ134+FY135-GH134)))</f>
        <v>0</v>
      </c>
      <c r="GA135" s="158" t="str">
        <f>FZ135*VLOOKUP('Données projet'!$B$17,'Paramètres'!$A$1:$I$88,3,0)*VLOOKUP('Données projet'!$B$17,'Paramètres'!$A$1:$I$88,5,0)</f>
        <v>#N/A</v>
      </c>
      <c r="GB135" s="150" t="str">
        <f t="shared" si="50"/>
        <v>#N/A</v>
      </c>
      <c r="GC135" s="161" t="str">
        <f t="shared" si="26"/>
        <v>#N/A</v>
      </c>
      <c r="GD135" s="153" t="str">
        <f t="shared" si="27"/>
        <v>#N/A</v>
      </c>
      <c r="GE135" s="153" t="str">
        <f>AVERAGE(OFFSET($GD$3,0,0,'Données projet'!$E$17+1,1))-AVERAGE(OFFSET($H$3,0,0,'Données projet'!$E$17+1,1))</f>
        <v>#N/A</v>
      </c>
      <c r="GF135" s="153" t="str">
        <f t="shared" si="51"/>
        <v>#N/A</v>
      </c>
      <c r="GG135" s="154">
        <f>IF(ISNA(VLOOKUP(A135,'Données projet'!$A$243:$I$263,3,0)),0,VLOOKUP(A135,'Données projet'!$A$243:$I$263,3,0))</f>
        <v>0</v>
      </c>
      <c r="GH135" s="154">
        <f>IF(ISNA(VLOOKUP(A135,'Données projet'!$A$243:$I$263,4,0)),0,VLOOKUP(A135,'Données projet'!$A$243:$I$263,4,0))</f>
        <v>0</v>
      </c>
      <c r="GI135" s="155">
        <f>IF(ISNA(VLOOKUP(A135,'Données projet'!$A$243:$I$263,5,0)),0%,VLOOKUP(A135,'Données projet'!$A$243:$I$263,5,0)*VLOOKUP('Données projet'!$B$17,'Paramètres'!$A$1:$I$88,7,0))</f>
        <v>0</v>
      </c>
      <c r="GJ135" s="155">
        <f>IF(ISNA(VLOOKUP(A135,'Données projet'!$A$243:$I$263,6,0)),0%,VLOOKUP(A135,'Données projet'!$A$243:$I$263,6,0)*VLOOKUP('Données projet'!$B$17,'Paramètres'!$A$1:$I$88,7,0))</f>
        <v>0</v>
      </c>
      <c r="GK135" s="155">
        <f>IF(ISNA(VLOOKUP(A135,'Données projet'!$A$243:$I$263,7,0)),0%,VLOOKUP(A135,'Données projet'!$A$243:$I$263,7,0))</f>
        <v>0</v>
      </c>
      <c r="GL135" s="162" t="str">
        <f>EXP(-LN(2)/35)*GL134+(1-EXP(-LN(2)/35))/(LN(2)/35)*GH135*GI135*VLOOKUP('Données projet'!$B$17,'Paramètres'!$A$1:$I$88,3,0)*0.475*44/12</f>
        <v>#N/A</v>
      </c>
      <c r="GM135" s="162" t="str">
        <f>EXP(-LN(2)/25)*GM134+(1-EXP(-LN(2)/25))/(LN(2)/25)*Calculateur!GH135*Calculateur!GJ135*VLOOKUP('Données projet'!$B$17,'Paramètres'!$A$1:$I$88,3,0)*0.475*44/12</f>
        <v>#N/A</v>
      </c>
      <c r="GN135" s="162" t="str">
        <f>EXP(-LN(2)/2)*GN134+(1-EXP(-LN(2)/2))/(LN(2)/2)*GH135*GK135*VLOOKUP('Données projet'!$B$17,'Paramètres'!$A$1:$I$88,3,0)*0.475*44/12</f>
        <v>#N/A</v>
      </c>
      <c r="GO135" s="162" t="str">
        <f t="shared" si="28"/>
        <v>#N/A</v>
      </c>
      <c r="GP135" s="159">
        <f>('Scénario référence'!$F$8+'Scénario référence'!$F$9+'Scénario référence'!$B$17+'Scénario référence'!$B$9+'Scénario référence'!$B$10)*70+IF((45+25*(1-EXP(-0.0175*A135)))&lt;70,'Scénario référence'!$B$16*(45+25*(1-EXP(-0.0175*A135))),70*'Scénario référence'!$B$16)+IF((32+38*(1-EXP(-0.0175*A135)))&lt;70,'Scénario référence'!$B$18*(32+38*(1-EXP(-0.0175*A135))),70*'Scénario référence'!$B$18)</f>
        <v>70</v>
      </c>
      <c r="GQ135" s="151">
        <f>IF(A135&gt;30,10,('Scénario référence'!$B$16+'Scénario référence'!$B$17+'Scénario référence'!$B$18+'Scénario référence'!$B$9+'Scénario référence'!$B$10)*A135*10/30+('Scénario référence'!$F$8+'Scénario référence'!$F$9)*10)</f>
        <v>10</v>
      </c>
      <c r="GR135" s="151" t="str">
        <f>VLOOKUP(A135,'Données projet'!$A$269:$I$289,2,0)</f>
        <v>#N/A</v>
      </c>
      <c r="GS135" s="151" t="str">
        <f>VLOOKUP(A135,'Données projet'!$A$269:$I$289,9,0)</f>
        <v>#N/A</v>
      </c>
      <c r="GT135" s="151" t="str">
        <f t="array" ref="GT135">INDEX(GS:GS,MIN(IF(ISNUMBER(GS135:GS331),ROW(GS135:GS331),"")))</f>
        <v/>
      </c>
      <c r="GU135" s="151">
        <f>IF('Données projet'!$A$270&gt;35,GU134+GT135-HC134,IF(A135&lt;'Données projet'!$A$270,$GR$205^A135,IF(A135='Données projet'!$A$270,'Données projet'!$B$270,GU134+GT135-HC134)))</f>
        <v>0</v>
      </c>
      <c r="GV135" s="158" t="str">
        <f>GU135*VLOOKUP('Données projet'!$B$18,'Paramètres'!$A$1:$I$88,3,0)*VLOOKUP('Données projet'!$B$18,'Paramètres'!$A$1:$I$88,5,0)</f>
        <v>#N/A</v>
      </c>
      <c r="GW135" s="150" t="str">
        <f t="shared" si="52"/>
        <v>#N/A</v>
      </c>
      <c r="GX135" s="161" t="str">
        <f t="shared" si="29"/>
        <v>#N/A</v>
      </c>
      <c r="GY135" s="153" t="str">
        <f t="shared" si="30"/>
        <v>#N/A</v>
      </c>
      <c r="GZ135" s="153" t="str">
        <f>AVERAGE(OFFSET($GY$3,0,0,'Données projet'!$E$18+1,1))-AVERAGE(OFFSET($H$3,0,0,'Données projet'!$E$18+1,1))</f>
        <v>#N/A</v>
      </c>
      <c r="HA135" s="153" t="str">
        <f t="shared" si="53"/>
        <v>#N/A</v>
      </c>
      <c r="HB135" s="154">
        <f>IF(ISNA(VLOOKUP(A135,'Données projet'!$A$269:$I$289,3,0)),0,VLOOKUP(A135,'Données projet'!$A$269:$I$289,3,0))</f>
        <v>0</v>
      </c>
      <c r="HC135" s="154">
        <f>IF(ISNA(VLOOKUP(A135,'Données projet'!$A$269:$I$289,4,0)),0,VLOOKUP(A135,'Données projet'!$A$269:$I$289,4,0))</f>
        <v>0</v>
      </c>
      <c r="HD135" s="155">
        <f>IF(ISNA(VLOOKUP(A135,'Données projet'!$A$269:$I$289,5,0)),0%,VLOOKUP(A135,'Données projet'!$A$269:$I$289,5,0)*VLOOKUP('Données projet'!$B$18,'Paramètres'!$A$1:$I$88,7,0))</f>
        <v>0</v>
      </c>
      <c r="HE135" s="155">
        <f>IF(ISNA(VLOOKUP(A135,'Données projet'!$A$269:$I$289,6,0)),0%,VLOOKUP(A135,'Données projet'!$A$269:$I$289,6,0)*VLOOKUP('Données projet'!$B$18,'Paramètres'!$A$1:$I$88,7,0))</f>
        <v>0</v>
      </c>
      <c r="HF135" s="155">
        <f>IF(ISNA(VLOOKUP(A135,'Données projet'!$A$269:$I$289,7,0)),0%,VLOOKUP(A135,'Données projet'!$A$269:$I$289,7,0))</f>
        <v>0</v>
      </c>
      <c r="HG135" s="162" t="str">
        <f>EXP(-LN(2)/35)*HG134+(1-EXP(-LN(2)/35))/(LN(2)/35)*HC135*HD135*VLOOKUP('Données projet'!$B$18,'Paramètres'!$A$1:$I$88,3,0)*0.475*44/12</f>
        <v>#N/A</v>
      </c>
      <c r="HH135" s="162" t="str">
        <f>EXP(-LN(2)/25)*HH134+(1-EXP(-LN(2)/25))/(LN(2)/25)*Calculateur!HC135*Calculateur!HE135*VLOOKUP('Données projet'!$B$18,'Paramètres'!$A$1:$I$88,3,0)*0.475*44/12</f>
        <v>#N/A</v>
      </c>
      <c r="HI135" s="162" t="str">
        <f>EXP(-LN(2)/2)*HI134+(1-EXP(-LN(2)/2))/(LN(2)/2)*HC135*HF135*VLOOKUP('Données projet'!$B$18,'Paramètres'!$A$1:$I$88,3,0)*0.475*44/12</f>
        <v>#N/A</v>
      </c>
      <c r="HJ135" s="163" t="str">
        <f t="shared" si="31"/>
        <v>#N/A</v>
      </c>
    </row>
    <row r="136" ht="15.75" customHeight="1">
      <c r="A136" s="145">
        <f t="shared" si="32"/>
        <v>133</v>
      </c>
      <c r="B136" s="146">
        <f>'Scénario référence'!$B$16*5+'Scénario référence'!$B$17*0+'Scénario référence'!$B$18*5</f>
        <v>0</v>
      </c>
      <c r="C136" s="160">
        <f>Calculateur!C135+'Scénario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36" s="147">
        <f t="shared" si="33"/>
        <v>0</v>
      </c>
      <c r="E136" s="147">
        <f>'Scénario référence'!$B$16*45+('Scénario référence'!$B$17+'Scénario référence'!$F$8+'Scénario référence'!$F$9+'Scénario référence'!$B$10+'Scénario référence'!$B$9)*70+'Scénario référence'!$B$18*32</f>
        <v>70</v>
      </c>
      <c r="F136" s="147">
        <f>IF(OR('Scénario référence'!$F$8&gt;0,'Scénario référence'!$F$9&gt;0),('Scénario référence'!$F$8+'Scénario référence'!$F$9)*10,0)</f>
        <v>0</v>
      </c>
      <c r="G136" s="147">
        <f>'Scénario référence'!$B$8*B136*44/12+'Scénario référence'!$B$9*(C136+D136)/0.475*44/12+'Scénario référence'!$B$10*(C136+D136)/0.475*44/12+'Scénario référence'!$F$8*(C136+D136)/0.475*44/12+'Scénario référence'!$F$9*(C136+D136)/0.475*44/12</f>
        <v>0</v>
      </c>
      <c r="H136" s="148">
        <f t="shared" si="1"/>
        <v>256.6666667</v>
      </c>
      <c r="I136" s="149">
        <f>('Scénario référence'!$F$8+'Scénario référence'!$F$9+'Scénario référence'!$B$17+'Scénario référence'!$B$9+'Scénario référence'!$B$10)*70+IF((45+25*(1-EXP(-0.0175*A136)))&lt;70,'Scénario référence'!$B$16*(45+25*(1-EXP(-0.0175*A136))),70*'Scénario référence'!$B$16)+IF((32+38*(1-EXP(-0.0175*A136)))&lt;70,'Scénario référence'!$B$18*(32+38*(1-EXP(-0.0175*A136))),70*'Scénario référence'!$B$18)</f>
        <v>70</v>
      </c>
      <c r="J136" s="150">
        <f>IF(A136&gt;30,10,('Scénario référence'!$B$16+'Scénario référence'!$B$17+'Scénario référence'!$B$18+'Scénario référence'!$B$9+'Scénario référence'!$B$10)*A136*10/30+('Scénario référence'!$F$8+'Scénario référence'!$F$9)*10)</f>
        <v>10</v>
      </c>
      <c r="K136" s="151" t="str">
        <f>VLOOKUP(A136,'Données projet'!$A$35:$I$55,2,0)</f>
        <v>#N/A</v>
      </c>
      <c r="L136" s="151" t="str">
        <f>VLOOKUP(A136,'Données projet'!$A$35:$I$55,9,0)</f>
        <v>#N/A</v>
      </c>
      <c r="M136" s="151" t="str">
        <f t="array" ref="M136">INDEX(L:L,MIN(IF(ISNUMBER(L136:L332),ROW(L136:L332),"")))</f>
        <v/>
      </c>
      <c r="N136" s="150">
        <f>IF('Données projet'!$A$36&gt;35,N135+M136-V135,IF(A136&lt;'Données projet'!$A$36,$K$205^A136,IF(A136='Données projet'!$A$36,'Données projet'!$B$36,N135+M136-V135)))</f>
        <v>307</v>
      </c>
      <c r="O136" s="150">
        <f>N136*VLOOKUP('Données projet'!$B$9,'Paramètres'!$A$1:$I$88,3,0)*VLOOKUP('Données projet'!$B$9,'Paramètres'!$A$1:$I$88,5,0)</f>
        <v>277.7736</v>
      </c>
      <c r="P136" s="150">
        <f t="shared" si="34"/>
        <v>66.49628818</v>
      </c>
      <c r="Q136" s="161">
        <f t="shared" si="2"/>
        <v>599.6033886</v>
      </c>
      <c r="R136" s="153">
        <f t="shared" si="3"/>
        <v>892.9367219</v>
      </c>
      <c r="S136" s="153">
        <f>AVERAGE(OFFSET($R$3,0,0,'Données projet'!$E$9+1,1))-AVERAGE(OFFSET($H$3,0,0,'Données projet'!$E$9+1,1))</f>
        <v>439.1985427</v>
      </c>
      <c r="T136" s="153">
        <f t="shared" si="35"/>
        <v>278.2174123</v>
      </c>
      <c r="U136" s="154">
        <f>IF(ISNA(VLOOKUP(A136,'Données projet'!$A$35:$I$55,3,0)),0,VLOOKUP(A136,'Données projet'!$A$35:$I$55,3,0))</f>
        <v>0</v>
      </c>
      <c r="V136" s="154">
        <f>IF(ISNA(VLOOKUP(A136,'Données projet'!$A$35:$I$55,4,0)),0,VLOOKUP(A136,'Données projet'!$A$35:$I$55,4,0))</f>
        <v>0</v>
      </c>
      <c r="W136" s="155">
        <f>IF(ISNA(VLOOKUP(A136,'Données projet'!$A$35:$I$55,5,0)),0%,VLOOKUP(A136,'Données projet'!$A$35:$I$55,5,0)*VLOOKUP('Données projet'!$B$9,'Paramètres'!$A$1:$I$88,7,0))</f>
        <v>0</v>
      </c>
      <c r="X136" s="155">
        <f>IF(ISNA(VLOOKUP(A136,'Données projet'!$A$35:$I$55,6,0)),0%,VLOOKUP(A136,'Données projet'!$A$35:$I$55,6,0)*VLOOKUP('Données projet'!$B$9,'Paramètres'!$A$1:$I$88,7,0))</f>
        <v>0</v>
      </c>
      <c r="Y136" s="155">
        <f>IF(ISNA(VLOOKUP(A136,'Données projet'!$A$35:$I$55,7,0)),0%,VLOOKUP(A136,'Données projet'!$A$35:$I$55,7,0))</f>
        <v>0</v>
      </c>
      <c r="Z136" s="162">
        <f>EXP(-LN(2)/35)*Z135+(1-EXP(-LN(2)/35))/(LN(2)/35)*V136*W136*VLOOKUP('Données projet'!$B$9,'Paramètres'!$A$1:$I$88,3,0)*0.475*44/12</f>
        <v>0</v>
      </c>
      <c r="AA136" s="162">
        <f>EXP(-LN(2)/25)*AA135+(1-EXP(-LN(2)/25))/(LN(2)/25)*Calculateur!V136*Calculateur!X136*VLOOKUP('Données projet'!$B$9,'Paramètres'!$A$1:$I$88,3,0)*0.475*44/12</f>
        <v>0.2580885257</v>
      </c>
      <c r="AB136" s="162">
        <f>EXP(-LN(2)/2)*AB135+(1-EXP(-LN(2)/2))/(LN(2)/2)*V136*Y136*VLOOKUP('Données projet'!$B$9,'Paramètres'!$A$1:$I$88,3,0)*0.475*44/12</f>
        <v>0</v>
      </c>
      <c r="AC136" s="163">
        <f t="shared" si="4"/>
        <v>0.2580885257</v>
      </c>
      <c r="AD136" s="150">
        <f>('Scénario référence'!$F$8+'Scénario référence'!$F$9+'Scénario référence'!$B$17+'Scénario référence'!$B$9+'Scénario référence'!$B$10)*70+IF((45+25*(1-EXP(-0.0175*A136)))&lt;70,'Scénario référence'!$B$16*(45+25*(1-EXP(-0.0175*A136))),70*'Scénario référence'!$B$16)+IF((32+38*(1-EXP(-0.0175*A136)))&lt;70,'Scénario référence'!$B$18*(32+38*(1-EXP(-0.0175*A136))),70*'Scénario référence'!$B$18)</f>
        <v>70</v>
      </c>
      <c r="AE136" s="150">
        <f>IF(A136&gt;30,10,('Scénario référence'!$B$16+'Scénario référence'!$B$17+'Scénario référence'!$B$18+'Scénario référence'!$B$9+'Scénario référence'!$B$10)*A136*10/30+('Scénario référence'!$F$8+'Scénario référence'!$F$9)*10)</f>
        <v>10</v>
      </c>
      <c r="AF136" s="151" t="str">
        <f>VLOOKUP(A136,'Données projet'!$A$61:$I$81,2,0)</f>
        <v>#N/A</v>
      </c>
      <c r="AG136" s="151" t="str">
        <f>VLOOKUP(A136,'Données projet'!$A$61:$I$81,9,0)</f>
        <v>#N/A</v>
      </c>
      <c r="AH136" s="151" t="str">
        <f t="array" ref="AH136">INDEX(AG:AG,MIN(IF(ISNUMBER(AG136:AG332),ROW(AG136:AG332),"")))</f>
        <v/>
      </c>
      <c r="AI136" s="150">
        <f>IF('Données projet'!$A$62&gt;35,AI135+AH136-AQ135,IF(A136&lt;'Données projet'!$A$62,$AF$205^A136,IF(A136='Données projet'!$A$62,'Données projet'!$B$62,AI135+AH136-AQ135)))</f>
        <v>369</v>
      </c>
      <c r="AJ136" s="150">
        <f>AI136*VLOOKUP('Données projet'!$B$10,'Paramètres'!$A$1:$I$88,3,0)*VLOOKUP('Données projet'!$B$10,'Paramètres'!$A$1:$I$88,5,0)</f>
        <v>293.5764</v>
      </c>
      <c r="AK136" s="150">
        <f t="shared" si="36"/>
        <v>69.82813851</v>
      </c>
      <c r="AL136" s="161">
        <f t="shared" si="5"/>
        <v>632.9295712</v>
      </c>
      <c r="AM136" s="153">
        <f t="shared" si="6"/>
        <v>926.2629046</v>
      </c>
      <c r="AN136" s="153">
        <f>AVERAGE(OFFSET($AM$3,0,0,'Données projet'!$E$10+1,1))-AVERAGE(OFFSET($H$3,0,0,'Données projet'!$E$10+1,1))</f>
        <v>405.6113614</v>
      </c>
      <c r="AO136" s="153">
        <f t="shared" si="37"/>
        <v>393.0787141</v>
      </c>
      <c r="AP136" s="154">
        <f>IF(ISNA(VLOOKUP(A136,'Données projet'!$A$61:$I$81,3,0)),0,VLOOKUP(A136,'Données projet'!$A$61:$I$81,3,0))</f>
        <v>0</v>
      </c>
      <c r="AQ136" s="154">
        <f>IF(ISNA(VLOOKUP(A136,'Données projet'!$A$61:$I$81,4,0)),0,VLOOKUP(A136,'Données projet'!$A$61:$I$81,4,0))</f>
        <v>0</v>
      </c>
      <c r="AR136" s="155">
        <f>IF(ISNA(VLOOKUP(A136,'Données projet'!$A$61:$I$81,5,0)),0%,VLOOKUP(A136,'Données projet'!$A$61:$I$81,5,0)*VLOOKUP('Données projet'!$B$10,'Paramètres'!$A$1:$I$88,7,0))</f>
        <v>0</v>
      </c>
      <c r="AS136" s="155">
        <f>IF(ISNA(VLOOKUP(A136,'Données projet'!$A$61:$I$81,6,0)),0%,VLOOKUP(A136,'Données projet'!$A$61:$I$81,6,0)*VLOOKUP('Données projet'!$B$10,'Paramètres'!$A$1:$I$88,7,0))</f>
        <v>0</v>
      </c>
      <c r="AT136" s="155">
        <f>IF(ISNA(VLOOKUP(A136,'Données projet'!$A$61:$I$81,7,0)),0%,VLOOKUP(A136,'Données projet'!$A$61:$I$81,7,0))</f>
        <v>0</v>
      </c>
      <c r="AU136" s="162">
        <f>EXP(-LN(2)/35)*AU135+(1-EXP(-LN(2)/35))/(LN(2)/35)*AQ136*AR136*VLOOKUP('Données projet'!$B$10,'Paramètres'!$A$1:$I$88,3,0)*0.475*44/12</f>
        <v>0</v>
      </c>
      <c r="AV136" s="162">
        <f>EXP(-LN(2)/25)*AV135+(1-EXP(-LN(2)/25))/(LN(2)/25)*Calculateur!AQ136*Calculateur!AS136*VLOOKUP('Données projet'!$B$10,'Paramètres'!$A$1:$I$88,3,0)*0.475*44/12</f>
        <v>1.048937377</v>
      </c>
      <c r="AW136" s="162">
        <f>EXP(-LN(2)/2)*AW135+(1-EXP(-LN(2)/2))/(LN(2)/2)*AQ136*AT136*VLOOKUP('Données projet'!$B$10,'Paramètres'!$A$1:$I$88,3,0)*0.475*44/12</f>
        <v>0</v>
      </c>
      <c r="AX136" s="162">
        <f t="shared" si="7"/>
        <v>1.048937377</v>
      </c>
      <c r="AY136" s="157">
        <f>('Scénario référence'!$F$8+'Scénario référence'!$F$9+'Scénario référence'!$B$17+'Scénario référence'!$B$9+'Scénario référence'!$B$10)*70+IF((45+25*(1-EXP(-0.0175*A136)))&lt;70,'Scénario référence'!$B$16*(45+25*(1-EXP(-0.0175*A136))),70*'Scénario référence'!$B$16)+IF((32+38*(1-EXP(-0.0175*A136)))&lt;70,'Scénario référence'!$B$18*(32+38*(1-EXP(-0.0175*A136))),70*'Scénario référence'!$B$18)</f>
        <v>70</v>
      </c>
      <c r="AZ136" s="151">
        <f>IF(A136&gt;30,10,('Scénario référence'!$B$16+'Scénario référence'!$B$17+'Scénario référence'!$B$18+'Scénario référence'!$B$9+'Scénario référence'!$B$10)*A136*10/30+('Scénario référence'!$F$8+'Scénario référence'!$F$9)*10)</f>
        <v>10</v>
      </c>
      <c r="BA136" s="151" t="str">
        <f>VLOOKUP(A136,'Données projet'!$A$87:$I$107,2,0)</f>
        <v>#N/A</v>
      </c>
      <c r="BB136" s="151" t="str">
        <f>VLOOKUP(A136,'Données projet'!$A$87:$I$107,9,0)</f>
        <v>#N/A</v>
      </c>
      <c r="BC136" s="151" t="str">
        <f t="array" ref="BC136">INDEX(BB:BB,MIN(IF(ISNUMBER(BB136:BB332),ROW(BB136:BB332),"")))</f>
        <v/>
      </c>
      <c r="BD136" s="150">
        <f>IF('Données projet'!$A$88&gt;35,BD135+BC136-BL135,IF(A136&lt;'Données projet'!$A$88,$BA$205^A136,IF(A136='Données projet'!$A$88,'Données projet'!$B$88,BD135+BC136-BL135)))</f>
        <v>0</v>
      </c>
      <c r="BE136" s="150">
        <f>BD136*VLOOKUP('Données projet'!$B$11,'Paramètres'!$A$1:$I$88,3,0)*VLOOKUP('Données projet'!$B$11,'Paramètres'!$A$1:$I$88,5,0)</f>
        <v>0</v>
      </c>
      <c r="BF136" s="150" t="str">
        <f t="shared" si="38"/>
        <v>#NUM!</v>
      </c>
      <c r="BG136" s="161" t="str">
        <f t="shared" si="8"/>
        <v>#NUM!</v>
      </c>
      <c r="BH136" s="153" t="str">
        <f t="shared" si="9"/>
        <v>#NUM!</v>
      </c>
      <c r="BI136" s="153">
        <f>AVERAGE(OFFSET($BH$3,0,0,'Données projet'!$E$11+1,1))-AVERAGE(OFFSET($H$3,0,0,'Données projet'!$E$11+1,1))</f>
        <v>0</v>
      </c>
      <c r="BJ136" s="153">
        <f t="shared" si="39"/>
        <v>0</v>
      </c>
      <c r="BK136" s="154">
        <f>IF(ISNA(VLOOKUP(A136,'Données projet'!$A$87:$I$107,3,0)),0,VLOOKUP(A136,'Données projet'!$A$87:$I$107,3,0))</f>
        <v>0</v>
      </c>
      <c r="BL136" s="154">
        <f>IF(ISNA(VLOOKUP(A136,'Données projet'!$A$87:$I$107,4,0)),0,VLOOKUP(A136,'Données projet'!$A$87:$I$107,4,0))</f>
        <v>0</v>
      </c>
      <c r="BM136" s="155">
        <f>IF(ISNA(VLOOKUP(A136,'Données projet'!$A$87:$I$107,5,0)),0%,VLOOKUP(A136,'Données projet'!$A$87:$I$107,5,0)*VLOOKUP('Données projet'!$B$11,'Paramètres'!$A$1:$I$88,7,0))</f>
        <v>0</v>
      </c>
      <c r="BN136" s="155">
        <f>IF(ISNA(VLOOKUP(A136,'Données projet'!$A$87:$I$107,6,0)),0%,VLOOKUP(A136,'Données projet'!$A$87:$I$107,6,0)*VLOOKUP('Données projet'!$B$11,'Paramètres'!$A$1:$I$88,7,0))</f>
        <v>0</v>
      </c>
      <c r="BO136" s="155">
        <f>IF(ISNA(VLOOKUP(A136,'Données projet'!$A$87:$I$107,7,0)),0%,VLOOKUP(A136,'Données projet'!$A$87:$I$107,7,0))</f>
        <v>0</v>
      </c>
      <c r="BP136" s="162">
        <f>EXP(-LN(2)/35)*BP135+(1-EXP(-LN(2)/35))/(LN(2)/35)*BL136*BM136*VLOOKUP('Données projet'!$B$11,'Paramètres'!$A$1:$I$88,3,0)*0.475*44/12</f>
        <v>0</v>
      </c>
      <c r="BQ136" s="162">
        <f>EXP(-LN(2)/25)*BQ135+(1-EXP(-LN(2)/25))/(LN(2)/25)*Calculateur!BL136*Calculateur!BN136*VLOOKUP('Données projet'!$B$11,'Paramètres'!$A$1:$I$88,3,0)*0.475*44/12</f>
        <v>0</v>
      </c>
      <c r="BR136" s="162">
        <f>EXP(-LN(2)/2)*BR135+(1-EXP(-LN(2)/2))/(LN(2)/2)*BL136*BO136*VLOOKUP('Données projet'!$B$11,'Paramètres'!$A$1:$I$88,3,0)*0.475*44/12</f>
        <v>0</v>
      </c>
      <c r="BS136" s="163">
        <f t="shared" si="10"/>
        <v>0</v>
      </c>
      <c r="BT136" s="159">
        <f>('Scénario référence'!$F$8+'Scénario référence'!$F$9+'Scénario référence'!$B$17+'Scénario référence'!$B$9+'Scénario référence'!$B$10)*70+IF((45+25*(1-EXP(-0.0175*A136)))&lt;70,'Scénario référence'!$B$16*(45+25*(1-EXP(-0.0175*A136))),70*'Scénario référence'!$B$16)+IF((32+38*(1-EXP(-0.0175*A136)))&lt;70,'Scénario référence'!$B$18*(32+38*(1-EXP(-0.0175*A136))),70*'Scénario référence'!$B$18)</f>
        <v>70</v>
      </c>
      <c r="BU136" s="151">
        <f>IF(A136&gt;30,10,('Scénario référence'!$B$16+'Scénario référence'!$B$17+'Scénario référence'!$B$18+'Scénario référence'!$B$9+'Scénario référence'!$B$10)*A136*10/30+('Scénario référence'!$F$8+'Scénario référence'!$F$9)*10)</f>
        <v>10</v>
      </c>
      <c r="BV136" s="151" t="str">
        <f>VLOOKUP(A136,'Données projet'!$A$113:$I$133,2,0)</f>
        <v>#N/A</v>
      </c>
      <c r="BW136" s="151" t="str">
        <f>VLOOKUP(A136,'Données projet'!$A$113:$I$133,9,0)</f>
        <v>#N/A</v>
      </c>
      <c r="BX136" s="151" t="str">
        <f t="array" ref="BX136">INDEX(BW:BW,MIN(IF(ISNUMBER(BW136:BW332),ROW(BW136:BW332),"")))</f>
        <v/>
      </c>
      <c r="BY136" s="150">
        <f>IF('Données projet'!$A$114&gt;35,BY135+BX136-CG135,IF(A136&lt;'Données projet'!$A$114,$BV$205^A136,IF(A136='Données projet'!$A$114,'Données projet'!$B$114,BY135+BX136-CG135)))</f>
        <v>0</v>
      </c>
      <c r="BZ136" s="150" t="str">
        <f>BY136*VLOOKUP('Données projet'!$B$12,'Paramètres'!$A$1:$I$88,3,0)*VLOOKUP('Données projet'!$B$12,'Paramètres'!$A$1:$I$88,5,0)</f>
        <v>#N/A</v>
      </c>
      <c r="CA136" s="150" t="str">
        <f t="shared" si="40"/>
        <v>#N/A</v>
      </c>
      <c r="CB136" s="161" t="str">
        <f t="shared" si="11"/>
        <v>#N/A</v>
      </c>
      <c r="CC136" s="153" t="str">
        <f t="shared" si="12"/>
        <v>#N/A</v>
      </c>
      <c r="CD136" s="153" t="str">
        <f>AVERAGE(OFFSET($CC$3,0,0,'Données projet'!$E$12+1,1))-AVERAGE(OFFSET($H$3,0,0,'Données projet'!$E$12+1,1))</f>
        <v>#N/A</v>
      </c>
      <c r="CE136" s="153" t="str">
        <f t="shared" si="41"/>
        <v>#N/A</v>
      </c>
      <c r="CF136" s="154">
        <f>IF(ISNA(VLOOKUP(A136,'Données projet'!$A$113:$I$133,3,0)),0,VLOOKUP(A136,'Données projet'!$A$113:$I$133,3,0))</f>
        <v>0</v>
      </c>
      <c r="CG136" s="154">
        <f>IF(ISNA(VLOOKUP(A136,'Données projet'!$A$113:$I$133,4,0)),0,VLOOKUP(A136,'Données projet'!$A$113:$I$133,4,0))</f>
        <v>0</v>
      </c>
      <c r="CH136" s="155">
        <f>IF(ISNA(VLOOKUP(A136,'Données projet'!$A$113:$I$133,5,0)),0%,VLOOKUP(A136,'Données projet'!$A$113:$I$133,5,0)*VLOOKUP('Données projet'!$B$12,'Paramètres'!$A$1:$I$88,7,0))</f>
        <v>0</v>
      </c>
      <c r="CI136" s="155">
        <f>IF(ISNA(VLOOKUP(A136,'Données projet'!$A$113:$I$133,6,0)),0%,VLOOKUP(A136,'Données projet'!$A$113:$I$133,6,0)*VLOOKUP('Données projet'!$B$12,'Paramètres'!$A$1:$I$88,7,0))</f>
        <v>0</v>
      </c>
      <c r="CJ136" s="155">
        <f>IF(ISNA(VLOOKUP(A136,'Données projet'!$A$113:$I$133,7,0)),0%,VLOOKUP(A136,'Données projet'!$A$113:$I$133,7,0))</f>
        <v>0</v>
      </c>
      <c r="CK136" s="162" t="str">
        <f>EXP(-LN(2)/35)*CK135+(1-EXP(-LN(2)/35))/(LN(2)/35)*CG136*CH136*VLOOKUP('Données projet'!$B$12,'Paramètres'!$A$1:$I$88,3,0)*0.475*44/12</f>
        <v>#N/A</v>
      </c>
      <c r="CL136" s="162" t="str">
        <f>EXP(-LN(2)/25)*CL135+(1-EXP(-LN(2)/25))/(LN(2)/25)*Calculateur!CG136*Calculateur!CI136*VLOOKUP('Données projet'!$B$12,'Paramètres'!$A$1:$I$88,3,0)*0.475*44/12</f>
        <v>#N/A</v>
      </c>
      <c r="CM136" s="162" t="str">
        <f>EXP(-LN(2)/2)*CM135+(1-EXP(-LN(2)/2))/(LN(2)/2)*CG136*CJ136*VLOOKUP('Données projet'!$B$12,'Paramètres'!$A$1:$I$88,3,0)*0.475*44/12</f>
        <v>#N/A</v>
      </c>
      <c r="CN136" s="163" t="str">
        <f t="shared" si="13"/>
        <v>#N/A</v>
      </c>
      <c r="CO136" s="159">
        <f>('Scénario référence'!$F$8+'Scénario référence'!$F$9+'Scénario référence'!$B$17+'Scénario référence'!$B$9+'Scénario référence'!$B$10)*70+IF((45+25*(1-EXP(-0.0175*A136)))&lt;70,'Scénario référence'!$B$16*(45+25*(1-EXP(-0.0175*A136))),70*'Scénario référence'!$B$16)+IF((32+38*(1-EXP(-0.0175*A136)))&lt;70,'Scénario référence'!$B$18*(32+38*(1-EXP(-0.0175*A136))),70*'Scénario référence'!$B$18)</f>
        <v>70</v>
      </c>
      <c r="CP136" s="151">
        <f>IF(A136&gt;30,10,('Scénario référence'!$B$16+'Scénario référence'!$B$17+'Scénario référence'!$B$18+'Scénario référence'!$B$9+'Scénario référence'!$B$10)*A136*10/30+('Scénario référence'!$F$8+'Scénario référence'!$F$9)*10)</f>
        <v>10</v>
      </c>
      <c r="CQ136" s="151" t="str">
        <f>VLOOKUP(A136,'Données projet'!$A$139:$I$159,2,0)</f>
        <v>#N/A</v>
      </c>
      <c r="CR136" s="151" t="str">
        <f>VLOOKUP(A136,'Données projet'!$A$139:$I$159,9,0)</f>
        <v>#N/A</v>
      </c>
      <c r="CS136" s="151" t="str">
        <f t="array" ref="CS136">INDEX(CR:CR,MIN(IF(ISNUMBER(CR136:CR332),ROW(CR136:CR332),"")))</f>
        <v/>
      </c>
      <c r="CT136" s="151">
        <f>IF('Données projet'!$A$140&gt;35,CT135+CS136-DB135,IF(A136&lt;'Données projet'!$A$140,$CQ$205^A136,IF(A136='Données projet'!$A$140,'Données projet'!$B$140,CT135+CS136-DB135)))</f>
        <v>0</v>
      </c>
      <c r="CU136" s="158" t="str">
        <f>CT136*VLOOKUP('Données projet'!$B$13,'Paramètres'!$A$1:$I$88,3,0)*VLOOKUP('Données projet'!$B$13,'Paramètres'!$A$1:$I$88,5,0)</f>
        <v>#N/A</v>
      </c>
      <c r="CV136" s="150" t="str">
        <f t="shared" si="42"/>
        <v>#N/A</v>
      </c>
      <c r="CW136" s="161" t="str">
        <f t="shared" si="14"/>
        <v>#N/A</v>
      </c>
      <c r="CX136" s="153" t="str">
        <f t="shared" si="15"/>
        <v>#N/A</v>
      </c>
      <c r="CY136" s="153" t="str">
        <f>AVERAGE(OFFSET($CX$3,0,0,'Données projet'!$E$13+1,1))-AVERAGE(OFFSET($H$3,0,0,'Données projet'!$E$13+1,1))</f>
        <v>#N/A</v>
      </c>
      <c r="CZ136" s="153" t="str">
        <f t="shared" si="43"/>
        <v>#N/A</v>
      </c>
      <c r="DA136" s="154">
        <f>IF(ISNA(VLOOKUP(A136,'Données projet'!$A$139:$I$159,3,0)),0,VLOOKUP(A136,'Données projet'!$A$139:$I$159,3,0))</f>
        <v>0</v>
      </c>
      <c r="DB136" s="154">
        <f>IF(ISNA(VLOOKUP(A136,'Données projet'!$A$139:$I$159,4,0)),0,VLOOKUP(A136,'Données projet'!$A$139:$I$159,4,0))</f>
        <v>0</v>
      </c>
      <c r="DC136" s="155">
        <f>IF(ISNA(VLOOKUP(A136,'Données projet'!$A$139:$I$159,5,0)),0%,VLOOKUP(A136,'Données projet'!$A$139:$I$159,5,0)*VLOOKUP('Données projet'!$B$13,'Paramètres'!$A$1:$I$88,7,0))</f>
        <v>0</v>
      </c>
      <c r="DD136" s="155">
        <f>IF(ISNA(VLOOKUP(A136,'Données projet'!$A$139:$I$159,6,0)),0%,VLOOKUP(A136,'Données projet'!$A$139:$I$159,6,0)*VLOOKUP('Données projet'!$B$13,'Paramètres'!$A$1:$I$88,7,0))</f>
        <v>0</v>
      </c>
      <c r="DE136" s="155">
        <f>IF(ISNA(VLOOKUP(A136,'Données projet'!$A$139:$I$159,7,0)),0%,VLOOKUP(A136,'Données projet'!$A$139:$I$159,7,0))</f>
        <v>0</v>
      </c>
      <c r="DF136" s="162" t="str">
        <f>EXP(-LN(2)/35)*DF135+(1-EXP(-LN(2)/35))/(LN(2)/35)*DB136*DC136*VLOOKUP('Données projet'!$B$13,'Paramètres'!$A$1:$I$88,3,0)*0.475*44/12</f>
        <v>#N/A</v>
      </c>
      <c r="DG136" s="162" t="str">
        <f>EXP(-LN(2)/25)*DG135+(1-EXP(-LN(2)/25))/(LN(2)/25)*Calculateur!DB136*Calculateur!DD136*VLOOKUP('Données projet'!$B$13,'Paramètres'!$A$1:$I$88,3,0)*0.475*44/12</f>
        <v>#N/A</v>
      </c>
      <c r="DH136" s="162" t="str">
        <f>EXP(-LN(2)/2)*DH135+(1-EXP(-LN(2)/2))/(LN(2)/2)*DB136*DE136*VLOOKUP('Données projet'!$B$13,'Paramètres'!$A$1:$I$88,3,0)*0.475*44/12</f>
        <v>#N/A</v>
      </c>
      <c r="DI136" s="163" t="str">
        <f t="shared" si="16"/>
        <v>#N/A</v>
      </c>
      <c r="DJ136" s="159">
        <f>('Scénario référence'!$F$8+'Scénario référence'!$F$9+'Scénario référence'!$B$17+'Scénario référence'!$B$9+'Scénario référence'!$B$10)*70+IF((45+25*(1-EXP(-0.0175*A136)))&lt;70,'Scénario référence'!$B$16*(45+25*(1-EXP(-0.0175*A136))),70*'Scénario référence'!$B$16)+IF((32+38*(1-EXP(-0.0175*A136)))&lt;70,'Scénario référence'!$B$18*(32+38*(1-EXP(-0.0175*A136))),70*'Scénario référence'!$B$18)</f>
        <v>70</v>
      </c>
      <c r="DK136" s="151">
        <f>IF(A136&gt;30,10,('Scénario référence'!$B$16+'Scénario référence'!$B$17+'Scénario référence'!$B$18+'Scénario référence'!$B$9+'Scénario référence'!$B$10)*A136*10/30+('Scénario référence'!$F$8+'Scénario référence'!$F$9)*10)</f>
        <v>10</v>
      </c>
      <c r="DL136" s="151" t="str">
        <f>VLOOKUP(A136,'Données projet'!$A$165:$I$185,2,0)</f>
        <v>#N/A</v>
      </c>
      <c r="DM136" s="151" t="str">
        <f>VLOOKUP(A136,'Données projet'!$A$165:$I$185,9,0)</f>
        <v>#N/A</v>
      </c>
      <c r="DN136" s="151" t="str">
        <f t="array" ref="DN136">INDEX(DM:DM,MIN(IF(ISNUMBER(DM136:DM332),ROW(DM136:DM332),"")))</f>
        <v/>
      </c>
      <c r="DO136" s="151">
        <f>IF('Données projet'!$A$166&gt;35,DO135+DN136-DW135,IF(A136&lt;'Données projet'!$A$166,$DL$205^A136,IF(A136='Données projet'!$A$166,'Données projet'!$B$166,DO135+DN136-DW135)))</f>
        <v>0</v>
      </c>
      <c r="DP136" s="158" t="str">
        <f>DO136*VLOOKUP('Données projet'!$B$14,'Paramètres'!$A$1:$I$88,3,0)*VLOOKUP('Données projet'!$B$14,'Paramètres'!$A$1:$I$88,5,0)</f>
        <v>#N/A</v>
      </c>
      <c r="DQ136" s="150" t="str">
        <f t="shared" si="44"/>
        <v>#N/A</v>
      </c>
      <c r="DR136" s="161" t="str">
        <f t="shared" si="17"/>
        <v>#N/A</v>
      </c>
      <c r="DS136" s="153" t="str">
        <f t="shared" si="18"/>
        <v>#N/A</v>
      </c>
      <c r="DT136" s="153" t="str">
        <f>AVERAGE(OFFSET($DS$3,0,0,'Données projet'!$E$14+1,1))-AVERAGE(OFFSET($H$3,0,0,'Données projet'!$E$14+1,1))</f>
        <v>#N/A</v>
      </c>
      <c r="DU136" s="153" t="str">
        <f t="shared" si="45"/>
        <v>#N/A</v>
      </c>
      <c r="DV136" s="154">
        <f>IF(ISNA(VLOOKUP(A136,'Données projet'!$A$165:$I$185,3,0)),0,VLOOKUP(A136,'Données projet'!$A$165:$I$185,3,0))</f>
        <v>0</v>
      </c>
      <c r="DW136" s="154">
        <f>IF(ISNA(VLOOKUP(A136,'Données projet'!$A$165:$I$185,4,0)),0,VLOOKUP(A136,'Données projet'!$A$165:$I$185,4,0))</f>
        <v>0</v>
      </c>
      <c r="DX136" s="155">
        <f>IF(ISNA(VLOOKUP(A136,'Données projet'!$A$165:$I$185,5,0)),0%,VLOOKUP(A136,'Données projet'!$A$165:$I$185,5,0)*VLOOKUP('Données projet'!$B$14,'Paramètres'!$A$1:$I$88,7,0))</f>
        <v>0</v>
      </c>
      <c r="DY136" s="155">
        <f>IF(ISNA(VLOOKUP(A136,'Données projet'!$A$165:$I$185,6,0)),0%,VLOOKUP(A136,'Données projet'!$A$165:$I$185,6,0)*VLOOKUP('Données projet'!$B$14,'Paramètres'!$A$1:$I$88,7,0))</f>
        <v>0</v>
      </c>
      <c r="DZ136" s="155">
        <f>IF(ISNA(VLOOKUP(A136,'Données projet'!$A$165:$I$185,7,0)),0%,VLOOKUP(A136,'Données projet'!$A$165:$I$185,7,0))</f>
        <v>0</v>
      </c>
      <c r="EA136" s="162" t="str">
        <f>EXP(-LN(2)/35)*EA135+(1-EXP(-LN(2)/35))/(LN(2)/35)*DW136*DX136*VLOOKUP('Données projet'!$B$14,'Paramètres'!$A$1:$I$88,3,0)*0.475*44/12</f>
        <v>#N/A</v>
      </c>
      <c r="EB136" s="162" t="str">
        <f>EXP(-LN(2)/25)*EB135+(1-EXP(-LN(2)/25))/(LN(2)/25)*Calculateur!DW136*Calculateur!DY136*VLOOKUP('Données projet'!$B$14,'Paramètres'!$A$1:$I$88,3,0)*0.475*44/12</f>
        <v>#N/A</v>
      </c>
      <c r="EC136" s="162" t="str">
        <f>EXP(-LN(2)/2)*EC135+(1-EXP(-LN(2)/2))/(LN(2)/2)*DW136*DZ136*VLOOKUP('Données projet'!$B$14,'Paramètres'!$A$1:$I$88,3,0)*0.475*44/12</f>
        <v>#N/A</v>
      </c>
      <c r="ED136" s="163" t="str">
        <f t="shared" si="19"/>
        <v>#N/A</v>
      </c>
      <c r="EE136" s="159">
        <f>('Scénario référence'!$F$8+'Scénario référence'!$F$9+'Scénario référence'!$B$17+'Scénario référence'!$B$9+'Scénario référence'!$B$10)*70+IF((45+25*(1-EXP(-0.0175*A136)))&lt;70,'Scénario référence'!$B$16*(45+25*(1-EXP(-0.0175*A136))),70*'Scénario référence'!$B$16)+IF((32+38*(1-EXP(-0.0175*A136)))&lt;70,'Scénario référence'!$B$18*(32+38*(1-EXP(-0.0175*A136))),70*'Scénario référence'!$B$18)</f>
        <v>70</v>
      </c>
      <c r="EF136" s="151">
        <f>IF(A136&gt;30,10,('Scénario référence'!$B$16+'Scénario référence'!$B$17+'Scénario référence'!$B$18+'Scénario référence'!$B$9+'Scénario référence'!$B$10)*A136*10/30+('Scénario référence'!$F$8+'Scénario référence'!$F$9)*10)</f>
        <v>10</v>
      </c>
      <c r="EG136" s="151" t="str">
        <f>VLOOKUP(A136,'Données projet'!$A$191:$I$211,2,0)</f>
        <v>#N/A</v>
      </c>
      <c r="EH136" s="151" t="str">
        <f>VLOOKUP(A136,'Données projet'!$A$191:$I$211,9,0)</f>
        <v>#N/A</v>
      </c>
      <c r="EI136" s="151" t="str">
        <f t="array" ref="EI136">INDEX(EH:EH,MIN(IF(ISNUMBER(EH136:EH332),ROW(EH136:EH332),"")))</f>
        <v/>
      </c>
      <c r="EJ136" s="151">
        <f>IF('Données projet'!$A$192&gt;35,EJ135+EI136-ER135,IF(A136&lt;'Données projet'!$A$192,$EG$205^A136,IF(A136='Données projet'!$A$192,'Données projet'!$B$192,EJ135+EI136-ER135)))</f>
        <v>0</v>
      </c>
      <c r="EK136" s="158" t="str">
        <f>EJ136*VLOOKUP('Données projet'!$B$15,'Paramètres'!$A$1:$I$88,3,0)*VLOOKUP('Données projet'!$B$15,'Paramètres'!$A$1:$I$88,5,0)</f>
        <v>#N/A</v>
      </c>
      <c r="EL136" s="150" t="str">
        <f t="shared" si="46"/>
        <v>#N/A</v>
      </c>
      <c r="EM136" s="161" t="str">
        <f t="shared" si="20"/>
        <v>#N/A</v>
      </c>
      <c r="EN136" s="153" t="str">
        <f t="shared" si="21"/>
        <v>#N/A</v>
      </c>
      <c r="EO136" s="153" t="str">
        <f>AVERAGE(OFFSET($EN$3,0,0,'Données projet'!$E$15+1,1))-AVERAGE(OFFSET($H$3,0,0,'Données projet'!$E$15+1,1))</f>
        <v>#N/A</v>
      </c>
      <c r="EP136" s="153" t="str">
        <f t="shared" si="47"/>
        <v>#N/A</v>
      </c>
      <c r="EQ136" s="154">
        <f>IF(ISNA(VLOOKUP(A136,'Données projet'!$A$191:$I$211,3,0)),0,VLOOKUP(A136,'Données projet'!$A$191:$I$211,3,0))</f>
        <v>0</v>
      </c>
      <c r="ER136" s="154">
        <f>IF(ISNA(VLOOKUP(A136,'Données projet'!$A$191:$I$211,4,0)),0,VLOOKUP(A136,'Données projet'!$A$191:$I$211,4,0))</f>
        <v>0</v>
      </c>
      <c r="ES136" s="155">
        <f>IF(ISNA(VLOOKUP(A136,'Données projet'!$A$191:$I$211,5,0)),0%,VLOOKUP(A136,'Données projet'!$A$191:$I$211,5,0)*VLOOKUP('Données projet'!$B$15,'Paramètres'!$A$1:$I$88,7,0))</f>
        <v>0</v>
      </c>
      <c r="ET136" s="155">
        <f>IF(ISNA(VLOOKUP(A136,'Données projet'!$A$191:$I$211,6,0)),0%,VLOOKUP(A136,'Données projet'!$A$191:$I$211,6,0)*VLOOKUP('Données projet'!$B$15,'Paramètres'!$A$1:$I$88,7,0))</f>
        <v>0</v>
      </c>
      <c r="EU136" s="155">
        <f>IF(ISNA(VLOOKUP(A136,'Données projet'!$A$191:$I$211,7,0)),0%,VLOOKUP(A136,'Données projet'!$A$191:$I$211,7,0))</f>
        <v>0</v>
      </c>
      <c r="EV136" s="162" t="str">
        <f>EXP(-LN(2)/35)*EV135+(1-EXP(-LN(2)/35))/(LN(2)/35)*ER136*ES136*VLOOKUP('Données projet'!$B$15,'Paramètres'!$A$1:$I$88,3,0)*0.475*44/12</f>
        <v>#N/A</v>
      </c>
      <c r="EW136" s="162" t="str">
        <f>EXP(-LN(2)/25)*EW135+(1-EXP(-LN(2)/25))/(LN(2)/25)*Calculateur!ER136*Calculateur!ET136*VLOOKUP('Données projet'!$B$15,'Paramètres'!$A$1:$I$88,3,0)*0.475*44/12</f>
        <v>#N/A</v>
      </c>
      <c r="EX136" s="162" t="str">
        <f>EXP(-LN(2)/2)*EX135+(1-EXP(-LN(2)/2))/(LN(2)/2)*ER136*EU136*VLOOKUP('Données projet'!$B$15,'Paramètres'!$A$1:$I$88,3,0)*0.475*44/12</f>
        <v>#N/A</v>
      </c>
      <c r="EY136" s="163" t="str">
        <f t="shared" si="22"/>
        <v>#N/A</v>
      </c>
      <c r="EZ136" s="159">
        <f>('Scénario référence'!$F$8+'Scénario référence'!$F$9+'Scénario référence'!$B$17+'Scénario référence'!$B$9+'Scénario référence'!$B$10)*70+IF((45+25*(1-EXP(-0.0175*A136)))&lt;70,'Scénario référence'!$B$16*(45+25*(1-EXP(-0.0175*A136))),70*'Scénario référence'!$B$16)+IF((32+38*(1-EXP(-0.0175*A136)))&lt;70,'Scénario référence'!$B$18*(32+38*(1-EXP(-0.0175*A136))),70*'Scénario référence'!$B$18)</f>
        <v>70</v>
      </c>
      <c r="FA136" s="151">
        <f>IF(A136&gt;30,10,('Scénario référence'!$B$16+'Scénario référence'!$B$17+'Scénario référence'!$B$18+'Scénario référence'!$B$9+'Scénario référence'!$B$10)*A136*10/30+('Scénario référence'!$F$8+'Scénario référence'!$F$9)*10)</f>
        <v>10</v>
      </c>
      <c r="FB136" s="151" t="str">
        <f>VLOOKUP(A136,'Données projet'!$A$217:$I$237,2,0)</f>
        <v>#N/A</v>
      </c>
      <c r="FC136" s="151" t="str">
        <f>VLOOKUP(A136,'Données projet'!$A$217:$I$237,9,0)</f>
        <v>#N/A</v>
      </c>
      <c r="FD136" s="151" t="str">
        <f t="array" ref="FD136">INDEX(FC:FC,MIN(IF(ISNUMBER(FC136:FC332),ROW(FC136:FC332),"")))</f>
        <v/>
      </c>
      <c r="FE136" s="151">
        <f>IF('Données projet'!$A$218&gt;35,FE135+FD136-FM135,IF(A136&lt;'Données projet'!$A$218,$FB$205^A136,IF(A136='Données projet'!$A$218,'Données projet'!$B$218,FE135+FD136-FM135)))</f>
        <v>0</v>
      </c>
      <c r="FF136" s="158" t="str">
        <f>FE136*VLOOKUP('Données projet'!$B$16,'Paramètres'!$A$1:$I$88,3,0)*VLOOKUP('Données projet'!$B$16,'Paramètres'!$A$1:$I$88,5,0)</f>
        <v>#N/A</v>
      </c>
      <c r="FG136" s="150" t="str">
        <f t="shared" si="48"/>
        <v>#N/A</v>
      </c>
      <c r="FH136" s="161" t="str">
        <f t="shared" si="23"/>
        <v>#N/A</v>
      </c>
      <c r="FI136" s="153" t="str">
        <f t="shared" si="24"/>
        <v>#N/A</v>
      </c>
      <c r="FJ136" s="153" t="str">
        <f>AVERAGE(OFFSET($FI$3,0,0,'Données projet'!$E$16+1,1))-AVERAGE(OFFSET($H$3,0,0,'Données projet'!$E$16+1,1))</f>
        <v>#N/A</v>
      </c>
      <c r="FK136" s="153" t="str">
        <f t="shared" si="49"/>
        <v>#N/A</v>
      </c>
      <c r="FL136" s="154">
        <f>IF(ISNA(VLOOKUP(A136,'Données projet'!$A$217:$I$237,3,0)),0,VLOOKUP(A136,'Données projet'!$A$217:$I$237,3,0))</f>
        <v>0</v>
      </c>
      <c r="FM136" s="154">
        <f>IF(ISNA(VLOOKUP(A136,'Données projet'!$A$217:$I$237,4,0)),0,VLOOKUP(A136,'Données projet'!$A$217:$I$237,4,0))</f>
        <v>0</v>
      </c>
      <c r="FN136" s="155">
        <f>IF(ISNA(VLOOKUP(A136,'Données projet'!$A$217:$I$237,5,0)),0%,VLOOKUP(A136,'Données projet'!$A$217:$I$237,5,0)*VLOOKUP('Données projet'!$B$16,'Paramètres'!$A$1:$I$88,7,0))</f>
        <v>0</v>
      </c>
      <c r="FO136" s="155">
        <f>IF(ISNA(VLOOKUP(A136,'Données projet'!$A$217:$I$237,6,0)),0%,VLOOKUP(A136,'Données projet'!$A$217:$I$237,6,0)*VLOOKUP('Données projet'!$B$16,'Paramètres'!$A$1:$I$88,7,0))</f>
        <v>0</v>
      </c>
      <c r="FP136" s="155">
        <f>IF(ISNA(VLOOKUP(A136,'Données projet'!$A$217:$I$237,7,0)),0%,VLOOKUP(A136,'Données projet'!$A$217:$I$237,7,0))</f>
        <v>0</v>
      </c>
      <c r="FQ136" s="162" t="str">
        <f>EXP(-LN(2)/35)*FQ135+(1-EXP(-LN(2)/35))/(LN(2)/35)*FM136*FN136*VLOOKUP('Données projet'!$B$16,'Paramètres'!$A$1:$I$88,3,0)*0.475*44/12</f>
        <v>#N/A</v>
      </c>
      <c r="FR136" s="162" t="str">
        <f>EXP(-LN(2)/25)*FR135+(1-EXP(-LN(2)/25))/(LN(2)/25)*Calculateur!FM136*Calculateur!FO136*VLOOKUP('Données projet'!$B$16,'Paramètres'!$A$1:$I$88,3,0)*0.475*44/12</f>
        <v>#N/A</v>
      </c>
      <c r="FS136" s="162" t="str">
        <f>EXP(-LN(2)/2)*FS135+(1-EXP(-LN(2)/2))/(LN(2)/2)*FM136*FP136*VLOOKUP('Données projet'!$B$16,'Paramètres'!$A$1:$I$88,3,0)*0.475*44/12</f>
        <v>#N/A</v>
      </c>
      <c r="FT136" s="163" t="str">
        <f t="shared" si="25"/>
        <v>#N/A</v>
      </c>
      <c r="FU136" s="159">
        <f>('Scénario référence'!$F$8+'Scénario référence'!$F$9+'Scénario référence'!$B$17+'Scénario référence'!$B$9+'Scénario référence'!$B$10)*70+IF((45+25*(1-EXP(-0.0175*A136)))&lt;70,'Scénario référence'!$B$16*(45+25*(1-EXP(-0.0175*A136))),70*'Scénario référence'!$B$16)+IF((32+38*(1-EXP(-0.0175*A136)))&lt;70,'Scénario référence'!$B$18*(32+38*(1-EXP(-0.0175*A136))),70*'Scénario référence'!$B$18)</f>
        <v>70</v>
      </c>
      <c r="FV136" s="151">
        <f>IF(A136&gt;30,10,('Scénario référence'!$B$16+'Scénario référence'!$B$17+'Scénario référence'!$B$18+'Scénario référence'!$B$9+'Scénario référence'!$B$10)*A136*10/30+('Scénario référence'!$F$8+'Scénario référence'!$F$9)*10)</f>
        <v>10</v>
      </c>
      <c r="FW136" s="151" t="str">
        <f>VLOOKUP(A136,'Données projet'!$A$243:$I$263,2,0)</f>
        <v>#N/A</v>
      </c>
      <c r="FX136" s="151" t="str">
        <f>VLOOKUP(A136,'Données projet'!$A$243:$I$263,9,0)</f>
        <v>#N/A</v>
      </c>
      <c r="FY136" s="151" t="str">
        <f t="array" ref="FY136">INDEX(FX:FX,MIN(IF(ISNUMBER(FX136:FX332),ROW(FX136:FX332),"")))</f>
        <v/>
      </c>
      <c r="FZ136" s="151">
        <f>IF('Données projet'!$A$244&gt;35,FZ135+FY136-GH135,IF(A136&lt;'Données projet'!$A$244,$FW$205^A136,IF(A136='Données projet'!$A$244,'Données projet'!$B$244,FZ135+FY136-GH135)))</f>
        <v>0</v>
      </c>
      <c r="GA136" s="158" t="str">
        <f>FZ136*VLOOKUP('Données projet'!$B$17,'Paramètres'!$A$1:$I$88,3,0)*VLOOKUP('Données projet'!$B$17,'Paramètres'!$A$1:$I$88,5,0)</f>
        <v>#N/A</v>
      </c>
      <c r="GB136" s="150" t="str">
        <f t="shared" si="50"/>
        <v>#N/A</v>
      </c>
      <c r="GC136" s="161" t="str">
        <f t="shared" si="26"/>
        <v>#N/A</v>
      </c>
      <c r="GD136" s="153" t="str">
        <f t="shared" si="27"/>
        <v>#N/A</v>
      </c>
      <c r="GE136" s="153" t="str">
        <f>AVERAGE(OFFSET($GD$3,0,0,'Données projet'!$E$17+1,1))-AVERAGE(OFFSET($H$3,0,0,'Données projet'!$E$17+1,1))</f>
        <v>#N/A</v>
      </c>
      <c r="GF136" s="153" t="str">
        <f t="shared" si="51"/>
        <v>#N/A</v>
      </c>
      <c r="GG136" s="154">
        <f>IF(ISNA(VLOOKUP(A136,'Données projet'!$A$243:$I$263,3,0)),0,VLOOKUP(A136,'Données projet'!$A$243:$I$263,3,0))</f>
        <v>0</v>
      </c>
      <c r="GH136" s="154">
        <f>IF(ISNA(VLOOKUP(A136,'Données projet'!$A$243:$I$263,4,0)),0,VLOOKUP(A136,'Données projet'!$A$243:$I$263,4,0))</f>
        <v>0</v>
      </c>
      <c r="GI136" s="155">
        <f>IF(ISNA(VLOOKUP(A136,'Données projet'!$A$243:$I$263,5,0)),0%,VLOOKUP(A136,'Données projet'!$A$243:$I$263,5,0)*VLOOKUP('Données projet'!$B$17,'Paramètres'!$A$1:$I$88,7,0))</f>
        <v>0</v>
      </c>
      <c r="GJ136" s="155">
        <f>IF(ISNA(VLOOKUP(A136,'Données projet'!$A$243:$I$263,6,0)),0%,VLOOKUP(A136,'Données projet'!$A$243:$I$263,6,0)*VLOOKUP('Données projet'!$B$17,'Paramètres'!$A$1:$I$88,7,0))</f>
        <v>0</v>
      </c>
      <c r="GK136" s="155">
        <f>IF(ISNA(VLOOKUP(A136,'Données projet'!$A$243:$I$263,7,0)),0%,VLOOKUP(A136,'Données projet'!$A$243:$I$263,7,0))</f>
        <v>0</v>
      </c>
      <c r="GL136" s="162" t="str">
        <f>EXP(-LN(2)/35)*GL135+(1-EXP(-LN(2)/35))/(LN(2)/35)*GH136*GI136*VLOOKUP('Données projet'!$B$17,'Paramètres'!$A$1:$I$88,3,0)*0.475*44/12</f>
        <v>#N/A</v>
      </c>
      <c r="GM136" s="162" t="str">
        <f>EXP(-LN(2)/25)*GM135+(1-EXP(-LN(2)/25))/(LN(2)/25)*Calculateur!GH136*Calculateur!GJ136*VLOOKUP('Données projet'!$B$17,'Paramètres'!$A$1:$I$88,3,0)*0.475*44/12</f>
        <v>#N/A</v>
      </c>
      <c r="GN136" s="162" t="str">
        <f>EXP(-LN(2)/2)*GN135+(1-EXP(-LN(2)/2))/(LN(2)/2)*GH136*GK136*VLOOKUP('Données projet'!$B$17,'Paramètres'!$A$1:$I$88,3,0)*0.475*44/12</f>
        <v>#N/A</v>
      </c>
      <c r="GO136" s="162" t="str">
        <f t="shared" si="28"/>
        <v>#N/A</v>
      </c>
      <c r="GP136" s="159">
        <f>('Scénario référence'!$F$8+'Scénario référence'!$F$9+'Scénario référence'!$B$17+'Scénario référence'!$B$9+'Scénario référence'!$B$10)*70+IF((45+25*(1-EXP(-0.0175*A136)))&lt;70,'Scénario référence'!$B$16*(45+25*(1-EXP(-0.0175*A136))),70*'Scénario référence'!$B$16)+IF((32+38*(1-EXP(-0.0175*A136)))&lt;70,'Scénario référence'!$B$18*(32+38*(1-EXP(-0.0175*A136))),70*'Scénario référence'!$B$18)</f>
        <v>70</v>
      </c>
      <c r="GQ136" s="151">
        <f>IF(A136&gt;30,10,('Scénario référence'!$B$16+'Scénario référence'!$B$17+'Scénario référence'!$B$18+'Scénario référence'!$B$9+'Scénario référence'!$B$10)*A136*10/30+('Scénario référence'!$F$8+'Scénario référence'!$F$9)*10)</f>
        <v>10</v>
      </c>
      <c r="GR136" s="151" t="str">
        <f>VLOOKUP(A136,'Données projet'!$A$269:$I$289,2,0)</f>
        <v>#N/A</v>
      </c>
      <c r="GS136" s="151" t="str">
        <f>VLOOKUP(A136,'Données projet'!$A$269:$I$289,9,0)</f>
        <v>#N/A</v>
      </c>
      <c r="GT136" s="151" t="str">
        <f t="array" ref="GT136">INDEX(GS:GS,MIN(IF(ISNUMBER(GS136:GS332),ROW(GS136:GS332),"")))</f>
        <v/>
      </c>
      <c r="GU136" s="151">
        <f>IF('Données projet'!$A$270&gt;35,GU135+GT136-HC135,IF(A136&lt;'Données projet'!$A$270,$GR$205^A136,IF(A136='Données projet'!$A$270,'Données projet'!$B$270,GU135+GT136-HC135)))</f>
        <v>0</v>
      </c>
      <c r="GV136" s="158" t="str">
        <f>GU136*VLOOKUP('Données projet'!$B$18,'Paramètres'!$A$1:$I$88,3,0)*VLOOKUP('Données projet'!$B$18,'Paramètres'!$A$1:$I$88,5,0)</f>
        <v>#N/A</v>
      </c>
      <c r="GW136" s="150" t="str">
        <f t="shared" si="52"/>
        <v>#N/A</v>
      </c>
      <c r="GX136" s="161" t="str">
        <f t="shared" si="29"/>
        <v>#N/A</v>
      </c>
      <c r="GY136" s="153" t="str">
        <f t="shared" si="30"/>
        <v>#N/A</v>
      </c>
      <c r="GZ136" s="153" t="str">
        <f>AVERAGE(OFFSET($GY$3,0,0,'Données projet'!$E$18+1,1))-AVERAGE(OFFSET($H$3,0,0,'Données projet'!$E$18+1,1))</f>
        <v>#N/A</v>
      </c>
      <c r="HA136" s="153" t="str">
        <f t="shared" si="53"/>
        <v>#N/A</v>
      </c>
      <c r="HB136" s="154">
        <f>IF(ISNA(VLOOKUP(A136,'Données projet'!$A$269:$I$289,3,0)),0,VLOOKUP(A136,'Données projet'!$A$269:$I$289,3,0))</f>
        <v>0</v>
      </c>
      <c r="HC136" s="154">
        <f>IF(ISNA(VLOOKUP(A136,'Données projet'!$A$269:$I$289,4,0)),0,VLOOKUP(A136,'Données projet'!$A$269:$I$289,4,0))</f>
        <v>0</v>
      </c>
      <c r="HD136" s="155">
        <f>IF(ISNA(VLOOKUP(A136,'Données projet'!$A$269:$I$289,5,0)),0%,VLOOKUP(A136,'Données projet'!$A$269:$I$289,5,0)*VLOOKUP('Données projet'!$B$18,'Paramètres'!$A$1:$I$88,7,0))</f>
        <v>0</v>
      </c>
      <c r="HE136" s="155">
        <f>IF(ISNA(VLOOKUP(A136,'Données projet'!$A$269:$I$289,6,0)),0%,VLOOKUP(A136,'Données projet'!$A$269:$I$289,6,0)*VLOOKUP('Données projet'!$B$18,'Paramètres'!$A$1:$I$88,7,0))</f>
        <v>0</v>
      </c>
      <c r="HF136" s="155">
        <f>IF(ISNA(VLOOKUP(A136,'Données projet'!$A$269:$I$289,7,0)),0%,VLOOKUP(A136,'Données projet'!$A$269:$I$289,7,0))</f>
        <v>0</v>
      </c>
      <c r="HG136" s="162" t="str">
        <f>EXP(-LN(2)/35)*HG135+(1-EXP(-LN(2)/35))/(LN(2)/35)*HC136*HD136*VLOOKUP('Données projet'!$B$18,'Paramètres'!$A$1:$I$88,3,0)*0.475*44/12</f>
        <v>#N/A</v>
      </c>
      <c r="HH136" s="162" t="str">
        <f>EXP(-LN(2)/25)*HH135+(1-EXP(-LN(2)/25))/(LN(2)/25)*Calculateur!HC136*Calculateur!HE136*VLOOKUP('Données projet'!$B$18,'Paramètres'!$A$1:$I$88,3,0)*0.475*44/12</f>
        <v>#N/A</v>
      </c>
      <c r="HI136" s="162" t="str">
        <f>EXP(-LN(2)/2)*HI135+(1-EXP(-LN(2)/2))/(LN(2)/2)*HC136*HF136*VLOOKUP('Données projet'!$B$18,'Paramètres'!$A$1:$I$88,3,0)*0.475*44/12</f>
        <v>#N/A</v>
      </c>
      <c r="HJ136" s="163" t="str">
        <f t="shared" si="31"/>
        <v>#N/A</v>
      </c>
    </row>
    <row r="137" ht="15.75" customHeight="1">
      <c r="A137" s="145">
        <f t="shared" si="32"/>
        <v>134</v>
      </c>
      <c r="B137" s="146">
        <f>'Scénario référence'!$B$16*5+'Scénario référence'!$B$17*0+'Scénario référence'!$B$18*5</f>
        <v>0</v>
      </c>
      <c r="C137" s="160">
        <f>Calculateur!C136+'Scénario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37" s="147">
        <f t="shared" si="33"/>
        <v>0</v>
      </c>
      <c r="E137" s="147">
        <f>'Scénario référence'!$B$16*45+('Scénario référence'!$B$17+'Scénario référence'!$F$8+'Scénario référence'!$F$9+'Scénario référence'!$B$10+'Scénario référence'!$B$9)*70+'Scénario référence'!$B$18*32</f>
        <v>70</v>
      </c>
      <c r="F137" s="147">
        <f>IF(OR('Scénario référence'!$F$8&gt;0,'Scénario référence'!$F$9&gt;0),('Scénario référence'!$F$8+'Scénario référence'!$F$9)*10,0)</f>
        <v>0</v>
      </c>
      <c r="G137" s="147">
        <f>'Scénario référence'!$B$8*B137*44/12+'Scénario référence'!$B$9*(C137+D137)/0.475*44/12+'Scénario référence'!$B$10*(C137+D137)/0.475*44/12+'Scénario référence'!$F$8*(C137+D137)/0.475*44/12+'Scénario référence'!$F$9*(C137+D137)/0.475*44/12</f>
        <v>0</v>
      </c>
      <c r="H137" s="148">
        <f t="shared" si="1"/>
        <v>256.6666667</v>
      </c>
      <c r="I137" s="149">
        <f>('Scénario référence'!$F$8+'Scénario référence'!$F$9+'Scénario référence'!$B$17+'Scénario référence'!$B$9+'Scénario référence'!$B$10)*70+IF((45+25*(1-EXP(-0.0175*A137)))&lt;70,'Scénario référence'!$B$16*(45+25*(1-EXP(-0.0175*A137))),70*'Scénario référence'!$B$16)+IF((32+38*(1-EXP(-0.0175*A137)))&lt;70,'Scénario référence'!$B$18*(32+38*(1-EXP(-0.0175*A137))),70*'Scénario référence'!$B$18)</f>
        <v>70</v>
      </c>
      <c r="J137" s="150">
        <f>IF(A137&gt;30,10,('Scénario référence'!$B$16+'Scénario référence'!$B$17+'Scénario référence'!$B$18+'Scénario référence'!$B$9+'Scénario référence'!$B$10)*A137*10/30+('Scénario référence'!$F$8+'Scénario référence'!$F$9)*10)</f>
        <v>10</v>
      </c>
      <c r="K137" s="151" t="str">
        <f>VLOOKUP(A137,'Données projet'!$A$35:$I$55,2,0)</f>
        <v>#N/A</v>
      </c>
      <c r="L137" s="151" t="str">
        <f>VLOOKUP(A137,'Données projet'!$A$35:$I$55,9,0)</f>
        <v>#N/A</v>
      </c>
      <c r="M137" s="151" t="str">
        <f t="array" ref="M137">INDEX(L:L,MIN(IF(ISNUMBER(L137:L333),ROW(L137:L333),"")))</f>
        <v/>
      </c>
      <c r="N137" s="150">
        <f>IF('Données projet'!$A$36&gt;35,N136+M137-V136,IF(A137&lt;'Données projet'!$A$36,$K$205^A137,IF(A137='Données projet'!$A$36,'Données projet'!$B$36,N136+M137-V136)))</f>
        <v>307</v>
      </c>
      <c r="O137" s="150">
        <f>N137*VLOOKUP('Données projet'!$B$9,'Paramètres'!$A$1:$I$88,3,0)*VLOOKUP('Données projet'!$B$9,'Paramètres'!$A$1:$I$88,5,0)</f>
        <v>277.7736</v>
      </c>
      <c r="P137" s="150">
        <f t="shared" si="34"/>
        <v>66.49628818</v>
      </c>
      <c r="Q137" s="161">
        <f t="shared" si="2"/>
        <v>599.6033886</v>
      </c>
      <c r="R137" s="153">
        <f t="shared" si="3"/>
        <v>892.9367219</v>
      </c>
      <c r="S137" s="153">
        <f>AVERAGE(OFFSET($R$3,0,0,'Données projet'!$E$9+1,1))-AVERAGE(OFFSET($H$3,0,0,'Données projet'!$E$9+1,1))</f>
        <v>439.1985427</v>
      </c>
      <c r="T137" s="153">
        <f t="shared" si="35"/>
        <v>278.2174123</v>
      </c>
      <c r="U137" s="154">
        <f>IF(ISNA(VLOOKUP(A137,'Données projet'!$A$35:$I$55,3,0)),0,VLOOKUP(A137,'Données projet'!$A$35:$I$55,3,0))</f>
        <v>0</v>
      </c>
      <c r="V137" s="154">
        <f>IF(ISNA(VLOOKUP(A137,'Données projet'!$A$35:$I$55,4,0)),0,VLOOKUP(A137,'Données projet'!$A$35:$I$55,4,0))</f>
        <v>0</v>
      </c>
      <c r="W137" s="155">
        <f>IF(ISNA(VLOOKUP(A137,'Données projet'!$A$35:$I$55,5,0)),0%,VLOOKUP(A137,'Données projet'!$A$35:$I$55,5,0)*VLOOKUP('Données projet'!$B$9,'Paramètres'!$A$1:$I$88,7,0))</f>
        <v>0</v>
      </c>
      <c r="X137" s="155">
        <f>IF(ISNA(VLOOKUP(A137,'Données projet'!$A$35:$I$55,6,0)),0%,VLOOKUP(A137,'Données projet'!$A$35:$I$55,6,0)*VLOOKUP('Données projet'!$B$9,'Paramètres'!$A$1:$I$88,7,0))</f>
        <v>0</v>
      </c>
      <c r="Y137" s="155">
        <f>IF(ISNA(VLOOKUP(A137,'Données projet'!$A$35:$I$55,7,0)),0%,VLOOKUP(A137,'Données projet'!$A$35:$I$55,7,0))</f>
        <v>0</v>
      </c>
      <c r="Z137" s="162">
        <f>EXP(-LN(2)/35)*Z136+(1-EXP(-LN(2)/35))/(LN(2)/35)*V137*W137*VLOOKUP('Données projet'!$B$9,'Paramètres'!$A$1:$I$88,3,0)*0.475*44/12</f>
        <v>0</v>
      </c>
      <c r="AA137" s="162">
        <f>EXP(-LN(2)/25)*AA136+(1-EXP(-LN(2)/25))/(LN(2)/25)*Calculateur!V137*Calculateur!X137*VLOOKUP('Données projet'!$B$9,'Paramètres'!$A$1:$I$88,3,0)*0.475*44/12</f>
        <v>0.2510310814</v>
      </c>
      <c r="AB137" s="162">
        <f>EXP(-LN(2)/2)*AB136+(1-EXP(-LN(2)/2))/(LN(2)/2)*V137*Y137*VLOOKUP('Données projet'!$B$9,'Paramètres'!$A$1:$I$88,3,0)*0.475*44/12</f>
        <v>0</v>
      </c>
      <c r="AC137" s="163">
        <f t="shared" si="4"/>
        <v>0.2510310814</v>
      </c>
      <c r="AD137" s="150">
        <f>('Scénario référence'!$F$8+'Scénario référence'!$F$9+'Scénario référence'!$B$17+'Scénario référence'!$B$9+'Scénario référence'!$B$10)*70+IF((45+25*(1-EXP(-0.0175*A137)))&lt;70,'Scénario référence'!$B$16*(45+25*(1-EXP(-0.0175*A137))),70*'Scénario référence'!$B$16)+IF((32+38*(1-EXP(-0.0175*A137)))&lt;70,'Scénario référence'!$B$18*(32+38*(1-EXP(-0.0175*A137))),70*'Scénario référence'!$B$18)</f>
        <v>70</v>
      </c>
      <c r="AE137" s="150">
        <f>IF(A137&gt;30,10,('Scénario référence'!$B$16+'Scénario référence'!$B$17+'Scénario référence'!$B$18+'Scénario référence'!$B$9+'Scénario référence'!$B$10)*A137*10/30+('Scénario référence'!$F$8+'Scénario référence'!$F$9)*10)</f>
        <v>10</v>
      </c>
      <c r="AF137" s="151" t="str">
        <f>VLOOKUP(A137,'Données projet'!$A$61:$I$81,2,0)</f>
        <v>#N/A</v>
      </c>
      <c r="AG137" s="151" t="str">
        <f>VLOOKUP(A137,'Données projet'!$A$61:$I$81,9,0)</f>
        <v>#N/A</v>
      </c>
      <c r="AH137" s="151" t="str">
        <f t="array" ref="AH137">INDEX(AG:AG,MIN(IF(ISNUMBER(AG137:AG333),ROW(AG137:AG333),"")))</f>
        <v/>
      </c>
      <c r="AI137" s="150">
        <f>IF('Données projet'!$A$62&gt;35,AI136+AH137-AQ136,IF(A137&lt;'Données projet'!$A$62,$AF$205^A137,IF(A137='Données projet'!$A$62,'Données projet'!$B$62,AI136+AH137-AQ136)))</f>
        <v>369</v>
      </c>
      <c r="AJ137" s="150">
        <f>AI137*VLOOKUP('Données projet'!$B$10,'Paramètres'!$A$1:$I$88,3,0)*VLOOKUP('Données projet'!$B$10,'Paramètres'!$A$1:$I$88,5,0)</f>
        <v>293.5764</v>
      </c>
      <c r="AK137" s="150">
        <f t="shared" si="36"/>
        <v>69.82813851</v>
      </c>
      <c r="AL137" s="161">
        <f t="shared" si="5"/>
        <v>632.9295712</v>
      </c>
      <c r="AM137" s="153">
        <f t="shared" si="6"/>
        <v>926.2629046</v>
      </c>
      <c r="AN137" s="153">
        <f>AVERAGE(OFFSET($AM$3,0,0,'Données projet'!$E$10+1,1))-AVERAGE(OFFSET($H$3,0,0,'Données projet'!$E$10+1,1))</f>
        <v>405.6113614</v>
      </c>
      <c r="AO137" s="153">
        <f t="shared" si="37"/>
        <v>393.0787141</v>
      </c>
      <c r="AP137" s="154">
        <f>IF(ISNA(VLOOKUP(A137,'Données projet'!$A$61:$I$81,3,0)),0,VLOOKUP(A137,'Données projet'!$A$61:$I$81,3,0))</f>
        <v>0</v>
      </c>
      <c r="AQ137" s="154">
        <f>IF(ISNA(VLOOKUP(A137,'Données projet'!$A$61:$I$81,4,0)),0,VLOOKUP(A137,'Données projet'!$A$61:$I$81,4,0))</f>
        <v>0</v>
      </c>
      <c r="AR137" s="155">
        <f>IF(ISNA(VLOOKUP(A137,'Données projet'!$A$61:$I$81,5,0)),0%,VLOOKUP(A137,'Données projet'!$A$61:$I$81,5,0)*VLOOKUP('Données projet'!$B$10,'Paramètres'!$A$1:$I$88,7,0))</f>
        <v>0</v>
      </c>
      <c r="AS137" s="155">
        <f>IF(ISNA(VLOOKUP(A137,'Données projet'!$A$61:$I$81,6,0)),0%,VLOOKUP(A137,'Données projet'!$A$61:$I$81,6,0)*VLOOKUP('Données projet'!$B$10,'Paramètres'!$A$1:$I$88,7,0))</f>
        <v>0</v>
      </c>
      <c r="AT137" s="155">
        <f>IF(ISNA(VLOOKUP(A137,'Données projet'!$A$61:$I$81,7,0)),0%,VLOOKUP(A137,'Données projet'!$A$61:$I$81,7,0))</f>
        <v>0</v>
      </c>
      <c r="AU137" s="162">
        <f>EXP(-LN(2)/35)*AU136+(1-EXP(-LN(2)/35))/(LN(2)/35)*AQ137*AR137*VLOOKUP('Données projet'!$B$10,'Paramètres'!$A$1:$I$88,3,0)*0.475*44/12</f>
        <v>0</v>
      </c>
      <c r="AV137" s="162">
        <f>EXP(-LN(2)/25)*AV136+(1-EXP(-LN(2)/25))/(LN(2)/25)*Calculateur!AQ137*Calculateur!AS137*VLOOKUP('Données projet'!$B$10,'Paramètres'!$A$1:$I$88,3,0)*0.475*44/12</f>
        <v>1.02025413</v>
      </c>
      <c r="AW137" s="162">
        <f>EXP(-LN(2)/2)*AW136+(1-EXP(-LN(2)/2))/(LN(2)/2)*AQ137*AT137*VLOOKUP('Données projet'!$B$10,'Paramètres'!$A$1:$I$88,3,0)*0.475*44/12</f>
        <v>0</v>
      </c>
      <c r="AX137" s="162">
        <f t="shared" si="7"/>
        <v>1.02025413</v>
      </c>
      <c r="AY137" s="157">
        <f>('Scénario référence'!$F$8+'Scénario référence'!$F$9+'Scénario référence'!$B$17+'Scénario référence'!$B$9+'Scénario référence'!$B$10)*70+IF((45+25*(1-EXP(-0.0175*A137)))&lt;70,'Scénario référence'!$B$16*(45+25*(1-EXP(-0.0175*A137))),70*'Scénario référence'!$B$16)+IF((32+38*(1-EXP(-0.0175*A137)))&lt;70,'Scénario référence'!$B$18*(32+38*(1-EXP(-0.0175*A137))),70*'Scénario référence'!$B$18)</f>
        <v>70</v>
      </c>
      <c r="AZ137" s="151">
        <f>IF(A137&gt;30,10,('Scénario référence'!$B$16+'Scénario référence'!$B$17+'Scénario référence'!$B$18+'Scénario référence'!$B$9+'Scénario référence'!$B$10)*A137*10/30+('Scénario référence'!$F$8+'Scénario référence'!$F$9)*10)</f>
        <v>10</v>
      </c>
      <c r="BA137" s="151" t="str">
        <f>VLOOKUP(A137,'Données projet'!$A$87:$I$107,2,0)</f>
        <v>#N/A</v>
      </c>
      <c r="BB137" s="151" t="str">
        <f>VLOOKUP(A137,'Données projet'!$A$87:$I$107,9,0)</f>
        <v>#N/A</v>
      </c>
      <c r="BC137" s="151" t="str">
        <f t="array" ref="BC137">INDEX(BB:BB,MIN(IF(ISNUMBER(BB137:BB333),ROW(BB137:BB333),"")))</f>
        <v/>
      </c>
      <c r="BD137" s="150">
        <f>IF('Données projet'!$A$88&gt;35,BD136+BC137-BL136,IF(A137&lt;'Données projet'!$A$88,$BA$205^A137,IF(A137='Données projet'!$A$88,'Données projet'!$B$88,BD136+BC137-BL136)))</f>
        <v>0</v>
      </c>
      <c r="BE137" s="150">
        <f>BD137*VLOOKUP('Données projet'!$B$11,'Paramètres'!$A$1:$I$88,3,0)*VLOOKUP('Données projet'!$B$11,'Paramètres'!$A$1:$I$88,5,0)</f>
        <v>0</v>
      </c>
      <c r="BF137" s="150" t="str">
        <f t="shared" si="38"/>
        <v>#NUM!</v>
      </c>
      <c r="BG137" s="161" t="str">
        <f t="shared" si="8"/>
        <v>#NUM!</v>
      </c>
      <c r="BH137" s="153" t="str">
        <f t="shared" si="9"/>
        <v>#NUM!</v>
      </c>
      <c r="BI137" s="153">
        <f>AVERAGE(OFFSET($BH$3,0,0,'Données projet'!$E$11+1,1))-AVERAGE(OFFSET($H$3,0,0,'Données projet'!$E$11+1,1))</f>
        <v>0</v>
      </c>
      <c r="BJ137" s="153">
        <f t="shared" si="39"/>
        <v>0</v>
      </c>
      <c r="BK137" s="154">
        <f>IF(ISNA(VLOOKUP(A137,'Données projet'!$A$87:$I$107,3,0)),0,VLOOKUP(A137,'Données projet'!$A$87:$I$107,3,0))</f>
        <v>0</v>
      </c>
      <c r="BL137" s="154">
        <f>IF(ISNA(VLOOKUP(A137,'Données projet'!$A$87:$I$107,4,0)),0,VLOOKUP(A137,'Données projet'!$A$87:$I$107,4,0))</f>
        <v>0</v>
      </c>
      <c r="BM137" s="155">
        <f>IF(ISNA(VLOOKUP(A137,'Données projet'!$A$87:$I$107,5,0)),0%,VLOOKUP(A137,'Données projet'!$A$87:$I$107,5,0)*VLOOKUP('Données projet'!$B$11,'Paramètres'!$A$1:$I$88,7,0))</f>
        <v>0</v>
      </c>
      <c r="BN137" s="155">
        <f>IF(ISNA(VLOOKUP(A137,'Données projet'!$A$87:$I$107,6,0)),0%,VLOOKUP(A137,'Données projet'!$A$87:$I$107,6,0)*VLOOKUP('Données projet'!$B$11,'Paramètres'!$A$1:$I$88,7,0))</f>
        <v>0</v>
      </c>
      <c r="BO137" s="155">
        <f>IF(ISNA(VLOOKUP(A137,'Données projet'!$A$87:$I$107,7,0)),0%,VLOOKUP(A137,'Données projet'!$A$87:$I$107,7,0))</f>
        <v>0</v>
      </c>
      <c r="BP137" s="162">
        <f>EXP(-LN(2)/35)*BP136+(1-EXP(-LN(2)/35))/(LN(2)/35)*BL137*BM137*VLOOKUP('Données projet'!$B$11,'Paramètres'!$A$1:$I$88,3,0)*0.475*44/12</f>
        <v>0</v>
      </c>
      <c r="BQ137" s="162">
        <f>EXP(-LN(2)/25)*BQ136+(1-EXP(-LN(2)/25))/(LN(2)/25)*Calculateur!BL137*Calculateur!BN137*VLOOKUP('Données projet'!$B$11,'Paramètres'!$A$1:$I$88,3,0)*0.475*44/12</f>
        <v>0</v>
      </c>
      <c r="BR137" s="162">
        <f>EXP(-LN(2)/2)*BR136+(1-EXP(-LN(2)/2))/(LN(2)/2)*BL137*BO137*VLOOKUP('Données projet'!$B$11,'Paramètres'!$A$1:$I$88,3,0)*0.475*44/12</f>
        <v>0</v>
      </c>
      <c r="BS137" s="163">
        <f t="shared" si="10"/>
        <v>0</v>
      </c>
      <c r="BT137" s="159">
        <f>('Scénario référence'!$F$8+'Scénario référence'!$F$9+'Scénario référence'!$B$17+'Scénario référence'!$B$9+'Scénario référence'!$B$10)*70+IF((45+25*(1-EXP(-0.0175*A137)))&lt;70,'Scénario référence'!$B$16*(45+25*(1-EXP(-0.0175*A137))),70*'Scénario référence'!$B$16)+IF((32+38*(1-EXP(-0.0175*A137)))&lt;70,'Scénario référence'!$B$18*(32+38*(1-EXP(-0.0175*A137))),70*'Scénario référence'!$B$18)</f>
        <v>70</v>
      </c>
      <c r="BU137" s="151">
        <f>IF(A137&gt;30,10,('Scénario référence'!$B$16+'Scénario référence'!$B$17+'Scénario référence'!$B$18+'Scénario référence'!$B$9+'Scénario référence'!$B$10)*A137*10/30+('Scénario référence'!$F$8+'Scénario référence'!$F$9)*10)</f>
        <v>10</v>
      </c>
      <c r="BV137" s="151" t="str">
        <f>VLOOKUP(A137,'Données projet'!$A$113:$I$133,2,0)</f>
        <v>#N/A</v>
      </c>
      <c r="BW137" s="151" t="str">
        <f>VLOOKUP(A137,'Données projet'!$A$113:$I$133,9,0)</f>
        <v>#N/A</v>
      </c>
      <c r="BX137" s="151" t="str">
        <f t="array" ref="BX137">INDEX(BW:BW,MIN(IF(ISNUMBER(BW137:BW333),ROW(BW137:BW333),"")))</f>
        <v/>
      </c>
      <c r="BY137" s="150">
        <f>IF('Données projet'!$A$114&gt;35,BY136+BX137-CG136,IF(A137&lt;'Données projet'!$A$114,$BV$205^A137,IF(A137='Données projet'!$A$114,'Données projet'!$B$114,BY136+BX137-CG136)))</f>
        <v>0</v>
      </c>
      <c r="BZ137" s="150" t="str">
        <f>BY137*VLOOKUP('Données projet'!$B$12,'Paramètres'!$A$1:$I$88,3,0)*VLOOKUP('Données projet'!$B$12,'Paramètres'!$A$1:$I$88,5,0)</f>
        <v>#N/A</v>
      </c>
      <c r="CA137" s="150" t="str">
        <f t="shared" si="40"/>
        <v>#N/A</v>
      </c>
      <c r="CB137" s="161" t="str">
        <f t="shared" si="11"/>
        <v>#N/A</v>
      </c>
      <c r="CC137" s="153" t="str">
        <f t="shared" si="12"/>
        <v>#N/A</v>
      </c>
      <c r="CD137" s="153" t="str">
        <f>AVERAGE(OFFSET($CC$3,0,0,'Données projet'!$E$12+1,1))-AVERAGE(OFFSET($H$3,0,0,'Données projet'!$E$12+1,1))</f>
        <v>#N/A</v>
      </c>
      <c r="CE137" s="153" t="str">
        <f t="shared" si="41"/>
        <v>#N/A</v>
      </c>
      <c r="CF137" s="154">
        <f>IF(ISNA(VLOOKUP(A137,'Données projet'!$A$113:$I$133,3,0)),0,VLOOKUP(A137,'Données projet'!$A$113:$I$133,3,0))</f>
        <v>0</v>
      </c>
      <c r="CG137" s="154">
        <f>IF(ISNA(VLOOKUP(A137,'Données projet'!$A$113:$I$133,4,0)),0,VLOOKUP(A137,'Données projet'!$A$113:$I$133,4,0))</f>
        <v>0</v>
      </c>
      <c r="CH137" s="155">
        <f>IF(ISNA(VLOOKUP(A137,'Données projet'!$A$113:$I$133,5,0)),0%,VLOOKUP(A137,'Données projet'!$A$113:$I$133,5,0)*VLOOKUP('Données projet'!$B$12,'Paramètres'!$A$1:$I$88,7,0))</f>
        <v>0</v>
      </c>
      <c r="CI137" s="155">
        <f>IF(ISNA(VLOOKUP(A137,'Données projet'!$A$113:$I$133,6,0)),0%,VLOOKUP(A137,'Données projet'!$A$113:$I$133,6,0)*VLOOKUP('Données projet'!$B$12,'Paramètres'!$A$1:$I$88,7,0))</f>
        <v>0</v>
      </c>
      <c r="CJ137" s="155">
        <f>IF(ISNA(VLOOKUP(A137,'Données projet'!$A$113:$I$133,7,0)),0%,VLOOKUP(A137,'Données projet'!$A$113:$I$133,7,0))</f>
        <v>0</v>
      </c>
      <c r="CK137" s="162" t="str">
        <f>EXP(-LN(2)/35)*CK136+(1-EXP(-LN(2)/35))/(LN(2)/35)*CG137*CH137*VLOOKUP('Données projet'!$B$12,'Paramètres'!$A$1:$I$88,3,0)*0.475*44/12</f>
        <v>#N/A</v>
      </c>
      <c r="CL137" s="162" t="str">
        <f>EXP(-LN(2)/25)*CL136+(1-EXP(-LN(2)/25))/(LN(2)/25)*Calculateur!CG137*Calculateur!CI137*VLOOKUP('Données projet'!$B$12,'Paramètres'!$A$1:$I$88,3,0)*0.475*44/12</f>
        <v>#N/A</v>
      </c>
      <c r="CM137" s="162" t="str">
        <f>EXP(-LN(2)/2)*CM136+(1-EXP(-LN(2)/2))/(LN(2)/2)*CG137*CJ137*VLOOKUP('Données projet'!$B$12,'Paramètres'!$A$1:$I$88,3,0)*0.475*44/12</f>
        <v>#N/A</v>
      </c>
      <c r="CN137" s="163" t="str">
        <f t="shared" si="13"/>
        <v>#N/A</v>
      </c>
      <c r="CO137" s="159">
        <f>('Scénario référence'!$F$8+'Scénario référence'!$F$9+'Scénario référence'!$B$17+'Scénario référence'!$B$9+'Scénario référence'!$B$10)*70+IF((45+25*(1-EXP(-0.0175*A137)))&lt;70,'Scénario référence'!$B$16*(45+25*(1-EXP(-0.0175*A137))),70*'Scénario référence'!$B$16)+IF((32+38*(1-EXP(-0.0175*A137)))&lt;70,'Scénario référence'!$B$18*(32+38*(1-EXP(-0.0175*A137))),70*'Scénario référence'!$B$18)</f>
        <v>70</v>
      </c>
      <c r="CP137" s="151">
        <f>IF(A137&gt;30,10,('Scénario référence'!$B$16+'Scénario référence'!$B$17+'Scénario référence'!$B$18+'Scénario référence'!$B$9+'Scénario référence'!$B$10)*A137*10/30+('Scénario référence'!$F$8+'Scénario référence'!$F$9)*10)</f>
        <v>10</v>
      </c>
      <c r="CQ137" s="151" t="str">
        <f>VLOOKUP(A137,'Données projet'!$A$139:$I$159,2,0)</f>
        <v>#N/A</v>
      </c>
      <c r="CR137" s="151" t="str">
        <f>VLOOKUP(A137,'Données projet'!$A$139:$I$159,9,0)</f>
        <v>#N/A</v>
      </c>
      <c r="CS137" s="151" t="str">
        <f t="array" ref="CS137">INDEX(CR:CR,MIN(IF(ISNUMBER(CR137:CR333),ROW(CR137:CR333),"")))</f>
        <v/>
      </c>
      <c r="CT137" s="151">
        <f>IF('Données projet'!$A$140&gt;35,CT136+CS137-DB136,IF(A137&lt;'Données projet'!$A$140,$CQ$205^A137,IF(A137='Données projet'!$A$140,'Données projet'!$B$140,CT136+CS137-DB136)))</f>
        <v>0</v>
      </c>
      <c r="CU137" s="158" t="str">
        <f>CT137*VLOOKUP('Données projet'!$B$13,'Paramètres'!$A$1:$I$88,3,0)*VLOOKUP('Données projet'!$B$13,'Paramètres'!$A$1:$I$88,5,0)</f>
        <v>#N/A</v>
      </c>
      <c r="CV137" s="150" t="str">
        <f t="shared" si="42"/>
        <v>#N/A</v>
      </c>
      <c r="CW137" s="161" t="str">
        <f t="shared" si="14"/>
        <v>#N/A</v>
      </c>
      <c r="CX137" s="153" t="str">
        <f t="shared" si="15"/>
        <v>#N/A</v>
      </c>
      <c r="CY137" s="153" t="str">
        <f>AVERAGE(OFFSET($CX$3,0,0,'Données projet'!$E$13+1,1))-AVERAGE(OFFSET($H$3,0,0,'Données projet'!$E$13+1,1))</f>
        <v>#N/A</v>
      </c>
      <c r="CZ137" s="153" t="str">
        <f t="shared" si="43"/>
        <v>#N/A</v>
      </c>
      <c r="DA137" s="154">
        <f>IF(ISNA(VLOOKUP(A137,'Données projet'!$A$139:$I$159,3,0)),0,VLOOKUP(A137,'Données projet'!$A$139:$I$159,3,0))</f>
        <v>0</v>
      </c>
      <c r="DB137" s="154">
        <f>IF(ISNA(VLOOKUP(A137,'Données projet'!$A$139:$I$159,4,0)),0,VLOOKUP(A137,'Données projet'!$A$139:$I$159,4,0))</f>
        <v>0</v>
      </c>
      <c r="DC137" s="155">
        <f>IF(ISNA(VLOOKUP(A137,'Données projet'!$A$139:$I$159,5,0)),0%,VLOOKUP(A137,'Données projet'!$A$139:$I$159,5,0)*VLOOKUP('Données projet'!$B$13,'Paramètres'!$A$1:$I$88,7,0))</f>
        <v>0</v>
      </c>
      <c r="DD137" s="155">
        <f>IF(ISNA(VLOOKUP(A137,'Données projet'!$A$139:$I$159,6,0)),0%,VLOOKUP(A137,'Données projet'!$A$139:$I$159,6,0)*VLOOKUP('Données projet'!$B$13,'Paramètres'!$A$1:$I$88,7,0))</f>
        <v>0</v>
      </c>
      <c r="DE137" s="155">
        <f>IF(ISNA(VLOOKUP(A137,'Données projet'!$A$139:$I$159,7,0)),0%,VLOOKUP(A137,'Données projet'!$A$139:$I$159,7,0))</f>
        <v>0</v>
      </c>
      <c r="DF137" s="162" t="str">
        <f>EXP(-LN(2)/35)*DF136+(1-EXP(-LN(2)/35))/(LN(2)/35)*DB137*DC137*VLOOKUP('Données projet'!$B$13,'Paramètres'!$A$1:$I$88,3,0)*0.475*44/12</f>
        <v>#N/A</v>
      </c>
      <c r="DG137" s="162" t="str">
        <f>EXP(-LN(2)/25)*DG136+(1-EXP(-LN(2)/25))/(LN(2)/25)*Calculateur!DB137*Calculateur!DD137*VLOOKUP('Données projet'!$B$13,'Paramètres'!$A$1:$I$88,3,0)*0.475*44/12</f>
        <v>#N/A</v>
      </c>
      <c r="DH137" s="162" t="str">
        <f>EXP(-LN(2)/2)*DH136+(1-EXP(-LN(2)/2))/(LN(2)/2)*DB137*DE137*VLOOKUP('Données projet'!$B$13,'Paramètres'!$A$1:$I$88,3,0)*0.475*44/12</f>
        <v>#N/A</v>
      </c>
      <c r="DI137" s="163" t="str">
        <f t="shared" si="16"/>
        <v>#N/A</v>
      </c>
      <c r="DJ137" s="159">
        <f>('Scénario référence'!$F$8+'Scénario référence'!$F$9+'Scénario référence'!$B$17+'Scénario référence'!$B$9+'Scénario référence'!$B$10)*70+IF((45+25*(1-EXP(-0.0175*A137)))&lt;70,'Scénario référence'!$B$16*(45+25*(1-EXP(-0.0175*A137))),70*'Scénario référence'!$B$16)+IF((32+38*(1-EXP(-0.0175*A137)))&lt;70,'Scénario référence'!$B$18*(32+38*(1-EXP(-0.0175*A137))),70*'Scénario référence'!$B$18)</f>
        <v>70</v>
      </c>
      <c r="DK137" s="151">
        <f>IF(A137&gt;30,10,('Scénario référence'!$B$16+'Scénario référence'!$B$17+'Scénario référence'!$B$18+'Scénario référence'!$B$9+'Scénario référence'!$B$10)*A137*10/30+('Scénario référence'!$F$8+'Scénario référence'!$F$9)*10)</f>
        <v>10</v>
      </c>
      <c r="DL137" s="151" t="str">
        <f>VLOOKUP(A137,'Données projet'!$A$165:$I$185,2,0)</f>
        <v>#N/A</v>
      </c>
      <c r="DM137" s="151" t="str">
        <f>VLOOKUP(A137,'Données projet'!$A$165:$I$185,9,0)</f>
        <v>#N/A</v>
      </c>
      <c r="DN137" s="151" t="str">
        <f t="array" ref="DN137">INDEX(DM:DM,MIN(IF(ISNUMBER(DM137:DM333),ROW(DM137:DM333),"")))</f>
        <v/>
      </c>
      <c r="DO137" s="151">
        <f>IF('Données projet'!$A$166&gt;35,DO136+DN137-DW136,IF(A137&lt;'Données projet'!$A$166,$DL$205^A137,IF(A137='Données projet'!$A$166,'Données projet'!$B$166,DO136+DN137-DW136)))</f>
        <v>0</v>
      </c>
      <c r="DP137" s="158" t="str">
        <f>DO137*VLOOKUP('Données projet'!$B$14,'Paramètres'!$A$1:$I$88,3,0)*VLOOKUP('Données projet'!$B$14,'Paramètres'!$A$1:$I$88,5,0)</f>
        <v>#N/A</v>
      </c>
      <c r="DQ137" s="150" t="str">
        <f t="shared" si="44"/>
        <v>#N/A</v>
      </c>
      <c r="DR137" s="161" t="str">
        <f t="shared" si="17"/>
        <v>#N/A</v>
      </c>
      <c r="DS137" s="153" t="str">
        <f t="shared" si="18"/>
        <v>#N/A</v>
      </c>
      <c r="DT137" s="153" t="str">
        <f>AVERAGE(OFFSET($DS$3,0,0,'Données projet'!$E$14+1,1))-AVERAGE(OFFSET($H$3,0,0,'Données projet'!$E$14+1,1))</f>
        <v>#N/A</v>
      </c>
      <c r="DU137" s="153" t="str">
        <f t="shared" si="45"/>
        <v>#N/A</v>
      </c>
      <c r="DV137" s="154">
        <f>IF(ISNA(VLOOKUP(A137,'Données projet'!$A$165:$I$185,3,0)),0,VLOOKUP(A137,'Données projet'!$A$165:$I$185,3,0))</f>
        <v>0</v>
      </c>
      <c r="DW137" s="154">
        <f>IF(ISNA(VLOOKUP(A137,'Données projet'!$A$165:$I$185,4,0)),0,VLOOKUP(A137,'Données projet'!$A$165:$I$185,4,0))</f>
        <v>0</v>
      </c>
      <c r="DX137" s="155">
        <f>IF(ISNA(VLOOKUP(A137,'Données projet'!$A$165:$I$185,5,0)),0%,VLOOKUP(A137,'Données projet'!$A$165:$I$185,5,0)*VLOOKUP('Données projet'!$B$14,'Paramètres'!$A$1:$I$88,7,0))</f>
        <v>0</v>
      </c>
      <c r="DY137" s="155">
        <f>IF(ISNA(VLOOKUP(A137,'Données projet'!$A$165:$I$185,6,0)),0%,VLOOKUP(A137,'Données projet'!$A$165:$I$185,6,0)*VLOOKUP('Données projet'!$B$14,'Paramètres'!$A$1:$I$88,7,0))</f>
        <v>0</v>
      </c>
      <c r="DZ137" s="155">
        <f>IF(ISNA(VLOOKUP(A137,'Données projet'!$A$165:$I$185,7,0)),0%,VLOOKUP(A137,'Données projet'!$A$165:$I$185,7,0))</f>
        <v>0</v>
      </c>
      <c r="EA137" s="162" t="str">
        <f>EXP(-LN(2)/35)*EA136+(1-EXP(-LN(2)/35))/(LN(2)/35)*DW137*DX137*VLOOKUP('Données projet'!$B$14,'Paramètres'!$A$1:$I$88,3,0)*0.475*44/12</f>
        <v>#N/A</v>
      </c>
      <c r="EB137" s="162" t="str">
        <f>EXP(-LN(2)/25)*EB136+(1-EXP(-LN(2)/25))/(LN(2)/25)*Calculateur!DW137*Calculateur!DY137*VLOOKUP('Données projet'!$B$14,'Paramètres'!$A$1:$I$88,3,0)*0.475*44/12</f>
        <v>#N/A</v>
      </c>
      <c r="EC137" s="162" t="str">
        <f>EXP(-LN(2)/2)*EC136+(1-EXP(-LN(2)/2))/(LN(2)/2)*DW137*DZ137*VLOOKUP('Données projet'!$B$14,'Paramètres'!$A$1:$I$88,3,0)*0.475*44/12</f>
        <v>#N/A</v>
      </c>
      <c r="ED137" s="163" t="str">
        <f t="shared" si="19"/>
        <v>#N/A</v>
      </c>
      <c r="EE137" s="159">
        <f>('Scénario référence'!$F$8+'Scénario référence'!$F$9+'Scénario référence'!$B$17+'Scénario référence'!$B$9+'Scénario référence'!$B$10)*70+IF((45+25*(1-EXP(-0.0175*A137)))&lt;70,'Scénario référence'!$B$16*(45+25*(1-EXP(-0.0175*A137))),70*'Scénario référence'!$B$16)+IF((32+38*(1-EXP(-0.0175*A137)))&lt;70,'Scénario référence'!$B$18*(32+38*(1-EXP(-0.0175*A137))),70*'Scénario référence'!$B$18)</f>
        <v>70</v>
      </c>
      <c r="EF137" s="151">
        <f>IF(A137&gt;30,10,('Scénario référence'!$B$16+'Scénario référence'!$B$17+'Scénario référence'!$B$18+'Scénario référence'!$B$9+'Scénario référence'!$B$10)*A137*10/30+('Scénario référence'!$F$8+'Scénario référence'!$F$9)*10)</f>
        <v>10</v>
      </c>
      <c r="EG137" s="151" t="str">
        <f>VLOOKUP(A137,'Données projet'!$A$191:$I$211,2,0)</f>
        <v>#N/A</v>
      </c>
      <c r="EH137" s="151" t="str">
        <f>VLOOKUP(A137,'Données projet'!$A$191:$I$211,9,0)</f>
        <v>#N/A</v>
      </c>
      <c r="EI137" s="151" t="str">
        <f t="array" ref="EI137">INDEX(EH:EH,MIN(IF(ISNUMBER(EH137:EH333),ROW(EH137:EH333),"")))</f>
        <v/>
      </c>
      <c r="EJ137" s="151">
        <f>IF('Données projet'!$A$192&gt;35,EJ136+EI137-ER136,IF(A137&lt;'Données projet'!$A$192,$EG$205^A137,IF(A137='Données projet'!$A$192,'Données projet'!$B$192,EJ136+EI137-ER136)))</f>
        <v>0</v>
      </c>
      <c r="EK137" s="158" t="str">
        <f>EJ137*VLOOKUP('Données projet'!$B$15,'Paramètres'!$A$1:$I$88,3,0)*VLOOKUP('Données projet'!$B$15,'Paramètres'!$A$1:$I$88,5,0)</f>
        <v>#N/A</v>
      </c>
      <c r="EL137" s="150" t="str">
        <f t="shared" si="46"/>
        <v>#N/A</v>
      </c>
      <c r="EM137" s="161" t="str">
        <f t="shared" si="20"/>
        <v>#N/A</v>
      </c>
      <c r="EN137" s="153" t="str">
        <f t="shared" si="21"/>
        <v>#N/A</v>
      </c>
      <c r="EO137" s="153" t="str">
        <f>AVERAGE(OFFSET($EN$3,0,0,'Données projet'!$E$15+1,1))-AVERAGE(OFFSET($H$3,0,0,'Données projet'!$E$15+1,1))</f>
        <v>#N/A</v>
      </c>
      <c r="EP137" s="153" t="str">
        <f t="shared" si="47"/>
        <v>#N/A</v>
      </c>
      <c r="EQ137" s="154">
        <f>IF(ISNA(VLOOKUP(A137,'Données projet'!$A$191:$I$211,3,0)),0,VLOOKUP(A137,'Données projet'!$A$191:$I$211,3,0))</f>
        <v>0</v>
      </c>
      <c r="ER137" s="154">
        <f>IF(ISNA(VLOOKUP(A137,'Données projet'!$A$191:$I$211,4,0)),0,VLOOKUP(A137,'Données projet'!$A$191:$I$211,4,0))</f>
        <v>0</v>
      </c>
      <c r="ES137" s="155">
        <f>IF(ISNA(VLOOKUP(A137,'Données projet'!$A$191:$I$211,5,0)),0%,VLOOKUP(A137,'Données projet'!$A$191:$I$211,5,0)*VLOOKUP('Données projet'!$B$15,'Paramètres'!$A$1:$I$88,7,0))</f>
        <v>0</v>
      </c>
      <c r="ET137" s="155">
        <f>IF(ISNA(VLOOKUP(A137,'Données projet'!$A$191:$I$211,6,0)),0%,VLOOKUP(A137,'Données projet'!$A$191:$I$211,6,0)*VLOOKUP('Données projet'!$B$15,'Paramètres'!$A$1:$I$88,7,0))</f>
        <v>0</v>
      </c>
      <c r="EU137" s="155">
        <f>IF(ISNA(VLOOKUP(A137,'Données projet'!$A$191:$I$211,7,0)),0%,VLOOKUP(A137,'Données projet'!$A$191:$I$211,7,0))</f>
        <v>0</v>
      </c>
      <c r="EV137" s="162" t="str">
        <f>EXP(-LN(2)/35)*EV136+(1-EXP(-LN(2)/35))/(LN(2)/35)*ER137*ES137*VLOOKUP('Données projet'!$B$15,'Paramètres'!$A$1:$I$88,3,0)*0.475*44/12</f>
        <v>#N/A</v>
      </c>
      <c r="EW137" s="162" t="str">
        <f>EXP(-LN(2)/25)*EW136+(1-EXP(-LN(2)/25))/(LN(2)/25)*Calculateur!ER137*Calculateur!ET137*VLOOKUP('Données projet'!$B$15,'Paramètres'!$A$1:$I$88,3,0)*0.475*44/12</f>
        <v>#N/A</v>
      </c>
      <c r="EX137" s="162" t="str">
        <f>EXP(-LN(2)/2)*EX136+(1-EXP(-LN(2)/2))/(LN(2)/2)*ER137*EU137*VLOOKUP('Données projet'!$B$15,'Paramètres'!$A$1:$I$88,3,0)*0.475*44/12</f>
        <v>#N/A</v>
      </c>
      <c r="EY137" s="163" t="str">
        <f t="shared" si="22"/>
        <v>#N/A</v>
      </c>
      <c r="EZ137" s="159">
        <f>('Scénario référence'!$F$8+'Scénario référence'!$F$9+'Scénario référence'!$B$17+'Scénario référence'!$B$9+'Scénario référence'!$B$10)*70+IF((45+25*(1-EXP(-0.0175*A137)))&lt;70,'Scénario référence'!$B$16*(45+25*(1-EXP(-0.0175*A137))),70*'Scénario référence'!$B$16)+IF((32+38*(1-EXP(-0.0175*A137)))&lt;70,'Scénario référence'!$B$18*(32+38*(1-EXP(-0.0175*A137))),70*'Scénario référence'!$B$18)</f>
        <v>70</v>
      </c>
      <c r="FA137" s="151">
        <f>IF(A137&gt;30,10,('Scénario référence'!$B$16+'Scénario référence'!$B$17+'Scénario référence'!$B$18+'Scénario référence'!$B$9+'Scénario référence'!$B$10)*A137*10/30+('Scénario référence'!$F$8+'Scénario référence'!$F$9)*10)</f>
        <v>10</v>
      </c>
      <c r="FB137" s="151" t="str">
        <f>VLOOKUP(A137,'Données projet'!$A$217:$I$237,2,0)</f>
        <v>#N/A</v>
      </c>
      <c r="FC137" s="151" t="str">
        <f>VLOOKUP(A137,'Données projet'!$A$217:$I$237,9,0)</f>
        <v>#N/A</v>
      </c>
      <c r="FD137" s="151" t="str">
        <f t="array" ref="FD137">INDEX(FC:FC,MIN(IF(ISNUMBER(FC137:FC333),ROW(FC137:FC333),"")))</f>
        <v/>
      </c>
      <c r="FE137" s="151">
        <f>IF('Données projet'!$A$218&gt;35,FE136+FD137-FM136,IF(A137&lt;'Données projet'!$A$218,$FB$205^A137,IF(A137='Données projet'!$A$218,'Données projet'!$B$218,FE136+FD137-FM136)))</f>
        <v>0</v>
      </c>
      <c r="FF137" s="158" t="str">
        <f>FE137*VLOOKUP('Données projet'!$B$16,'Paramètres'!$A$1:$I$88,3,0)*VLOOKUP('Données projet'!$B$16,'Paramètres'!$A$1:$I$88,5,0)</f>
        <v>#N/A</v>
      </c>
      <c r="FG137" s="150" t="str">
        <f t="shared" si="48"/>
        <v>#N/A</v>
      </c>
      <c r="FH137" s="161" t="str">
        <f t="shared" si="23"/>
        <v>#N/A</v>
      </c>
      <c r="FI137" s="153" t="str">
        <f t="shared" si="24"/>
        <v>#N/A</v>
      </c>
      <c r="FJ137" s="153" t="str">
        <f>AVERAGE(OFFSET($FI$3,0,0,'Données projet'!$E$16+1,1))-AVERAGE(OFFSET($H$3,0,0,'Données projet'!$E$16+1,1))</f>
        <v>#N/A</v>
      </c>
      <c r="FK137" s="153" t="str">
        <f t="shared" si="49"/>
        <v>#N/A</v>
      </c>
      <c r="FL137" s="154">
        <f>IF(ISNA(VLOOKUP(A137,'Données projet'!$A$217:$I$237,3,0)),0,VLOOKUP(A137,'Données projet'!$A$217:$I$237,3,0))</f>
        <v>0</v>
      </c>
      <c r="FM137" s="154">
        <f>IF(ISNA(VLOOKUP(A137,'Données projet'!$A$217:$I$237,4,0)),0,VLOOKUP(A137,'Données projet'!$A$217:$I$237,4,0))</f>
        <v>0</v>
      </c>
      <c r="FN137" s="155">
        <f>IF(ISNA(VLOOKUP(A137,'Données projet'!$A$217:$I$237,5,0)),0%,VLOOKUP(A137,'Données projet'!$A$217:$I$237,5,0)*VLOOKUP('Données projet'!$B$16,'Paramètres'!$A$1:$I$88,7,0))</f>
        <v>0</v>
      </c>
      <c r="FO137" s="155">
        <f>IF(ISNA(VLOOKUP(A137,'Données projet'!$A$217:$I$237,6,0)),0%,VLOOKUP(A137,'Données projet'!$A$217:$I$237,6,0)*VLOOKUP('Données projet'!$B$16,'Paramètres'!$A$1:$I$88,7,0))</f>
        <v>0</v>
      </c>
      <c r="FP137" s="155">
        <f>IF(ISNA(VLOOKUP(A137,'Données projet'!$A$217:$I$237,7,0)),0%,VLOOKUP(A137,'Données projet'!$A$217:$I$237,7,0))</f>
        <v>0</v>
      </c>
      <c r="FQ137" s="162" t="str">
        <f>EXP(-LN(2)/35)*FQ136+(1-EXP(-LN(2)/35))/(LN(2)/35)*FM137*FN137*VLOOKUP('Données projet'!$B$16,'Paramètres'!$A$1:$I$88,3,0)*0.475*44/12</f>
        <v>#N/A</v>
      </c>
      <c r="FR137" s="162" t="str">
        <f>EXP(-LN(2)/25)*FR136+(1-EXP(-LN(2)/25))/(LN(2)/25)*Calculateur!FM137*Calculateur!FO137*VLOOKUP('Données projet'!$B$16,'Paramètres'!$A$1:$I$88,3,0)*0.475*44/12</f>
        <v>#N/A</v>
      </c>
      <c r="FS137" s="162" t="str">
        <f>EXP(-LN(2)/2)*FS136+(1-EXP(-LN(2)/2))/(LN(2)/2)*FM137*FP137*VLOOKUP('Données projet'!$B$16,'Paramètres'!$A$1:$I$88,3,0)*0.475*44/12</f>
        <v>#N/A</v>
      </c>
      <c r="FT137" s="163" t="str">
        <f t="shared" si="25"/>
        <v>#N/A</v>
      </c>
      <c r="FU137" s="159">
        <f>('Scénario référence'!$F$8+'Scénario référence'!$F$9+'Scénario référence'!$B$17+'Scénario référence'!$B$9+'Scénario référence'!$B$10)*70+IF((45+25*(1-EXP(-0.0175*A137)))&lt;70,'Scénario référence'!$B$16*(45+25*(1-EXP(-0.0175*A137))),70*'Scénario référence'!$B$16)+IF((32+38*(1-EXP(-0.0175*A137)))&lt;70,'Scénario référence'!$B$18*(32+38*(1-EXP(-0.0175*A137))),70*'Scénario référence'!$B$18)</f>
        <v>70</v>
      </c>
      <c r="FV137" s="151">
        <f>IF(A137&gt;30,10,('Scénario référence'!$B$16+'Scénario référence'!$B$17+'Scénario référence'!$B$18+'Scénario référence'!$B$9+'Scénario référence'!$B$10)*A137*10/30+('Scénario référence'!$F$8+'Scénario référence'!$F$9)*10)</f>
        <v>10</v>
      </c>
      <c r="FW137" s="151" t="str">
        <f>VLOOKUP(A137,'Données projet'!$A$243:$I$263,2,0)</f>
        <v>#N/A</v>
      </c>
      <c r="FX137" s="151" t="str">
        <f>VLOOKUP(A137,'Données projet'!$A$243:$I$263,9,0)</f>
        <v>#N/A</v>
      </c>
      <c r="FY137" s="151" t="str">
        <f t="array" ref="FY137">INDEX(FX:FX,MIN(IF(ISNUMBER(FX137:FX333),ROW(FX137:FX333),"")))</f>
        <v/>
      </c>
      <c r="FZ137" s="151">
        <f>IF('Données projet'!$A$244&gt;35,FZ136+FY137-GH136,IF(A137&lt;'Données projet'!$A$244,$FW$205^A137,IF(A137='Données projet'!$A$244,'Données projet'!$B$244,FZ136+FY137-GH136)))</f>
        <v>0</v>
      </c>
      <c r="GA137" s="158" t="str">
        <f>FZ137*VLOOKUP('Données projet'!$B$17,'Paramètres'!$A$1:$I$88,3,0)*VLOOKUP('Données projet'!$B$17,'Paramètres'!$A$1:$I$88,5,0)</f>
        <v>#N/A</v>
      </c>
      <c r="GB137" s="150" t="str">
        <f t="shared" si="50"/>
        <v>#N/A</v>
      </c>
      <c r="GC137" s="161" t="str">
        <f t="shared" si="26"/>
        <v>#N/A</v>
      </c>
      <c r="GD137" s="153" t="str">
        <f t="shared" si="27"/>
        <v>#N/A</v>
      </c>
      <c r="GE137" s="153" t="str">
        <f>AVERAGE(OFFSET($GD$3,0,0,'Données projet'!$E$17+1,1))-AVERAGE(OFFSET($H$3,0,0,'Données projet'!$E$17+1,1))</f>
        <v>#N/A</v>
      </c>
      <c r="GF137" s="153" t="str">
        <f t="shared" si="51"/>
        <v>#N/A</v>
      </c>
      <c r="GG137" s="154">
        <f>IF(ISNA(VLOOKUP(A137,'Données projet'!$A$243:$I$263,3,0)),0,VLOOKUP(A137,'Données projet'!$A$243:$I$263,3,0))</f>
        <v>0</v>
      </c>
      <c r="GH137" s="154">
        <f>IF(ISNA(VLOOKUP(A137,'Données projet'!$A$243:$I$263,4,0)),0,VLOOKUP(A137,'Données projet'!$A$243:$I$263,4,0))</f>
        <v>0</v>
      </c>
      <c r="GI137" s="155">
        <f>IF(ISNA(VLOOKUP(A137,'Données projet'!$A$243:$I$263,5,0)),0%,VLOOKUP(A137,'Données projet'!$A$243:$I$263,5,0)*VLOOKUP('Données projet'!$B$17,'Paramètres'!$A$1:$I$88,7,0))</f>
        <v>0</v>
      </c>
      <c r="GJ137" s="155">
        <f>IF(ISNA(VLOOKUP(A137,'Données projet'!$A$243:$I$263,6,0)),0%,VLOOKUP(A137,'Données projet'!$A$243:$I$263,6,0)*VLOOKUP('Données projet'!$B$17,'Paramètres'!$A$1:$I$88,7,0))</f>
        <v>0</v>
      </c>
      <c r="GK137" s="155">
        <f>IF(ISNA(VLOOKUP(A137,'Données projet'!$A$243:$I$263,7,0)),0%,VLOOKUP(A137,'Données projet'!$A$243:$I$263,7,0))</f>
        <v>0</v>
      </c>
      <c r="GL137" s="162" t="str">
        <f>EXP(-LN(2)/35)*GL136+(1-EXP(-LN(2)/35))/(LN(2)/35)*GH137*GI137*VLOOKUP('Données projet'!$B$17,'Paramètres'!$A$1:$I$88,3,0)*0.475*44/12</f>
        <v>#N/A</v>
      </c>
      <c r="GM137" s="162" t="str">
        <f>EXP(-LN(2)/25)*GM136+(1-EXP(-LN(2)/25))/(LN(2)/25)*Calculateur!GH137*Calculateur!GJ137*VLOOKUP('Données projet'!$B$17,'Paramètres'!$A$1:$I$88,3,0)*0.475*44/12</f>
        <v>#N/A</v>
      </c>
      <c r="GN137" s="162" t="str">
        <f>EXP(-LN(2)/2)*GN136+(1-EXP(-LN(2)/2))/(LN(2)/2)*GH137*GK137*VLOOKUP('Données projet'!$B$17,'Paramètres'!$A$1:$I$88,3,0)*0.475*44/12</f>
        <v>#N/A</v>
      </c>
      <c r="GO137" s="162" t="str">
        <f t="shared" si="28"/>
        <v>#N/A</v>
      </c>
      <c r="GP137" s="159">
        <f>('Scénario référence'!$F$8+'Scénario référence'!$F$9+'Scénario référence'!$B$17+'Scénario référence'!$B$9+'Scénario référence'!$B$10)*70+IF((45+25*(1-EXP(-0.0175*A137)))&lt;70,'Scénario référence'!$B$16*(45+25*(1-EXP(-0.0175*A137))),70*'Scénario référence'!$B$16)+IF((32+38*(1-EXP(-0.0175*A137)))&lt;70,'Scénario référence'!$B$18*(32+38*(1-EXP(-0.0175*A137))),70*'Scénario référence'!$B$18)</f>
        <v>70</v>
      </c>
      <c r="GQ137" s="151">
        <f>IF(A137&gt;30,10,('Scénario référence'!$B$16+'Scénario référence'!$B$17+'Scénario référence'!$B$18+'Scénario référence'!$B$9+'Scénario référence'!$B$10)*A137*10/30+('Scénario référence'!$F$8+'Scénario référence'!$F$9)*10)</f>
        <v>10</v>
      </c>
      <c r="GR137" s="151" t="str">
        <f>VLOOKUP(A137,'Données projet'!$A$269:$I$289,2,0)</f>
        <v>#N/A</v>
      </c>
      <c r="GS137" s="151" t="str">
        <f>VLOOKUP(A137,'Données projet'!$A$269:$I$289,9,0)</f>
        <v>#N/A</v>
      </c>
      <c r="GT137" s="151" t="str">
        <f t="array" ref="GT137">INDEX(GS:GS,MIN(IF(ISNUMBER(GS137:GS333),ROW(GS137:GS333),"")))</f>
        <v/>
      </c>
      <c r="GU137" s="151">
        <f>IF('Données projet'!$A$270&gt;35,GU136+GT137-HC136,IF(A137&lt;'Données projet'!$A$270,$GR$205^A137,IF(A137='Données projet'!$A$270,'Données projet'!$B$270,GU136+GT137-HC136)))</f>
        <v>0</v>
      </c>
      <c r="GV137" s="158" t="str">
        <f>GU137*VLOOKUP('Données projet'!$B$18,'Paramètres'!$A$1:$I$88,3,0)*VLOOKUP('Données projet'!$B$18,'Paramètres'!$A$1:$I$88,5,0)</f>
        <v>#N/A</v>
      </c>
      <c r="GW137" s="150" t="str">
        <f t="shared" si="52"/>
        <v>#N/A</v>
      </c>
      <c r="GX137" s="161" t="str">
        <f t="shared" si="29"/>
        <v>#N/A</v>
      </c>
      <c r="GY137" s="153" t="str">
        <f t="shared" si="30"/>
        <v>#N/A</v>
      </c>
      <c r="GZ137" s="153" t="str">
        <f>AVERAGE(OFFSET($GY$3,0,0,'Données projet'!$E$18+1,1))-AVERAGE(OFFSET($H$3,0,0,'Données projet'!$E$18+1,1))</f>
        <v>#N/A</v>
      </c>
      <c r="HA137" s="153" t="str">
        <f t="shared" si="53"/>
        <v>#N/A</v>
      </c>
      <c r="HB137" s="154">
        <f>IF(ISNA(VLOOKUP(A137,'Données projet'!$A$269:$I$289,3,0)),0,VLOOKUP(A137,'Données projet'!$A$269:$I$289,3,0))</f>
        <v>0</v>
      </c>
      <c r="HC137" s="154">
        <f>IF(ISNA(VLOOKUP(A137,'Données projet'!$A$269:$I$289,4,0)),0,VLOOKUP(A137,'Données projet'!$A$269:$I$289,4,0))</f>
        <v>0</v>
      </c>
      <c r="HD137" s="155">
        <f>IF(ISNA(VLOOKUP(A137,'Données projet'!$A$269:$I$289,5,0)),0%,VLOOKUP(A137,'Données projet'!$A$269:$I$289,5,0)*VLOOKUP('Données projet'!$B$18,'Paramètres'!$A$1:$I$88,7,0))</f>
        <v>0</v>
      </c>
      <c r="HE137" s="155">
        <f>IF(ISNA(VLOOKUP(A137,'Données projet'!$A$269:$I$289,6,0)),0%,VLOOKUP(A137,'Données projet'!$A$269:$I$289,6,0)*VLOOKUP('Données projet'!$B$18,'Paramètres'!$A$1:$I$88,7,0))</f>
        <v>0</v>
      </c>
      <c r="HF137" s="155">
        <f>IF(ISNA(VLOOKUP(A137,'Données projet'!$A$269:$I$289,7,0)),0%,VLOOKUP(A137,'Données projet'!$A$269:$I$289,7,0))</f>
        <v>0</v>
      </c>
      <c r="HG137" s="162" t="str">
        <f>EXP(-LN(2)/35)*HG136+(1-EXP(-LN(2)/35))/(LN(2)/35)*HC137*HD137*VLOOKUP('Données projet'!$B$18,'Paramètres'!$A$1:$I$88,3,0)*0.475*44/12</f>
        <v>#N/A</v>
      </c>
      <c r="HH137" s="162" t="str">
        <f>EXP(-LN(2)/25)*HH136+(1-EXP(-LN(2)/25))/(LN(2)/25)*Calculateur!HC137*Calculateur!HE137*VLOOKUP('Données projet'!$B$18,'Paramètres'!$A$1:$I$88,3,0)*0.475*44/12</f>
        <v>#N/A</v>
      </c>
      <c r="HI137" s="162" t="str">
        <f>EXP(-LN(2)/2)*HI136+(1-EXP(-LN(2)/2))/(LN(2)/2)*HC137*HF137*VLOOKUP('Données projet'!$B$18,'Paramètres'!$A$1:$I$88,3,0)*0.475*44/12</f>
        <v>#N/A</v>
      </c>
      <c r="HJ137" s="163" t="str">
        <f t="shared" si="31"/>
        <v>#N/A</v>
      </c>
    </row>
    <row r="138" ht="15.75" customHeight="1">
      <c r="A138" s="145">
        <f t="shared" si="32"/>
        <v>135</v>
      </c>
      <c r="B138" s="146">
        <f>'Scénario référence'!$B$16*5+'Scénario référence'!$B$17*0+'Scénario référence'!$B$18*5</f>
        <v>0</v>
      </c>
      <c r="C138" s="160">
        <f>Calculateur!C137+'Scénario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38" s="147">
        <f t="shared" si="33"/>
        <v>0</v>
      </c>
      <c r="E138" s="147">
        <f>'Scénario référence'!$B$16*45+('Scénario référence'!$B$17+'Scénario référence'!$F$8+'Scénario référence'!$F$9+'Scénario référence'!$B$10+'Scénario référence'!$B$9)*70+'Scénario référence'!$B$18*32</f>
        <v>70</v>
      </c>
      <c r="F138" s="147">
        <f>IF(OR('Scénario référence'!$F$8&gt;0,'Scénario référence'!$F$9&gt;0),('Scénario référence'!$F$8+'Scénario référence'!$F$9)*10,0)</f>
        <v>0</v>
      </c>
      <c r="G138" s="147">
        <f>'Scénario référence'!$B$8*B138*44/12+'Scénario référence'!$B$9*(C138+D138)/0.475*44/12+'Scénario référence'!$B$10*(C138+D138)/0.475*44/12+'Scénario référence'!$F$8*(C138+D138)/0.475*44/12+'Scénario référence'!$F$9*(C138+D138)/0.475*44/12</f>
        <v>0</v>
      </c>
      <c r="H138" s="148">
        <f t="shared" si="1"/>
        <v>256.6666667</v>
      </c>
      <c r="I138" s="149">
        <f>('Scénario référence'!$F$8+'Scénario référence'!$F$9+'Scénario référence'!$B$17+'Scénario référence'!$B$9+'Scénario référence'!$B$10)*70+IF((45+25*(1-EXP(-0.0175*A138)))&lt;70,'Scénario référence'!$B$16*(45+25*(1-EXP(-0.0175*A138))),70*'Scénario référence'!$B$16)+IF((32+38*(1-EXP(-0.0175*A138)))&lt;70,'Scénario référence'!$B$18*(32+38*(1-EXP(-0.0175*A138))),70*'Scénario référence'!$B$18)</f>
        <v>70</v>
      </c>
      <c r="J138" s="150">
        <f>IF(A138&gt;30,10,('Scénario référence'!$B$16+'Scénario référence'!$B$17+'Scénario référence'!$B$18+'Scénario référence'!$B$9+'Scénario référence'!$B$10)*A138*10/30+('Scénario référence'!$F$8+'Scénario référence'!$F$9)*10)</f>
        <v>10</v>
      </c>
      <c r="K138" s="151" t="str">
        <f>VLOOKUP(A138,'Données projet'!$A$35:$I$55,2,0)</f>
        <v>#N/A</v>
      </c>
      <c r="L138" s="151" t="str">
        <f>VLOOKUP(A138,'Données projet'!$A$35:$I$55,9,0)</f>
        <v>#N/A</v>
      </c>
      <c r="M138" s="151" t="str">
        <f t="array" ref="M138">INDEX(L:L,MIN(IF(ISNUMBER(L138:L334),ROW(L138:L334),"")))</f>
        <v/>
      </c>
      <c r="N138" s="150">
        <f>IF('Données projet'!$A$36&gt;35,N137+M138-V137,IF(A138&lt;'Données projet'!$A$36,$K$205^A138,IF(A138='Données projet'!$A$36,'Données projet'!$B$36,N137+M138-V137)))</f>
        <v>307</v>
      </c>
      <c r="O138" s="150">
        <f>N138*VLOOKUP('Données projet'!$B$9,'Paramètres'!$A$1:$I$88,3,0)*VLOOKUP('Données projet'!$B$9,'Paramètres'!$A$1:$I$88,5,0)</f>
        <v>277.7736</v>
      </c>
      <c r="P138" s="150">
        <f t="shared" si="34"/>
        <v>66.49628818</v>
      </c>
      <c r="Q138" s="161">
        <f t="shared" si="2"/>
        <v>599.6033886</v>
      </c>
      <c r="R138" s="153">
        <f t="shared" si="3"/>
        <v>892.9367219</v>
      </c>
      <c r="S138" s="153">
        <f>AVERAGE(OFFSET($R$3,0,0,'Données projet'!$E$9+1,1))-AVERAGE(OFFSET($H$3,0,0,'Données projet'!$E$9+1,1))</f>
        <v>439.1985427</v>
      </c>
      <c r="T138" s="153">
        <f t="shared" si="35"/>
        <v>278.2174123</v>
      </c>
      <c r="U138" s="154">
        <f>IF(ISNA(VLOOKUP(A138,'Données projet'!$A$35:$I$55,3,0)),0,VLOOKUP(A138,'Données projet'!$A$35:$I$55,3,0))</f>
        <v>0</v>
      </c>
      <c r="V138" s="154">
        <f>IF(ISNA(VLOOKUP(A138,'Données projet'!$A$35:$I$55,4,0)),0,VLOOKUP(A138,'Données projet'!$A$35:$I$55,4,0))</f>
        <v>0</v>
      </c>
      <c r="W138" s="155">
        <f>IF(ISNA(VLOOKUP(A138,'Données projet'!$A$35:$I$55,5,0)),0%,VLOOKUP(A138,'Données projet'!$A$35:$I$55,5,0)*VLOOKUP('Données projet'!$B$9,'Paramètres'!$A$1:$I$88,7,0))</f>
        <v>0</v>
      </c>
      <c r="X138" s="155">
        <f>IF(ISNA(VLOOKUP(A138,'Données projet'!$A$35:$I$55,6,0)),0%,VLOOKUP(A138,'Données projet'!$A$35:$I$55,6,0)*VLOOKUP('Données projet'!$B$9,'Paramètres'!$A$1:$I$88,7,0))</f>
        <v>0</v>
      </c>
      <c r="Y138" s="155">
        <f>IF(ISNA(VLOOKUP(A138,'Données projet'!$A$35:$I$55,7,0)),0%,VLOOKUP(A138,'Données projet'!$A$35:$I$55,7,0))</f>
        <v>0</v>
      </c>
      <c r="Z138" s="162">
        <f>EXP(-LN(2)/35)*Z137+(1-EXP(-LN(2)/35))/(LN(2)/35)*V138*W138*VLOOKUP('Données projet'!$B$9,'Paramètres'!$A$1:$I$88,3,0)*0.475*44/12</f>
        <v>0</v>
      </c>
      <c r="AA138" s="162">
        <f>EXP(-LN(2)/25)*AA137+(1-EXP(-LN(2)/25))/(LN(2)/25)*Calculateur!V138*Calculateur!X138*VLOOKUP('Données projet'!$B$9,'Paramètres'!$A$1:$I$88,3,0)*0.475*44/12</f>
        <v>0.2441666233</v>
      </c>
      <c r="AB138" s="162">
        <f>EXP(-LN(2)/2)*AB137+(1-EXP(-LN(2)/2))/(LN(2)/2)*V138*Y138*VLOOKUP('Données projet'!$B$9,'Paramètres'!$A$1:$I$88,3,0)*0.475*44/12</f>
        <v>0</v>
      </c>
      <c r="AC138" s="163">
        <f t="shared" si="4"/>
        <v>0.2441666233</v>
      </c>
      <c r="AD138" s="150">
        <f>('Scénario référence'!$F$8+'Scénario référence'!$F$9+'Scénario référence'!$B$17+'Scénario référence'!$B$9+'Scénario référence'!$B$10)*70+IF((45+25*(1-EXP(-0.0175*A138)))&lt;70,'Scénario référence'!$B$16*(45+25*(1-EXP(-0.0175*A138))),70*'Scénario référence'!$B$16)+IF((32+38*(1-EXP(-0.0175*A138)))&lt;70,'Scénario référence'!$B$18*(32+38*(1-EXP(-0.0175*A138))),70*'Scénario référence'!$B$18)</f>
        <v>70</v>
      </c>
      <c r="AE138" s="150">
        <f>IF(A138&gt;30,10,('Scénario référence'!$B$16+'Scénario référence'!$B$17+'Scénario référence'!$B$18+'Scénario référence'!$B$9+'Scénario référence'!$B$10)*A138*10/30+('Scénario référence'!$F$8+'Scénario référence'!$F$9)*10)</f>
        <v>10</v>
      </c>
      <c r="AF138" s="151" t="str">
        <f>VLOOKUP(A138,'Données projet'!$A$61:$I$81,2,0)</f>
        <v>#N/A</v>
      </c>
      <c r="AG138" s="151" t="str">
        <f>VLOOKUP(A138,'Données projet'!$A$61:$I$81,9,0)</f>
        <v>#N/A</v>
      </c>
      <c r="AH138" s="151" t="str">
        <f t="array" ref="AH138">INDEX(AG:AG,MIN(IF(ISNUMBER(AG138:AG334),ROW(AG138:AG334),"")))</f>
        <v/>
      </c>
      <c r="AI138" s="150">
        <f>IF('Données projet'!$A$62&gt;35,AI137+AH138-AQ137,IF(A138&lt;'Données projet'!$A$62,$AF$205^A138,IF(A138='Données projet'!$A$62,'Données projet'!$B$62,AI137+AH138-AQ137)))</f>
        <v>369</v>
      </c>
      <c r="AJ138" s="150">
        <f>AI138*VLOOKUP('Données projet'!$B$10,'Paramètres'!$A$1:$I$88,3,0)*VLOOKUP('Données projet'!$B$10,'Paramètres'!$A$1:$I$88,5,0)</f>
        <v>293.5764</v>
      </c>
      <c r="AK138" s="150">
        <f t="shared" si="36"/>
        <v>69.82813851</v>
      </c>
      <c r="AL138" s="161">
        <f t="shared" si="5"/>
        <v>632.9295712</v>
      </c>
      <c r="AM138" s="153">
        <f t="shared" si="6"/>
        <v>926.2629046</v>
      </c>
      <c r="AN138" s="153">
        <f>AVERAGE(OFFSET($AM$3,0,0,'Données projet'!$E$10+1,1))-AVERAGE(OFFSET($H$3,0,0,'Données projet'!$E$10+1,1))</f>
        <v>405.6113614</v>
      </c>
      <c r="AO138" s="153">
        <f t="shared" si="37"/>
        <v>393.0787141</v>
      </c>
      <c r="AP138" s="154">
        <f>IF(ISNA(VLOOKUP(A138,'Données projet'!$A$61:$I$81,3,0)),0,VLOOKUP(A138,'Données projet'!$A$61:$I$81,3,0))</f>
        <v>0</v>
      </c>
      <c r="AQ138" s="154">
        <f>IF(ISNA(VLOOKUP(A138,'Données projet'!$A$61:$I$81,4,0)),0,VLOOKUP(A138,'Données projet'!$A$61:$I$81,4,0))</f>
        <v>0</v>
      </c>
      <c r="AR138" s="155">
        <f>IF(ISNA(VLOOKUP(A138,'Données projet'!$A$61:$I$81,5,0)),0%,VLOOKUP(A138,'Données projet'!$A$61:$I$81,5,0)*VLOOKUP('Données projet'!$B$10,'Paramètres'!$A$1:$I$88,7,0))</f>
        <v>0</v>
      </c>
      <c r="AS138" s="155">
        <f>IF(ISNA(VLOOKUP(A138,'Données projet'!$A$61:$I$81,6,0)),0%,VLOOKUP(A138,'Données projet'!$A$61:$I$81,6,0)*VLOOKUP('Données projet'!$B$10,'Paramètres'!$A$1:$I$88,7,0))</f>
        <v>0</v>
      </c>
      <c r="AT138" s="155">
        <f>IF(ISNA(VLOOKUP(A138,'Données projet'!$A$61:$I$81,7,0)),0%,VLOOKUP(A138,'Données projet'!$A$61:$I$81,7,0))</f>
        <v>0</v>
      </c>
      <c r="AU138" s="162">
        <f>EXP(-LN(2)/35)*AU137+(1-EXP(-LN(2)/35))/(LN(2)/35)*AQ138*AR138*VLOOKUP('Données projet'!$B$10,'Paramètres'!$A$1:$I$88,3,0)*0.475*44/12</f>
        <v>0</v>
      </c>
      <c r="AV138" s="162">
        <f>EXP(-LN(2)/25)*AV137+(1-EXP(-LN(2)/25))/(LN(2)/25)*Calculateur!AQ138*Calculateur!AS138*VLOOKUP('Données projet'!$B$10,'Paramètres'!$A$1:$I$88,3,0)*0.475*44/12</f>
        <v>0.9923552267</v>
      </c>
      <c r="AW138" s="162">
        <f>EXP(-LN(2)/2)*AW137+(1-EXP(-LN(2)/2))/(LN(2)/2)*AQ138*AT138*VLOOKUP('Données projet'!$B$10,'Paramètres'!$A$1:$I$88,3,0)*0.475*44/12</f>
        <v>0</v>
      </c>
      <c r="AX138" s="162">
        <f t="shared" si="7"/>
        <v>0.9923552267</v>
      </c>
      <c r="AY138" s="157">
        <f>('Scénario référence'!$F$8+'Scénario référence'!$F$9+'Scénario référence'!$B$17+'Scénario référence'!$B$9+'Scénario référence'!$B$10)*70+IF((45+25*(1-EXP(-0.0175*A138)))&lt;70,'Scénario référence'!$B$16*(45+25*(1-EXP(-0.0175*A138))),70*'Scénario référence'!$B$16)+IF((32+38*(1-EXP(-0.0175*A138)))&lt;70,'Scénario référence'!$B$18*(32+38*(1-EXP(-0.0175*A138))),70*'Scénario référence'!$B$18)</f>
        <v>70</v>
      </c>
      <c r="AZ138" s="151">
        <f>IF(A138&gt;30,10,('Scénario référence'!$B$16+'Scénario référence'!$B$17+'Scénario référence'!$B$18+'Scénario référence'!$B$9+'Scénario référence'!$B$10)*A138*10/30+('Scénario référence'!$F$8+'Scénario référence'!$F$9)*10)</f>
        <v>10</v>
      </c>
      <c r="BA138" s="151" t="str">
        <f>VLOOKUP(A138,'Données projet'!$A$87:$I$107,2,0)</f>
        <v>#N/A</v>
      </c>
      <c r="BB138" s="151" t="str">
        <f>VLOOKUP(A138,'Données projet'!$A$87:$I$107,9,0)</f>
        <v>#N/A</v>
      </c>
      <c r="BC138" s="151" t="str">
        <f t="array" ref="BC138">INDEX(BB:BB,MIN(IF(ISNUMBER(BB138:BB334),ROW(BB138:BB334),"")))</f>
        <v/>
      </c>
      <c r="BD138" s="150">
        <f>IF('Données projet'!$A$88&gt;35,BD137+BC138-BL137,IF(A138&lt;'Données projet'!$A$88,$BA$205^A138,IF(A138='Données projet'!$A$88,'Données projet'!$B$88,BD137+BC138-BL137)))</f>
        <v>0</v>
      </c>
      <c r="BE138" s="150">
        <f>BD138*VLOOKUP('Données projet'!$B$11,'Paramètres'!$A$1:$I$88,3,0)*VLOOKUP('Données projet'!$B$11,'Paramètres'!$A$1:$I$88,5,0)</f>
        <v>0</v>
      </c>
      <c r="BF138" s="150" t="str">
        <f t="shared" si="38"/>
        <v>#NUM!</v>
      </c>
      <c r="BG138" s="161" t="str">
        <f t="shared" si="8"/>
        <v>#NUM!</v>
      </c>
      <c r="BH138" s="153" t="str">
        <f t="shared" si="9"/>
        <v>#NUM!</v>
      </c>
      <c r="BI138" s="153">
        <f>AVERAGE(OFFSET($BH$3,0,0,'Données projet'!$E$11+1,1))-AVERAGE(OFFSET($H$3,0,0,'Données projet'!$E$11+1,1))</f>
        <v>0</v>
      </c>
      <c r="BJ138" s="153">
        <f t="shared" si="39"/>
        <v>0</v>
      </c>
      <c r="BK138" s="154">
        <f>IF(ISNA(VLOOKUP(A138,'Données projet'!$A$87:$I$107,3,0)),0,VLOOKUP(A138,'Données projet'!$A$87:$I$107,3,0))</f>
        <v>0</v>
      </c>
      <c r="BL138" s="154">
        <f>IF(ISNA(VLOOKUP(A138,'Données projet'!$A$87:$I$107,4,0)),0,VLOOKUP(A138,'Données projet'!$A$87:$I$107,4,0))</f>
        <v>0</v>
      </c>
      <c r="BM138" s="155">
        <f>IF(ISNA(VLOOKUP(A138,'Données projet'!$A$87:$I$107,5,0)),0%,VLOOKUP(A138,'Données projet'!$A$87:$I$107,5,0)*VLOOKUP('Données projet'!$B$11,'Paramètres'!$A$1:$I$88,7,0))</f>
        <v>0</v>
      </c>
      <c r="BN138" s="155">
        <f>IF(ISNA(VLOOKUP(A138,'Données projet'!$A$87:$I$107,6,0)),0%,VLOOKUP(A138,'Données projet'!$A$87:$I$107,6,0)*VLOOKUP('Données projet'!$B$11,'Paramètres'!$A$1:$I$88,7,0))</f>
        <v>0</v>
      </c>
      <c r="BO138" s="155">
        <f>IF(ISNA(VLOOKUP(A138,'Données projet'!$A$87:$I$107,7,0)),0%,VLOOKUP(A138,'Données projet'!$A$87:$I$107,7,0))</f>
        <v>0</v>
      </c>
      <c r="BP138" s="162">
        <f>EXP(-LN(2)/35)*BP137+(1-EXP(-LN(2)/35))/(LN(2)/35)*BL138*BM138*VLOOKUP('Données projet'!$B$11,'Paramètres'!$A$1:$I$88,3,0)*0.475*44/12</f>
        <v>0</v>
      </c>
      <c r="BQ138" s="162">
        <f>EXP(-LN(2)/25)*BQ137+(1-EXP(-LN(2)/25))/(LN(2)/25)*Calculateur!BL138*Calculateur!BN138*VLOOKUP('Données projet'!$B$11,'Paramètres'!$A$1:$I$88,3,0)*0.475*44/12</f>
        <v>0</v>
      </c>
      <c r="BR138" s="162">
        <f>EXP(-LN(2)/2)*BR137+(1-EXP(-LN(2)/2))/(LN(2)/2)*BL138*BO138*VLOOKUP('Données projet'!$B$11,'Paramètres'!$A$1:$I$88,3,0)*0.475*44/12</f>
        <v>0</v>
      </c>
      <c r="BS138" s="163">
        <f t="shared" si="10"/>
        <v>0</v>
      </c>
      <c r="BT138" s="159">
        <f>('Scénario référence'!$F$8+'Scénario référence'!$F$9+'Scénario référence'!$B$17+'Scénario référence'!$B$9+'Scénario référence'!$B$10)*70+IF((45+25*(1-EXP(-0.0175*A138)))&lt;70,'Scénario référence'!$B$16*(45+25*(1-EXP(-0.0175*A138))),70*'Scénario référence'!$B$16)+IF((32+38*(1-EXP(-0.0175*A138)))&lt;70,'Scénario référence'!$B$18*(32+38*(1-EXP(-0.0175*A138))),70*'Scénario référence'!$B$18)</f>
        <v>70</v>
      </c>
      <c r="BU138" s="151">
        <f>IF(A138&gt;30,10,('Scénario référence'!$B$16+'Scénario référence'!$B$17+'Scénario référence'!$B$18+'Scénario référence'!$B$9+'Scénario référence'!$B$10)*A138*10/30+('Scénario référence'!$F$8+'Scénario référence'!$F$9)*10)</f>
        <v>10</v>
      </c>
      <c r="BV138" s="151" t="str">
        <f>VLOOKUP(A138,'Données projet'!$A$113:$I$133,2,0)</f>
        <v>#N/A</v>
      </c>
      <c r="BW138" s="151" t="str">
        <f>VLOOKUP(A138,'Données projet'!$A$113:$I$133,9,0)</f>
        <v>#N/A</v>
      </c>
      <c r="BX138" s="151" t="str">
        <f t="array" ref="BX138">INDEX(BW:BW,MIN(IF(ISNUMBER(BW138:BW334),ROW(BW138:BW334),"")))</f>
        <v/>
      </c>
      <c r="BY138" s="150">
        <f>IF('Données projet'!$A$114&gt;35,BY137+BX138-CG137,IF(A138&lt;'Données projet'!$A$114,$BV$205^A138,IF(A138='Données projet'!$A$114,'Données projet'!$B$114,BY137+BX138-CG137)))</f>
        <v>0</v>
      </c>
      <c r="BZ138" s="150" t="str">
        <f>BY138*VLOOKUP('Données projet'!$B$12,'Paramètres'!$A$1:$I$88,3,0)*VLOOKUP('Données projet'!$B$12,'Paramètres'!$A$1:$I$88,5,0)</f>
        <v>#N/A</v>
      </c>
      <c r="CA138" s="150" t="str">
        <f t="shared" si="40"/>
        <v>#N/A</v>
      </c>
      <c r="CB138" s="161" t="str">
        <f t="shared" si="11"/>
        <v>#N/A</v>
      </c>
      <c r="CC138" s="153" t="str">
        <f t="shared" si="12"/>
        <v>#N/A</v>
      </c>
      <c r="CD138" s="153" t="str">
        <f>AVERAGE(OFFSET($CC$3,0,0,'Données projet'!$E$12+1,1))-AVERAGE(OFFSET($H$3,0,0,'Données projet'!$E$12+1,1))</f>
        <v>#N/A</v>
      </c>
      <c r="CE138" s="153" t="str">
        <f t="shared" si="41"/>
        <v>#N/A</v>
      </c>
      <c r="CF138" s="154">
        <f>IF(ISNA(VLOOKUP(A138,'Données projet'!$A$113:$I$133,3,0)),0,VLOOKUP(A138,'Données projet'!$A$113:$I$133,3,0))</f>
        <v>0</v>
      </c>
      <c r="CG138" s="154">
        <f>IF(ISNA(VLOOKUP(A138,'Données projet'!$A$113:$I$133,4,0)),0,VLOOKUP(A138,'Données projet'!$A$113:$I$133,4,0))</f>
        <v>0</v>
      </c>
      <c r="CH138" s="155">
        <f>IF(ISNA(VLOOKUP(A138,'Données projet'!$A$113:$I$133,5,0)),0%,VLOOKUP(A138,'Données projet'!$A$113:$I$133,5,0)*VLOOKUP('Données projet'!$B$12,'Paramètres'!$A$1:$I$88,7,0))</f>
        <v>0</v>
      </c>
      <c r="CI138" s="155">
        <f>IF(ISNA(VLOOKUP(A138,'Données projet'!$A$113:$I$133,6,0)),0%,VLOOKUP(A138,'Données projet'!$A$113:$I$133,6,0)*VLOOKUP('Données projet'!$B$12,'Paramètres'!$A$1:$I$88,7,0))</f>
        <v>0</v>
      </c>
      <c r="CJ138" s="155">
        <f>IF(ISNA(VLOOKUP(A138,'Données projet'!$A$113:$I$133,7,0)),0%,VLOOKUP(A138,'Données projet'!$A$113:$I$133,7,0))</f>
        <v>0</v>
      </c>
      <c r="CK138" s="162" t="str">
        <f>EXP(-LN(2)/35)*CK137+(1-EXP(-LN(2)/35))/(LN(2)/35)*CG138*CH138*VLOOKUP('Données projet'!$B$12,'Paramètres'!$A$1:$I$88,3,0)*0.475*44/12</f>
        <v>#N/A</v>
      </c>
      <c r="CL138" s="162" t="str">
        <f>EXP(-LN(2)/25)*CL137+(1-EXP(-LN(2)/25))/(LN(2)/25)*Calculateur!CG138*Calculateur!CI138*VLOOKUP('Données projet'!$B$12,'Paramètres'!$A$1:$I$88,3,0)*0.475*44/12</f>
        <v>#N/A</v>
      </c>
      <c r="CM138" s="162" t="str">
        <f>EXP(-LN(2)/2)*CM137+(1-EXP(-LN(2)/2))/(LN(2)/2)*CG138*CJ138*VLOOKUP('Données projet'!$B$12,'Paramètres'!$A$1:$I$88,3,0)*0.475*44/12</f>
        <v>#N/A</v>
      </c>
      <c r="CN138" s="163" t="str">
        <f t="shared" si="13"/>
        <v>#N/A</v>
      </c>
      <c r="CO138" s="159">
        <f>('Scénario référence'!$F$8+'Scénario référence'!$F$9+'Scénario référence'!$B$17+'Scénario référence'!$B$9+'Scénario référence'!$B$10)*70+IF((45+25*(1-EXP(-0.0175*A138)))&lt;70,'Scénario référence'!$B$16*(45+25*(1-EXP(-0.0175*A138))),70*'Scénario référence'!$B$16)+IF((32+38*(1-EXP(-0.0175*A138)))&lt;70,'Scénario référence'!$B$18*(32+38*(1-EXP(-0.0175*A138))),70*'Scénario référence'!$B$18)</f>
        <v>70</v>
      </c>
      <c r="CP138" s="151">
        <f>IF(A138&gt;30,10,('Scénario référence'!$B$16+'Scénario référence'!$B$17+'Scénario référence'!$B$18+'Scénario référence'!$B$9+'Scénario référence'!$B$10)*A138*10/30+('Scénario référence'!$F$8+'Scénario référence'!$F$9)*10)</f>
        <v>10</v>
      </c>
      <c r="CQ138" s="151" t="str">
        <f>VLOOKUP(A138,'Données projet'!$A$139:$I$159,2,0)</f>
        <v>#N/A</v>
      </c>
      <c r="CR138" s="151" t="str">
        <f>VLOOKUP(A138,'Données projet'!$A$139:$I$159,9,0)</f>
        <v>#N/A</v>
      </c>
      <c r="CS138" s="151" t="str">
        <f t="array" ref="CS138">INDEX(CR:CR,MIN(IF(ISNUMBER(CR138:CR334),ROW(CR138:CR334),"")))</f>
        <v/>
      </c>
      <c r="CT138" s="151">
        <f>IF('Données projet'!$A$140&gt;35,CT137+CS138-DB137,IF(A138&lt;'Données projet'!$A$140,$CQ$205^A138,IF(A138='Données projet'!$A$140,'Données projet'!$B$140,CT137+CS138-DB137)))</f>
        <v>0</v>
      </c>
      <c r="CU138" s="158" t="str">
        <f>CT138*VLOOKUP('Données projet'!$B$13,'Paramètres'!$A$1:$I$88,3,0)*VLOOKUP('Données projet'!$B$13,'Paramètres'!$A$1:$I$88,5,0)</f>
        <v>#N/A</v>
      </c>
      <c r="CV138" s="150" t="str">
        <f t="shared" si="42"/>
        <v>#N/A</v>
      </c>
      <c r="CW138" s="161" t="str">
        <f t="shared" si="14"/>
        <v>#N/A</v>
      </c>
      <c r="CX138" s="153" t="str">
        <f t="shared" si="15"/>
        <v>#N/A</v>
      </c>
      <c r="CY138" s="153" t="str">
        <f>AVERAGE(OFFSET($CX$3,0,0,'Données projet'!$E$13+1,1))-AVERAGE(OFFSET($H$3,0,0,'Données projet'!$E$13+1,1))</f>
        <v>#N/A</v>
      </c>
      <c r="CZ138" s="153" t="str">
        <f t="shared" si="43"/>
        <v>#N/A</v>
      </c>
      <c r="DA138" s="154">
        <f>IF(ISNA(VLOOKUP(A138,'Données projet'!$A$139:$I$159,3,0)),0,VLOOKUP(A138,'Données projet'!$A$139:$I$159,3,0))</f>
        <v>0</v>
      </c>
      <c r="DB138" s="154">
        <f>IF(ISNA(VLOOKUP(A138,'Données projet'!$A$139:$I$159,4,0)),0,VLOOKUP(A138,'Données projet'!$A$139:$I$159,4,0))</f>
        <v>0</v>
      </c>
      <c r="DC138" s="155">
        <f>IF(ISNA(VLOOKUP(A138,'Données projet'!$A$139:$I$159,5,0)),0%,VLOOKUP(A138,'Données projet'!$A$139:$I$159,5,0)*VLOOKUP('Données projet'!$B$13,'Paramètres'!$A$1:$I$88,7,0))</f>
        <v>0</v>
      </c>
      <c r="DD138" s="155">
        <f>IF(ISNA(VLOOKUP(A138,'Données projet'!$A$139:$I$159,6,0)),0%,VLOOKUP(A138,'Données projet'!$A$139:$I$159,6,0)*VLOOKUP('Données projet'!$B$13,'Paramètres'!$A$1:$I$88,7,0))</f>
        <v>0</v>
      </c>
      <c r="DE138" s="155">
        <f>IF(ISNA(VLOOKUP(A138,'Données projet'!$A$139:$I$159,7,0)),0%,VLOOKUP(A138,'Données projet'!$A$139:$I$159,7,0))</f>
        <v>0</v>
      </c>
      <c r="DF138" s="162" t="str">
        <f>EXP(-LN(2)/35)*DF137+(1-EXP(-LN(2)/35))/(LN(2)/35)*DB138*DC138*VLOOKUP('Données projet'!$B$13,'Paramètres'!$A$1:$I$88,3,0)*0.475*44/12</f>
        <v>#N/A</v>
      </c>
      <c r="DG138" s="162" t="str">
        <f>EXP(-LN(2)/25)*DG137+(1-EXP(-LN(2)/25))/(LN(2)/25)*Calculateur!DB138*Calculateur!DD138*VLOOKUP('Données projet'!$B$13,'Paramètres'!$A$1:$I$88,3,0)*0.475*44/12</f>
        <v>#N/A</v>
      </c>
      <c r="DH138" s="162" t="str">
        <f>EXP(-LN(2)/2)*DH137+(1-EXP(-LN(2)/2))/(LN(2)/2)*DB138*DE138*VLOOKUP('Données projet'!$B$13,'Paramètres'!$A$1:$I$88,3,0)*0.475*44/12</f>
        <v>#N/A</v>
      </c>
      <c r="DI138" s="163" t="str">
        <f t="shared" si="16"/>
        <v>#N/A</v>
      </c>
      <c r="DJ138" s="159">
        <f>('Scénario référence'!$F$8+'Scénario référence'!$F$9+'Scénario référence'!$B$17+'Scénario référence'!$B$9+'Scénario référence'!$B$10)*70+IF((45+25*(1-EXP(-0.0175*A138)))&lt;70,'Scénario référence'!$B$16*(45+25*(1-EXP(-0.0175*A138))),70*'Scénario référence'!$B$16)+IF((32+38*(1-EXP(-0.0175*A138)))&lt;70,'Scénario référence'!$B$18*(32+38*(1-EXP(-0.0175*A138))),70*'Scénario référence'!$B$18)</f>
        <v>70</v>
      </c>
      <c r="DK138" s="151">
        <f>IF(A138&gt;30,10,('Scénario référence'!$B$16+'Scénario référence'!$B$17+'Scénario référence'!$B$18+'Scénario référence'!$B$9+'Scénario référence'!$B$10)*A138*10/30+('Scénario référence'!$F$8+'Scénario référence'!$F$9)*10)</f>
        <v>10</v>
      </c>
      <c r="DL138" s="151" t="str">
        <f>VLOOKUP(A138,'Données projet'!$A$165:$I$185,2,0)</f>
        <v>#N/A</v>
      </c>
      <c r="DM138" s="151" t="str">
        <f>VLOOKUP(A138,'Données projet'!$A$165:$I$185,9,0)</f>
        <v>#N/A</v>
      </c>
      <c r="DN138" s="151" t="str">
        <f t="array" ref="DN138">INDEX(DM:DM,MIN(IF(ISNUMBER(DM138:DM334),ROW(DM138:DM334),"")))</f>
        <v/>
      </c>
      <c r="DO138" s="151">
        <f>IF('Données projet'!$A$166&gt;35,DO137+DN138-DW137,IF(A138&lt;'Données projet'!$A$166,$DL$205^A138,IF(A138='Données projet'!$A$166,'Données projet'!$B$166,DO137+DN138-DW137)))</f>
        <v>0</v>
      </c>
      <c r="DP138" s="158" t="str">
        <f>DO138*VLOOKUP('Données projet'!$B$14,'Paramètres'!$A$1:$I$88,3,0)*VLOOKUP('Données projet'!$B$14,'Paramètres'!$A$1:$I$88,5,0)</f>
        <v>#N/A</v>
      </c>
      <c r="DQ138" s="150" t="str">
        <f t="shared" si="44"/>
        <v>#N/A</v>
      </c>
      <c r="DR138" s="161" t="str">
        <f t="shared" si="17"/>
        <v>#N/A</v>
      </c>
      <c r="DS138" s="153" t="str">
        <f t="shared" si="18"/>
        <v>#N/A</v>
      </c>
      <c r="DT138" s="153" t="str">
        <f>AVERAGE(OFFSET($DS$3,0,0,'Données projet'!$E$14+1,1))-AVERAGE(OFFSET($H$3,0,0,'Données projet'!$E$14+1,1))</f>
        <v>#N/A</v>
      </c>
      <c r="DU138" s="153" t="str">
        <f t="shared" si="45"/>
        <v>#N/A</v>
      </c>
      <c r="DV138" s="154">
        <f>IF(ISNA(VLOOKUP(A138,'Données projet'!$A$165:$I$185,3,0)),0,VLOOKUP(A138,'Données projet'!$A$165:$I$185,3,0))</f>
        <v>0</v>
      </c>
      <c r="DW138" s="154">
        <f>IF(ISNA(VLOOKUP(A138,'Données projet'!$A$165:$I$185,4,0)),0,VLOOKUP(A138,'Données projet'!$A$165:$I$185,4,0))</f>
        <v>0</v>
      </c>
      <c r="DX138" s="155">
        <f>IF(ISNA(VLOOKUP(A138,'Données projet'!$A$165:$I$185,5,0)),0%,VLOOKUP(A138,'Données projet'!$A$165:$I$185,5,0)*VLOOKUP('Données projet'!$B$14,'Paramètres'!$A$1:$I$88,7,0))</f>
        <v>0</v>
      </c>
      <c r="DY138" s="155">
        <f>IF(ISNA(VLOOKUP(A138,'Données projet'!$A$165:$I$185,6,0)),0%,VLOOKUP(A138,'Données projet'!$A$165:$I$185,6,0)*VLOOKUP('Données projet'!$B$14,'Paramètres'!$A$1:$I$88,7,0))</f>
        <v>0</v>
      </c>
      <c r="DZ138" s="155">
        <f>IF(ISNA(VLOOKUP(A138,'Données projet'!$A$165:$I$185,7,0)),0%,VLOOKUP(A138,'Données projet'!$A$165:$I$185,7,0))</f>
        <v>0</v>
      </c>
      <c r="EA138" s="162" t="str">
        <f>EXP(-LN(2)/35)*EA137+(1-EXP(-LN(2)/35))/(LN(2)/35)*DW138*DX138*VLOOKUP('Données projet'!$B$14,'Paramètres'!$A$1:$I$88,3,0)*0.475*44/12</f>
        <v>#N/A</v>
      </c>
      <c r="EB138" s="162" t="str">
        <f>EXP(-LN(2)/25)*EB137+(1-EXP(-LN(2)/25))/(LN(2)/25)*Calculateur!DW138*Calculateur!DY138*VLOOKUP('Données projet'!$B$14,'Paramètres'!$A$1:$I$88,3,0)*0.475*44/12</f>
        <v>#N/A</v>
      </c>
      <c r="EC138" s="162" t="str">
        <f>EXP(-LN(2)/2)*EC137+(1-EXP(-LN(2)/2))/(LN(2)/2)*DW138*DZ138*VLOOKUP('Données projet'!$B$14,'Paramètres'!$A$1:$I$88,3,0)*0.475*44/12</f>
        <v>#N/A</v>
      </c>
      <c r="ED138" s="163" t="str">
        <f t="shared" si="19"/>
        <v>#N/A</v>
      </c>
      <c r="EE138" s="159">
        <f>('Scénario référence'!$F$8+'Scénario référence'!$F$9+'Scénario référence'!$B$17+'Scénario référence'!$B$9+'Scénario référence'!$B$10)*70+IF((45+25*(1-EXP(-0.0175*A138)))&lt;70,'Scénario référence'!$B$16*(45+25*(1-EXP(-0.0175*A138))),70*'Scénario référence'!$B$16)+IF((32+38*(1-EXP(-0.0175*A138)))&lt;70,'Scénario référence'!$B$18*(32+38*(1-EXP(-0.0175*A138))),70*'Scénario référence'!$B$18)</f>
        <v>70</v>
      </c>
      <c r="EF138" s="151">
        <f>IF(A138&gt;30,10,('Scénario référence'!$B$16+'Scénario référence'!$B$17+'Scénario référence'!$B$18+'Scénario référence'!$B$9+'Scénario référence'!$B$10)*A138*10/30+('Scénario référence'!$F$8+'Scénario référence'!$F$9)*10)</f>
        <v>10</v>
      </c>
      <c r="EG138" s="151" t="str">
        <f>VLOOKUP(A138,'Données projet'!$A$191:$I$211,2,0)</f>
        <v>#N/A</v>
      </c>
      <c r="EH138" s="151" t="str">
        <f>VLOOKUP(A138,'Données projet'!$A$191:$I$211,9,0)</f>
        <v>#N/A</v>
      </c>
      <c r="EI138" s="151" t="str">
        <f t="array" ref="EI138">INDEX(EH:EH,MIN(IF(ISNUMBER(EH138:EH334),ROW(EH138:EH334),"")))</f>
        <v/>
      </c>
      <c r="EJ138" s="151">
        <f>IF('Données projet'!$A$192&gt;35,EJ137+EI138-ER137,IF(A138&lt;'Données projet'!$A$192,$EG$205^A138,IF(A138='Données projet'!$A$192,'Données projet'!$B$192,EJ137+EI138-ER137)))</f>
        <v>0</v>
      </c>
      <c r="EK138" s="158" t="str">
        <f>EJ138*VLOOKUP('Données projet'!$B$15,'Paramètres'!$A$1:$I$88,3,0)*VLOOKUP('Données projet'!$B$15,'Paramètres'!$A$1:$I$88,5,0)</f>
        <v>#N/A</v>
      </c>
      <c r="EL138" s="150" t="str">
        <f t="shared" si="46"/>
        <v>#N/A</v>
      </c>
      <c r="EM138" s="161" t="str">
        <f t="shared" si="20"/>
        <v>#N/A</v>
      </c>
      <c r="EN138" s="153" t="str">
        <f t="shared" si="21"/>
        <v>#N/A</v>
      </c>
      <c r="EO138" s="153" t="str">
        <f>AVERAGE(OFFSET($EN$3,0,0,'Données projet'!$E$15+1,1))-AVERAGE(OFFSET($H$3,0,0,'Données projet'!$E$15+1,1))</f>
        <v>#N/A</v>
      </c>
      <c r="EP138" s="153" t="str">
        <f t="shared" si="47"/>
        <v>#N/A</v>
      </c>
      <c r="EQ138" s="154">
        <f>IF(ISNA(VLOOKUP(A138,'Données projet'!$A$191:$I$211,3,0)),0,VLOOKUP(A138,'Données projet'!$A$191:$I$211,3,0))</f>
        <v>0</v>
      </c>
      <c r="ER138" s="154">
        <f>IF(ISNA(VLOOKUP(A138,'Données projet'!$A$191:$I$211,4,0)),0,VLOOKUP(A138,'Données projet'!$A$191:$I$211,4,0))</f>
        <v>0</v>
      </c>
      <c r="ES138" s="155">
        <f>IF(ISNA(VLOOKUP(A138,'Données projet'!$A$191:$I$211,5,0)),0%,VLOOKUP(A138,'Données projet'!$A$191:$I$211,5,0)*VLOOKUP('Données projet'!$B$15,'Paramètres'!$A$1:$I$88,7,0))</f>
        <v>0</v>
      </c>
      <c r="ET138" s="155">
        <f>IF(ISNA(VLOOKUP(A138,'Données projet'!$A$191:$I$211,6,0)),0%,VLOOKUP(A138,'Données projet'!$A$191:$I$211,6,0)*VLOOKUP('Données projet'!$B$15,'Paramètres'!$A$1:$I$88,7,0))</f>
        <v>0</v>
      </c>
      <c r="EU138" s="155">
        <f>IF(ISNA(VLOOKUP(A138,'Données projet'!$A$191:$I$211,7,0)),0%,VLOOKUP(A138,'Données projet'!$A$191:$I$211,7,0))</f>
        <v>0</v>
      </c>
      <c r="EV138" s="162" t="str">
        <f>EXP(-LN(2)/35)*EV137+(1-EXP(-LN(2)/35))/(LN(2)/35)*ER138*ES138*VLOOKUP('Données projet'!$B$15,'Paramètres'!$A$1:$I$88,3,0)*0.475*44/12</f>
        <v>#N/A</v>
      </c>
      <c r="EW138" s="162" t="str">
        <f>EXP(-LN(2)/25)*EW137+(1-EXP(-LN(2)/25))/(LN(2)/25)*Calculateur!ER138*Calculateur!ET138*VLOOKUP('Données projet'!$B$15,'Paramètres'!$A$1:$I$88,3,0)*0.475*44/12</f>
        <v>#N/A</v>
      </c>
      <c r="EX138" s="162" t="str">
        <f>EXP(-LN(2)/2)*EX137+(1-EXP(-LN(2)/2))/(LN(2)/2)*ER138*EU138*VLOOKUP('Données projet'!$B$15,'Paramètres'!$A$1:$I$88,3,0)*0.475*44/12</f>
        <v>#N/A</v>
      </c>
      <c r="EY138" s="163" t="str">
        <f t="shared" si="22"/>
        <v>#N/A</v>
      </c>
      <c r="EZ138" s="159">
        <f>('Scénario référence'!$F$8+'Scénario référence'!$F$9+'Scénario référence'!$B$17+'Scénario référence'!$B$9+'Scénario référence'!$B$10)*70+IF((45+25*(1-EXP(-0.0175*A138)))&lt;70,'Scénario référence'!$B$16*(45+25*(1-EXP(-0.0175*A138))),70*'Scénario référence'!$B$16)+IF((32+38*(1-EXP(-0.0175*A138)))&lt;70,'Scénario référence'!$B$18*(32+38*(1-EXP(-0.0175*A138))),70*'Scénario référence'!$B$18)</f>
        <v>70</v>
      </c>
      <c r="FA138" s="151">
        <f>IF(A138&gt;30,10,('Scénario référence'!$B$16+'Scénario référence'!$B$17+'Scénario référence'!$B$18+'Scénario référence'!$B$9+'Scénario référence'!$B$10)*A138*10/30+('Scénario référence'!$F$8+'Scénario référence'!$F$9)*10)</f>
        <v>10</v>
      </c>
      <c r="FB138" s="151" t="str">
        <f>VLOOKUP(A138,'Données projet'!$A$217:$I$237,2,0)</f>
        <v>#N/A</v>
      </c>
      <c r="FC138" s="151" t="str">
        <f>VLOOKUP(A138,'Données projet'!$A$217:$I$237,9,0)</f>
        <v>#N/A</v>
      </c>
      <c r="FD138" s="151" t="str">
        <f t="array" ref="FD138">INDEX(FC:FC,MIN(IF(ISNUMBER(FC138:FC334),ROW(FC138:FC334),"")))</f>
        <v/>
      </c>
      <c r="FE138" s="151">
        <f>IF('Données projet'!$A$218&gt;35,FE137+FD138-FM137,IF(A138&lt;'Données projet'!$A$218,$FB$205^A138,IF(A138='Données projet'!$A$218,'Données projet'!$B$218,FE137+FD138-FM137)))</f>
        <v>0</v>
      </c>
      <c r="FF138" s="158" t="str">
        <f>FE138*VLOOKUP('Données projet'!$B$16,'Paramètres'!$A$1:$I$88,3,0)*VLOOKUP('Données projet'!$B$16,'Paramètres'!$A$1:$I$88,5,0)</f>
        <v>#N/A</v>
      </c>
      <c r="FG138" s="150" t="str">
        <f t="shared" si="48"/>
        <v>#N/A</v>
      </c>
      <c r="FH138" s="161" t="str">
        <f t="shared" si="23"/>
        <v>#N/A</v>
      </c>
      <c r="FI138" s="153" t="str">
        <f t="shared" si="24"/>
        <v>#N/A</v>
      </c>
      <c r="FJ138" s="153" t="str">
        <f>AVERAGE(OFFSET($FI$3,0,0,'Données projet'!$E$16+1,1))-AVERAGE(OFFSET($H$3,0,0,'Données projet'!$E$16+1,1))</f>
        <v>#N/A</v>
      </c>
      <c r="FK138" s="153" t="str">
        <f t="shared" si="49"/>
        <v>#N/A</v>
      </c>
      <c r="FL138" s="154">
        <f>IF(ISNA(VLOOKUP(A138,'Données projet'!$A$217:$I$237,3,0)),0,VLOOKUP(A138,'Données projet'!$A$217:$I$237,3,0))</f>
        <v>0</v>
      </c>
      <c r="FM138" s="154">
        <f>IF(ISNA(VLOOKUP(A138,'Données projet'!$A$217:$I$237,4,0)),0,VLOOKUP(A138,'Données projet'!$A$217:$I$237,4,0))</f>
        <v>0</v>
      </c>
      <c r="FN138" s="155">
        <f>IF(ISNA(VLOOKUP(A138,'Données projet'!$A$217:$I$237,5,0)),0%,VLOOKUP(A138,'Données projet'!$A$217:$I$237,5,0)*VLOOKUP('Données projet'!$B$16,'Paramètres'!$A$1:$I$88,7,0))</f>
        <v>0</v>
      </c>
      <c r="FO138" s="155">
        <f>IF(ISNA(VLOOKUP(A138,'Données projet'!$A$217:$I$237,6,0)),0%,VLOOKUP(A138,'Données projet'!$A$217:$I$237,6,0)*VLOOKUP('Données projet'!$B$16,'Paramètres'!$A$1:$I$88,7,0))</f>
        <v>0</v>
      </c>
      <c r="FP138" s="155">
        <f>IF(ISNA(VLOOKUP(A138,'Données projet'!$A$217:$I$237,7,0)),0%,VLOOKUP(A138,'Données projet'!$A$217:$I$237,7,0))</f>
        <v>0</v>
      </c>
      <c r="FQ138" s="162" t="str">
        <f>EXP(-LN(2)/35)*FQ137+(1-EXP(-LN(2)/35))/(LN(2)/35)*FM138*FN138*VLOOKUP('Données projet'!$B$16,'Paramètres'!$A$1:$I$88,3,0)*0.475*44/12</f>
        <v>#N/A</v>
      </c>
      <c r="FR138" s="162" t="str">
        <f>EXP(-LN(2)/25)*FR137+(1-EXP(-LN(2)/25))/(LN(2)/25)*Calculateur!FM138*Calculateur!FO138*VLOOKUP('Données projet'!$B$16,'Paramètres'!$A$1:$I$88,3,0)*0.475*44/12</f>
        <v>#N/A</v>
      </c>
      <c r="FS138" s="162" t="str">
        <f>EXP(-LN(2)/2)*FS137+(1-EXP(-LN(2)/2))/(LN(2)/2)*FM138*FP138*VLOOKUP('Données projet'!$B$16,'Paramètres'!$A$1:$I$88,3,0)*0.475*44/12</f>
        <v>#N/A</v>
      </c>
      <c r="FT138" s="163" t="str">
        <f t="shared" si="25"/>
        <v>#N/A</v>
      </c>
      <c r="FU138" s="159">
        <f>('Scénario référence'!$F$8+'Scénario référence'!$F$9+'Scénario référence'!$B$17+'Scénario référence'!$B$9+'Scénario référence'!$B$10)*70+IF((45+25*(1-EXP(-0.0175*A138)))&lt;70,'Scénario référence'!$B$16*(45+25*(1-EXP(-0.0175*A138))),70*'Scénario référence'!$B$16)+IF((32+38*(1-EXP(-0.0175*A138)))&lt;70,'Scénario référence'!$B$18*(32+38*(1-EXP(-0.0175*A138))),70*'Scénario référence'!$B$18)</f>
        <v>70</v>
      </c>
      <c r="FV138" s="151">
        <f>IF(A138&gt;30,10,('Scénario référence'!$B$16+'Scénario référence'!$B$17+'Scénario référence'!$B$18+'Scénario référence'!$B$9+'Scénario référence'!$B$10)*A138*10/30+('Scénario référence'!$F$8+'Scénario référence'!$F$9)*10)</f>
        <v>10</v>
      </c>
      <c r="FW138" s="151" t="str">
        <f>VLOOKUP(A138,'Données projet'!$A$243:$I$263,2,0)</f>
        <v>#N/A</v>
      </c>
      <c r="FX138" s="151" t="str">
        <f>VLOOKUP(A138,'Données projet'!$A$243:$I$263,9,0)</f>
        <v>#N/A</v>
      </c>
      <c r="FY138" s="151" t="str">
        <f t="array" ref="FY138">INDEX(FX:FX,MIN(IF(ISNUMBER(FX138:FX334),ROW(FX138:FX334),"")))</f>
        <v/>
      </c>
      <c r="FZ138" s="151">
        <f>IF('Données projet'!$A$244&gt;35,FZ137+FY138-GH137,IF(A138&lt;'Données projet'!$A$244,$FW$205^A138,IF(A138='Données projet'!$A$244,'Données projet'!$B$244,FZ137+FY138-GH137)))</f>
        <v>0</v>
      </c>
      <c r="GA138" s="158" t="str">
        <f>FZ138*VLOOKUP('Données projet'!$B$17,'Paramètres'!$A$1:$I$88,3,0)*VLOOKUP('Données projet'!$B$17,'Paramètres'!$A$1:$I$88,5,0)</f>
        <v>#N/A</v>
      </c>
      <c r="GB138" s="150" t="str">
        <f t="shared" si="50"/>
        <v>#N/A</v>
      </c>
      <c r="GC138" s="161" t="str">
        <f t="shared" si="26"/>
        <v>#N/A</v>
      </c>
      <c r="GD138" s="153" t="str">
        <f t="shared" si="27"/>
        <v>#N/A</v>
      </c>
      <c r="GE138" s="153" t="str">
        <f>AVERAGE(OFFSET($GD$3,0,0,'Données projet'!$E$17+1,1))-AVERAGE(OFFSET($H$3,0,0,'Données projet'!$E$17+1,1))</f>
        <v>#N/A</v>
      </c>
      <c r="GF138" s="153" t="str">
        <f t="shared" si="51"/>
        <v>#N/A</v>
      </c>
      <c r="GG138" s="154">
        <f>IF(ISNA(VLOOKUP(A138,'Données projet'!$A$243:$I$263,3,0)),0,VLOOKUP(A138,'Données projet'!$A$243:$I$263,3,0))</f>
        <v>0</v>
      </c>
      <c r="GH138" s="154">
        <f>IF(ISNA(VLOOKUP(A138,'Données projet'!$A$243:$I$263,4,0)),0,VLOOKUP(A138,'Données projet'!$A$243:$I$263,4,0))</f>
        <v>0</v>
      </c>
      <c r="GI138" s="155">
        <f>IF(ISNA(VLOOKUP(A138,'Données projet'!$A$243:$I$263,5,0)),0%,VLOOKUP(A138,'Données projet'!$A$243:$I$263,5,0)*VLOOKUP('Données projet'!$B$17,'Paramètres'!$A$1:$I$88,7,0))</f>
        <v>0</v>
      </c>
      <c r="GJ138" s="155">
        <f>IF(ISNA(VLOOKUP(A138,'Données projet'!$A$243:$I$263,6,0)),0%,VLOOKUP(A138,'Données projet'!$A$243:$I$263,6,0)*VLOOKUP('Données projet'!$B$17,'Paramètres'!$A$1:$I$88,7,0))</f>
        <v>0</v>
      </c>
      <c r="GK138" s="155">
        <f>IF(ISNA(VLOOKUP(A138,'Données projet'!$A$243:$I$263,7,0)),0%,VLOOKUP(A138,'Données projet'!$A$243:$I$263,7,0))</f>
        <v>0</v>
      </c>
      <c r="GL138" s="162" t="str">
        <f>EXP(-LN(2)/35)*GL137+(1-EXP(-LN(2)/35))/(LN(2)/35)*GH138*GI138*VLOOKUP('Données projet'!$B$17,'Paramètres'!$A$1:$I$88,3,0)*0.475*44/12</f>
        <v>#N/A</v>
      </c>
      <c r="GM138" s="162" t="str">
        <f>EXP(-LN(2)/25)*GM137+(1-EXP(-LN(2)/25))/(LN(2)/25)*Calculateur!GH138*Calculateur!GJ138*VLOOKUP('Données projet'!$B$17,'Paramètres'!$A$1:$I$88,3,0)*0.475*44/12</f>
        <v>#N/A</v>
      </c>
      <c r="GN138" s="162" t="str">
        <f>EXP(-LN(2)/2)*GN137+(1-EXP(-LN(2)/2))/(LN(2)/2)*GH138*GK138*VLOOKUP('Données projet'!$B$17,'Paramètres'!$A$1:$I$88,3,0)*0.475*44/12</f>
        <v>#N/A</v>
      </c>
      <c r="GO138" s="162" t="str">
        <f t="shared" si="28"/>
        <v>#N/A</v>
      </c>
      <c r="GP138" s="159">
        <f>('Scénario référence'!$F$8+'Scénario référence'!$F$9+'Scénario référence'!$B$17+'Scénario référence'!$B$9+'Scénario référence'!$B$10)*70+IF((45+25*(1-EXP(-0.0175*A138)))&lt;70,'Scénario référence'!$B$16*(45+25*(1-EXP(-0.0175*A138))),70*'Scénario référence'!$B$16)+IF((32+38*(1-EXP(-0.0175*A138)))&lt;70,'Scénario référence'!$B$18*(32+38*(1-EXP(-0.0175*A138))),70*'Scénario référence'!$B$18)</f>
        <v>70</v>
      </c>
      <c r="GQ138" s="151">
        <f>IF(A138&gt;30,10,('Scénario référence'!$B$16+'Scénario référence'!$B$17+'Scénario référence'!$B$18+'Scénario référence'!$B$9+'Scénario référence'!$B$10)*A138*10/30+('Scénario référence'!$F$8+'Scénario référence'!$F$9)*10)</f>
        <v>10</v>
      </c>
      <c r="GR138" s="151" t="str">
        <f>VLOOKUP(A138,'Données projet'!$A$269:$I$289,2,0)</f>
        <v>#N/A</v>
      </c>
      <c r="GS138" s="151" t="str">
        <f>VLOOKUP(A138,'Données projet'!$A$269:$I$289,9,0)</f>
        <v>#N/A</v>
      </c>
      <c r="GT138" s="151" t="str">
        <f t="array" ref="GT138">INDEX(GS:GS,MIN(IF(ISNUMBER(GS138:GS334),ROW(GS138:GS334),"")))</f>
        <v/>
      </c>
      <c r="GU138" s="151">
        <f>IF('Données projet'!$A$270&gt;35,GU137+GT138-HC137,IF(A138&lt;'Données projet'!$A$270,$GR$205^A138,IF(A138='Données projet'!$A$270,'Données projet'!$B$270,GU137+GT138-HC137)))</f>
        <v>0</v>
      </c>
      <c r="GV138" s="158" t="str">
        <f>GU138*VLOOKUP('Données projet'!$B$18,'Paramètres'!$A$1:$I$88,3,0)*VLOOKUP('Données projet'!$B$18,'Paramètres'!$A$1:$I$88,5,0)</f>
        <v>#N/A</v>
      </c>
      <c r="GW138" s="150" t="str">
        <f t="shared" si="52"/>
        <v>#N/A</v>
      </c>
      <c r="GX138" s="161" t="str">
        <f t="shared" si="29"/>
        <v>#N/A</v>
      </c>
      <c r="GY138" s="153" t="str">
        <f t="shared" si="30"/>
        <v>#N/A</v>
      </c>
      <c r="GZ138" s="153" t="str">
        <f>AVERAGE(OFFSET($GY$3,0,0,'Données projet'!$E$18+1,1))-AVERAGE(OFFSET($H$3,0,0,'Données projet'!$E$18+1,1))</f>
        <v>#N/A</v>
      </c>
      <c r="HA138" s="153" t="str">
        <f t="shared" si="53"/>
        <v>#N/A</v>
      </c>
      <c r="HB138" s="154">
        <f>IF(ISNA(VLOOKUP(A138,'Données projet'!$A$269:$I$289,3,0)),0,VLOOKUP(A138,'Données projet'!$A$269:$I$289,3,0))</f>
        <v>0</v>
      </c>
      <c r="HC138" s="154">
        <f>IF(ISNA(VLOOKUP(A138,'Données projet'!$A$269:$I$289,4,0)),0,VLOOKUP(A138,'Données projet'!$A$269:$I$289,4,0))</f>
        <v>0</v>
      </c>
      <c r="HD138" s="155">
        <f>IF(ISNA(VLOOKUP(A138,'Données projet'!$A$269:$I$289,5,0)),0%,VLOOKUP(A138,'Données projet'!$A$269:$I$289,5,0)*VLOOKUP('Données projet'!$B$18,'Paramètres'!$A$1:$I$88,7,0))</f>
        <v>0</v>
      </c>
      <c r="HE138" s="155">
        <f>IF(ISNA(VLOOKUP(A138,'Données projet'!$A$269:$I$289,6,0)),0%,VLOOKUP(A138,'Données projet'!$A$269:$I$289,6,0)*VLOOKUP('Données projet'!$B$18,'Paramètres'!$A$1:$I$88,7,0))</f>
        <v>0</v>
      </c>
      <c r="HF138" s="155">
        <f>IF(ISNA(VLOOKUP(A138,'Données projet'!$A$269:$I$289,7,0)),0%,VLOOKUP(A138,'Données projet'!$A$269:$I$289,7,0))</f>
        <v>0</v>
      </c>
      <c r="HG138" s="162" t="str">
        <f>EXP(-LN(2)/35)*HG137+(1-EXP(-LN(2)/35))/(LN(2)/35)*HC138*HD138*VLOOKUP('Données projet'!$B$18,'Paramètres'!$A$1:$I$88,3,0)*0.475*44/12</f>
        <v>#N/A</v>
      </c>
      <c r="HH138" s="162" t="str">
        <f>EXP(-LN(2)/25)*HH137+(1-EXP(-LN(2)/25))/(LN(2)/25)*Calculateur!HC138*Calculateur!HE138*VLOOKUP('Données projet'!$B$18,'Paramètres'!$A$1:$I$88,3,0)*0.475*44/12</f>
        <v>#N/A</v>
      </c>
      <c r="HI138" s="162" t="str">
        <f>EXP(-LN(2)/2)*HI137+(1-EXP(-LN(2)/2))/(LN(2)/2)*HC138*HF138*VLOOKUP('Données projet'!$B$18,'Paramètres'!$A$1:$I$88,3,0)*0.475*44/12</f>
        <v>#N/A</v>
      </c>
      <c r="HJ138" s="163" t="str">
        <f t="shared" si="31"/>
        <v>#N/A</v>
      </c>
    </row>
    <row r="139" ht="15.75" customHeight="1">
      <c r="A139" s="145">
        <f t="shared" si="32"/>
        <v>136</v>
      </c>
      <c r="B139" s="146">
        <f>'Scénario référence'!$B$16*5+'Scénario référence'!$B$17*0+'Scénario référence'!$B$18*5</f>
        <v>0</v>
      </c>
      <c r="C139" s="160">
        <f>Calculateur!C138+'Scénario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39" s="147">
        <f t="shared" si="33"/>
        <v>0</v>
      </c>
      <c r="E139" s="147">
        <f>'Scénario référence'!$B$16*45+('Scénario référence'!$B$17+'Scénario référence'!$F$8+'Scénario référence'!$F$9+'Scénario référence'!$B$10+'Scénario référence'!$B$9)*70+'Scénario référence'!$B$18*32</f>
        <v>70</v>
      </c>
      <c r="F139" s="147">
        <f>IF(OR('Scénario référence'!$F$8&gt;0,'Scénario référence'!$F$9&gt;0),('Scénario référence'!$F$8+'Scénario référence'!$F$9)*10,0)</f>
        <v>0</v>
      </c>
      <c r="G139" s="147">
        <f>'Scénario référence'!$B$8*B139*44/12+'Scénario référence'!$B$9*(C139+D139)/0.475*44/12+'Scénario référence'!$B$10*(C139+D139)/0.475*44/12+'Scénario référence'!$F$8*(C139+D139)/0.475*44/12+'Scénario référence'!$F$9*(C139+D139)/0.475*44/12</f>
        <v>0</v>
      </c>
      <c r="H139" s="148">
        <f t="shared" si="1"/>
        <v>256.6666667</v>
      </c>
      <c r="I139" s="149">
        <f>('Scénario référence'!$F$8+'Scénario référence'!$F$9+'Scénario référence'!$B$17+'Scénario référence'!$B$9+'Scénario référence'!$B$10)*70+IF((45+25*(1-EXP(-0.0175*A139)))&lt;70,'Scénario référence'!$B$16*(45+25*(1-EXP(-0.0175*A139))),70*'Scénario référence'!$B$16)+IF((32+38*(1-EXP(-0.0175*A139)))&lt;70,'Scénario référence'!$B$18*(32+38*(1-EXP(-0.0175*A139))),70*'Scénario référence'!$B$18)</f>
        <v>70</v>
      </c>
      <c r="J139" s="150">
        <f>IF(A139&gt;30,10,('Scénario référence'!$B$16+'Scénario référence'!$B$17+'Scénario référence'!$B$18+'Scénario référence'!$B$9+'Scénario référence'!$B$10)*A139*10/30+('Scénario référence'!$F$8+'Scénario référence'!$F$9)*10)</f>
        <v>10</v>
      </c>
      <c r="K139" s="151" t="str">
        <f>VLOOKUP(A139,'Données projet'!$A$35:$I$55,2,0)</f>
        <v>#N/A</v>
      </c>
      <c r="L139" s="151" t="str">
        <f>VLOOKUP(A139,'Données projet'!$A$35:$I$55,9,0)</f>
        <v>#N/A</v>
      </c>
      <c r="M139" s="151" t="str">
        <f t="array" ref="M139">INDEX(L:L,MIN(IF(ISNUMBER(L139:L335),ROW(L139:L335),"")))</f>
        <v/>
      </c>
      <c r="N139" s="150">
        <f>IF('Données projet'!$A$36&gt;35,N138+M139-V138,IF(A139&lt;'Données projet'!$A$36,$K$205^A139,IF(A139='Données projet'!$A$36,'Données projet'!$B$36,N138+M139-V138)))</f>
        <v>307</v>
      </c>
      <c r="O139" s="150">
        <f>N139*VLOOKUP('Données projet'!$B$9,'Paramètres'!$A$1:$I$88,3,0)*VLOOKUP('Données projet'!$B$9,'Paramètres'!$A$1:$I$88,5,0)</f>
        <v>277.7736</v>
      </c>
      <c r="P139" s="150">
        <f t="shared" si="34"/>
        <v>66.49628818</v>
      </c>
      <c r="Q139" s="161">
        <f t="shared" si="2"/>
        <v>599.6033886</v>
      </c>
      <c r="R139" s="153">
        <f t="shared" si="3"/>
        <v>892.9367219</v>
      </c>
      <c r="S139" s="153">
        <f>AVERAGE(OFFSET($R$3,0,0,'Données projet'!$E$9+1,1))-AVERAGE(OFFSET($H$3,0,0,'Données projet'!$E$9+1,1))</f>
        <v>439.1985427</v>
      </c>
      <c r="T139" s="153">
        <f t="shared" si="35"/>
        <v>278.2174123</v>
      </c>
      <c r="U139" s="154">
        <f>IF(ISNA(VLOOKUP(A139,'Données projet'!$A$35:$I$55,3,0)),0,VLOOKUP(A139,'Données projet'!$A$35:$I$55,3,0))</f>
        <v>0</v>
      </c>
      <c r="V139" s="154">
        <f>IF(ISNA(VLOOKUP(A139,'Données projet'!$A$35:$I$55,4,0)),0,VLOOKUP(A139,'Données projet'!$A$35:$I$55,4,0))</f>
        <v>0</v>
      </c>
      <c r="W139" s="155">
        <f>IF(ISNA(VLOOKUP(A139,'Données projet'!$A$35:$I$55,5,0)),0%,VLOOKUP(A139,'Données projet'!$A$35:$I$55,5,0)*VLOOKUP('Données projet'!$B$9,'Paramètres'!$A$1:$I$88,7,0))</f>
        <v>0</v>
      </c>
      <c r="X139" s="155">
        <f>IF(ISNA(VLOOKUP(A139,'Données projet'!$A$35:$I$55,6,0)),0%,VLOOKUP(A139,'Données projet'!$A$35:$I$55,6,0)*VLOOKUP('Données projet'!$B$9,'Paramètres'!$A$1:$I$88,7,0))</f>
        <v>0</v>
      </c>
      <c r="Y139" s="155">
        <f>IF(ISNA(VLOOKUP(A139,'Données projet'!$A$35:$I$55,7,0)),0%,VLOOKUP(A139,'Données projet'!$A$35:$I$55,7,0))</f>
        <v>0</v>
      </c>
      <c r="Z139" s="162">
        <f>EXP(-LN(2)/35)*Z138+(1-EXP(-LN(2)/35))/(LN(2)/35)*V139*W139*VLOOKUP('Données projet'!$B$9,'Paramètres'!$A$1:$I$88,3,0)*0.475*44/12</f>
        <v>0</v>
      </c>
      <c r="AA139" s="162">
        <f>EXP(-LN(2)/25)*AA138+(1-EXP(-LN(2)/25))/(LN(2)/25)*Calculateur!V139*Calculateur!X139*VLOOKUP('Données projet'!$B$9,'Paramètres'!$A$1:$I$88,3,0)*0.475*44/12</f>
        <v>0.2374898741</v>
      </c>
      <c r="AB139" s="162">
        <f>EXP(-LN(2)/2)*AB138+(1-EXP(-LN(2)/2))/(LN(2)/2)*V139*Y139*VLOOKUP('Données projet'!$B$9,'Paramètres'!$A$1:$I$88,3,0)*0.475*44/12</f>
        <v>0</v>
      </c>
      <c r="AC139" s="163">
        <f t="shared" si="4"/>
        <v>0.2374898741</v>
      </c>
      <c r="AD139" s="150">
        <f>('Scénario référence'!$F$8+'Scénario référence'!$F$9+'Scénario référence'!$B$17+'Scénario référence'!$B$9+'Scénario référence'!$B$10)*70+IF((45+25*(1-EXP(-0.0175*A139)))&lt;70,'Scénario référence'!$B$16*(45+25*(1-EXP(-0.0175*A139))),70*'Scénario référence'!$B$16)+IF((32+38*(1-EXP(-0.0175*A139)))&lt;70,'Scénario référence'!$B$18*(32+38*(1-EXP(-0.0175*A139))),70*'Scénario référence'!$B$18)</f>
        <v>70</v>
      </c>
      <c r="AE139" s="150">
        <f>IF(A139&gt;30,10,('Scénario référence'!$B$16+'Scénario référence'!$B$17+'Scénario référence'!$B$18+'Scénario référence'!$B$9+'Scénario référence'!$B$10)*A139*10/30+('Scénario référence'!$F$8+'Scénario référence'!$F$9)*10)</f>
        <v>10</v>
      </c>
      <c r="AF139" s="151" t="str">
        <f>VLOOKUP(A139,'Données projet'!$A$61:$I$81,2,0)</f>
        <v>#N/A</v>
      </c>
      <c r="AG139" s="151" t="str">
        <f>VLOOKUP(A139,'Données projet'!$A$61:$I$81,9,0)</f>
        <v>#N/A</v>
      </c>
      <c r="AH139" s="151" t="str">
        <f t="array" ref="AH139">INDEX(AG:AG,MIN(IF(ISNUMBER(AG139:AG335),ROW(AG139:AG335),"")))</f>
        <v/>
      </c>
      <c r="AI139" s="150">
        <f>IF('Données projet'!$A$62&gt;35,AI138+AH139-AQ138,IF(A139&lt;'Données projet'!$A$62,$AF$205^A139,IF(A139='Données projet'!$A$62,'Données projet'!$B$62,AI138+AH139-AQ138)))</f>
        <v>369</v>
      </c>
      <c r="AJ139" s="150">
        <f>AI139*VLOOKUP('Données projet'!$B$10,'Paramètres'!$A$1:$I$88,3,0)*VLOOKUP('Données projet'!$B$10,'Paramètres'!$A$1:$I$88,5,0)</f>
        <v>293.5764</v>
      </c>
      <c r="AK139" s="150">
        <f t="shared" si="36"/>
        <v>69.82813851</v>
      </c>
      <c r="AL139" s="161">
        <f t="shared" si="5"/>
        <v>632.9295712</v>
      </c>
      <c r="AM139" s="153">
        <f t="shared" si="6"/>
        <v>926.2629046</v>
      </c>
      <c r="AN139" s="153">
        <f>AVERAGE(OFFSET($AM$3,0,0,'Données projet'!$E$10+1,1))-AVERAGE(OFFSET($H$3,0,0,'Données projet'!$E$10+1,1))</f>
        <v>405.6113614</v>
      </c>
      <c r="AO139" s="153">
        <f t="shared" si="37"/>
        <v>393.0787141</v>
      </c>
      <c r="AP139" s="154">
        <f>IF(ISNA(VLOOKUP(A139,'Données projet'!$A$61:$I$81,3,0)),0,VLOOKUP(A139,'Données projet'!$A$61:$I$81,3,0))</f>
        <v>0</v>
      </c>
      <c r="AQ139" s="154">
        <f>IF(ISNA(VLOOKUP(A139,'Données projet'!$A$61:$I$81,4,0)),0,VLOOKUP(A139,'Données projet'!$A$61:$I$81,4,0))</f>
        <v>0</v>
      </c>
      <c r="AR139" s="155">
        <f>IF(ISNA(VLOOKUP(A139,'Données projet'!$A$61:$I$81,5,0)),0%,VLOOKUP(A139,'Données projet'!$A$61:$I$81,5,0)*VLOOKUP('Données projet'!$B$10,'Paramètres'!$A$1:$I$88,7,0))</f>
        <v>0</v>
      </c>
      <c r="AS139" s="155">
        <f>IF(ISNA(VLOOKUP(A139,'Données projet'!$A$61:$I$81,6,0)),0%,VLOOKUP(A139,'Données projet'!$A$61:$I$81,6,0)*VLOOKUP('Données projet'!$B$10,'Paramètres'!$A$1:$I$88,7,0))</f>
        <v>0</v>
      </c>
      <c r="AT139" s="155">
        <f>IF(ISNA(VLOOKUP(A139,'Données projet'!$A$61:$I$81,7,0)),0%,VLOOKUP(A139,'Données projet'!$A$61:$I$81,7,0))</f>
        <v>0</v>
      </c>
      <c r="AU139" s="162">
        <f>EXP(-LN(2)/35)*AU138+(1-EXP(-LN(2)/35))/(LN(2)/35)*AQ139*AR139*VLOOKUP('Données projet'!$B$10,'Paramètres'!$A$1:$I$88,3,0)*0.475*44/12</f>
        <v>0</v>
      </c>
      <c r="AV139" s="162">
        <f>EXP(-LN(2)/25)*AV138+(1-EXP(-LN(2)/25))/(LN(2)/25)*Calculateur!AQ139*Calculateur!AS139*VLOOKUP('Données projet'!$B$10,'Paramètres'!$A$1:$I$88,3,0)*0.475*44/12</f>
        <v>0.9652192209</v>
      </c>
      <c r="AW139" s="162">
        <f>EXP(-LN(2)/2)*AW138+(1-EXP(-LN(2)/2))/(LN(2)/2)*AQ139*AT139*VLOOKUP('Données projet'!$B$10,'Paramètres'!$A$1:$I$88,3,0)*0.475*44/12</f>
        <v>0</v>
      </c>
      <c r="AX139" s="162">
        <f t="shared" si="7"/>
        <v>0.9652192209</v>
      </c>
      <c r="AY139" s="157">
        <f>('Scénario référence'!$F$8+'Scénario référence'!$F$9+'Scénario référence'!$B$17+'Scénario référence'!$B$9+'Scénario référence'!$B$10)*70+IF((45+25*(1-EXP(-0.0175*A139)))&lt;70,'Scénario référence'!$B$16*(45+25*(1-EXP(-0.0175*A139))),70*'Scénario référence'!$B$16)+IF((32+38*(1-EXP(-0.0175*A139)))&lt;70,'Scénario référence'!$B$18*(32+38*(1-EXP(-0.0175*A139))),70*'Scénario référence'!$B$18)</f>
        <v>70</v>
      </c>
      <c r="AZ139" s="151">
        <f>IF(A139&gt;30,10,('Scénario référence'!$B$16+'Scénario référence'!$B$17+'Scénario référence'!$B$18+'Scénario référence'!$B$9+'Scénario référence'!$B$10)*A139*10/30+('Scénario référence'!$F$8+'Scénario référence'!$F$9)*10)</f>
        <v>10</v>
      </c>
      <c r="BA139" s="151" t="str">
        <f>VLOOKUP(A139,'Données projet'!$A$87:$I$107,2,0)</f>
        <v>#N/A</v>
      </c>
      <c r="BB139" s="151" t="str">
        <f>VLOOKUP(A139,'Données projet'!$A$87:$I$107,9,0)</f>
        <v>#N/A</v>
      </c>
      <c r="BC139" s="151" t="str">
        <f t="array" ref="BC139">INDEX(BB:BB,MIN(IF(ISNUMBER(BB139:BB335),ROW(BB139:BB335),"")))</f>
        <v/>
      </c>
      <c r="BD139" s="150">
        <f>IF('Données projet'!$A$88&gt;35,BD138+BC139-BL138,IF(A139&lt;'Données projet'!$A$88,$BA$205^A139,IF(A139='Données projet'!$A$88,'Données projet'!$B$88,BD138+BC139-BL138)))</f>
        <v>0</v>
      </c>
      <c r="BE139" s="150">
        <f>BD139*VLOOKUP('Données projet'!$B$11,'Paramètres'!$A$1:$I$88,3,0)*VLOOKUP('Données projet'!$B$11,'Paramètres'!$A$1:$I$88,5,0)</f>
        <v>0</v>
      </c>
      <c r="BF139" s="150" t="str">
        <f t="shared" si="38"/>
        <v>#NUM!</v>
      </c>
      <c r="BG139" s="161" t="str">
        <f t="shared" si="8"/>
        <v>#NUM!</v>
      </c>
      <c r="BH139" s="153" t="str">
        <f t="shared" si="9"/>
        <v>#NUM!</v>
      </c>
      <c r="BI139" s="153">
        <f>AVERAGE(OFFSET($BH$3,0,0,'Données projet'!$E$11+1,1))-AVERAGE(OFFSET($H$3,0,0,'Données projet'!$E$11+1,1))</f>
        <v>0</v>
      </c>
      <c r="BJ139" s="153">
        <f t="shared" si="39"/>
        <v>0</v>
      </c>
      <c r="BK139" s="154">
        <f>IF(ISNA(VLOOKUP(A139,'Données projet'!$A$87:$I$107,3,0)),0,VLOOKUP(A139,'Données projet'!$A$87:$I$107,3,0))</f>
        <v>0</v>
      </c>
      <c r="BL139" s="154">
        <f>IF(ISNA(VLOOKUP(A139,'Données projet'!$A$87:$I$107,4,0)),0,VLOOKUP(A139,'Données projet'!$A$87:$I$107,4,0))</f>
        <v>0</v>
      </c>
      <c r="BM139" s="155">
        <f>IF(ISNA(VLOOKUP(A139,'Données projet'!$A$87:$I$107,5,0)),0%,VLOOKUP(A139,'Données projet'!$A$87:$I$107,5,0)*VLOOKUP('Données projet'!$B$11,'Paramètres'!$A$1:$I$88,7,0))</f>
        <v>0</v>
      </c>
      <c r="BN139" s="155">
        <f>IF(ISNA(VLOOKUP(A139,'Données projet'!$A$87:$I$107,6,0)),0%,VLOOKUP(A139,'Données projet'!$A$87:$I$107,6,0)*VLOOKUP('Données projet'!$B$11,'Paramètres'!$A$1:$I$88,7,0))</f>
        <v>0</v>
      </c>
      <c r="BO139" s="155">
        <f>IF(ISNA(VLOOKUP(A139,'Données projet'!$A$87:$I$107,7,0)),0%,VLOOKUP(A139,'Données projet'!$A$87:$I$107,7,0))</f>
        <v>0</v>
      </c>
      <c r="BP139" s="162">
        <f>EXP(-LN(2)/35)*BP138+(1-EXP(-LN(2)/35))/(LN(2)/35)*BL139*BM139*VLOOKUP('Données projet'!$B$11,'Paramètres'!$A$1:$I$88,3,0)*0.475*44/12</f>
        <v>0</v>
      </c>
      <c r="BQ139" s="162">
        <f>EXP(-LN(2)/25)*BQ138+(1-EXP(-LN(2)/25))/(LN(2)/25)*Calculateur!BL139*Calculateur!BN139*VLOOKUP('Données projet'!$B$11,'Paramètres'!$A$1:$I$88,3,0)*0.475*44/12</f>
        <v>0</v>
      </c>
      <c r="BR139" s="162">
        <f>EXP(-LN(2)/2)*BR138+(1-EXP(-LN(2)/2))/(LN(2)/2)*BL139*BO139*VLOOKUP('Données projet'!$B$11,'Paramètres'!$A$1:$I$88,3,0)*0.475*44/12</f>
        <v>0</v>
      </c>
      <c r="BS139" s="163">
        <f t="shared" si="10"/>
        <v>0</v>
      </c>
      <c r="BT139" s="159">
        <f>('Scénario référence'!$F$8+'Scénario référence'!$F$9+'Scénario référence'!$B$17+'Scénario référence'!$B$9+'Scénario référence'!$B$10)*70+IF((45+25*(1-EXP(-0.0175*A139)))&lt;70,'Scénario référence'!$B$16*(45+25*(1-EXP(-0.0175*A139))),70*'Scénario référence'!$B$16)+IF((32+38*(1-EXP(-0.0175*A139)))&lt;70,'Scénario référence'!$B$18*(32+38*(1-EXP(-0.0175*A139))),70*'Scénario référence'!$B$18)</f>
        <v>70</v>
      </c>
      <c r="BU139" s="151">
        <f>IF(A139&gt;30,10,('Scénario référence'!$B$16+'Scénario référence'!$B$17+'Scénario référence'!$B$18+'Scénario référence'!$B$9+'Scénario référence'!$B$10)*A139*10/30+('Scénario référence'!$F$8+'Scénario référence'!$F$9)*10)</f>
        <v>10</v>
      </c>
      <c r="BV139" s="151" t="str">
        <f>VLOOKUP(A139,'Données projet'!$A$113:$I$133,2,0)</f>
        <v>#N/A</v>
      </c>
      <c r="BW139" s="151" t="str">
        <f>VLOOKUP(A139,'Données projet'!$A$113:$I$133,9,0)</f>
        <v>#N/A</v>
      </c>
      <c r="BX139" s="151" t="str">
        <f t="array" ref="BX139">INDEX(BW:BW,MIN(IF(ISNUMBER(BW139:BW335),ROW(BW139:BW335),"")))</f>
        <v/>
      </c>
      <c r="BY139" s="150">
        <f>IF('Données projet'!$A$114&gt;35,BY138+BX139-CG138,IF(A139&lt;'Données projet'!$A$114,$BV$205^A139,IF(A139='Données projet'!$A$114,'Données projet'!$B$114,BY138+BX139-CG138)))</f>
        <v>0</v>
      </c>
      <c r="BZ139" s="150" t="str">
        <f>BY139*VLOOKUP('Données projet'!$B$12,'Paramètres'!$A$1:$I$88,3,0)*VLOOKUP('Données projet'!$B$12,'Paramètres'!$A$1:$I$88,5,0)</f>
        <v>#N/A</v>
      </c>
      <c r="CA139" s="150" t="str">
        <f t="shared" si="40"/>
        <v>#N/A</v>
      </c>
      <c r="CB139" s="161" t="str">
        <f t="shared" si="11"/>
        <v>#N/A</v>
      </c>
      <c r="CC139" s="153" t="str">
        <f t="shared" si="12"/>
        <v>#N/A</v>
      </c>
      <c r="CD139" s="153" t="str">
        <f>AVERAGE(OFFSET($CC$3,0,0,'Données projet'!$E$12+1,1))-AVERAGE(OFFSET($H$3,0,0,'Données projet'!$E$12+1,1))</f>
        <v>#N/A</v>
      </c>
      <c r="CE139" s="153" t="str">
        <f t="shared" si="41"/>
        <v>#N/A</v>
      </c>
      <c r="CF139" s="154">
        <f>IF(ISNA(VLOOKUP(A139,'Données projet'!$A$113:$I$133,3,0)),0,VLOOKUP(A139,'Données projet'!$A$113:$I$133,3,0))</f>
        <v>0</v>
      </c>
      <c r="CG139" s="154">
        <f>IF(ISNA(VLOOKUP(A139,'Données projet'!$A$113:$I$133,4,0)),0,VLOOKUP(A139,'Données projet'!$A$113:$I$133,4,0))</f>
        <v>0</v>
      </c>
      <c r="CH139" s="155">
        <f>IF(ISNA(VLOOKUP(A139,'Données projet'!$A$113:$I$133,5,0)),0%,VLOOKUP(A139,'Données projet'!$A$113:$I$133,5,0)*VLOOKUP('Données projet'!$B$12,'Paramètres'!$A$1:$I$88,7,0))</f>
        <v>0</v>
      </c>
      <c r="CI139" s="155">
        <f>IF(ISNA(VLOOKUP(A139,'Données projet'!$A$113:$I$133,6,0)),0%,VLOOKUP(A139,'Données projet'!$A$113:$I$133,6,0)*VLOOKUP('Données projet'!$B$12,'Paramètres'!$A$1:$I$88,7,0))</f>
        <v>0</v>
      </c>
      <c r="CJ139" s="155">
        <f>IF(ISNA(VLOOKUP(A139,'Données projet'!$A$113:$I$133,7,0)),0%,VLOOKUP(A139,'Données projet'!$A$113:$I$133,7,0))</f>
        <v>0</v>
      </c>
      <c r="CK139" s="162" t="str">
        <f>EXP(-LN(2)/35)*CK138+(1-EXP(-LN(2)/35))/(LN(2)/35)*CG139*CH139*VLOOKUP('Données projet'!$B$12,'Paramètres'!$A$1:$I$88,3,0)*0.475*44/12</f>
        <v>#N/A</v>
      </c>
      <c r="CL139" s="162" t="str">
        <f>EXP(-LN(2)/25)*CL138+(1-EXP(-LN(2)/25))/(LN(2)/25)*Calculateur!CG139*Calculateur!CI139*VLOOKUP('Données projet'!$B$12,'Paramètres'!$A$1:$I$88,3,0)*0.475*44/12</f>
        <v>#N/A</v>
      </c>
      <c r="CM139" s="162" t="str">
        <f>EXP(-LN(2)/2)*CM138+(1-EXP(-LN(2)/2))/(LN(2)/2)*CG139*CJ139*VLOOKUP('Données projet'!$B$12,'Paramètres'!$A$1:$I$88,3,0)*0.475*44/12</f>
        <v>#N/A</v>
      </c>
      <c r="CN139" s="163" t="str">
        <f t="shared" si="13"/>
        <v>#N/A</v>
      </c>
      <c r="CO139" s="159">
        <f>('Scénario référence'!$F$8+'Scénario référence'!$F$9+'Scénario référence'!$B$17+'Scénario référence'!$B$9+'Scénario référence'!$B$10)*70+IF((45+25*(1-EXP(-0.0175*A139)))&lt;70,'Scénario référence'!$B$16*(45+25*(1-EXP(-0.0175*A139))),70*'Scénario référence'!$B$16)+IF((32+38*(1-EXP(-0.0175*A139)))&lt;70,'Scénario référence'!$B$18*(32+38*(1-EXP(-0.0175*A139))),70*'Scénario référence'!$B$18)</f>
        <v>70</v>
      </c>
      <c r="CP139" s="151">
        <f>IF(A139&gt;30,10,('Scénario référence'!$B$16+'Scénario référence'!$B$17+'Scénario référence'!$B$18+'Scénario référence'!$B$9+'Scénario référence'!$B$10)*A139*10/30+('Scénario référence'!$F$8+'Scénario référence'!$F$9)*10)</f>
        <v>10</v>
      </c>
      <c r="CQ139" s="151" t="str">
        <f>VLOOKUP(A139,'Données projet'!$A$139:$I$159,2,0)</f>
        <v>#N/A</v>
      </c>
      <c r="CR139" s="151" t="str">
        <f>VLOOKUP(A139,'Données projet'!$A$139:$I$159,9,0)</f>
        <v>#N/A</v>
      </c>
      <c r="CS139" s="151" t="str">
        <f t="array" ref="CS139">INDEX(CR:CR,MIN(IF(ISNUMBER(CR139:CR335),ROW(CR139:CR335),"")))</f>
        <v/>
      </c>
      <c r="CT139" s="151">
        <f>IF('Données projet'!$A$140&gt;35,CT138+CS139-DB138,IF(A139&lt;'Données projet'!$A$140,$CQ$205^A139,IF(A139='Données projet'!$A$140,'Données projet'!$B$140,CT138+CS139-DB138)))</f>
        <v>0</v>
      </c>
      <c r="CU139" s="158" t="str">
        <f>CT139*VLOOKUP('Données projet'!$B$13,'Paramètres'!$A$1:$I$88,3,0)*VLOOKUP('Données projet'!$B$13,'Paramètres'!$A$1:$I$88,5,0)</f>
        <v>#N/A</v>
      </c>
      <c r="CV139" s="150" t="str">
        <f t="shared" si="42"/>
        <v>#N/A</v>
      </c>
      <c r="CW139" s="161" t="str">
        <f t="shared" si="14"/>
        <v>#N/A</v>
      </c>
      <c r="CX139" s="153" t="str">
        <f t="shared" si="15"/>
        <v>#N/A</v>
      </c>
      <c r="CY139" s="153" t="str">
        <f>AVERAGE(OFFSET($CX$3,0,0,'Données projet'!$E$13+1,1))-AVERAGE(OFFSET($H$3,0,0,'Données projet'!$E$13+1,1))</f>
        <v>#N/A</v>
      </c>
      <c r="CZ139" s="153" t="str">
        <f t="shared" si="43"/>
        <v>#N/A</v>
      </c>
      <c r="DA139" s="154">
        <f>IF(ISNA(VLOOKUP(A139,'Données projet'!$A$139:$I$159,3,0)),0,VLOOKUP(A139,'Données projet'!$A$139:$I$159,3,0))</f>
        <v>0</v>
      </c>
      <c r="DB139" s="154">
        <f>IF(ISNA(VLOOKUP(A139,'Données projet'!$A$139:$I$159,4,0)),0,VLOOKUP(A139,'Données projet'!$A$139:$I$159,4,0))</f>
        <v>0</v>
      </c>
      <c r="DC139" s="155">
        <f>IF(ISNA(VLOOKUP(A139,'Données projet'!$A$139:$I$159,5,0)),0%,VLOOKUP(A139,'Données projet'!$A$139:$I$159,5,0)*VLOOKUP('Données projet'!$B$13,'Paramètres'!$A$1:$I$88,7,0))</f>
        <v>0</v>
      </c>
      <c r="DD139" s="155">
        <f>IF(ISNA(VLOOKUP(A139,'Données projet'!$A$139:$I$159,6,0)),0%,VLOOKUP(A139,'Données projet'!$A$139:$I$159,6,0)*VLOOKUP('Données projet'!$B$13,'Paramètres'!$A$1:$I$88,7,0))</f>
        <v>0</v>
      </c>
      <c r="DE139" s="155">
        <f>IF(ISNA(VLOOKUP(A139,'Données projet'!$A$139:$I$159,7,0)),0%,VLOOKUP(A139,'Données projet'!$A$139:$I$159,7,0))</f>
        <v>0</v>
      </c>
      <c r="DF139" s="162" t="str">
        <f>EXP(-LN(2)/35)*DF138+(1-EXP(-LN(2)/35))/(LN(2)/35)*DB139*DC139*VLOOKUP('Données projet'!$B$13,'Paramètres'!$A$1:$I$88,3,0)*0.475*44/12</f>
        <v>#N/A</v>
      </c>
      <c r="DG139" s="162" t="str">
        <f>EXP(-LN(2)/25)*DG138+(1-EXP(-LN(2)/25))/(LN(2)/25)*Calculateur!DB139*Calculateur!DD139*VLOOKUP('Données projet'!$B$13,'Paramètres'!$A$1:$I$88,3,0)*0.475*44/12</f>
        <v>#N/A</v>
      </c>
      <c r="DH139" s="162" t="str">
        <f>EXP(-LN(2)/2)*DH138+(1-EXP(-LN(2)/2))/(LN(2)/2)*DB139*DE139*VLOOKUP('Données projet'!$B$13,'Paramètres'!$A$1:$I$88,3,0)*0.475*44/12</f>
        <v>#N/A</v>
      </c>
      <c r="DI139" s="163" t="str">
        <f t="shared" si="16"/>
        <v>#N/A</v>
      </c>
      <c r="DJ139" s="159">
        <f>('Scénario référence'!$F$8+'Scénario référence'!$F$9+'Scénario référence'!$B$17+'Scénario référence'!$B$9+'Scénario référence'!$B$10)*70+IF((45+25*(1-EXP(-0.0175*A139)))&lt;70,'Scénario référence'!$B$16*(45+25*(1-EXP(-0.0175*A139))),70*'Scénario référence'!$B$16)+IF((32+38*(1-EXP(-0.0175*A139)))&lt;70,'Scénario référence'!$B$18*(32+38*(1-EXP(-0.0175*A139))),70*'Scénario référence'!$B$18)</f>
        <v>70</v>
      </c>
      <c r="DK139" s="151">
        <f>IF(A139&gt;30,10,('Scénario référence'!$B$16+'Scénario référence'!$B$17+'Scénario référence'!$B$18+'Scénario référence'!$B$9+'Scénario référence'!$B$10)*A139*10/30+('Scénario référence'!$F$8+'Scénario référence'!$F$9)*10)</f>
        <v>10</v>
      </c>
      <c r="DL139" s="151" t="str">
        <f>VLOOKUP(A139,'Données projet'!$A$165:$I$185,2,0)</f>
        <v>#N/A</v>
      </c>
      <c r="DM139" s="151" t="str">
        <f>VLOOKUP(A139,'Données projet'!$A$165:$I$185,9,0)</f>
        <v>#N/A</v>
      </c>
      <c r="DN139" s="151" t="str">
        <f t="array" ref="DN139">INDEX(DM:DM,MIN(IF(ISNUMBER(DM139:DM335),ROW(DM139:DM335),"")))</f>
        <v/>
      </c>
      <c r="DO139" s="151">
        <f>IF('Données projet'!$A$166&gt;35,DO138+DN139-DW138,IF(A139&lt;'Données projet'!$A$166,$DL$205^A139,IF(A139='Données projet'!$A$166,'Données projet'!$B$166,DO138+DN139-DW138)))</f>
        <v>0</v>
      </c>
      <c r="DP139" s="158" t="str">
        <f>DO139*VLOOKUP('Données projet'!$B$14,'Paramètres'!$A$1:$I$88,3,0)*VLOOKUP('Données projet'!$B$14,'Paramètres'!$A$1:$I$88,5,0)</f>
        <v>#N/A</v>
      </c>
      <c r="DQ139" s="150" t="str">
        <f t="shared" si="44"/>
        <v>#N/A</v>
      </c>
      <c r="DR139" s="161" t="str">
        <f t="shared" si="17"/>
        <v>#N/A</v>
      </c>
      <c r="DS139" s="153" t="str">
        <f t="shared" si="18"/>
        <v>#N/A</v>
      </c>
      <c r="DT139" s="153" t="str">
        <f>AVERAGE(OFFSET($DS$3,0,0,'Données projet'!$E$14+1,1))-AVERAGE(OFFSET($H$3,0,0,'Données projet'!$E$14+1,1))</f>
        <v>#N/A</v>
      </c>
      <c r="DU139" s="153" t="str">
        <f t="shared" si="45"/>
        <v>#N/A</v>
      </c>
      <c r="DV139" s="154">
        <f>IF(ISNA(VLOOKUP(A139,'Données projet'!$A$165:$I$185,3,0)),0,VLOOKUP(A139,'Données projet'!$A$165:$I$185,3,0))</f>
        <v>0</v>
      </c>
      <c r="DW139" s="154">
        <f>IF(ISNA(VLOOKUP(A139,'Données projet'!$A$165:$I$185,4,0)),0,VLOOKUP(A139,'Données projet'!$A$165:$I$185,4,0))</f>
        <v>0</v>
      </c>
      <c r="DX139" s="155">
        <f>IF(ISNA(VLOOKUP(A139,'Données projet'!$A$165:$I$185,5,0)),0%,VLOOKUP(A139,'Données projet'!$A$165:$I$185,5,0)*VLOOKUP('Données projet'!$B$14,'Paramètres'!$A$1:$I$88,7,0))</f>
        <v>0</v>
      </c>
      <c r="DY139" s="155">
        <f>IF(ISNA(VLOOKUP(A139,'Données projet'!$A$165:$I$185,6,0)),0%,VLOOKUP(A139,'Données projet'!$A$165:$I$185,6,0)*VLOOKUP('Données projet'!$B$14,'Paramètres'!$A$1:$I$88,7,0))</f>
        <v>0</v>
      </c>
      <c r="DZ139" s="155">
        <f>IF(ISNA(VLOOKUP(A139,'Données projet'!$A$165:$I$185,7,0)),0%,VLOOKUP(A139,'Données projet'!$A$165:$I$185,7,0))</f>
        <v>0</v>
      </c>
      <c r="EA139" s="162" t="str">
        <f>EXP(-LN(2)/35)*EA138+(1-EXP(-LN(2)/35))/(LN(2)/35)*DW139*DX139*VLOOKUP('Données projet'!$B$14,'Paramètres'!$A$1:$I$88,3,0)*0.475*44/12</f>
        <v>#N/A</v>
      </c>
      <c r="EB139" s="162" t="str">
        <f>EXP(-LN(2)/25)*EB138+(1-EXP(-LN(2)/25))/(LN(2)/25)*Calculateur!DW139*Calculateur!DY139*VLOOKUP('Données projet'!$B$14,'Paramètres'!$A$1:$I$88,3,0)*0.475*44/12</f>
        <v>#N/A</v>
      </c>
      <c r="EC139" s="162" t="str">
        <f>EXP(-LN(2)/2)*EC138+(1-EXP(-LN(2)/2))/(LN(2)/2)*DW139*DZ139*VLOOKUP('Données projet'!$B$14,'Paramètres'!$A$1:$I$88,3,0)*0.475*44/12</f>
        <v>#N/A</v>
      </c>
      <c r="ED139" s="163" t="str">
        <f t="shared" si="19"/>
        <v>#N/A</v>
      </c>
      <c r="EE139" s="159">
        <f>('Scénario référence'!$F$8+'Scénario référence'!$F$9+'Scénario référence'!$B$17+'Scénario référence'!$B$9+'Scénario référence'!$B$10)*70+IF((45+25*(1-EXP(-0.0175*A139)))&lt;70,'Scénario référence'!$B$16*(45+25*(1-EXP(-0.0175*A139))),70*'Scénario référence'!$B$16)+IF((32+38*(1-EXP(-0.0175*A139)))&lt;70,'Scénario référence'!$B$18*(32+38*(1-EXP(-0.0175*A139))),70*'Scénario référence'!$B$18)</f>
        <v>70</v>
      </c>
      <c r="EF139" s="151">
        <f>IF(A139&gt;30,10,('Scénario référence'!$B$16+'Scénario référence'!$B$17+'Scénario référence'!$B$18+'Scénario référence'!$B$9+'Scénario référence'!$B$10)*A139*10/30+('Scénario référence'!$F$8+'Scénario référence'!$F$9)*10)</f>
        <v>10</v>
      </c>
      <c r="EG139" s="151" t="str">
        <f>VLOOKUP(A139,'Données projet'!$A$191:$I$211,2,0)</f>
        <v>#N/A</v>
      </c>
      <c r="EH139" s="151" t="str">
        <f>VLOOKUP(A139,'Données projet'!$A$191:$I$211,9,0)</f>
        <v>#N/A</v>
      </c>
      <c r="EI139" s="151" t="str">
        <f t="array" ref="EI139">INDEX(EH:EH,MIN(IF(ISNUMBER(EH139:EH335),ROW(EH139:EH335),"")))</f>
        <v/>
      </c>
      <c r="EJ139" s="151">
        <f>IF('Données projet'!$A$192&gt;35,EJ138+EI139-ER138,IF(A139&lt;'Données projet'!$A$192,$EG$205^A139,IF(A139='Données projet'!$A$192,'Données projet'!$B$192,EJ138+EI139-ER138)))</f>
        <v>0</v>
      </c>
      <c r="EK139" s="158" t="str">
        <f>EJ139*VLOOKUP('Données projet'!$B$15,'Paramètres'!$A$1:$I$88,3,0)*VLOOKUP('Données projet'!$B$15,'Paramètres'!$A$1:$I$88,5,0)</f>
        <v>#N/A</v>
      </c>
      <c r="EL139" s="150" t="str">
        <f t="shared" si="46"/>
        <v>#N/A</v>
      </c>
      <c r="EM139" s="161" t="str">
        <f t="shared" si="20"/>
        <v>#N/A</v>
      </c>
      <c r="EN139" s="153" t="str">
        <f t="shared" si="21"/>
        <v>#N/A</v>
      </c>
      <c r="EO139" s="153" t="str">
        <f>AVERAGE(OFFSET($EN$3,0,0,'Données projet'!$E$15+1,1))-AVERAGE(OFFSET($H$3,0,0,'Données projet'!$E$15+1,1))</f>
        <v>#N/A</v>
      </c>
      <c r="EP139" s="153" t="str">
        <f t="shared" si="47"/>
        <v>#N/A</v>
      </c>
      <c r="EQ139" s="154">
        <f>IF(ISNA(VLOOKUP(A139,'Données projet'!$A$191:$I$211,3,0)),0,VLOOKUP(A139,'Données projet'!$A$191:$I$211,3,0))</f>
        <v>0</v>
      </c>
      <c r="ER139" s="154">
        <f>IF(ISNA(VLOOKUP(A139,'Données projet'!$A$191:$I$211,4,0)),0,VLOOKUP(A139,'Données projet'!$A$191:$I$211,4,0))</f>
        <v>0</v>
      </c>
      <c r="ES139" s="155">
        <f>IF(ISNA(VLOOKUP(A139,'Données projet'!$A$191:$I$211,5,0)),0%,VLOOKUP(A139,'Données projet'!$A$191:$I$211,5,0)*VLOOKUP('Données projet'!$B$15,'Paramètres'!$A$1:$I$88,7,0))</f>
        <v>0</v>
      </c>
      <c r="ET139" s="155">
        <f>IF(ISNA(VLOOKUP(A139,'Données projet'!$A$191:$I$211,6,0)),0%,VLOOKUP(A139,'Données projet'!$A$191:$I$211,6,0)*VLOOKUP('Données projet'!$B$15,'Paramètres'!$A$1:$I$88,7,0))</f>
        <v>0</v>
      </c>
      <c r="EU139" s="155">
        <f>IF(ISNA(VLOOKUP(A139,'Données projet'!$A$191:$I$211,7,0)),0%,VLOOKUP(A139,'Données projet'!$A$191:$I$211,7,0))</f>
        <v>0</v>
      </c>
      <c r="EV139" s="162" t="str">
        <f>EXP(-LN(2)/35)*EV138+(1-EXP(-LN(2)/35))/(LN(2)/35)*ER139*ES139*VLOOKUP('Données projet'!$B$15,'Paramètres'!$A$1:$I$88,3,0)*0.475*44/12</f>
        <v>#N/A</v>
      </c>
      <c r="EW139" s="162" t="str">
        <f>EXP(-LN(2)/25)*EW138+(1-EXP(-LN(2)/25))/(LN(2)/25)*Calculateur!ER139*Calculateur!ET139*VLOOKUP('Données projet'!$B$15,'Paramètres'!$A$1:$I$88,3,0)*0.475*44/12</f>
        <v>#N/A</v>
      </c>
      <c r="EX139" s="162" t="str">
        <f>EXP(-LN(2)/2)*EX138+(1-EXP(-LN(2)/2))/(LN(2)/2)*ER139*EU139*VLOOKUP('Données projet'!$B$15,'Paramètres'!$A$1:$I$88,3,0)*0.475*44/12</f>
        <v>#N/A</v>
      </c>
      <c r="EY139" s="163" t="str">
        <f t="shared" si="22"/>
        <v>#N/A</v>
      </c>
      <c r="EZ139" s="159">
        <f>('Scénario référence'!$F$8+'Scénario référence'!$F$9+'Scénario référence'!$B$17+'Scénario référence'!$B$9+'Scénario référence'!$B$10)*70+IF((45+25*(1-EXP(-0.0175*A139)))&lt;70,'Scénario référence'!$B$16*(45+25*(1-EXP(-0.0175*A139))),70*'Scénario référence'!$B$16)+IF((32+38*(1-EXP(-0.0175*A139)))&lt;70,'Scénario référence'!$B$18*(32+38*(1-EXP(-0.0175*A139))),70*'Scénario référence'!$B$18)</f>
        <v>70</v>
      </c>
      <c r="FA139" s="151">
        <f>IF(A139&gt;30,10,('Scénario référence'!$B$16+'Scénario référence'!$B$17+'Scénario référence'!$B$18+'Scénario référence'!$B$9+'Scénario référence'!$B$10)*A139*10/30+('Scénario référence'!$F$8+'Scénario référence'!$F$9)*10)</f>
        <v>10</v>
      </c>
      <c r="FB139" s="151" t="str">
        <f>VLOOKUP(A139,'Données projet'!$A$217:$I$237,2,0)</f>
        <v>#N/A</v>
      </c>
      <c r="FC139" s="151" t="str">
        <f>VLOOKUP(A139,'Données projet'!$A$217:$I$237,9,0)</f>
        <v>#N/A</v>
      </c>
      <c r="FD139" s="151" t="str">
        <f t="array" ref="FD139">INDEX(FC:FC,MIN(IF(ISNUMBER(FC139:FC335),ROW(FC139:FC335),"")))</f>
        <v/>
      </c>
      <c r="FE139" s="151">
        <f>IF('Données projet'!$A$218&gt;35,FE138+FD139-FM138,IF(A139&lt;'Données projet'!$A$218,$FB$205^A139,IF(A139='Données projet'!$A$218,'Données projet'!$B$218,FE138+FD139-FM138)))</f>
        <v>0</v>
      </c>
      <c r="FF139" s="158" t="str">
        <f>FE139*VLOOKUP('Données projet'!$B$16,'Paramètres'!$A$1:$I$88,3,0)*VLOOKUP('Données projet'!$B$16,'Paramètres'!$A$1:$I$88,5,0)</f>
        <v>#N/A</v>
      </c>
      <c r="FG139" s="150" t="str">
        <f t="shared" si="48"/>
        <v>#N/A</v>
      </c>
      <c r="FH139" s="161" t="str">
        <f t="shared" si="23"/>
        <v>#N/A</v>
      </c>
      <c r="FI139" s="153" t="str">
        <f t="shared" si="24"/>
        <v>#N/A</v>
      </c>
      <c r="FJ139" s="153" t="str">
        <f>AVERAGE(OFFSET($FI$3,0,0,'Données projet'!$E$16+1,1))-AVERAGE(OFFSET($H$3,0,0,'Données projet'!$E$16+1,1))</f>
        <v>#N/A</v>
      </c>
      <c r="FK139" s="153" t="str">
        <f t="shared" si="49"/>
        <v>#N/A</v>
      </c>
      <c r="FL139" s="154">
        <f>IF(ISNA(VLOOKUP(A139,'Données projet'!$A$217:$I$237,3,0)),0,VLOOKUP(A139,'Données projet'!$A$217:$I$237,3,0))</f>
        <v>0</v>
      </c>
      <c r="FM139" s="154">
        <f>IF(ISNA(VLOOKUP(A139,'Données projet'!$A$217:$I$237,4,0)),0,VLOOKUP(A139,'Données projet'!$A$217:$I$237,4,0))</f>
        <v>0</v>
      </c>
      <c r="FN139" s="155">
        <f>IF(ISNA(VLOOKUP(A139,'Données projet'!$A$217:$I$237,5,0)),0%,VLOOKUP(A139,'Données projet'!$A$217:$I$237,5,0)*VLOOKUP('Données projet'!$B$16,'Paramètres'!$A$1:$I$88,7,0))</f>
        <v>0</v>
      </c>
      <c r="FO139" s="155">
        <f>IF(ISNA(VLOOKUP(A139,'Données projet'!$A$217:$I$237,6,0)),0%,VLOOKUP(A139,'Données projet'!$A$217:$I$237,6,0)*VLOOKUP('Données projet'!$B$16,'Paramètres'!$A$1:$I$88,7,0))</f>
        <v>0</v>
      </c>
      <c r="FP139" s="155">
        <f>IF(ISNA(VLOOKUP(A139,'Données projet'!$A$217:$I$237,7,0)),0%,VLOOKUP(A139,'Données projet'!$A$217:$I$237,7,0))</f>
        <v>0</v>
      </c>
      <c r="FQ139" s="162" t="str">
        <f>EXP(-LN(2)/35)*FQ138+(1-EXP(-LN(2)/35))/(LN(2)/35)*FM139*FN139*VLOOKUP('Données projet'!$B$16,'Paramètres'!$A$1:$I$88,3,0)*0.475*44/12</f>
        <v>#N/A</v>
      </c>
      <c r="FR139" s="162" t="str">
        <f>EXP(-LN(2)/25)*FR138+(1-EXP(-LN(2)/25))/(LN(2)/25)*Calculateur!FM139*Calculateur!FO139*VLOOKUP('Données projet'!$B$16,'Paramètres'!$A$1:$I$88,3,0)*0.475*44/12</f>
        <v>#N/A</v>
      </c>
      <c r="FS139" s="162" t="str">
        <f>EXP(-LN(2)/2)*FS138+(1-EXP(-LN(2)/2))/(LN(2)/2)*FM139*FP139*VLOOKUP('Données projet'!$B$16,'Paramètres'!$A$1:$I$88,3,0)*0.475*44/12</f>
        <v>#N/A</v>
      </c>
      <c r="FT139" s="163" t="str">
        <f t="shared" si="25"/>
        <v>#N/A</v>
      </c>
      <c r="FU139" s="159">
        <f>('Scénario référence'!$F$8+'Scénario référence'!$F$9+'Scénario référence'!$B$17+'Scénario référence'!$B$9+'Scénario référence'!$B$10)*70+IF((45+25*(1-EXP(-0.0175*A139)))&lt;70,'Scénario référence'!$B$16*(45+25*(1-EXP(-0.0175*A139))),70*'Scénario référence'!$B$16)+IF((32+38*(1-EXP(-0.0175*A139)))&lt;70,'Scénario référence'!$B$18*(32+38*(1-EXP(-0.0175*A139))),70*'Scénario référence'!$B$18)</f>
        <v>70</v>
      </c>
      <c r="FV139" s="151">
        <f>IF(A139&gt;30,10,('Scénario référence'!$B$16+'Scénario référence'!$B$17+'Scénario référence'!$B$18+'Scénario référence'!$B$9+'Scénario référence'!$B$10)*A139*10/30+('Scénario référence'!$F$8+'Scénario référence'!$F$9)*10)</f>
        <v>10</v>
      </c>
      <c r="FW139" s="151" t="str">
        <f>VLOOKUP(A139,'Données projet'!$A$243:$I$263,2,0)</f>
        <v>#N/A</v>
      </c>
      <c r="FX139" s="151" t="str">
        <f>VLOOKUP(A139,'Données projet'!$A$243:$I$263,9,0)</f>
        <v>#N/A</v>
      </c>
      <c r="FY139" s="151" t="str">
        <f t="array" ref="FY139">INDEX(FX:FX,MIN(IF(ISNUMBER(FX139:FX335),ROW(FX139:FX335),"")))</f>
        <v/>
      </c>
      <c r="FZ139" s="151">
        <f>IF('Données projet'!$A$244&gt;35,FZ138+FY139-GH138,IF(A139&lt;'Données projet'!$A$244,$FW$205^A139,IF(A139='Données projet'!$A$244,'Données projet'!$B$244,FZ138+FY139-GH138)))</f>
        <v>0</v>
      </c>
      <c r="GA139" s="158" t="str">
        <f>FZ139*VLOOKUP('Données projet'!$B$17,'Paramètres'!$A$1:$I$88,3,0)*VLOOKUP('Données projet'!$B$17,'Paramètres'!$A$1:$I$88,5,0)</f>
        <v>#N/A</v>
      </c>
      <c r="GB139" s="150" t="str">
        <f t="shared" si="50"/>
        <v>#N/A</v>
      </c>
      <c r="GC139" s="161" t="str">
        <f t="shared" si="26"/>
        <v>#N/A</v>
      </c>
      <c r="GD139" s="153" t="str">
        <f t="shared" si="27"/>
        <v>#N/A</v>
      </c>
      <c r="GE139" s="153" t="str">
        <f>AVERAGE(OFFSET($GD$3,0,0,'Données projet'!$E$17+1,1))-AVERAGE(OFFSET($H$3,0,0,'Données projet'!$E$17+1,1))</f>
        <v>#N/A</v>
      </c>
      <c r="GF139" s="153" t="str">
        <f t="shared" si="51"/>
        <v>#N/A</v>
      </c>
      <c r="GG139" s="154">
        <f>IF(ISNA(VLOOKUP(A139,'Données projet'!$A$243:$I$263,3,0)),0,VLOOKUP(A139,'Données projet'!$A$243:$I$263,3,0))</f>
        <v>0</v>
      </c>
      <c r="GH139" s="154">
        <f>IF(ISNA(VLOOKUP(A139,'Données projet'!$A$243:$I$263,4,0)),0,VLOOKUP(A139,'Données projet'!$A$243:$I$263,4,0))</f>
        <v>0</v>
      </c>
      <c r="GI139" s="155">
        <f>IF(ISNA(VLOOKUP(A139,'Données projet'!$A$243:$I$263,5,0)),0%,VLOOKUP(A139,'Données projet'!$A$243:$I$263,5,0)*VLOOKUP('Données projet'!$B$17,'Paramètres'!$A$1:$I$88,7,0))</f>
        <v>0</v>
      </c>
      <c r="GJ139" s="155">
        <f>IF(ISNA(VLOOKUP(A139,'Données projet'!$A$243:$I$263,6,0)),0%,VLOOKUP(A139,'Données projet'!$A$243:$I$263,6,0)*VLOOKUP('Données projet'!$B$17,'Paramètres'!$A$1:$I$88,7,0))</f>
        <v>0</v>
      </c>
      <c r="GK139" s="155">
        <f>IF(ISNA(VLOOKUP(A139,'Données projet'!$A$243:$I$263,7,0)),0%,VLOOKUP(A139,'Données projet'!$A$243:$I$263,7,0))</f>
        <v>0</v>
      </c>
      <c r="GL139" s="162" t="str">
        <f>EXP(-LN(2)/35)*GL138+(1-EXP(-LN(2)/35))/(LN(2)/35)*GH139*GI139*VLOOKUP('Données projet'!$B$17,'Paramètres'!$A$1:$I$88,3,0)*0.475*44/12</f>
        <v>#N/A</v>
      </c>
      <c r="GM139" s="162" t="str">
        <f>EXP(-LN(2)/25)*GM138+(1-EXP(-LN(2)/25))/(LN(2)/25)*Calculateur!GH139*Calculateur!GJ139*VLOOKUP('Données projet'!$B$17,'Paramètres'!$A$1:$I$88,3,0)*0.475*44/12</f>
        <v>#N/A</v>
      </c>
      <c r="GN139" s="162" t="str">
        <f>EXP(-LN(2)/2)*GN138+(1-EXP(-LN(2)/2))/(LN(2)/2)*GH139*GK139*VLOOKUP('Données projet'!$B$17,'Paramètres'!$A$1:$I$88,3,0)*0.475*44/12</f>
        <v>#N/A</v>
      </c>
      <c r="GO139" s="162" t="str">
        <f t="shared" si="28"/>
        <v>#N/A</v>
      </c>
      <c r="GP139" s="159">
        <f>('Scénario référence'!$F$8+'Scénario référence'!$F$9+'Scénario référence'!$B$17+'Scénario référence'!$B$9+'Scénario référence'!$B$10)*70+IF((45+25*(1-EXP(-0.0175*A139)))&lt;70,'Scénario référence'!$B$16*(45+25*(1-EXP(-0.0175*A139))),70*'Scénario référence'!$B$16)+IF((32+38*(1-EXP(-0.0175*A139)))&lt;70,'Scénario référence'!$B$18*(32+38*(1-EXP(-0.0175*A139))),70*'Scénario référence'!$B$18)</f>
        <v>70</v>
      </c>
      <c r="GQ139" s="151">
        <f>IF(A139&gt;30,10,('Scénario référence'!$B$16+'Scénario référence'!$B$17+'Scénario référence'!$B$18+'Scénario référence'!$B$9+'Scénario référence'!$B$10)*A139*10/30+('Scénario référence'!$F$8+'Scénario référence'!$F$9)*10)</f>
        <v>10</v>
      </c>
      <c r="GR139" s="151" t="str">
        <f>VLOOKUP(A139,'Données projet'!$A$269:$I$289,2,0)</f>
        <v>#N/A</v>
      </c>
      <c r="GS139" s="151" t="str">
        <f>VLOOKUP(A139,'Données projet'!$A$269:$I$289,9,0)</f>
        <v>#N/A</v>
      </c>
      <c r="GT139" s="151" t="str">
        <f t="array" ref="GT139">INDEX(GS:GS,MIN(IF(ISNUMBER(GS139:GS335),ROW(GS139:GS335),"")))</f>
        <v/>
      </c>
      <c r="GU139" s="151">
        <f>IF('Données projet'!$A$270&gt;35,GU138+GT139-HC138,IF(A139&lt;'Données projet'!$A$270,$GR$205^A139,IF(A139='Données projet'!$A$270,'Données projet'!$B$270,GU138+GT139-HC138)))</f>
        <v>0</v>
      </c>
      <c r="GV139" s="158" t="str">
        <f>GU139*VLOOKUP('Données projet'!$B$18,'Paramètres'!$A$1:$I$88,3,0)*VLOOKUP('Données projet'!$B$18,'Paramètres'!$A$1:$I$88,5,0)</f>
        <v>#N/A</v>
      </c>
      <c r="GW139" s="150" t="str">
        <f t="shared" si="52"/>
        <v>#N/A</v>
      </c>
      <c r="GX139" s="161" t="str">
        <f t="shared" si="29"/>
        <v>#N/A</v>
      </c>
      <c r="GY139" s="153" t="str">
        <f t="shared" si="30"/>
        <v>#N/A</v>
      </c>
      <c r="GZ139" s="153" t="str">
        <f>AVERAGE(OFFSET($GY$3,0,0,'Données projet'!$E$18+1,1))-AVERAGE(OFFSET($H$3,0,0,'Données projet'!$E$18+1,1))</f>
        <v>#N/A</v>
      </c>
      <c r="HA139" s="153" t="str">
        <f t="shared" si="53"/>
        <v>#N/A</v>
      </c>
      <c r="HB139" s="154">
        <f>IF(ISNA(VLOOKUP(A139,'Données projet'!$A$269:$I$289,3,0)),0,VLOOKUP(A139,'Données projet'!$A$269:$I$289,3,0))</f>
        <v>0</v>
      </c>
      <c r="HC139" s="154">
        <f>IF(ISNA(VLOOKUP(A139,'Données projet'!$A$269:$I$289,4,0)),0,VLOOKUP(A139,'Données projet'!$A$269:$I$289,4,0))</f>
        <v>0</v>
      </c>
      <c r="HD139" s="155">
        <f>IF(ISNA(VLOOKUP(A139,'Données projet'!$A$269:$I$289,5,0)),0%,VLOOKUP(A139,'Données projet'!$A$269:$I$289,5,0)*VLOOKUP('Données projet'!$B$18,'Paramètres'!$A$1:$I$88,7,0))</f>
        <v>0</v>
      </c>
      <c r="HE139" s="155">
        <f>IF(ISNA(VLOOKUP(A139,'Données projet'!$A$269:$I$289,6,0)),0%,VLOOKUP(A139,'Données projet'!$A$269:$I$289,6,0)*VLOOKUP('Données projet'!$B$18,'Paramètres'!$A$1:$I$88,7,0))</f>
        <v>0</v>
      </c>
      <c r="HF139" s="155">
        <f>IF(ISNA(VLOOKUP(A139,'Données projet'!$A$269:$I$289,7,0)),0%,VLOOKUP(A139,'Données projet'!$A$269:$I$289,7,0))</f>
        <v>0</v>
      </c>
      <c r="HG139" s="162" t="str">
        <f>EXP(-LN(2)/35)*HG138+(1-EXP(-LN(2)/35))/(LN(2)/35)*HC139*HD139*VLOOKUP('Données projet'!$B$18,'Paramètres'!$A$1:$I$88,3,0)*0.475*44/12</f>
        <v>#N/A</v>
      </c>
      <c r="HH139" s="162" t="str">
        <f>EXP(-LN(2)/25)*HH138+(1-EXP(-LN(2)/25))/(LN(2)/25)*Calculateur!HC139*Calculateur!HE139*VLOOKUP('Données projet'!$B$18,'Paramètres'!$A$1:$I$88,3,0)*0.475*44/12</f>
        <v>#N/A</v>
      </c>
      <c r="HI139" s="162" t="str">
        <f>EXP(-LN(2)/2)*HI138+(1-EXP(-LN(2)/2))/(LN(2)/2)*HC139*HF139*VLOOKUP('Données projet'!$B$18,'Paramètres'!$A$1:$I$88,3,0)*0.475*44/12</f>
        <v>#N/A</v>
      </c>
      <c r="HJ139" s="163" t="str">
        <f t="shared" si="31"/>
        <v>#N/A</v>
      </c>
    </row>
    <row r="140" ht="15.75" customHeight="1">
      <c r="A140" s="145">
        <f t="shared" si="32"/>
        <v>137</v>
      </c>
      <c r="B140" s="146">
        <f>'Scénario référence'!$B$16*5+'Scénario référence'!$B$17*0+'Scénario référence'!$B$18*5</f>
        <v>0</v>
      </c>
      <c r="C140" s="160">
        <f>Calculateur!C139+'Scénario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40" s="147">
        <f t="shared" si="33"/>
        <v>0</v>
      </c>
      <c r="E140" s="147">
        <f>'Scénario référence'!$B$16*45+('Scénario référence'!$B$17+'Scénario référence'!$F$8+'Scénario référence'!$F$9+'Scénario référence'!$B$10+'Scénario référence'!$B$9)*70+'Scénario référence'!$B$18*32</f>
        <v>70</v>
      </c>
      <c r="F140" s="147">
        <f>IF(OR('Scénario référence'!$F$8&gt;0,'Scénario référence'!$F$9&gt;0),('Scénario référence'!$F$8+'Scénario référence'!$F$9)*10,0)</f>
        <v>0</v>
      </c>
      <c r="G140" s="147">
        <f>'Scénario référence'!$B$8*B140*44/12+'Scénario référence'!$B$9*(C140+D140)/0.475*44/12+'Scénario référence'!$B$10*(C140+D140)/0.475*44/12+'Scénario référence'!$F$8*(C140+D140)/0.475*44/12+'Scénario référence'!$F$9*(C140+D140)/0.475*44/12</f>
        <v>0</v>
      </c>
      <c r="H140" s="148">
        <f t="shared" si="1"/>
        <v>256.6666667</v>
      </c>
      <c r="I140" s="149">
        <f>('Scénario référence'!$F$8+'Scénario référence'!$F$9+'Scénario référence'!$B$17+'Scénario référence'!$B$9+'Scénario référence'!$B$10)*70+IF((45+25*(1-EXP(-0.0175*A140)))&lt;70,'Scénario référence'!$B$16*(45+25*(1-EXP(-0.0175*A140))),70*'Scénario référence'!$B$16)+IF((32+38*(1-EXP(-0.0175*A140)))&lt;70,'Scénario référence'!$B$18*(32+38*(1-EXP(-0.0175*A140))),70*'Scénario référence'!$B$18)</f>
        <v>70</v>
      </c>
      <c r="J140" s="150">
        <f>IF(A140&gt;30,10,('Scénario référence'!$B$16+'Scénario référence'!$B$17+'Scénario référence'!$B$18+'Scénario référence'!$B$9+'Scénario référence'!$B$10)*A140*10/30+('Scénario référence'!$F$8+'Scénario référence'!$F$9)*10)</f>
        <v>10</v>
      </c>
      <c r="K140" s="151" t="str">
        <f>VLOOKUP(A140,'Données projet'!$A$35:$I$55,2,0)</f>
        <v>#N/A</v>
      </c>
      <c r="L140" s="151" t="str">
        <f>VLOOKUP(A140,'Données projet'!$A$35:$I$55,9,0)</f>
        <v>#N/A</v>
      </c>
      <c r="M140" s="151" t="str">
        <f t="array" ref="M140">INDEX(L:L,MIN(IF(ISNUMBER(L140:L336),ROW(L140:L336),"")))</f>
        <v/>
      </c>
      <c r="N140" s="150">
        <f>IF('Données projet'!$A$36&gt;35,N139+M140-V139,IF(A140&lt;'Données projet'!$A$36,$K$205^A140,IF(A140='Données projet'!$A$36,'Données projet'!$B$36,N139+M140-V139)))</f>
        <v>307</v>
      </c>
      <c r="O140" s="150">
        <f>N140*VLOOKUP('Données projet'!$B$9,'Paramètres'!$A$1:$I$88,3,0)*VLOOKUP('Données projet'!$B$9,'Paramètres'!$A$1:$I$88,5,0)</f>
        <v>277.7736</v>
      </c>
      <c r="P140" s="150">
        <f t="shared" si="34"/>
        <v>66.49628818</v>
      </c>
      <c r="Q140" s="161">
        <f t="shared" si="2"/>
        <v>599.6033886</v>
      </c>
      <c r="R140" s="153">
        <f t="shared" si="3"/>
        <v>892.9367219</v>
      </c>
      <c r="S140" s="153">
        <f>AVERAGE(OFFSET($R$3,0,0,'Données projet'!$E$9+1,1))-AVERAGE(OFFSET($H$3,0,0,'Données projet'!$E$9+1,1))</f>
        <v>439.1985427</v>
      </c>
      <c r="T140" s="153">
        <f t="shared" si="35"/>
        <v>278.2174123</v>
      </c>
      <c r="U140" s="154">
        <f>IF(ISNA(VLOOKUP(A140,'Données projet'!$A$35:$I$55,3,0)),0,VLOOKUP(A140,'Données projet'!$A$35:$I$55,3,0))</f>
        <v>0</v>
      </c>
      <c r="V140" s="154">
        <f>IF(ISNA(VLOOKUP(A140,'Données projet'!$A$35:$I$55,4,0)),0,VLOOKUP(A140,'Données projet'!$A$35:$I$55,4,0))</f>
        <v>0</v>
      </c>
      <c r="W140" s="155">
        <f>IF(ISNA(VLOOKUP(A140,'Données projet'!$A$35:$I$55,5,0)),0%,VLOOKUP(A140,'Données projet'!$A$35:$I$55,5,0)*VLOOKUP('Données projet'!$B$9,'Paramètres'!$A$1:$I$88,7,0))</f>
        <v>0</v>
      </c>
      <c r="X140" s="155">
        <f>IF(ISNA(VLOOKUP(A140,'Données projet'!$A$35:$I$55,6,0)),0%,VLOOKUP(A140,'Données projet'!$A$35:$I$55,6,0)*VLOOKUP('Données projet'!$B$9,'Paramètres'!$A$1:$I$88,7,0))</f>
        <v>0</v>
      </c>
      <c r="Y140" s="155">
        <f>IF(ISNA(VLOOKUP(A140,'Données projet'!$A$35:$I$55,7,0)),0%,VLOOKUP(A140,'Données projet'!$A$35:$I$55,7,0))</f>
        <v>0</v>
      </c>
      <c r="Z140" s="162">
        <f>EXP(-LN(2)/35)*Z139+(1-EXP(-LN(2)/35))/(LN(2)/35)*V140*W140*VLOOKUP('Données projet'!$B$9,'Paramètres'!$A$1:$I$88,3,0)*0.475*44/12</f>
        <v>0</v>
      </c>
      <c r="AA140" s="162">
        <f>EXP(-LN(2)/25)*AA139+(1-EXP(-LN(2)/25))/(LN(2)/25)*Calculateur!V140*Calculateur!X140*VLOOKUP('Données projet'!$B$9,'Paramètres'!$A$1:$I$88,3,0)*0.475*44/12</f>
        <v>0.230995701</v>
      </c>
      <c r="AB140" s="162">
        <f>EXP(-LN(2)/2)*AB139+(1-EXP(-LN(2)/2))/(LN(2)/2)*V140*Y140*VLOOKUP('Données projet'!$B$9,'Paramètres'!$A$1:$I$88,3,0)*0.475*44/12</f>
        <v>0</v>
      </c>
      <c r="AC140" s="163">
        <f t="shared" si="4"/>
        <v>0.230995701</v>
      </c>
      <c r="AD140" s="150">
        <f>('Scénario référence'!$F$8+'Scénario référence'!$F$9+'Scénario référence'!$B$17+'Scénario référence'!$B$9+'Scénario référence'!$B$10)*70+IF((45+25*(1-EXP(-0.0175*A140)))&lt;70,'Scénario référence'!$B$16*(45+25*(1-EXP(-0.0175*A140))),70*'Scénario référence'!$B$16)+IF((32+38*(1-EXP(-0.0175*A140)))&lt;70,'Scénario référence'!$B$18*(32+38*(1-EXP(-0.0175*A140))),70*'Scénario référence'!$B$18)</f>
        <v>70</v>
      </c>
      <c r="AE140" s="150">
        <f>IF(A140&gt;30,10,('Scénario référence'!$B$16+'Scénario référence'!$B$17+'Scénario référence'!$B$18+'Scénario référence'!$B$9+'Scénario référence'!$B$10)*A140*10/30+('Scénario référence'!$F$8+'Scénario référence'!$F$9)*10)</f>
        <v>10</v>
      </c>
      <c r="AF140" s="151" t="str">
        <f>VLOOKUP(A140,'Données projet'!$A$61:$I$81,2,0)</f>
        <v>#N/A</v>
      </c>
      <c r="AG140" s="151" t="str">
        <f>VLOOKUP(A140,'Données projet'!$A$61:$I$81,9,0)</f>
        <v>#N/A</v>
      </c>
      <c r="AH140" s="151" t="str">
        <f t="array" ref="AH140">INDEX(AG:AG,MIN(IF(ISNUMBER(AG140:AG336),ROW(AG140:AG336),"")))</f>
        <v/>
      </c>
      <c r="AI140" s="150">
        <f>IF('Données projet'!$A$62&gt;35,AI139+AH140-AQ139,IF(A140&lt;'Données projet'!$A$62,$AF$205^A140,IF(A140='Données projet'!$A$62,'Données projet'!$B$62,AI139+AH140-AQ139)))</f>
        <v>369</v>
      </c>
      <c r="AJ140" s="150">
        <f>AI140*VLOOKUP('Données projet'!$B$10,'Paramètres'!$A$1:$I$88,3,0)*VLOOKUP('Données projet'!$B$10,'Paramètres'!$A$1:$I$88,5,0)</f>
        <v>293.5764</v>
      </c>
      <c r="AK140" s="150">
        <f t="shared" si="36"/>
        <v>69.82813851</v>
      </c>
      <c r="AL140" s="161">
        <f t="shared" si="5"/>
        <v>632.9295712</v>
      </c>
      <c r="AM140" s="153">
        <f t="shared" si="6"/>
        <v>926.2629046</v>
      </c>
      <c r="AN140" s="153">
        <f>AVERAGE(OFFSET($AM$3,0,0,'Données projet'!$E$10+1,1))-AVERAGE(OFFSET($H$3,0,0,'Données projet'!$E$10+1,1))</f>
        <v>405.6113614</v>
      </c>
      <c r="AO140" s="153">
        <f t="shared" si="37"/>
        <v>393.0787141</v>
      </c>
      <c r="AP140" s="154">
        <f>IF(ISNA(VLOOKUP(A140,'Données projet'!$A$61:$I$81,3,0)),0,VLOOKUP(A140,'Données projet'!$A$61:$I$81,3,0))</f>
        <v>0</v>
      </c>
      <c r="AQ140" s="154">
        <f>IF(ISNA(VLOOKUP(A140,'Données projet'!$A$61:$I$81,4,0)),0,VLOOKUP(A140,'Données projet'!$A$61:$I$81,4,0))</f>
        <v>0</v>
      </c>
      <c r="AR140" s="155">
        <f>IF(ISNA(VLOOKUP(A140,'Données projet'!$A$61:$I$81,5,0)),0%,VLOOKUP(A140,'Données projet'!$A$61:$I$81,5,0)*VLOOKUP('Données projet'!$B$10,'Paramètres'!$A$1:$I$88,7,0))</f>
        <v>0</v>
      </c>
      <c r="AS140" s="155">
        <f>IF(ISNA(VLOOKUP(A140,'Données projet'!$A$61:$I$81,6,0)),0%,VLOOKUP(A140,'Données projet'!$A$61:$I$81,6,0)*VLOOKUP('Données projet'!$B$10,'Paramètres'!$A$1:$I$88,7,0))</f>
        <v>0</v>
      </c>
      <c r="AT140" s="155">
        <f>IF(ISNA(VLOOKUP(A140,'Données projet'!$A$61:$I$81,7,0)),0%,VLOOKUP(A140,'Données projet'!$A$61:$I$81,7,0))</f>
        <v>0</v>
      </c>
      <c r="AU140" s="162">
        <f>EXP(-LN(2)/35)*AU139+(1-EXP(-LN(2)/35))/(LN(2)/35)*AQ140*AR140*VLOOKUP('Données projet'!$B$10,'Paramètres'!$A$1:$I$88,3,0)*0.475*44/12</f>
        <v>0</v>
      </c>
      <c r="AV140" s="162">
        <f>EXP(-LN(2)/25)*AV139+(1-EXP(-LN(2)/25))/(LN(2)/25)*Calculateur!AQ140*Calculateur!AS140*VLOOKUP('Données projet'!$B$10,'Paramètres'!$A$1:$I$88,3,0)*0.475*44/12</f>
        <v>0.9388252505</v>
      </c>
      <c r="AW140" s="162">
        <f>EXP(-LN(2)/2)*AW139+(1-EXP(-LN(2)/2))/(LN(2)/2)*AQ140*AT140*VLOOKUP('Données projet'!$B$10,'Paramètres'!$A$1:$I$88,3,0)*0.475*44/12</f>
        <v>0</v>
      </c>
      <c r="AX140" s="162">
        <f t="shared" si="7"/>
        <v>0.9388252505</v>
      </c>
      <c r="AY140" s="157">
        <f>('Scénario référence'!$F$8+'Scénario référence'!$F$9+'Scénario référence'!$B$17+'Scénario référence'!$B$9+'Scénario référence'!$B$10)*70+IF((45+25*(1-EXP(-0.0175*A140)))&lt;70,'Scénario référence'!$B$16*(45+25*(1-EXP(-0.0175*A140))),70*'Scénario référence'!$B$16)+IF((32+38*(1-EXP(-0.0175*A140)))&lt;70,'Scénario référence'!$B$18*(32+38*(1-EXP(-0.0175*A140))),70*'Scénario référence'!$B$18)</f>
        <v>70</v>
      </c>
      <c r="AZ140" s="151">
        <f>IF(A140&gt;30,10,('Scénario référence'!$B$16+'Scénario référence'!$B$17+'Scénario référence'!$B$18+'Scénario référence'!$B$9+'Scénario référence'!$B$10)*A140*10/30+('Scénario référence'!$F$8+'Scénario référence'!$F$9)*10)</f>
        <v>10</v>
      </c>
      <c r="BA140" s="151" t="str">
        <f>VLOOKUP(A140,'Données projet'!$A$87:$I$107,2,0)</f>
        <v>#N/A</v>
      </c>
      <c r="BB140" s="151" t="str">
        <f>VLOOKUP(A140,'Données projet'!$A$87:$I$107,9,0)</f>
        <v>#N/A</v>
      </c>
      <c r="BC140" s="151" t="str">
        <f t="array" ref="BC140">INDEX(BB:BB,MIN(IF(ISNUMBER(BB140:BB336),ROW(BB140:BB336),"")))</f>
        <v/>
      </c>
      <c r="BD140" s="150">
        <f>IF('Données projet'!$A$88&gt;35,BD139+BC140-BL139,IF(A140&lt;'Données projet'!$A$88,$BA$205^A140,IF(A140='Données projet'!$A$88,'Données projet'!$B$88,BD139+BC140-BL139)))</f>
        <v>0</v>
      </c>
      <c r="BE140" s="150">
        <f>BD140*VLOOKUP('Données projet'!$B$11,'Paramètres'!$A$1:$I$88,3,0)*VLOOKUP('Données projet'!$B$11,'Paramètres'!$A$1:$I$88,5,0)</f>
        <v>0</v>
      </c>
      <c r="BF140" s="150" t="str">
        <f t="shared" si="38"/>
        <v>#NUM!</v>
      </c>
      <c r="BG140" s="161" t="str">
        <f t="shared" si="8"/>
        <v>#NUM!</v>
      </c>
      <c r="BH140" s="153" t="str">
        <f t="shared" si="9"/>
        <v>#NUM!</v>
      </c>
      <c r="BI140" s="153">
        <f>AVERAGE(OFFSET($BH$3,0,0,'Données projet'!$E$11+1,1))-AVERAGE(OFFSET($H$3,0,0,'Données projet'!$E$11+1,1))</f>
        <v>0</v>
      </c>
      <c r="BJ140" s="153">
        <f t="shared" si="39"/>
        <v>0</v>
      </c>
      <c r="BK140" s="154">
        <f>IF(ISNA(VLOOKUP(A140,'Données projet'!$A$87:$I$107,3,0)),0,VLOOKUP(A140,'Données projet'!$A$87:$I$107,3,0))</f>
        <v>0</v>
      </c>
      <c r="BL140" s="154">
        <f>IF(ISNA(VLOOKUP(A140,'Données projet'!$A$87:$I$107,4,0)),0,VLOOKUP(A140,'Données projet'!$A$87:$I$107,4,0))</f>
        <v>0</v>
      </c>
      <c r="BM140" s="155">
        <f>IF(ISNA(VLOOKUP(A140,'Données projet'!$A$87:$I$107,5,0)),0%,VLOOKUP(A140,'Données projet'!$A$87:$I$107,5,0)*VLOOKUP('Données projet'!$B$11,'Paramètres'!$A$1:$I$88,7,0))</f>
        <v>0</v>
      </c>
      <c r="BN140" s="155">
        <f>IF(ISNA(VLOOKUP(A140,'Données projet'!$A$87:$I$107,6,0)),0%,VLOOKUP(A140,'Données projet'!$A$87:$I$107,6,0)*VLOOKUP('Données projet'!$B$11,'Paramètres'!$A$1:$I$88,7,0))</f>
        <v>0</v>
      </c>
      <c r="BO140" s="155">
        <f>IF(ISNA(VLOOKUP(A140,'Données projet'!$A$87:$I$107,7,0)),0%,VLOOKUP(A140,'Données projet'!$A$87:$I$107,7,0))</f>
        <v>0</v>
      </c>
      <c r="BP140" s="162">
        <f>EXP(-LN(2)/35)*BP139+(1-EXP(-LN(2)/35))/(LN(2)/35)*BL140*BM140*VLOOKUP('Données projet'!$B$11,'Paramètres'!$A$1:$I$88,3,0)*0.475*44/12</f>
        <v>0</v>
      </c>
      <c r="BQ140" s="162">
        <f>EXP(-LN(2)/25)*BQ139+(1-EXP(-LN(2)/25))/(LN(2)/25)*Calculateur!BL140*Calculateur!BN140*VLOOKUP('Données projet'!$B$11,'Paramètres'!$A$1:$I$88,3,0)*0.475*44/12</f>
        <v>0</v>
      </c>
      <c r="BR140" s="162">
        <f>EXP(-LN(2)/2)*BR139+(1-EXP(-LN(2)/2))/(LN(2)/2)*BL140*BO140*VLOOKUP('Données projet'!$B$11,'Paramètres'!$A$1:$I$88,3,0)*0.475*44/12</f>
        <v>0</v>
      </c>
      <c r="BS140" s="163">
        <f t="shared" si="10"/>
        <v>0</v>
      </c>
      <c r="BT140" s="159">
        <f>('Scénario référence'!$F$8+'Scénario référence'!$F$9+'Scénario référence'!$B$17+'Scénario référence'!$B$9+'Scénario référence'!$B$10)*70+IF((45+25*(1-EXP(-0.0175*A140)))&lt;70,'Scénario référence'!$B$16*(45+25*(1-EXP(-0.0175*A140))),70*'Scénario référence'!$B$16)+IF((32+38*(1-EXP(-0.0175*A140)))&lt;70,'Scénario référence'!$B$18*(32+38*(1-EXP(-0.0175*A140))),70*'Scénario référence'!$B$18)</f>
        <v>70</v>
      </c>
      <c r="BU140" s="151">
        <f>IF(A140&gt;30,10,('Scénario référence'!$B$16+'Scénario référence'!$B$17+'Scénario référence'!$B$18+'Scénario référence'!$B$9+'Scénario référence'!$B$10)*A140*10/30+('Scénario référence'!$F$8+'Scénario référence'!$F$9)*10)</f>
        <v>10</v>
      </c>
      <c r="BV140" s="151" t="str">
        <f>VLOOKUP(A140,'Données projet'!$A$113:$I$133,2,0)</f>
        <v>#N/A</v>
      </c>
      <c r="BW140" s="151" t="str">
        <f>VLOOKUP(A140,'Données projet'!$A$113:$I$133,9,0)</f>
        <v>#N/A</v>
      </c>
      <c r="BX140" s="151" t="str">
        <f t="array" ref="BX140">INDEX(BW:BW,MIN(IF(ISNUMBER(BW140:BW336),ROW(BW140:BW336),"")))</f>
        <v/>
      </c>
      <c r="BY140" s="150">
        <f>IF('Données projet'!$A$114&gt;35,BY139+BX140-CG139,IF(A140&lt;'Données projet'!$A$114,$BV$205^A140,IF(A140='Données projet'!$A$114,'Données projet'!$B$114,BY139+BX140-CG139)))</f>
        <v>0</v>
      </c>
      <c r="BZ140" s="150" t="str">
        <f>BY140*VLOOKUP('Données projet'!$B$12,'Paramètres'!$A$1:$I$88,3,0)*VLOOKUP('Données projet'!$B$12,'Paramètres'!$A$1:$I$88,5,0)</f>
        <v>#N/A</v>
      </c>
      <c r="CA140" s="150" t="str">
        <f t="shared" si="40"/>
        <v>#N/A</v>
      </c>
      <c r="CB140" s="161" t="str">
        <f t="shared" si="11"/>
        <v>#N/A</v>
      </c>
      <c r="CC140" s="153" t="str">
        <f t="shared" si="12"/>
        <v>#N/A</v>
      </c>
      <c r="CD140" s="153" t="str">
        <f>AVERAGE(OFFSET($CC$3,0,0,'Données projet'!$E$12+1,1))-AVERAGE(OFFSET($H$3,0,0,'Données projet'!$E$12+1,1))</f>
        <v>#N/A</v>
      </c>
      <c r="CE140" s="153" t="str">
        <f t="shared" si="41"/>
        <v>#N/A</v>
      </c>
      <c r="CF140" s="154">
        <f>IF(ISNA(VLOOKUP(A140,'Données projet'!$A$113:$I$133,3,0)),0,VLOOKUP(A140,'Données projet'!$A$113:$I$133,3,0))</f>
        <v>0</v>
      </c>
      <c r="CG140" s="154">
        <f>IF(ISNA(VLOOKUP(A140,'Données projet'!$A$113:$I$133,4,0)),0,VLOOKUP(A140,'Données projet'!$A$113:$I$133,4,0))</f>
        <v>0</v>
      </c>
      <c r="CH140" s="155">
        <f>IF(ISNA(VLOOKUP(A140,'Données projet'!$A$113:$I$133,5,0)),0%,VLOOKUP(A140,'Données projet'!$A$113:$I$133,5,0)*VLOOKUP('Données projet'!$B$12,'Paramètres'!$A$1:$I$88,7,0))</f>
        <v>0</v>
      </c>
      <c r="CI140" s="155">
        <f>IF(ISNA(VLOOKUP(A140,'Données projet'!$A$113:$I$133,6,0)),0%,VLOOKUP(A140,'Données projet'!$A$113:$I$133,6,0)*VLOOKUP('Données projet'!$B$12,'Paramètres'!$A$1:$I$88,7,0))</f>
        <v>0</v>
      </c>
      <c r="CJ140" s="155">
        <f>IF(ISNA(VLOOKUP(A140,'Données projet'!$A$113:$I$133,7,0)),0%,VLOOKUP(A140,'Données projet'!$A$113:$I$133,7,0))</f>
        <v>0</v>
      </c>
      <c r="CK140" s="162" t="str">
        <f>EXP(-LN(2)/35)*CK139+(1-EXP(-LN(2)/35))/(LN(2)/35)*CG140*CH140*VLOOKUP('Données projet'!$B$12,'Paramètres'!$A$1:$I$88,3,0)*0.475*44/12</f>
        <v>#N/A</v>
      </c>
      <c r="CL140" s="162" t="str">
        <f>EXP(-LN(2)/25)*CL139+(1-EXP(-LN(2)/25))/(LN(2)/25)*Calculateur!CG140*Calculateur!CI140*VLOOKUP('Données projet'!$B$12,'Paramètres'!$A$1:$I$88,3,0)*0.475*44/12</f>
        <v>#N/A</v>
      </c>
      <c r="CM140" s="162" t="str">
        <f>EXP(-LN(2)/2)*CM139+(1-EXP(-LN(2)/2))/(LN(2)/2)*CG140*CJ140*VLOOKUP('Données projet'!$B$12,'Paramètres'!$A$1:$I$88,3,0)*0.475*44/12</f>
        <v>#N/A</v>
      </c>
      <c r="CN140" s="163" t="str">
        <f t="shared" si="13"/>
        <v>#N/A</v>
      </c>
      <c r="CO140" s="159">
        <f>('Scénario référence'!$F$8+'Scénario référence'!$F$9+'Scénario référence'!$B$17+'Scénario référence'!$B$9+'Scénario référence'!$B$10)*70+IF((45+25*(1-EXP(-0.0175*A140)))&lt;70,'Scénario référence'!$B$16*(45+25*(1-EXP(-0.0175*A140))),70*'Scénario référence'!$B$16)+IF((32+38*(1-EXP(-0.0175*A140)))&lt;70,'Scénario référence'!$B$18*(32+38*(1-EXP(-0.0175*A140))),70*'Scénario référence'!$B$18)</f>
        <v>70</v>
      </c>
      <c r="CP140" s="151">
        <f>IF(A140&gt;30,10,('Scénario référence'!$B$16+'Scénario référence'!$B$17+'Scénario référence'!$B$18+'Scénario référence'!$B$9+'Scénario référence'!$B$10)*A140*10/30+('Scénario référence'!$F$8+'Scénario référence'!$F$9)*10)</f>
        <v>10</v>
      </c>
      <c r="CQ140" s="151" t="str">
        <f>VLOOKUP(A140,'Données projet'!$A$139:$I$159,2,0)</f>
        <v>#N/A</v>
      </c>
      <c r="CR140" s="151" t="str">
        <f>VLOOKUP(A140,'Données projet'!$A$139:$I$159,9,0)</f>
        <v>#N/A</v>
      </c>
      <c r="CS140" s="151" t="str">
        <f t="array" ref="CS140">INDEX(CR:CR,MIN(IF(ISNUMBER(CR140:CR336),ROW(CR140:CR336),"")))</f>
        <v/>
      </c>
      <c r="CT140" s="151">
        <f>IF('Données projet'!$A$140&gt;35,CT139+CS140-DB139,IF(A140&lt;'Données projet'!$A$140,$CQ$205^A140,IF(A140='Données projet'!$A$140,'Données projet'!$B$140,CT139+CS140-DB139)))</f>
        <v>0</v>
      </c>
      <c r="CU140" s="158" t="str">
        <f>CT140*VLOOKUP('Données projet'!$B$13,'Paramètres'!$A$1:$I$88,3,0)*VLOOKUP('Données projet'!$B$13,'Paramètres'!$A$1:$I$88,5,0)</f>
        <v>#N/A</v>
      </c>
      <c r="CV140" s="150" t="str">
        <f t="shared" si="42"/>
        <v>#N/A</v>
      </c>
      <c r="CW140" s="161" t="str">
        <f t="shared" si="14"/>
        <v>#N/A</v>
      </c>
      <c r="CX140" s="153" t="str">
        <f t="shared" si="15"/>
        <v>#N/A</v>
      </c>
      <c r="CY140" s="153" t="str">
        <f>AVERAGE(OFFSET($CX$3,0,0,'Données projet'!$E$13+1,1))-AVERAGE(OFFSET($H$3,0,0,'Données projet'!$E$13+1,1))</f>
        <v>#N/A</v>
      </c>
      <c r="CZ140" s="153" t="str">
        <f t="shared" si="43"/>
        <v>#N/A</v>
      </c>
      <c r="DA140" s="154">
        <f>IF(ISNA(VLOOKUP(A140,'Données projet'!$A$139:$I$159,3,0)),0,VLOOKUP(A140,'Données projet'!$A$139:$I$159,3,0))</f>
        <v>0</v>
      </c>
      <c r="DB140" s="154">
        <f>IF(ISNA(VLOOKUP(A140,'Données projet'!$A$139:$I$159,4,0)),0,VLOOKUP(A140,'Données projet'!$A$139:$I$159,4,0))</f>
        <v>0</v>
      </c>
      <c r="DC140" s="155">
        <f>IF(ISNA(VLOOKUP(A140,'Données projet'!$A$139:$I$159,5,0)),0%,VLOOKUP(A140,'Données projet'!$A$139:$I$159,5,0)*VLOOKUP('Données projet'!$B$13,'Paramètres'!$A$1:$I$88,7,0))</f>
        <v>0</v>
      </c>
      <c r="DD140" s="155">
        <f>IF(ISNA(VLOOKUP(A140,'Données projet'!$A$139:$I$159,6,0)),0%,VLOOKUP(A140,'Données projet'!$A$139:$I$159,6,0)*VLOOKUP('Données projet'!$B$13,'Paramètres'!$A$1:$I$88,7,0))</f>
        <v>0</v>
      </c>
      <c r="DE140" s="155">
        <f>IF(ISNA(VLOOKUP(A140,'Données projet'!$A$139:$I$159,7,0)),0%,VLOOKUP(A140,'Données projet'!$A$139:$I$159,7,0))</f>
        <v>0</v>
      </c>
      <c r="DF140" s="162" t="str">
        <f>EXP(-LN(2)/35)*DF139+(1-EXP(-LN(2)/35))/(LN(2)/35)*DB140*DC140*VLOOKUP('Données projet'!$B$13,'Paramètres'!$A$1:$I$88,3,0)*0.475*44/12</f>
        <v>#N/A</v>
      </c>
      <c r="DG140" s="162" t="str">
        <f>EXP(-LN(2)/25)*DG139+(1-EXP(-LN(2)/25))/(LN(2)/25)*Calculateur!DB140*Calculateur!DD140*VLOOKUP('Données projet'!$B$13,'Paramètres'!$A$1:$I$88,3,0)*0.475*44/12</f>
        <v>#N/A</v>
      </c>
      <c r="DH140" s="162" t="str">
        <f>EXP(-LN(2)/2)*DH139+(1-EXP(-LN(2)/2))/(LN(2)/2)*DB140*DE140*VLOOKUP('Données projet'!$B$13,'Paramètres'!$A$1:$I$88,3,0)*0.475*44/12</f>
        <v>#N/A</v>
      </c>
      <c r="DI140" s="163" t="str">
        <f t="shared" si="16"/>
        <v>#N/A</v>
      </c>
      <c r="DJ140" s="159">
        <f>('Scénario référence'!$F$8+'Scénario référence'!$F$9+'Scénario référence'!$B$17+'Scénario référence'!$B$9+'Scénario référence'!$B$10)*70+IF((45+25*(1-EXP(-0.0175*A140)))&lt;70,'Scénario référence'!$B$16*(45+25*(1-EXP(-0.0175*A140))),70*'Scénario référence'!$B$16)+IF((32+38*(1-EXP(-0.0175*A140)))&lt;70,'Scénario référence'!$B$18*(32+38*(1-EXP(-0.0175*A140))),70*'Scénario référence'!$B$18)</f>
        <v>70</v>
      </c>
      <c r="DK140" s="151">
        <f>IF(A140&gt;30,10,('Scénario référence'!$B$16+'Scénario référence'!$B$17+'Scénario référence'!$B$18+'Scénario référence'!$B$9+'Scénario référence'!$B$10)*A140*10/30+('Scénario référence'!$F$8+'Scénario référence'!$F$9)*10)</f>
        <v>10</v>
      </c>
      <c r="DL140" s="151" t="str">
        <f>VLOOKUP(A140,'Données projet'!$A$165:$I$185,2,0)</f>
        <v>#N/A</v>
      </c>
      <c r="DM140" s="151" t="str">
        <f>VLOOKUP(A140,'Données projet'!$A$165:$I$185,9,0)</f>
        <v>#N/A</v>
      </c>
      <c r="DN140" s="151" t="str">
        <f t="array" ref="DN140">INDEX(DM:DM,MIN(IF(ISNUMBER(DM140:DM336),ROW(DM140:DM336),"")))</f>
        <v/>
      </c>
      <c r="DO140" s="151">
        <f>IF('Données projet'!$A$166&gt;35,DO139+DN140-DW139,IF(A140&lt;'Données projet'!$A$166,$DL$205^A140,IF(A140='Données projet'!$A$166,'Données projet'!$B$166,DO139+DN140-DW139)))</f>
        <v>0</v>
      </c>
      <c r="DP140" s="158" t="str">
        <f>DO140*VLOOKUP('Données projet'!$B$14,'Paramètres'!$A$1:$I$88,3,0)*VLOOKUP('Données projet'!$B$14,'Paramètres'!$A$1:$I$88,5,0)</f>
        <v>#N/A</v>
      </c>
      <c r="DQ140" s="150" t="str">
        <f t="shared" si="44"/>
        <v>#N/A</v>
      </c>
      <c r="DR140" s="161" t="str">
        <f t="shared" si="17"/>
        <v>#N/A</v>
      </c>
      <c r="DS140" s="153" t="str">
        <f t="shared" si="18"/>
        <v>#N/A</v>
      </c>
      <c r="DT140" s="153" t="str">
        <f>AVERAGE(OFFSET($DS$3,0,0,'Données projet'!$E$14+1,1))-AVERAGE(OFFSET($H$3,0,0,'Données projet'!$E$14+1,1))</f>
        <v>#N/A</v>
      </c>
      <c r="DU140" s="153" t="str">
        <f t="shared" si="45"/>
        <v>#N/A</v>
      </c>
      <c r="DV140" s="154">
        <f>IF(ISNA(VLOOKUP(A140,'Données projet'!$A$165:$I$185,3,0)),0,VLOOKUP(A140,'Données projet'!$A$165:$I$185,3,0))</f>
        <v>0</v>
      </c>
      <c r="DW140" s="154">
        <f>IF(ISNA(VLOOKUP(A140,'Données projet'!$A$165:$I$185,4,0)),0,VLOOKUP(A140,'Données projet'!$A$165:$I$185,4,0))</f>
        <v>0</v>
      </c>
      <c r="DX140" s="155">
        <f>IF(ISNA(VLOOKUP(A140,'Données projet'!$A$165:$I$185,5,0)),0%,VLOOKUP(A140,'Données projet'!$A$165:$I$185,5,0)*VLOOKUP('Données projet'!$B$14,'Paramètres'!$A$1:$I$88,7,0))</f>
        <v>0</v>
      </c>
      <c r="DY140" s="155">
        <f>IF(ISNA(VLOOKUP(A140,'Données projet'!$A$165:$I$185,6,0)),0%,VLOOKUP(A140,'Données projet'!$A$165:$I$185,6,0)*VLOOKUP('Données projet'!$B$14,'Paramètres'!$A$1:$I$88,7,0))</f>
        <v>0</v>
      </c>
      <c r="DZ140" s="155">
        <f>IF(ISNA(VLOOKUP(A140,'Données projet'!$A$165:$I$185,7,0)),0%,VLOOKUP(A140,'Données projet'!$A$165:$I$185,7,0))</f>
        <v>0</v>
      </c>
      <c r="EA140" s="162" t="str">
        <f>EXP(-LN(2)/35)*EA139+(1-EXP(-LN(2)/35))/(LN(2)/35)*DW140*DX140*VLOOKUP('Données projet'!$B$14,'Paramètres'!$A$1:$I$88,3,0)*0.475*44/12</f>
        <v>#N/A</v>
      </c>
      <c r="EB140" s="162" t="str">
        <f>EXP(-LN(2)/25)*EB139+(1-EXP(-LN(2)/25))/(LN(2)/25)*Calculateur!DW140*Calculateur!DY140*VLOOKUP('Données projet'!$B$14,'Paramètres'!$A$1:$I$88,3,0)*0.475*44/12</f>
        <v>#N/A</v>
      </c>
      <c r="EC140" s="162" t="str">
        <f>EXP(-LN(2)/2)*EC139+(1-EXP(-LN(2)/2))/(LN(2)/2)*DW140*DZ140*VLOOKUP('Données projet'!$B$14,'Paramètres'!$A$1:$I$88,3,0)*0.475*44/12</f>
        <v>#N/A</v>
      </c>
      <c r="ED140" s="163" t="str">
        <f t="shared" si="19"/>
        <v>#N/A</v>
      </c>
      <c r="EE140" s="159">
        <f>('Scénario référence'!$F$8+'Scénario référence'!$F$9+'Scénario référence'!$B$17+'Scénario référence'!$B$9+'Scénario référence'!$B$10)*70+IF((45+25*(1-EXP(-0.0175*A140)))&lt;70,'Scénario référence'!$B$16*(45+25*(1-EXP(-0.0175*A140))),70*'Scénario référence'!$B$16)+IF((32+38*(1-EXP(-0.0175*A140)))&lt;70,'Scénario référence'!$B$18*(32+38*(1-EXP(-0.0175*A140))),70*'Scénario référence'!$B$18)</f>
        <v>70</v>
      </c>
      <c r="EF140" s="151">
        <f>IF(A140&gt;30,10,('Scénario référence'!$B$16+'Scénario référence'!$B$17+'Scénario référence'!$B$18+'Scénario référence'!$B$9+'Scénario référence'!$B$10)*A140*10/30+('Scénario référence'!$F$8+'Scénario référence'!$F$9)*10)</f>
        <v>10</v>
      </c>
      <c r="EG140" s="151" t="str">
        <f>VLOOKUP(A140,'Données projet'!$A$191:$I$211,2,0)</f>
        <v>#N/A</v>
      </c>
      <c r="EH140" s="151" t="str">
        <f>VLOOKUP(A140,'Données projet'!$A$191:$I$211,9,0)</f>
        <v>#N/A</v>
      </c>
      <c r="EI140" s="151" t="str">
        <f t="array" ref="EI140">INDEX(EH:EH,MIN(IF(ISNUMBER(EH140:EH336),ROW(EH140:EH336),"")))</f>
        <v/>
      </c>
      <c r="EJ140" s="151">
        <f>IF('Données projet'!$A$192&gt;35,EJ139+EI140-ER139,IF(A140&lt;'Données projet'!$A$192,$EG$205^A140,IF(A140='Données projet'!$A$192,'Données projet'!$B$192,EJ139+EI140-ER139)))</f>
        <v>0</v>
      </c>
      <c r="EK140" s="158" t="str">
        <f>EJ140*VLOOKUP('Données projet'!$B$15,'Paramètres'!$A$1:$I$88,3,0)*VLOOKUP('Données projet'!$B$15,'Paramètres'!$A$1:$I$88,5,0)</f>
        <v>#N/A</v>
      </c>
      <c r="EL140" s="150" t="str">
        <f t="shared" si="46"/>
        <v>#N/A</v>
      </c>
      <c r="EM140" s="161" t="str">
        <f t="shared" si="20"/>
        <v>#N/A</v>
      </c>
      <c r="EN140" s="153" t="str">
        <f t="shared" si="21"/>
        <v>#N/A</v>
      </c>
      <c r="EO140" s="153" t="str">
        <f>AVERAGE(OFFSET($EN$3,0,0,'Données projet'!$E$15+1,1))-AVERAGE(OFFSET($H$3,0,0,'Données projet'!$E$15+1,1))</f>
        <v>#N/A</v>
      </c>
      <c r="EP140" s="153" t="str">
        <f t="shared" si="47"/>
        <v>#N/A</v>
      </c>
      <c r="EQ140" s="154">
        <f>IF(ISNA(VLOOKUP(A140,'Données projet'!$A$191:$I$211,3,0)),0,VLOOKUP(A140,'Données projet'!$A$191:$I$211,3,0))</f>
        <v>0</v>
      </c>
      <c r="ER140" s="154">
        <f>IF(ISNA(VLOOKUP(A140,'Données projet'!$A$191:$I$211,4,0)),0,VLOOKUP(A140,'Données projet'!$A$191:$I$211,4,0))</f>
        <v>0</v>
      </c>
      <c r="ES140" s="155">
        <f>IF(ISNA(VLOOKUP(A140,'Données projet'!$A$191:$I$211,5,0)),0%,VLOOKUP(A140,'Données projet'!$A$191:$I$211,5,0)*VLOOKUP('Données projet'!$B$15,'Paramètres'!$A$1:$I$88,7,0))</f>
        <v>0</v>
      </c>
      <c r="ET140" s="155">
        <f>IF(ISNA(VLOOKUP(A140,'Données projet'!$A$191:$I$211,6,0)),0%,VLOOKUP(A140,'Données projet'!$A$191:$I$211,6,0)*VLOOKUP('Données projet'!$B$15,'Paramètres'!$A$1:$I$88,7,0))</f>
        <v>0</v>
      </c>
      <c r="EU140" s="155">
        <f>IF(ISNA(VLOOKUP(A140,'Données projet'!$A$191:$I$211,7,0)),0%,VLOOKUP(A140,'Données projet'!$A$191:$I$211,7,0))</f>
        <v>0</v>
      </c>
      <c r="EV140" s="162" t="str">
        <f>EXP(-LN(2)/35)*EV139+(1-EXP(-LN(2)/35))/(LN(2)/35)*ER140*ES140*VLOOKUP('Données projet'!$B$15,'Paramètres'!$A$1:$I$88,3,0)*0.475*44/12</f>
        <v>#N/A</v>
      </c>
      <c r="EW140" s="162" t="str">
        <f>EXP(-LN(2)/25)*EW139+(1-EXP(-LN(2)/25))/(LN(2)/25)*Calculateur!ER140*Calculateur!ET140*VLOOKUP('Données projet'!$B$15,'Paramètres'!$A$1:$I$88,3,0)*0.475*44/12</f>
        <v>#N/A</v>
      </c>
      <c r="EX140" s="162" t="str">
        <f>EXP(-LN(2)/2)*EX139+(1-EXP(-LN(2)/2))/(LN(2)/2)*ER140*EU140*VLOOKUP('Données projet'!$B$15,'Paramètres'!$A$1:$I$88,3,0)*0.475*44/12</f>
        <v>#N/A</v>
      </c>
      <c r="EY140" s="163" t="str">
        <f t="shared" si="22"/>
        <v>#N/A</v>
      </c>
      <c r="EZ140" s="159">
        <f>('Scénario référence'!$F$8+'Scénario référence'!$F$9+'Scénario référence'!$B$17+'Scénario référence'!$B$9+'Scénario référence'!$B$10)*70+IF((45+25*(1-EXP(-0.0175*A140)))&lt;70,'Scénario référence'!$B$16*(45+25*(1-EXP(-0.0175*A140))),70*'Scénario référence'!$B$16)+IF((32+38*(1-EXP(-0.0175*A140)))&lt;70,'Scénario référence'!$B$18*(32+38*(1-EXP(-0.0175*A140))),70*'Scénario référence'!$B$18)</f>
        <v>70</v>
      </c>
      <c r="FA140" s="151">
        <f>IF(A140&gt;30,10,('Scénario référence'!$B$16+'Scénario référence'!$B$17+'Scénario référence'!$B$18+'Scénario référence'!$B$9+'Scénario référence'!$B$10)*A140*10/30+('Scénario référence'!$F$8+'Scénario référence'!$F$9)*10)</f>
        <v>10</v>
      </c>
      <c r="FB140" s="151" t="str">
        <f>VLOOKUP(A140,'Données projet'!$A$217:$I$237,2,0)</f>
        <v>#N/A</v>
      </c>
      <c r="FC140" s="151" t="str">
        <f>VLOOKUP(A140,'Données projet'!$A$217:$I$237,9,0)</f>
        <v>#N/A</v>
      </c>
      <c r="FD140" s="151" t="str">
        <f t="array" ref="FD140">INDEX(FC:FC,MIN(IF(ISNUMBER(FC140:FC336),ROW(FC140:FC336),"")))</f>
        <v/>
      </c>
      <c r="FE140" s="151">
        <f>IF('Données projet'!$A$218&gt;35,FE139+FD140-FM139,IF(A140&lt;'Données projet'!$A$218,$FB$205^A140,IF(A140='Données projet'!$A$218,'Données projet'!$B$218,FE139+FD140-FM139)))</f>
        <v>0</v>
      </c>
      <c r="FF140" s="158" t="str">
        <f>FE140*VLOOKUP('Données projet'!$B$16,'Paramètres'!$A$1:$I$88,3,0)*VLOOKUP('Données projet'!$B$16,'Paramètres'!$A$1:$I$88,5,0)</f>
        <v>#N/A</v>
      </c>
      <c r="FG140" s="150" t="str">
        <f t="shared" si="48"/>
        <v>#N/A</v>
      </c>
      <c r="FH140" s="161" t="str">
        <f t="shared" si="23"/>
        <v>#N/A</v>
      </c>
      <c r="FI140" s="153" t="str">
        <f t="shared" si="24"/>
        <v>#N/A</v>
      </c>
      <c r="FJ140" s="153" t="str">
        <f>AVERAGE(OFFSET($FI$3,0,0,'Données projet'!$E$16+1,1))-AVERAGE(OFFSET($H$3,0,0,'Données projet'!$E$16+1,1))</f>
        <v>#N/A</v>
      </c>
      <c r="FK140" s="153" t="str">
        <f t="shared" si="49"/>
        <v>#N/A</v>
      </c>
      <c r="FL140" s="154">
        <f>IF(ISNA(VLOOKUP(A140,'Données projet'!$A$217:$I$237,3,0)),0,VLOOKUP(A140,'Données projet'!$A$217:$I$237,3,0))</f>
        <v>0</v>
      </c>
      <c r="FM140" s="154">
        <f>IF(ISNA(VLOOKUP(A140,'Données projet'!$A$217:$I$237,4,0)),0,VLOOKUP(A140,'Données projet'!$A$217:$I$237,4,0))</f>
        <v>0</v>
      </c>
      <c r="FN140" s="155">
        <f>IF(ISNA(VLOOKUP(A140,'Données projet'!$A$217:$I$237,5,0)),0%,VLOOKUP(A140,'Données projet'!$A$217:$I$237,5,0)*VLOOKUP('Données projet'!$B$16,'Paramètres'!$A$1:$I$88,7,0))</f>
        <v>0</v>
      </c>
      <c r="FO140" s="155">
        <f>IF(ISNA(VLOOKUP(A140,'Données projet'!$A$217:$I$237,6,0)),0%,VLOOKUP(A140,'Données projet'!$A$217:$I$237,6,0)*VLOOKUP('Données projet'!$B$16,'Paramètres'!$A$1:$I$88,7,0))</f>
        <v>0</v>
      </c>
      <c r="FP140" s="155">
        <f>IF(ISNA(VLOOKUP(A140,'Données projet'!$A$217:$I$237,7,0)),0%,VLOOKUP(A140,'Données projet'!$A$217:$I$237,7,0))</f>
        <v>0</v>
      </c>
      <c r="FQ140" s="162" t="str">
        <f>EXP(-LN(2)/35)*FQ139+(1-EXP(-LN(2)/35))/(LN(2)/35)*FM140*FN140*VLOOKUP('Données projet'!$B$16,'Paramètres'!$A$1:$I$88,3,0)*0.475*44/12</f>
        <v>#N/A</v>
      </c>
      <c r="FR140" s="162" t="str">
        <f>EXP(-LN(2)/25)*FR139+(1-EXP(-LN(2)/25))/(LN(2)/25)*Calculateur!FM140*Calculateur!FO140*VLOOKUP('Données projet'!$B$16,'Paramètres'!$A$1:$I$88,3,0)*0.475*44/12</f>
        <v>#N/A</v>
      </c>
      <c r="FS140" s="162" t="str">
        <f>EXP(-LN(2)/2)*FS139+(1-EXP(-LN(2)/2))/(LN(2)/2)*FM140*FP140*VLOOKUP('Données projet'!$B$16,'Paramètres'!$A$1:$I$88,3,0)*0.475*44/12</f>
        <v>#N/A</v>
      </c>
      <c r="FT140" s="163" t="str">
        <f t="shared" si="25"/>
        <v>#N/A</v>
      </c>
      <c r="FU140" s="159">
        <f>('Scénario référence'!$F$8+'Scénario référence'!$F$9+'Scénario référence'!$B$17+'Scénario référence'!$B$9+'Scénario référence'!$B$10)*70+IF((45+25*(1-EXP(-0.0175*A140)))&lt;70,'Scénario référence'!$B$16*(45+25*(1-EXP(-0.0175*A140))),70*'Scénario référence'!$B$16)+IF((32+38*(1-EXP(-0.0175*A140)))&lt;70,'Scénario référence'!$B$18*(32+38*(1-EXP(-0.0175*A140))),70*'Scénario référence'!$B$18)</f>
        <v>70</v>
      </c>
      <c r="FV140" s="151">
        <f>IF(A140&gt;30,10,('Scénario référence'!$B$16+'Scénario référence'!$B$17+'Scénario référence'!$B$18+'Scénario référence'!$B$9+'Scénario référence'!$B$10)*A140*10/30+('Scénario référence'!$F$8+'Scénario référence'!$F$9)*10)</f>
        <v>10</v>
      </c>
      <c r="FW140" s="151" t="str">
        <f>VLOOKUP(A140,'Données projet'!$A$243:$I$263,2,0)</f>
        <v>#N/A</v>
      </c>
      <c r="FX140" s="151" t="str">
        <f>VLOOKUP(A140,'Données projet'!$A$243:$I$263,9,0)</f>
        <v>#N/A</v>
      </c>
      <c r="FY140" s="151" t="str">
        <f t="array" ref="FY140">INDEX(FX:FX,MIN(IF(ISNUMBER(FX140:FX336),ROW(FX140:FX336),"")))</f>
        <v/>
      </c>
      <c r="FZ140" s="151">
        <f>IF('Données projet'!$A$244&gt;35,FZ139+FY140-GH139,IF(A140&lt;'Données projet'!$A$244,$FW$205^A140,IF(A140='Données projet'!$A$244,'Données projet'!$B$244,FZ139+FY140-GH139)))</f>
        <v>0</v>
      </c>
      <c r="GA140" s="158" t="str">
        <f>FZ140*VLOOKUP('Données projet'!$B$17,'Paramètres'!$A$1:$I$88,3,0)*VLOOKUP('Données projet'!$B$17,'Paramètres'!$A$1:$I$88,5,0)</f>
        <v>#N/A</v>
      </c>
      <c r="GB140" s="150" t="str">
        <f t="shared" si="50"/>
        <v>#N/A</v>
      </c>
      <c r="GC140" s="161" t="str">
        <f t="shared" si="26"/>
        <v>#N/A</v>
      </c>
      <c r="GD140" s="153" t="str">
        <f t="shared" si="27"/>
        <v>#N/A</v>
      </c>
      <c r="GE140" s="153" t="str">
        <f>AVERAGE(OFFSET($GD$3,0,0,'Données projet'!$E$17+1,1))-AVERAGE(OFFSET($H$3,0,0,'Données projet'!$E$17+1,1))</f>
        <v>#N/A</v>
      </c>
      <c r="GF140" s="153" t="str">
        <f t="shared" si="51"/>
        <v>#N/A</v>
      </c>
      <c r="GG140" s="154">
        <f>IF(ISNA(VLOOKUP(A140,'Données projet'!$A$243:$I$263,3,0)),0,VLOOKUP(A140,'Données projet'!$A$243:$I$263,3,0))</f>
        <v>0</v>
      </c>
      <c r="GH140" s="154">
        <f>IF(ISNA(VLOOKUP(A140,'Données projet'!$A$243:$I$263,4,0)),0,VLOOKUP(A140,'Données projet'!$A$243:$I$263,4,0))</f>
        <v>0</v>
      </c>
      <c r="GI140" s="155">
        <f>IF(ISNA(VLOOKUP(A140,'Données projet'!$A$243:$I$263,5,0)),0%,VLOOKUP(A140,'Données projet'!$A$243:$I$263,5,0)*VLOOKUP('Données projet'!$B$17,'Paramètres'!$A$1:$I$88,7,0))</f>
        <v>0</v>
      </c>
      <c r="GJ140" s="155">
        <f>IF(ISNA(VLOOKUP(A140,'Données projet'!$A$243:$I$263,6,0)),0%,VLOOKUP(A140,'Données projet'!$A$243:$I$263,6,0)*VLOOKUP('Données projet'!$B$17,'Paramètres'!$A$1:$I$88,7,0))</f>
        <v>0</v>
      </c>
      <c r="GK140" s="155">
        <f>IF(ISNA(VLOOKUP(A140,'Données projet'!$A$243:$I$263,7,0)),0%,VLOOKUP(A140,'Données projet'!$A$243:$I$263,7,0))</f>
        <v>0</v>
      </c>
      <c r="GL140" s="162" t="str">
        <f>EXP(-LN(2)/35)*GL139+(1-EXP(-LN(2)/35))/(LN(2)/35)*GH140*GI140*VLOOKUP('Données projet'!$B$17,'Paramètres'!$A$1:$I$88,3,0)*0.475*44/12</f>
        <v>#N/A</v>
      </c>
      <c r="GM140" s="162" t="str">
        <f>EXP(-LN(2)/25)*GM139+(1-EXP(-LN(2)/25))/(LN(2)/25)*Calculateur!GH140*Calculateur!GJ140*VLOOKUP('Données projet'!$B$17,'Paramètres'!$A$1:$I$88,3,0)*0.475*44/12</f>
        <v>#N/A</v>
      </c>
      <c r="GN140" s="162" t="str">
        <f>EXP(-LN(2)/2)*GN139+(1-EXP(-LN(2)/2))/(LN(2)/2)*GH140*GK140*VLOOKUP('Données projet'!$B$17,'Paramètres'!$A$1:$I$88,3,0)*0.475*44/12</f>
        <v>#N/A</v>
      </c>
      <c r="GO140" s="162" t="str">
        <f t="shared" si="28"/>
        <v>#N/A</v>
      </c>
      <c r="GP140" s="159">
        <f>('Scénario référence'!$F$8+'Scénario référence'!$F$9+'Scénario référence'!$B$17+'Scénario référence'!$B$9+'Scénario référence'!$B$10)*70+IF((45+25*(1-EXP(-0.0175*A140)))&lt;70,'Scénario référence'!$B$16*(45+25*(1-EXP(-0.0175*A140))),70*'Scénario référence'!$B$16)+IF((32+38*(1-EXP(-0.0175*A140)))&lt;70,'Scénario référence'!$B$18*(32+38*(1-EXP(-0.0175*A140))),70*'Scénario référence'!$B$18)</f>
        <v>70</v>
      </c>
      <c r="GQ140" s="151">
        <f>IF(A140&gt;30,10,('Scénario référence'!$B$16+'Scénario référence'!$B$17+'Scénario référence'!$B$18+'Scénario référence'!$B$9+'Scénario référence'!$B$10)*A140*10/30+('Scénario référence'!$F$8+'Scénario référence'!$F$9)*10)</f>
        <v>10</v>
      </c>
      <c r="GR140" s="151" t="str">
        <f>VLOOKUP(A140,'Données projet'!$A$269:$I$289,2,0)</f>
        <v>#N/A</v>
      </c>
      <c r="GS140" s="151" t="str">
        <f>VLOOKUP(A140,'Données projet'!$A$269:$I$289,9,0)</f>
        <v>#N/A</v>
      </c>
      <c r="GT140" s="151" t="str">
        <f t="array" ref="GT140">INDEX(GS:GS,MIN(IF(ISNUMBER(GS140:GS336),ROW(GS140:GS336),"")))</f>
        <v/>
      </c>
      <c r="GU140" s="151">
        <f>IF('Données projet'!$A$270&gt;35,GU139+GT140-HC139,IF(A140&lt;'Données projet'!$A$270,$GR$205^A140,IF(A140='Données projet'!$A$270,'Données projet'!$B$270,GU139+GT140-HC139)))</f>
        <v>0</v>
      </c>
      <c r="GV140" s="158" t="str">
        <f>GU140*VLOOKUP('Données projet'!$B$18,'Paramètres'!$A$1:$I$88,3,0)*VLOOKUP('Données projet'!$B$18,'Paramètres'!$A$1:$I$88,5,0)</f>
        <v>#N/A</v>
      </c>
      <c r="GW140" s="150" t="str">
        <f t="shared" si="52"/>
        <v>#N/A</v>
      </c>
      <c r="GX140" s="161" t="str">
        <f t="shared" si="29"/>
        <v>#N/A</v>
      </c>
      <c r="GY140" s="153" t="str">
        <f t="shared" si="30"/>
        <v>#N/A</v>
      </c>
      <c r="GZ140" s="153" t="str">
        <f>AVERAGE(OFFSET($GY$3,0,0,'Données projet'!$E$18+1,1))-AVERAGE(OFFSET($H$3,0,0,'Données projet'!$E$18+1,1))</f>
        <v>#N/A</v>
      </c>
      <c r="HA140" s="153" t="str">
        <f t="shared" si="53"/>
        <v>#N/A</v>
      </c>
      <c r="HB140" s="154">
        <f>IF(ISNA(VLOOKUP(A140,'Données projet'!$A$269:$I$289,3,0)),0,VLOOKUP(A140,'Données projet'!$A$269:$I$289,3,0))</f>
        <v>0</v>
      </c>
      <c r="HC140" s="154">
        <f>IF(ISNA(VLOOKUP(A140,'Données projet'!$A$269:$I$289,4,0)),0,VLOOKUP(A140,'Données projet'!$A$269:$I$289,4,0))</f>
        <v>0</v>
      </c>
      <c r="HD140" s="155">
        <f>IF(ISNA(VLOOKUP(A140,'Données projet'!$A$269:$I$289,5,0)),0%,VLOOKUP(A140,'Données projet'!$A$269:$I$289,5,0)*VLOOKUP('Données projet'!$B$18,'Paramètres'!$A$1:$I$88,7,0))</f>
        <v>0</v>
      </c>
      <c r="HE140" s="155">
        <f>IF(ISNA(VLOOKUP(A140,'Données projet'!$A$269:$I$289,6,0)),0%,VLOOKUP(A140,'Données projet'!$A$269:$I$289,6,0)*VLOOKUP('Données projet'!$B$18,'Paramètres'!$A$1:$I$88,7,0))</f>
        <v>0</v>
      </c>
      <c r="HF140" s="155">
        <f>IF(ISNA(VLOOKUP(A140,'Données projet'!$A$269:$I$289,7,0)),0%,VLOOKUP(A140,'Données projet'!$A$269:$I$289,7,0))</f>
        <v>0</v>
      </c>
      <c r="HG140" s="162" t="str">
        <f>EXP(-LN(2)/35)*HG139+(1-EXP(-LN(2)/35))/(LN(2)/35)*HC140*HD140*VLOOKUP('Données projet'!$B$18,'Paramètres'!$A$1:$I$88,3,0)*0.475*44/12</f>
        <v>#N/A</v>
      </c>
      <c r="HH140" s="162" t="str">
        <f>EXP(-LN(2)/25)*HH139+(1-EXP(-LN(2)/25))/(LN(2)/25)*Calculateur!HC140*Calculateur!HE140*VLOOKUP('Données projet'!$B$18,'Paramètres'!$A$1:$I$88,3,0)*0.475*44/12</f>
        <v>#N/A</v>
      </c>
      <c r="HI140" s="162" t="str">
        <f>EXP(-LN(2)/2)*HI139+(1-EXP(-LN(2)/2))/(LN(2)/2)*HC140*HF140*VLOOKUP('Données projet'!$B$18,'Paramètres'!$A$1:$I$88,3,0)*0.475*44/12</f>
        <v>#N/A</v>
      </c>
      <c r="HJ140" s="163" t="str">
        <f t="shared" si="31"/>
        <v>#N/A</v>
      </c>
    </row>
    <row r="141" ht="15.75" customHeight="1">
      <c r="A141" s="145">
        <f t="shared" si="32"/>
        <v>138</v>
      </c>
      <c r="B141" s="146">
        <f>'Scénario référence'!$B$16*5+'Scénario référence'!$B$17*0+'Scénario référence'!$B$18*5</f>
        <v>0</v>
      </c>
      <c r="C141" s="160">
        <f>Calculateur!C140+'Scénario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41" s="147">
        <f t="shared" si="33"/>
        <v>0</v>
      </c>
      <c r="E141" s="147">
        <f>'Scénario référence'!$B$16*45+('Scénario référence'!$B$17+'Scénario référence'!$F$8+'Scénario référence'!$F$9+'Scénario référence'!$B$10+'Scénario référence'!$B$9)*70+'Scénario référence'!$B$18*32</f>
        <v>70</v>
      </c>
      <c r="F141" s="147">
        <f>IF(OR('Scénario référence'!$F$8&gt;0,'Scénario référence'!$F$9&gt;0),('Scénario référence'!$F$8+'Scénario référence'!$F$9)*10,0)</f>
        <v>0</v>
      </c>
      <c r="G141" s="147">
        <f>'Scénario référence'!$B$8*B141*44/12+'Scénario référence'!$B$9*(C141+D141)/0.475*44/12+'Scénario référence'!$B$10*(C141+D141)/0.475*44/12+'Scénario référence'!$F$8*(C141+D141)/0.475*44/12+'Scénario référence'!$F$9*(C141+D141)/0.475*44/12</f>
        <v>0</v>
      </c>
      <c r="H141" s="148">
        <f t="shared" si="1"/>
        <v>256.6666667</v>
      </c>
      <c r="I141" s="149">
        <f>('Scénario référence'!$F$8+'Scénario référence'!$F$9+'Scénario référence'!$B$17+'Scénario référence'!$B$9+'Scénario référence'!$B$10)*70+IF((45+25*(1-EXP(-0.0175*A141)))&lt;70,'Scénario référence'!$B$16*(45+25*(1-EXP(-0.0175*A141))),70*'Scénario référence'!$B$16)+IF((32+38*(1-EXP(-0.0175*A141)))&lt;70,'Scénario référence'!$B$18*(32+38*(1-EXP(-0.0175*A141))),70*'Scénario référence'!$B$18)</f>
        <v>70</v>
      </c>
      <c r="J141" s="150">
        <f>IF(A141&gt;30,10,('Scénario référence'!$B$16+'Scénario référence'!$B$17+'Scénario référence'!$B$18+'Scénario référence'!$B$9+'Scénario référence'!$B$10)*A141*10/30+('Scénario référence'!$F$8+'Scénario référence'!$F$9)*10)</f>
        <v>10</v>
      </c>
      <c r="K141" s="151" t="str">
        <f>VLOOKUP(A141,'Données projet'!$A$35:$I$55,2,0)</f>
        <v>#N/A</v>
      </c>
      <c r="L141" s="151" t="str">
        <f>VLOOKUP(A141,'Données projet'!$A$35:$I$55,9,0)</f>
        <v>#N/A</v>
      </c>
      <c r="M141" s="151" t="str">
        <f t="array" ref="M141">INDEX(L:L,MIN(IF(ISNUMBER(L141:L337),ROW(L141:L337),"")))</f>
        <v/>
      </c>
      <c r="N141" s="150">
        <f>IF('Données projet'!$A$36&gt;35,N140+M141-V140,IF(A141&lt;'Données projet'!$A$36,$K$205^A141,IF(A141='Données projet'!$A$36,'Données projet'!$B$36,N140+M141-V140)))</f>
        <v>307</v>
      </c>
      <c r="O141" s="150">
        <f>N141*VLOOKUP('Données projet'!$B$9,'Paramètres'!$A$1:$I$88,3,0)*VLOOKUP('Données projet'!$B$9,'Paramètres'!$A$1:$I$88,5,0)</f>
        <v>277.7736</v>
      </c>
      <c r="P141" s="150">
        <f t="shared" si="34"/>
        <v>66.49628818</v>
      </c>
      <c r="Q141" s="161">
        <f t="shared" si="2"/>
        <v>599.6033886</v>
      </c>
      <c r="R141" s="153">
        <f t="shared" si="3"/>
        <v>892.9367219</v>
      </c>
      <c r="S141" s="153">
        <f>AVERAGE(OFFSET($R$3,0,0,'Données projet'!$E$9+1,1))-AVERAGE(OFFSET($H$3,0,0,'Données projet'!$E$9+1,1))</f>
        <v>439.1985427</v>
      </c>
      <c r="T141" s="153">
        <f t="shared" si="35"/>
        <v>278.2174123</v>
      </c>
      <c r="U141" s="154">
        <f>IF(ISNA(VLOOKUP(A141,'Données projet'!$A$35:$I$55,3,0)),0,VLOOKUP(A141,'Données projet'!$A$35:$I$55,3,0))</f>
        <v>0</v>
      </c>
      <c r="V141" s="154">
        <f>IF(ISNA(VLOOKUP(A141,'Données projet'!$A$35:$I$55,4,0)),0,VLOOKUP(A141,'Données projet'!$A$35:$I$55,4,0))</f>
        <v>0</v>
      </c>
      <c r="W141" s="155">
        <f>IF(ISNA(VLOOKUP(A141,'Données projet'!$A$35:$I$55,5,0)),0%,VLOOKUP(A141,'Données projet'!$A$35:$I$55,5,0)*VLOOKUP('Données projet'!$B$9,'Paramètres'!$A$1:$I$88,7,0))</f>
        <v>0</v>
      </c>
      <c r="X141" s="155">
        <f>IF(ISNA(VLOOKUP(A141,'Données projet'!$A$35:$I$55,6,0)),0%,VLOOKUP(A141,'Données projet'!$A$35:$I$55,6,0)*VLOOKUP('Données projet'!$B$9,'Paramètres'!$A$1:$I$88,7,0))</f>
        <v>0</v>
      </c>
      <c r="Y141" s="155">
        <f>IF(ISNA(VLOOKUP(A141,'Données projet'!$A$35:$I$55,7,0)),0%,VLOOKUP(A141,'Données projet'!$A$35:$I$55,7,0))</f>
        <v>0</v>
      </c>
      <c r="Z141" s="162">
        <f>EXP(-LN(2)/35)*Z140+(1-EXP(-LN(2)/35))/(LN(2)/35)*V141*W141*VLOOKUP('Données projet'!$B$9,'Paramètres'!$A$1:$I$88,3,0)*0.475*44/12</f>
        <v>0</v>
      </c>
      <c r="AA141" s="162">
        <f>EXP(-LN(2)/25)*AA140+(1-EXP(-LN(2)/25))/(LN(2)/25)*Calculateur!V141*Calculateur!X141*VLOOKUP('Données projet'!$B$9,'Paramètres'!$A$1:$I$88,3,0)*0.475*44/12</f>
        <v>0.2246791115</v>
      </c>
      <c r="AB141" s="162">
        <f>EXP(-LN(2)/2)*AB140+(1-EXP(-LN(2)/2))/(LN(2)/2)*V141*Y141*VLOOKUP('Données projet'!$B$9,'Paramètres'!$A$1:$I$88,3,0)*0.475*44/12</f>
        <v>0</v>
      </c>
      <c r="AC141" s="163">
        <f t="shared" si="4"/>
        <v>0.2246791115</v>
      </c>
      <c r="AD141" s="150">
        <f>('Scénario référence'!$F$8+'Scénario référence'!$F$9+'Scénario référence'!$B$17+'Scénario référence'!$B$9+'Scénario référence'!$B$10)*70+IF((45+25*(1-EXP(-0.0175*A141)))&lt;70,'Scénario référence'!$B$16*(45+25*(1-EXP(-0.0175*A141))),70*'Scénario référence'!$B$16)+IF((32+38*(1-EXP(-0.0175*A141)))&lt;70,'Scénario référence'!$B$18*(32+38*(1-EXP(-0.0175*A141))),70*'Scénario référence'!$B$18)</f>
        <v>70</v>
      </c>
      <c r="AE141" s="150">
        <f>IF(A141&gt;30,10,('Scénario référence'!$B$16+'Scénario référence'!$B$17+'Scénario référence'!$B$18+'Scénario référence'!$B$9+'Scénario référence'!$B$10)*A141*10/30+('Scénario référence'!$F$8+'Scénario référence'!$F$9)*10)</f>
        <v>10</v>
      </c>
      <c r="AF141" s="151" t="str">
        <f>VLOOKUP(A141,'Données projet'!$A$61:$I$81,2,0)</f>
        <v>#N/A</v>
      </c>
      <c r="AG141" s="151" t="str">
        <f>VLOOKUP(A141,'Données projet'!$A$61:$I$81,9,0)</f>
        <v>#N/A</v>
      </c>
      <c r="AH141" s="151" t="str">
        <f t="array" ref="AH141">INDEX(AG:AG,MIN(IF(ISNUMBER(AG141:AG337),ROW(AG141:AG337),"")))</f>
        <v/>
      </c>
      <c r="AI141" s="150">
        <f>IF('Données projet'!$A$62&gt;35,AI140+AH141-AQ140,IF(A141&lt;'Données projet'!$A$62,$AF$205^A141,IF(A141='Données projet'!$A$62,'Données projet'!$B$62,AI140+AH141-AQ140)))</f>
        <v>369</v>
      </c>
      <c r="AJ141" s="150">
        <f>AI141*VLOOKUP('Données projet'!$B$10,'Paramètres'!$A$1:$I$88,3,0)*VLOOKUP('Données projet'!$B$10,'Paramètres'!$A$1:$I$88,5,0)</f>
        <v>293.5764</v>
      </c>
      <c r="AK141" s="150">
        <f t="shared" si="36"/>
        <v>69.82813851</v>
      </c>
      <c r="AL141" s="161">
        <f t="shared" si="5"/>
        <v>632.9295712</v>
      </c>
      <c r="AM141" s="153">
        <f t="shared" si="6"/>
        <v>926.2629046</v>
      </c>
      <c r="AN141" s="153">
        <f>AVERAGE(OFFSET($AM$3,0,0,'Données projet'!$E$10+1,1))-AVERAGE(OFFSET($H$3,0,0,'Données projet'!$E$10+1,1))</f>
        <v>405.6113614</v>
      </c>
      <c r="AO141" s="153">
        <f t="shared" si="37"/>
        <v>393.0787141</v>
      </c>
      <c r="AP141" s="154">
        <f>IF(ISNA(VLOOKUP(A141,'Données projet'!$A$61:$I$81,3,0)),0,VLOOKUP(A141,'Données projet'!$A$61:$I$81,3,0))</f>
        <v>0</v>
      </c>
      <c r="AQ141" s="154">
        <f>IF(ISNA(VLOOKUP(A141,'Données projet'!$A$61:$I$81,4,0)),0,VLOOKUP(A141,'Données projet'!$A$61:$I$81,4,0))</f>
        <v>0</v>
      </c>
      <c r="AR141" s="155">
        <f>IF(ISNA(VLOOKUP(A141,'Données projet'!$A$61:$I$81,5,0)),0%,VLOOKUP(A141,'Données projet'!$A$61:$I$81,5,0)*VLOOKUP('Données projet'!$B$10,'Paramètres'!$A$1:$I$88,7,0))</f>
        <v>0</v>
      </c>
      <c r="AS141" s="155">
        <f>IF(ISNA(VLOOKUP(A141,'Données projet'!$A$61:$I$81,6,0)),0%,VLOOKUP(A141,'Données projet'!$A$61:$I$81,6,0)*VLOOKUP('Données projet'!$B$10,'Paramètres'!$A$1:$I$88,7,0))</f>
        <v>0</v>
      </c>
      <c r="AT141" s="155">
        <f>IF(ISNA(VLOOKUP(A141,'Données projet'!$A$61:$I$81,7,0)),0%,VLOOKUP(A141,'Données projet'!$A$61:$I$81,7,0))</f>
        <v>0</v>
      </c>
      <c r="AU141" s="162">
        <f>EXP(-LN(2)/35)*AU140+(1-EXP(-LN(2)/35))/(LN(2)/35)*AQ141*AR141*VLOOKUP('Données projet'!$B$10,'Paramètres'!$A$1:$I$88,3,0)*0.475*44/12</f>
        <v>0</v>
      </c>
      <c r="AV141" s="162">
        <f>EXP(-LN(2)/25)*AV140+(1-EXP(-LN(2)/25))/(LN(2)/25)*Calculateur!AQ141*Calculateur!AS141*VLOOKUP('Données projet'!$B$10,'Paramètres'!$A$1:$I$88,3,0)*0.475*44/12</f>
        <v>0.9131530247</v>
      </c>
      <c r="AW141" s="162">
        <f>EXP(-LN(2)/2)*AW140+(1-EXP(-LN(2)/2))/(LN(2)/2)*AQ141*AT141*VLOOKUP('Données projet'!$B$10,'Paramètres'!$A$1:$I$88,3,0)*0.475*44/12</f>
        <v>0</v>
      </c>
      <c r="AX141" s="162">
        <f t="shared" si="7"/>
        <v>0.9131530247</v>
      </c>
      <c r="AY141" s="157">
        <f>('Scénario référence'!$F$8+'Scénario référence'!$F$9+'Scénario référence'!$B$17+'Scénario référence'!$B$9+'Scénario référence'!$B$10)*70+IF((45+25*(1-EXP(-0.0175*A141)))&lt;70,'Scénario référence'!$B$16*(45+25*(1-EXP(-0.0175*A141))),70*'Scénario référence'!$B$16)+IF((32+38*(1-EXP(-0.0175*A141)))&lt;70,'Scénario référence'!$B$18*(32+38*(1-EXP(-0.0175*A141))),70*'Scénario référence'!$B$18)</f>
        <v>70</v>
      </c>
      <c r="AZ141" s="151">
        <f>IF(A141&gt;30,10,('Scénario référence'!$B$16+'Scénario référence'!$B$17+'Scénario référence'!$B$18+'Scénario référence'!$B$9+'Scénario référence'!$B$10)*A141*10/30+('Scénario référence'!$F$8+'Scénario référence'!$F$9)*10)</f>
        <v>10</v>
      </c>
      <c r="BA141" s="151" t="str">
        <f>VLOOKUP(A141,'Données projet'!$A$87:$I$107,2,0)</f>
        <v>#N/A</v>
      </c>
      <c r="BB141" s="151" t="str">
        <f>VLOOKUP(A141,'Données projet'!$A$87:$I$107,9,0)</f>
        <v>#N/A</v>
      </c>
      <c r="BC141" s="151" t="str">
        <f t="array" ref="BC141">INDEX(BB:BB,MIN(IF(ISNUMBER(BB141:BB337),ROW(BB141:BB337),"")))</f>
        <v/>
      </c>
      <c r="BD141" s="150">
        <f>IF('Données projet'!$A$88&gt;35,BD140+BC141-BL140,IF(A141&lt;'Données projet'!$A$88,$BA$205^A141,IF(A141='Données projet'!$A$88,'Données projet'!$B$88,BD140+BC141-BL140)))</f>
        <v>0</v>
      </c>
      <c r="BE141" s="150">
        <f>BD141*VLOOKUP('Données projet'!$B$11,'Paramètres'!$A$1:$I$88,3,0)*VLOOKUP('Données projet'!$B$11,'Paramètres'!$A$1:$I$88,5,0)</f>
        <v>0</v>
      </c>
      <c r="BF141" s="150" t="str">
        <f t="shared" si="38"/>
        <v>#NUM!</v>
      </c>
      <c r="BG141" s="161" t="str">
        <f t="shared" si="8"/>
        <v>#NUM!</v>
      </c>
      <c r="BH141" s="153" t="str">
        <f t="shared" si="9"/>
        <v>#NUM!</v>
      </c>
      <c r="BI141" s="153">
        <f>AVERAGE(OFFSET($BH$3,0,0,'Données projet'!$E$11+1,1))-AVERAGE(OFFSET($H$3,0,0,'Données projet'!$E$11+1,1))</f>
        <v>0</v>
      </c>
      <c r="BJ141" s="153">
        <f t="shared" si="39"/>
        <v>0</v>
      </c>
      <c r="BK141" s="154">
        <f>IF(ISNA(VLOOKUP(A141,'Données projet'!$A$87:$I$107,3,0)),0,VLOOKUP(A141,'Données projet'!$A$87:$I$107,3,0))</f>
        <v>0</v>
      </c>
      <c r="BL141" s="154">
        <f>IF(ISNA(VLOOKUP(A141,'Données projet'!$A$87:$I$107,4,0)),0,VLOOKUP(A141,'Données projet'!$A$87:$I$107,4,0))</f>
        <v>0</v>
      </c>
      <c r="BM141" s="155">
        <f>IF(ISNA(VLOOKUP(A141,'Données projet'!$A$87:$I$107,5,0)),0%,VLOOKUP(A141,'Données projet'!$A$87:$I$107,5,0)*VLOOKUP('Données projet'!$B$11,'Paramètres'!$A$1:$I$88,7,0))</f>
        <v>0</v>
      </c>
      <c r="BN141" s="155">
        <f>IF(ISNA(VLOOKUP(A141,'Données projet'!$A$87:$I$107,6,0)),0%,VLOOKUP(A141,'Données projet'!$A$87:$I$107,6,0)*VLOOKUP('Données projet'!$B$11,'Paramètres'!$A$1:$I$88,7,0))</f>
        <v>0</v>
      </c>
      <c r="BO141" s="155">
        <f>IF(ISNA(VLOOKUP(A141,'Données projet'!$A$87:$I$107,7,0)),0%,VLOOKUP(A141,'Données projet'!$A$87:$I$107,7,0))</f>
        <v>0</v>
      </c>
      <c r="BP141" s="162">
        <f>EXP(-LN(2)/35)*BP140+(1-EXP(-LN(2)/35))/(LN(2)/35)*BL141*BM141*VLOOKUP('Données projet'!$B$11,'Paramètres'!$A$1:$I$88,3,0)*0.475*44/12</f>
        <v>0</v>
      </c>
      <c r="BQ141" s="162">
        <f>EXP(-LN(2)/25)*BQ140+(1-EXP(-LN(2)/25))/(LN(2)/25)*Calculateur!BL141*Calculateur!BN141*VLOOKUP('Données projet'!$B$11,'Paramètres'!$A$1:$I$88,3,0)*0.475*44/12</f>
        <v>0</v>
      </c>
      <c r="BR141" s="162">
        <f>EXP(-LN(2)/2)*BR140+(1-EXP(-LN(2)/2))/(LN(2)/2)*BL141*BO141*VLOOKUP('Données projet'!$B$11,'Paramètres'!$A$1:$I$88,3,0)*0.475*44/12</f>
        <v>0</v>
      </c>
      <c r="BS141" s="163">
        <f t="shared" si="10"/>
        <v>0</v>
      </c>
      <c r="BT141" s="159">
        <f>('Scénario référence'!$F$8+'Scénario référence'!$F$9+'Scénario référence'!$B$17+'Scénario référence'!$B$9+'Scénario référence'!$B$10)*70+IF((45+25*(1-EXP(-0.0175*A141)))&lt;70,'Scénario référence'!$B$16*(45+25*(1-EXP(-0.0175*A141))),70*'Scénario référence'!$B$16)+IF((32+38*(1-EXP(-0.0175*A141)))&lt;70,'Scénario référence'!$B$18*(32+38*(1-EXP(-0.0175*A141))),70*'Scénario référence'!$B$18)</f>
        <v>70</v>
      </c>
      <c r="BU141" s="151">
        <f>IF(A141&gt;30,10,('Scénario référence'!$B$16+'Scénario référence'!$B$17+'Scénario référence'!$B$18+'Scénario référence'!$B$9+'Scénario référence'!$B$10)*A141*10/30+('Scénario référence'!$F$8+'Scénario référence'!$F$9)*10)</f>
        <v>10</v>
      </c>
      <c r="BV141" s="151" t="str">
        <f>VLOOKUP(A141,'Données projet'!$A$113:$I$133,2,0)</f>
        <v>#N/A</v>
      </c>
      <c r="BW141" s="151" t="str">
        <f>VLOOKUP(A141,'Données projet'!$A$113:$I$133,9,0)</f>
        <v>#N/A</v>
      </c>
      <c r="BX141" s="151" t="str">
        <f t="array" ref="BX141">INDEX(BW:BW,MIN(IF(ISNUMBER(BW141:BW337),ROW(BW141:BW337),"")))</f>
        <v/>
      </c>
      <c r="BY141" s="150">
        <f>IF('Données projet'!$A$114&gt;35,BY140+BX141-CG140,IF(A141&lt;'Données projet'!$A$114,$BV$205^A141,IF(A141='Données projet'!$A$114,'Données projet'!$B$114,BY140+BX141-CG140)))</f>
        <v>0</v>
      </c>
      <c r="BZ141" s="150" t="str">
        <f>BY141*VLOOKUP('Données projet'!$B$12,'Paramètres'!$A$1:$I$88,3,0)*VLOOKUP('Données projet'!$B$12,'Paramètres'!$A$1:$I$88,5,0)</f>
        <v>#N/A</v>
      </c>
      <c r="CA141" s="150" t="str">
        <f t="shared" si="40"/>
        <v>#N/A</v>
      </c>
      <c r="CB141" s="161" t="str">
        <f t="shared" si="11"/>
        <v>#N/A</v>
      </c>
      <c r="CC141" s="153" t="str">
        <f t="shared" si="12"/>
        <v>#N/A</v>
      </c>
      <c r="CD141" s="153" t="str">
        <f>AVERAGE(OFFSET($CC$3,0,0,'Données projet'!$E$12+1,1))-AVERAGE(OFFSET($H$3,0,0,'Données projet'!$E$12+1,1))</f>
        <v>#N/A</v>
      </c>
      <c r="CE141" s="153" t="str">
        <f t="shared" si="41"/>
        <v>#N/A</v>
      </c>
      <c r="CF141" s="154">
        <f>IF(ISNA(VLOOKUP(A141,'Données projet'!$A$113:$I$133,3,0)),0,VLOOKUP(A141,'Données projet'!$A$113:$I$133,3,0))</f>
        <v>0</v>
      </c>
      <c r="CG141" s="154">
        <f>IF(ISNA(VLOOKUP(A141,'Données projet'!$A$113:$I$133,4,0)),0,VLOOKUP(A141,'Données projet'!$A$113:$I$133,4,0))</f>
        <v>0</v>
      </c>
      <c r="CH141" s="155">
        <f>IF(ISNA(VLOOKUP(A141,'Données projet'!$A$113:$I$133,5,0)),0%,VLOOKUP(A141,'Données projet'!$A$113:$I$133,5,0)*VLOOKUP('Données projet'!$B$12,'Paramètres'!$A$1:$I$88,7,0))</f>
        <v>0</v>
      </c>
      <c r="CI141" s="155">
        <f>IF(ISNA(VLOOKUP(A141,'Données projet'!$A$113:$I$133,6,0)),0%,VLOOKUP(A141,'Données projet'!$A$113:$I$133,6,0)*VLOOKUP('Données projet'!$B$12,'Paramètres'!$A$1:$I$88,7,0))</f>
        <v>0</v>
      </c>
      <c r="CJ141" s="155">
        <f>IF(ISNA(VLOOKUP(A141,'Données projet'!$A$113:$I$133,7,0)),0%,VLOOKUP(A141,'Données projet'!$A$113:$I$133,7,0))</f>
        <v>0</v>
      </c>
      <c r="CK141" s="162" t="str">
        <f>EXP(-LN(2)/35)*CK140+(1-EXP(-LN(2)/35))/(LN(2)/35)*CG141*CH141*VLOOKUP('Données projet'!$B$12,'Paramètres'!$A$1:$I$88,3,0)*0.475*44/12</f>
        <v>#N/A</v>
      </c>
      <c r="CL141" s="162" t="str">
        <f>EXP(-LN(2)/25)*CL140+(1-EXP(-LN(2)/25))/(LN(2)/25)*Calculateur!CG141*Calculateur!CI141*VLOOKUP('Données projet'!$B$12,'Paramètres'!$A$1:$I$88,3,0)*0.475*44/12</f>
        <v>#N/A</v>
      </c>
      <c r="CM141" s="162" t="str">
        <f>EXP(-LN(2)/2)*CM140+(1-EXP(-LN(2)/2))/(LN(2)/2)*CG141*CJ141*VLOOKUP('Données projet'!$B$12,'Paramètres'!$A$1:$I$88,3,0)*0.475*44/12</f>
        <v>#N/A</v>
      </c>
      <c r="CN141" s="163" t="str">
        <f t="shared" si="13"/>
        <v>#N/A</v>
      </c>
      <c r="CO141" s="159">
        <f>('Scénario référence'!$F$8+'Scénario référence'!$F$9+'Scénario référence'!$B$17+'Scénario référence'!$B$9+'Scénario référence'!$B$10)*70+IF((45+25*(1-EXP(-0.0175*A141)))&lt;70,'Scénario référence'!$B$16*(45+25*(1-EXP(-0.0175*A141))),70*'Scénario référence'!$B$16)+IF((32+38*(1-EXP(-0.0175*A141)))&lt;70,'Scénario référence'!$B$18*(32+38*(1-EXP(-0.0175*A141))),70*'Scénario référence'!$B$18)</f>
        <v>70</v>
      </c>
      <c r="CP141" s="151">
        <f>IF(A141&gt;30,10,('Scénario référence'!$B$16+'Scénario référence'!$B$17+'Scénario référence'!$B$18+'Scénario référence'!$B$9+'Scénario référence'!$B$10)*A141*10/30+('Scénario référence'!$F$8+'Scénario référence'!$F$9)*10)</f>
        <v>10</v>
      </c>
      <c r="CQ141" s="151" t="str">
        <f>VLOOKUP(A141,'Données projet'!$A$139:$I$159,2,0)</f>
        <v>#N/A</v>
      </c>
      <c r="CR141" s="151" t="str">
        <f>VLOOKUP(A141,'Données projet'!$A$139:$I$159,9,0)</f>
        <v>#N/A</v>
      </c>
      <c r="CS141" s="151" t="str">
        <f t="array" ref="CS141">INDEX(CR:CR,MIN(IF(ISNUMBER(CR141:CR337),ROW(CR141:CR337),"")))</f>
        <v/>
      </c>
      <c r="CT141" s="151">
        <f>IF('Données projet'!$A$140&gt;35,CT140+CS141-DB140,IF(A141&lt;'Données projet'!$A$140,$CQ$205^A141,IF(A141='Données projet'!$A$140,'Données projet'!$B$140,CT140+CS141-DB140)))</f>
        <v>0</v>
      </c>
      <c r="CU141" s="158" t="str">
        <f>CT141*VLOOKUP('Données projet'!$B$13,'Paramètres'!$A$1:$I$88,3,0)*VLOOKUP('Données projet'!$B$13,'Paramètres'!$A$1:$I$88,5,0)</f>
        <v>#N/A</v>
      </c>
      <c r="CV141" s="150" t="str">
        <f t="shared" si="42"/>
        <v>#N/A</v>
      </c>
      <c r="CW141" s="161" t="str">
        <f t="shared" si="14"/>
        <v>#N/A</v>
      </c>
      <c r="CX141" s="153" t="str">
        <f t="shared" si="15"/>
        <v>#N/A</v>
      </c>
      <c r="CY141" s="153" t="str">
        <f>AVERAGE(OFFSET($CX$3,0,0,'Données projet'!$E$13+1,1))-AVERAGE(OFFSET($H$3,0,0,'Données projet'!$E$13+1,1))</f>
        <v>#N/A</v>
      </c>
      <c r="CZ141" s="153" t="str">
        <f t="shared" si="43"/>
        <v>#N/A</v>
      </c>
      <c r="DA141" s="154">
        <f>IF(ISNA(VLOOKUP(A141,'Données projet'!$A$139:$I$159,3,0)),0,VLOOKUP(A141,'Données projet'!$A$139:$I$159,3,0))</f>
        <v>0</v>
      </c>
      <c r="DB141" s="154">
        <f>IF(ISNA(VLOOKUP(A141,'Données projet'!$A$139:$I$159,4,0)),0,VLOOKUP(A141,'Données projet'!$A$139:$I$159,4,0))</f>
        <v>0</v>
      </c>
      <c r="DC141" s="155">
        <f>IF(ISNA(VLOOKUP(A141,'Données projet'!$A$139:$I$159,5,0)),0%,VLOOKUP(A141,'Données projet'!$A$139:$I$159,5,0)*VLOOKUP('Données projet'!$B$13,'Paramètres'!$A$1:$I$88,7,0))</f>
        <v>0</v>
      </c>
      <c r="DD141" s="155">
        <f>IF(ISNA(VLOOKUP(A141,'Données projet'!$A$139:$I$159,6,0)),0%,VLOOKUP(A141,'Données projet'!$A$139:$I$159,6,0)*VLOOKUP('Données projet'!$B$13,'Paramètres'!$A$1:$I$88,7,0))</f>
        <v>0</v>
      </c>
      <c r="DE141" s="155">
        <f>IF(ISNA(VLOOKUP(A141,'Données projet'!$A$139:$I$159,7,0)),0%,VLOOKUP(A141,'Données projet'!$A$139:$I$159,7,0))</f>
        <v>0</v>
      </c>
      <c r="DF141" s="162" t="str">
        <f>EXP(-LN(2)/35)*DF140+(1-EXP(-LN(2)/35))/(LN(2)/35)*DB141*DC141*VLOOKUP('Données projet'!$B$13,'Paramètres'!$A$1:$I$88,3,0)*0.475*44/12</f>
        <v>#N/A</v>
      </c>
      <c r="DG141" s="162" t="str">
        <f>EXP(-LN(2)/25)*DG140+(1-EXP(-LN(2)/25))/(LN(2)/25)*Calculateur!DB141*Calculateur!DD141*VLOOKUP('Données projet'!$B$13,'Paramètres'!$A$1:$I$88,3,0)*0.475*44/12</f>
        <v>#N/A</v>
      </c>
      <c r="DH141" s="162" t="str">
        <f>EXP(-LN(2)/2)*DH140+(1-EXP(-LN(2)/2))/(LN(2)/2)*DB141*DE141*VLOOKUP('Données projet'!$B$13,'Paramètres'!$A$1:$I$88,3,0)*0.475*44/12</f>
        <v>#N/A</v>
      </c>
      <c r="DI141" s="163" t="str">
        <f t="shared" si="16"/>
        <v>#N/A</v>
      </c>
      <c r="DJ141" s="159">
        <f>('Scénario référence'!$F$8+'Scénario référence'!$F$9+'Scénario référence'!$B$17+'Scénario référence'!$B$9+'Scénario référence'!$B$10)*70+IF((45+25*(1-EXP(-0.0175*A141)))&lt;70,'Scénario référence'!$B$16*(45+25*(1-EXP(-0.0175*A141))),70*'Scénario référence'!$B$16)+IF((32+38*(1-EXP(-0.0175*A141)))&lt;70,'Scénario référence'!$B$18*(32+38*(1-EXP(-0.0175*A141))),70*'Scénario référence'!$B$18)</f>
        <v>70</v>
      </c>
      <c r="DK141" s="151">
        <f>IF(A141&gt;30,10,('Scénario référence'!$B$16+'Scénario référence'!$B$17+'Scénario référence'!$B$18+'Scénario référence'!$B$9+'Scénario référence'!$B$10)*A141*10/30+('Scénario référence'!$F$8+'Scénario référence'!$F$9)*10)</f>
        <v>10</v>
      </c>
      <c r="DL141" s="151" t="str">
        <f>VLOOKUP(A141,'Données projet'!$A$165:$I$185,2,0)</f>
        <v>#N/A</v>
      </c>
      <c r="DM141" s="151" t="str">
        <f>VLOOKUP(A141,'Données projet'!$A$165:$I$185,9,0)</f>
        <v>#N/A</v>
      </c>
      <c r="DN141" s="151" t="str">
        <f t="array" ref="DN141">INDEX(DM:DM,MIN(IF(ISNUMBER(DM141:DM337),ROW(DM141:DM337),"")))</f>
        <v/>
      </c>
      <c r="DO141" s="151">
        <f>IF('Données projet'!$A$166&gt;35,DO140+DN141-DW140,IF(A141&lt;'Données projet'!$A$166,$DL$205^A141,IF(A141='Données projet'!$A$166,'Données projet'!$B$166,DO140+DN141-DW140)))</f>
        <v>0</v>
      </c>
      <c r="DP141" s="158" t="str">
        <f>DO141*VLOOKUP('Données projet'!$B$14,'Paramètres'!$A$1:$I$88,3,0)*VLOOKUP('Données projet'!$B$14,'Paramètres'!$A$1:$I$88,5,0)</f>
        <v>#N/A</v>
      </c>
      <c r="DQ141" s="150" t="str">
        <f t="shared" si="44"/>
        <v>#N/A</v>
      </c>
      <c r="DR141" s="161" t="str">
        <f t="shared" si="17"/>
        <v>#N/A</v>
      </c>
      <c r="DS141" s="153" t="str">
        <f t="shared" si="18"/>
        <v>#N/A</v>
      </c>
      <c r="DT141" s="153" t="str">
        <f>AVERAGE(OFFSET($DS$3,0,0,'Données projet'!$E$14+1,1))-AVERAGE(OFFSET($H$3,0,0,'Données projet'!$E$14+1,1))</f>
        <v>#N/A</v>
      </c>
      <c r="DU141" s="153" t="str">
        <f t="shared" si="45"/>
        <v>#N/A</v>
      </c>
      <c r="DV141" s="154">
        <f>IF(ISNA(VLOOKUP(A141,'Données projet'!$A$165:$I$185,3,0)),0,VLOOKUP(A141,'Données projet'!$A$165:$I$185,3,0))</f>
        <v>0</v>
      </c>
      <c r="DW141" s="154">
        <f>IF(ISNA(VLOOKUP(A141,'Données projet'!$A$165:$I$185,4,0)),0,VLOOKUP(A141,'Données projet'!$A$165:$I$185,4,0))</f>
        <v>0</v>
      </c>
      <c r="DX141" s="155">
        <f>IF(ISNA(VLOOKUP(A141,'Données projet'!$A$165:$I$185,5,0)),0%,VLOOKUP(A141,'Données projet'!$A$165:$I$185,5,0)*VLOOKUP('Données projet'!$B$14,'Paramètres'!$A$1:$I$88,7,0))</f>
        <v>0</v>
      </c>
      <c r="DY141" s="155">
        <f>IF(ISNA(VLOOKUP(A141,'Données projet'!$A$165:$I$185,6,0)),0%,VLOOKUP(A141,'Données projet'!$A$165:$I$185,6,0)*VLOOKUP('Données projet'!$B$14,'Paramètres'!$A$1:$I$88,7,0))</f>
        <v>0</v>
      </c>
      <c r="DZ141" s="155">
        <f>IF(ISNA(VLOOKUP(A141,'Données projet'!$A$165:$I$185,7,0)),0%,VLOOKUP(A141,'Données projet'!$A$165:$I$185,7,0))</f>
        <v>0</v>
      </c>
      <c r="EA141" s="162" t="str">
        <f>EXP(-LN(2)/35)*EA140+(1-EXP(-LN(2)/35))/(LN(2)/35)*DW141*DX141*VLOOKUP('Données projet'!$B$14,'Paramètres'!$A$1:$I$88,3,0)*0.475*44/12</f>
        <v>#N/A</v>
      </c>
      <c r="EB141" s="162" t="str">
        <f>EXP(-LN(2)/25)*EB140+(1-EXP(-LN(2)/25))/(LN(2)/25)*Calculateur!DW141*Calculateur!DY141*VLOOKUP('Données projet'!$B$14,'Paramètres'!$A$1:$I$88,3,0)*0.475*44/12</f>
        <v>#N/A</v>
      </c>
      <c r="EC141" s="162" t="str">
        <f>EXP(-LN(2)/2)*EC140+(1-EXP(-LN(2)/2))/(LN(2)/2)*DW141*DZ141*VLOOKUP('Données projet'!$B$14,'Paramètres'!$A$1:$I$88,3,0)*0.475*44/12</f>
        <v>#N/A</v>
      </c>
      <c r="ED141" s="163" t="str">
        <f t="shared" si="19"/>
        <v>#N/A</v>
      </c>
      <c r="EE141" s="159">
        <f>('Scénario référence'!$F$8+'Scénario référence'!$F$9+'Scénario référence'!$B$17+'Scénario référence'!$B$9+'Scénario référence'!$B$10)*70+IF((45+25*(1-EXP(-0.0175*A141)))&lt;70,'Scénario référence'!$B$16*(45+25*(1-EXP(-0.0175*A141))),70*'Scénario référence'!$B$16)+IF((32+38*(1-EXP(-0.0175*A141)))&lt;70,'Scénario référence'!$B$18*(32+38*(1-EXP(-0.0175*A141))),70*'Scénario référence'!$B$18)</f>
        <v>70</v>
      </c>
      <c r="EF141" s="151">
        <f>IF(A141&gt;30,10,('Scénario référence'!$B$16+'Scénario référence'!$B$17+'Scénario référence'!$B$18+'Scénario référence'!$B$9+'Scénario référence'!$B$10)*A141*10/30+('Scénario référence'!$F$8+'Scénario référence'!$F$9)*10)</f>
        <v>10</v>
      </c>
      <c r="EG141" s="151" t="str">
        <f>VLOOKUP(A141,'Données projet'!$A$191:$I$211,2,0)</f>
        <v>#N/A</v>
      </c>
      <c r="EH141" s="151" t="str">
        <f>VLOOKUP(A141,'Données projet'!$A$191:$I$211,9,0)</f>
        <v>#N/A</v>
      </c>
      <c r="EI141" s="151" t="str">
        <f t="array" ref="EI141">INDEX(EH:EH,MIN(IF(ISNUMBER(EH141:EH337),ROW(EH141:EH337),"")))</f>
        <v/>
      </c>
      <c r="EJ141" s="151">
        <f>IF('Données projet'!$A$192&gt;35,EJ140+EI141-ER140,IF(A141&lt;'Données projet'!$A$192,$EG$205^A141,IF(A141='Données projet'!$A$192,'Données projet'!$B$192,EJ140+EI141-ER140)))</f>
        <v>0</v>
      </c>
      <c r="EK141" s="158" t="str">
        <f>EJ141*VLOOKUP('Données projet'!$B$15,'Paramètres'!$A$1:$I$88,3,0)*VLOOKUP('Données projet'!$B$15,'Paramètres'!$A$1:$I$88,5,0)</f>
        <v>#N/A</v>
      </c>
      <c r="EL141" s="150" t="str">
        <f t="shared" si="46"/>
        <v>#N/A</v>
      </c>
      <c r="EM141" s="161" t="str">
        <f t="shared" si="20"/>
        <v>#N/A</v>
      </c>
      <c r="EN141" s="153" t="str">
        <f t="shared" si="21"/>
        <v>#N/A</v>
      </c>
      <c r="EO141" s="153" t="str">
        <f>AVERAGE(OFFSET($EN$3,0,0,'Données projet'!$E$15+1,1))-AVERAGE(OFFSET($H$3,0,0,'Données projet'!$E$15+1,1))</f>
        <v>#N/A</v>
      </c>
      <c r="EP141" s="153" t="str">
        <f t="shared" si="47"/>
        <v>#N/A</v>
      </c>
      <c r="EQ141" s="154">
        <f>IF(ISNA(VLOOKUP(A141,'Données projet'!$A$191:$I$211,3,0)),0,VLOOKUP(A141,'Données projet'!$A$191:$I$211,3,0))</f>
        <v>0</v>
      </c>
      <c r="ER141" s="154">
        <f>IF(ISNA(VLOOKUP(A141,'Données projet'!$A$191:$I$211,4,0)),0,VLOOKUP(A141,'Données projet'!$A$191:$I$211,4,0))</f>
        <v>0</v>
      </c>
      <c r="ES141" s="155">
        <f>IF(ISNA(VLOOKUP(A141,'Données projet'!$A$191:$I$211,5,0)),0%,VLOOKUP(A141,'Données projet'!$A$191:$I$211,5,0)*VLOOKUP('Données projet'!$B$15,'Paramètres'!$A$1:$I$88,7,0))</f>
        <v>0</v>
      </c>
      <c r="ET141" s="155">
        <f>IF(ISNA(VLOOKUP(A141,'Données projet'!$A$191:$I$211,6,0)),0%,VLOOKUP(A141,'Données projet'!$A$191:$I$211,6,0)*VLOOKUP('Données projet'!$B$15,'Paramètres'!$A$1:$I$88,7,0))</f>
        <v>0</v>
      </c>
      <c r="EU141" s="155">
        <f>IF(ISNA(VLOOKUP(A141,'Données projet'!$A$191:$I$211,7,0)),0%,VLOOKUP(A141,'Données projet'!$A$191:$I$211,7,0))</f>
        <v>0</v>
      </c>
      <c r="EV141" s="162" t="str">
        <f>EXP(-LN(2)/35)*EV140+(1-EXP(-LN(2)/35))/(LN(2)/35)*ER141*ES141*VLOOKUP('Données projet'!$B$15,'Paramètres'!$A$1:$I$88,3,0)*0.475*44/12</f>
        <v>#N/A</v>
      </c>
      <c r="EW141" s="162" t="str">
        <f>EXP(-LN(2)/25)*EW140+(1-EXP(-LN(2)/25))/(LN(2)/25)*Calculateur!ER141*Calculateur!ET141*VLOOKUP('Données projet'!$B$15,'Paramètres'!$A$1:$I$88,3,0)*0.475*44/12</f>
        <v>#N/A</v>
      </c>
      <c r="EX141" s="162" t="str">
        <f>EXP(-LN(2)/2)*EX140+(1-EXP(-LN(2)/2))/(LN(2)/2)*ER141*EU141*VLOOKUP('Données projet'!$B$15,'Paramètres'!$A$1:$I$88,3,0)*0.475*44/12</f>
        <v>#N/A</v>
      </c>
      <c r="EY141" s="163" t="str">
        <f t="shared" si="22"/>
        <v>#N/A</v>
      </c>
      <c r="EZ141" s="159">
        <f>('Scénario référence'!$F$8+'Scénario référence'!$F$9+'Scénario référence'!$B$17+'Scénario référence'!$B$9+'Scénario référence'!$B$10)*70+IF((45+25*(1-EXP(-0.0175*A141)))&lt;70,'Scénario référence'!$B$16*(45+25*(1-EXP(-0.0175*A141))),70*'Scénario référence'!$B$16)+IF((32+38*(1-EXP(-0.0175*A141)))&lt;70,'Scénario référence'!$B$18*(32+38*(1-EXP(-0.0175*A141))),70*'Scénario référence'!$B$18)</f>
        <v>70</v>
      </c>
      <c r="FA141" s="151">
        <f>IF(A141&gt;30,10,('Scénario référence'!$B$16+'Scénario référence'!$B$17+'Scénario référence'!$B$18+'Scénario référence'!$B$9+'Scénario référence'!$B$10)*A141*10/30+('Scénario référence'!$F$8+'Scénario référence'!$F$9)*10)</f>
        <v>10</v>
      </c>
      <c r="FB141" s="151" t="str">
        <f>VLOOKUP(A141,'Données projet'!$A$217:$I$237,2,0)</f>
        <v>#N/A</v>
      </c>
      <c r="FC141" s="151" t="str">
        <f>VLOOKUP(A141,'Données projet'!$A$217:$I$237,9,0)</f>
        <v>#N/A</v>
      </c>
      <c r="FD141" s="151" t="str">
        <f t="array" ref="FD141">INDEX(FC:FC,MIN(IF(ISNUMBER(FC141:FC337),ROW(FC141:FC337),"")))</f>
        <v/>
      </c>
      <c r="FE141" s="151">
        <f>IF('Données projet'!$A$218&gt;35,FE140+FD141-FM140,IF(A141&lt;'Données projet'!$A$218,$FB$205^A141,IF(A141='Données projet'!$A$218,'Données projet'!$B$218,FE140+FD141-FM140)))</f>
        <v>0</v>
      </c>
      <c r="FF141" s="158" t="str">
        <f>FE141*VLOOKUP('Données projet'!$B$16,'Paramètres'!$A$1:$I$88,3,0)*VLOOKUP('Données projet'!$B$16,'Paramètres'!$A$1:$I$88,5,0)</f>
        <v>#N/A</v>
      </c>
      <c r="FG141" s="150" t="str">
        <f t="shared" si="48"/>
        <v>#N/A</v>
      </c>
      <c r="FH141" s="161" t="str">
        <f t="shared" si="23"/>
        <v>#N/A</v>
      </c>
      <c r="FI141" s="153" t="str">
        <f t="shared" si="24"/>
        <v>#N/A</v>
      </c>
      <c r="FJ141" s="153" t="str">
        <f>AVERAGE(OFFSET($FI$3,0,0,'Données projet'!$E$16+1,1))-AVERAGE(OFFSET($H$3,0,0,'Données projet'!$E$16+1,1))</f>
        <v>#N/A</v>
      </c>
      <c r="FK141" s="153" t="str">
        <f t="shared" si="49"/>
        <v>#N/A</v>
      </c>
      <c r="FL141" s="154">
        <f>IF(ISNA(VLOOKUP(A141,'Données projet'!$A$217:$I$237,3,0)),0,VLOOKUP(A141,'Données projet'!$A$217:$I$237,3,0))</f>
        <v>0</v>
      </c>
      <c r="FM141" s="154">
        <f>IF(ISNA(VLOOKUP(A141,'Données projet'!$A$217:$I$237,4,0)),0,VLOOKUP(A141,'Données projet'!$A$217:$I$237,4,0))</f>
        <v>0</v>
      </c>
      <c r="FN141" s="155">
        <f>IF(ISNA(VLOOKUP(A141,'Données projet'!$A$217:$I$237,5,0)),0%,VLOOKUP(A141,'Données projet'!$A$217:$I$237,5,0)*VLOOKUP('Données projet'!$B$16,'Paramètres'!$A$1:$I$88,7,0))</f>
        <v>0</v>
      </c>
      <c r="FO141" s="155">
        <f>IF(ISNA(VLOOKUP(A141,'Données projet'!$A$217:$I$237,6,0)),0%,VLOOKUP(A141,'Données projet'!$A$217:$I$237,6,0)*VLOOKUP('Données projet'!$B$16,'Paramètres'!$A$1:$I$88,7,0))</f>
        <v>0</v>
      </c>
      <c r="FP141" s="155">
        <f>IF(ISNA(VLOOKUP(A141,'Données projet'!$A$217:$I$237,7,0)),0%,VLOOKUP(A141,'Données projet'!$A$217:$I$237,7,0))</f>
        <v>0</v>
      </c>
      <c r="FQ141" s="162" t="str">
        <f>EXP(-LN(2)/35)*FQ140+(1-EXP(-LN(2)/35))/(LN(2)/35)*FM141*FN141*VLOOKUP('Données projet'!$B$16,'Paramètres'!$A$1:$I$88,3,0)*0.475*44/12</f>
        <v>#N/A</v>
      </c>
      <c r="FR141" s="162" t="str">
        <f>EXP(-LN(2)/25)*FR140+(1-EXP(-LN(2)/25))/(LN(2)/25)*Calculateur!FM141*Calculateur!FO141*VLOOKUP('Données projet'!$B$16,'Paramètres'!$A$1:$I$88,3,0)*0.475*44/12</f>
        <v>#N/A</v>
      </c>
      <c r="FS141" s="162" t="str">
        <f>EXP(-LN(2)/2)*FS140+(1-EXP(-LN(2)/2))/(LN(2)/2)*FM141*FP141*VLOOKUP('Données projet'!$B$16,'Paramètres'!$A$1:$I$88,3,0)*0.475*44/12</f>
        <v>#N/A</v>
      </c>
      <c r="FT141" s="163" t="str">
        <f t="shared" si="25"/>
        <v>#N/A</v>
      </c>
      <c r="FU141" s="159">
        <f>('Scénario référence'!$F$8+'Scénario référence'!$F$9+'Scénario référence'!$B$17+'Scénario référence'!$B$9+'Scénario référence'!$B$10)*70+IF((45+25*(1-EXP(-0.0175*A141)))&lt;70,'Scénario référence'!$B$16*(45+25*(1-EXP(-0.0175*A141))),70*'Scénario référence'!$B$16)+IF((32+38*(1-EXP(-0.0175*A141)))&lt;70,'Scénario référence'!$B$18*(32+38*(1-EXP(-0.0175*A141))),70*'Scénario référence'!$B$18)</f>
        <v>70</v>
      </c>
      <c r="FV141" s="151">
        <f>IF(A141&gt;30,10,('Scénario référence'!$B$16+'Scénario référence'!$B$17+'Scénario référence'!$B$18+'Scénario référence'!$B$9+'Scénario référence'!$B$10)*A141*10/30+('Scénario référence'!$F$8+'Scénario référence'!$F$9)*10)</f>
        <v>10</v>
      </c>
      <c r="FW141" s="151" t="str">
        <f>VLOOKUP(A141,'Données projet'!$A$243:$I$263,2,0)</f>
        <v>#N/A</v>
      </c>
      <c r="FX141" s="151" t="str">
        <f>VLOOKUP(A141,'Données projet'!$A$243:$I$263,9,0)</f>
        <v>#N/A</v>
      </c>
      <c r="FY141" s="151" t="str">
        <f t="array" ref="FY141">INDEX(FX:FX,MIN(IF(ISNUMBER(FX141:FX337),ROW(FX141:FX337),"")))</f>
        <v/>
      </c>
      <c r="FZ141" s="151">
        <f>IF('Données projet'!$A$244&gt;35,FZ140+FY141-GH140,IF(A141&lt;'Données projet'!$A$244,$FW$205^A141,IF(A141='Données projet'!$A$244,'Données projet'!$B$244,FZ140+FY141-GH140)))</f>
        <v>0</v>
      </c>
      <c r="GA141" s="158" t="str">
        <f>FZ141*VLOOKUP('Données projet'!$B$17,'Paramètres'!$A$1:$I$88,3,0)*VLOOKUP('Données projet'!$B$17,'Paramètres'!$A$1:$I$88,5,0)</f>
        <v>#N/A</v>
      </c>
      <c r="GB141" s="150" t="str">
        <f t="shared" si="50"/>
        <v>#N/A</v>
      </c>
      <c r="GC141" s="161" t="str">
        <f t="shared" si="26"/>
        <v>#N/A</v>
      </c>
      <c r="GD141" s="153" t="str">
        <f t="shared" si="27"/>
        <v>#N/A</v>
      </c>
      <c r="GE141" s="153" t="str">
        <f>AVERAGE(OFFSET($GD$3,0,0,'Données projet'!$E$17+1,1))-AVERAGE(OFFSET($H$3,0,0,'Données projet'!$E$17+1,1))</f>
        <v>#N/A</v>
      </c>
      <c r="GF141" s="153" t="str">
        <f t="shared" si="51"/>
        <v>#N/A</v>
      </c>
      <c r="GG141" s="154">
        <f>IF(ISNA(VLOOKUP(A141,'Données projet'!$A$243:$I$263,3,0)),0,VLOOKUP(A141,'Données projet'!$A$243:$I$263,3,0))</f>
        <v>0</v>
      </c>
      <c r="GH141" s="154">
        <f>IF(ISNA(VLOOKUP(A141,'Données projet'!$A$243:$I$263,4,0)),0,VLOOKUP(A141,'Données projet'!$A$243:$I$263,4,0))</f>
        <v>0</v>
      </c>
      <c r="GI141" s="155">
        <f>IF(ISNA(VLOOKUP(A141,'Données projet'!$A$243:$I$263,5,0)),0%,VLOOKUP(A141,'Données projet'!$A$243:$I$263,5,0)*VLOOKUP('Données projet'!$B$17,'Paramètres'!$A$1:$I$88,7,0))</f>
        <v>0</v>
      </c>
      <c r="GJ141" s="155">
        <f>IF(ISNA(VLOOKUP(A141,'Données projet'!$A$243:$I$263,6,0)),0%,VLOOKUP(A141,'Données projet'!$A$243:$I$263,6,0)*VLOOKUP('Données projet'!$B$17,'Paramètres'!$A$1:$I$88,7,0))</f>
        <v>0</v>
      </c>
      <c r="GK141" s="155">
        <f>IF(ISNA(VLOOKUP(A141,'Données projet'!$A$243:$I$263,7,0)),0%,VLOOKUP(A141,'Données projet'!$A$243:$I$263,7,0))</f>
        <v>0</v>
      </c>
      <c r="GL141" s="162" t="str">
        <f>EXP(-LN(2)/35)*GL140+(1-EXP(-LN(2)/35))/(LN(2)/35)*GH141*GI141*VLOOKUP('Données projet'!$B$17,'Paramètres'!$A$1:$I$88,3,0)*0.475*44/12</f>
        <v>#N/A</v>
      </c>
      <c r="GM141" s="162" t="str">
        <f>EXP(-LN(2)/25)*GM140+(1-EXP(-LN(2)/25))/(LN(2)/25)*Calculateur!GH141*Calculateur!GJ141*VLOOKUP('Données projet'!$B$17,'Paramètres'!$A$1:$I$88,3,0)*0.475*44/12</f>
        <v>#N/A</v>
      </c>
      <c r="GN141" s="162" t="str">
        <f>EXP(-LN(2)/2)*GN140+(1-EXP(-LN(2)/2))/(LN(2)/2)*GH141*GK141*VLOOKUP('Données projet'!$B$17,'Paramètres'!$A$1:$I$88,3,0)*0.475*44/12</f>
        <v>#N/A</v>
      </c>
      <c r="GO141" s="162" t="str">
        <f t="shared" si="28"/>
        <v>#N/A</v>
      </c>
      <c r="GP141" s="159">
        <f>('Scénario référence'!$F$8+'Scénario référence'!$F$9+'Scénario référence'!$B$17+'Scénario référence'!$B$9+'Scénario référence'!$B$10)*70+IF((45+25*(1-EXP(-0.0175*A141)))&lt;70,'Scénario référence'!$B$16*(45+25*(1-EXP(-0.0175*A141))),70*'Scénario référence'!$B$16)+IF((32+38*(1-EXP(-0.0175*A141)))&lt;70,'Scénario référence'!$B$18*(32+38*(1-EXP(-0.0175*A141))),70*'Scénario référence'!$B$18)</f>
        <v>70</v>
      </c>
      <c r="GQ141" s="151">
        <f>IF(A141&gt;30,10,('Scénario référence'!$B$16+'Scénario référence'!$B$17+'Scénario référence'!$B$18+'Scénario référence'!$B$9+'Scénario référence'!$B$10)*A141*10/30+('Scénario référence'!$F$8+'Scénario référence'!$F$9)*10)</f>
        <v>10</v>
      </c>
      <c r="GR141" s="151" t="str">
        <f>VLOOKUP(A141,'Données projet'!$A$269:$I$289,2,0)</f>
        <v>#N/A</v>
      </c>
      <c r="GS141" s="151" t="str">
        <f>VLOOKUP(A141,'Données projet'!$A$269:$I$289,9,0)</f>
        <v>#N/A</v>
      </c>
      <c r="GT141" s="151" t="str">
        <f t="array" ref="GT141">INDEX(GS:GS,MIN(IF(ISNUMBER(GS141:GS337),ROW(GS141:GS337),"")))</f>
        <v/>
      </c>
      <c r="GU141" s="151">
        <f>IF('Données projet'!$A$270&gt;35,GU140+GT141-HC140,IF(A141&lt;'Données projet'!$A$270,$GR$205^A141,IF(A141='Données projet'!$A$270,'Données projet'!$B$270,GU140+GT141-HC140)))</f>
        <v>0</v>
      </c>
      <c r="GV141" s="158" t="str">
        <f>GU141*VLOOKUP('Données projet'!$B$18,'Paramètres'!$A$1:$I$88,3,0)*VLOOKUP('Données projet'!$B$18,'Paramètres'!$A$1:$I$88,5,0)</f>
        <v>#N/A</v>
      </c>
      <c r="GW141" s="150" t="str">
        <f t="shared" si="52"/>
        <v>#N/A</v>
      </c>
      <c r="GX141" s="161" t="str">
        <f t="shared" si="29"/>
        <v>#N/A</v>
      </c>
      <c r="GY141" s="153" t="str">
        <f t="shared" si="30"/>
        <v>#N/A</v>
      </c>
      <c r="GZ141" s="153" t="str">
        <f>AVERAGE(OFFSET($GY$3,0,0,'Données projet'!$E$18+1,1))-AVERAGE(OFFSET($H$3,0,0,'Données projet'!$E$18+1,1))</f>
        <v>#N/A</v>
      </c>
      <c r="HA141" s="153" t="str">
        <f t="shared" si="53"/>
        <v>#N/A</v>
      </c>
      <c r="HB141" s="154">
        <f>IF(ISNA(VLOOKUP(A141,'Données projet'!$A$269:$I$289,3,0)),0,VLOOKUP(A141,'Données projet'!$A$269:$I$289,3,0))</f>
        <v>0</v>
      </c>
      <c r="HC141" s="154">
        <f>IF(ISNA(VLOOKUP(A141,'Données projet'!$A$269:$I$289,4,0)),0,VLOOKUP(A141,'Données projet'!$A$269:$I$289,4,0))</f>
        <v>0</v>
      </c>
      <c r="HD141" s="155">
        <f>IF(ISNA(VLOOKUP(A141,'Données projet'!$A$269:$I$289,5,0)),0%,VLOOKUP(A141,'Données projet'!$A$269:$I$289,5,0)*VLOOKUP('Données projet'!$B$18,'Paramètres'!$A$1:$I$88,7,0))</f>
        <v>0</v>
      </c>
      <c r="HE141" s="155">
        <f>IF(ISNA(VLOOKUP(A141,'Données projet'!$A$269:$I$289,6,0)),0%,VLOOKUP(A141,'Données projet'!$A$269:$I$289,6,0)*VLOOKUP('Données projet'!$B$18,'Paramètres'!$A$1:$I$88,7,0))</f>
        <v>0</v>
      </c>
      <c r="HF141" s="155">
        <f>IF(ISNA(VLOOKUP(A141,'Données projet'!$A$269:$I$289,7,0)),0%,VLOOKUP(A141,'Données projet'!$A$269:$I$289,7,0))</f>
        <v>0</v>
      </c>
      <c r="HG141" s="162" t="str">
        <f>EXP(-LN(2)/35)*HG140+(1-EXP(-LN(2)/35))/(LN(2)/35)*HC141*HD141*VLOOKUP('Données projet'!$B$18,'Paramètres'!$A$1:$I$88,3,0)*0.475*44/12</f>
        <v>#N/A</v>
      </c>
      <c r="HH141" s="162" t="str">
        <f>EXP(-LN(2)/25)*HH140+(1-EXP(-LN(2)/25))/(LN(2)/25)*Calculateur!HC141*Calculateur!HE141*VLOOKUP('Données projet'!$B$18,'Paramètres'!$A$1:$I$88,3,0)*0.475*44/12</f>
        <v>#N/A</v>
      </c>
      <c r="HI141" s="162" t="str">
        <f>EXP(-LN(2)/2)*HI140+(1-EXP(-LN(2)/2))/(LN(2)/2)*HC141*HF141*VLOOKUP('Données projet'!$B$18,'Paramètres'!$A$1:$I$88,3,0)*0.475*44/12</f>
        <v>#N/A</v>
      </c>
      <c r="HJ141" s="163" t="str">
        <f t="shared" si="31"/>
        <v>#N/A</v>
      </c>
    </row>
    <row r="142" ht="15.75" customHeight="1">
      <c r="A142" s="145">
        <f t="shared" si="32"/>
        <v>139</v>
      </c>
      <c r="B142" s="146">
        <f>'Scénario référence'!$B$16*5+'Scénario référence'!$B$17*0+'Scénario référence'!$B$18*5</f>
        <v>0</v>
      </c>
      <c r="C142" s="160">
        <f>Calculateur!C141+'Scénario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42" s="147">
        <f t="shared" si="33"/>
        <v>0</v>
      </c>
      <c r="E142" s="147">
        <f>'Scénario référence'!$B$16*45+('Scénario référence'!$B$17+'Scénario référence'!$F$8+'Scénario référence'!$F$9+'Scénario référence'!$B$10+'Scénario référence'!$B$9)*70+'Scénario référence'!$B$18*32</f>
        <v>70</v>
      </c>
      <c r="F142" s="147">
        <f>IF(OR('Scénario référence'!$F$8&gt;0,'Scénario référence'!$F$9&gt;0),('Scénario référence'!$F$8+'Scénario référence'!$F$9)*10,0)</f>
        <v>0</v>
      </c>
      <c r="G142" s="147">
        <f>'Scénario référence'!$B$8*B142*44/12+'Scénario référence'!$B$9*(C142+D142)/0.475*44/12+'Scénario référence'!$B$10*(C142+D142)/0.475*44/12+'Scénario référence'!$F$8*(C142+D142)/0.475*44/12+'Scénario référence'!$F$9*(C142+D142)/0.475*44/12</f>
        <v>0</v>
      </c>
      <c r="H142" s="148">
        <f t="shared" si="1"/>
        <v>256.6666667</v>
      </c>
      <c r="I142" s="149">
        <f>('Scénario référence'!$F$8+'Scénario référence'!$F$9+'Scénario référence'!$B$17+'Scénario référence'!$B$9+'Scénario référence'!$B$10)*70+IF((45+25*(1-EXP(-0.0175*A142)))&lt;70,'Scénario référence'!$B$16*(45+25*(1-EXP(-0.0175*A142))),70*'Scénario référence'!$B$16)+IF((32+38*(1-EXP(-0.0175*A142)))&lt;70,'Scénario référence'!$B$18*(32+38*(1-EXP(-0.0175*A142))),70*'Scénario référence'!$B$18)</f>
        <v>70</v>
      </c>
      <c r="J142" s="150">
        <f>IF(A142&gt;30,10,('Scénario référence'!$B$16+'Scénario référence'!$B$17+'Scénario référence'!$B$18+'Scénario référence'!$B$9+'Scénario référence'!$B$10)*A142*10/30+('Scénario référence'!$F$8+'Scénario référence'!$F$9)*10)</f>
        <v>10</v>
      </c>
      <c r="K142" s="151" t="str">
        <f>VLOOKUP(A142,'Données projet'!$A$35:$I$55,2,0)</f>
        <v>#N/A</v>
      </c>
      <c r="L142" s="151" t="str">
        <f>VLOOKUP(A142,'Données projet'!$A$35:$I$55,9,0)</f>
        <v>#N/A</v>
      </c>
      <c r="M142" s="151" t="str">
        <f t="array" ref="M142">INDEX(L:L,MIN(IF(ISNUMBER(L142:L338),ROW(L142:L338),"")))</f>
        <v/>
      </c>
      <c r="N142" s="150">
        <f>IF('Données projet'!$A$36&gt;35,N141+M142-V141,IF(A142&lt;'Données projet'!$A$36,$K$205^A142,IF(A142='Données projet'!$A$36,'Données projet'!$B$36,N141+M142-V141)))</f>
        <v>307</v>
      </c>
      <c r="O142" s="150">
        <f>N142*VLOOKUP('Données projet'!$B$9,'Paramètres'!$A$1:$I$88,3,0)*VLOOKUP('Données projet'!$B$9,'Paramètres'!$A$1:$I$88,5,0)</f>
        <v>277.7736</v>
      </c>
      <c r="P142" s="150">
        <f t="shared" si="34"/>
        <v>66.49628818</v>
      </c>
      <c r="Q142" s="161">
        <f t="shared" si="2"/>
        <v>599.6033886</v>
      </c>
      <c r="R142" s="153">
        <f t="shared" si="3"/>
        <v>892.9367219</v>
      </c>
      <c r="S142" s="153">
        <f>AVERAGE(OFFSET($R$3,0,0,'Données projet'!$E$9+1,1))-AVERAGE(OFFSET($H$3,0,0,'Données projet'!$E$9+1,1))</f>
        <v>439.1985427</v>
      </c>
      <c r="T142" s="153">
        <f t="shared" si="35"/>
        <v>278.2174123</v>
      </c>
      <c r="U142" s="154">
        <f>IF(ISNA(VLOOKUP(A142,'Données projet'!$A$35:$I$55,3,0)),0,VLOOKUP(A142,'Données projet'!$A$35:$I$55,3,0))</f>
        <v>0</v>
      </c>
      <c r="V142" s="154">
        <f>IF(ISNA(VLOOKUP(A142,'Données projet'!$A$35:$I$55,4,0)),0,VLOOKUP(A142,'Données projet'!$A$35:$I$55,4,0))</f>
        <v>0</v>
      </c>
      <c r="W142" s="155">
        <f>IF(ISNA(VLOOKUP(A142,'Données projet'!$A$35:$I$55,5,0)),0%,VLOOKUP(A142,'Données projet'!$A$35:$I$55,5,0)*VLOOKUP('Données projet'!$B$9,'Paramètres'!$A$1:$I$88,7,0))</f>
        <v>0</v>
      </c>
      <c r="X142" s="155">
        <f>IF(ISNA(VLOOKUP(A142,'Données projet'!$A$35:$I$55,6,0)),0%,VLOOKUP(A142,'Données projet'!$A$35:$I$55,6,0)*VLOOKUP('Données projet'!$B$9,'Paramètres'!$A$1:$I$88,7,0))</f>
        <v>0</v>
      </c>
      <c r="Y142" s="155">
        <f>IF(ISNA(VLOOKUP(A142,'Données projet'!$A$35:$I$55,7,0)),0%,VLOOKUP(A142,'Données projet'!$A$35:$I$55,7,0))</f>
        <v>0</v>
      </c>
      <c r="Z142" s="162">
        <f>EXP(-LN(2)/35)*Z141+(1-EXP(-LN(2)/35))/(LN(2)/35)*V142*W142*VLOOKUP('Données projet'!$B$9,'Paramètres'!$A$1:$I$88,3,0)*0.475*44/12</f>
        <v>0</v>
      </c>
      <c r="AA142" s="162">
        <f>EXP(-LN(2)/25)*AA141+(1-EXP(-LN(2)/25))/(LN(2)/25)*Calculateur!V142*Calculateur!X142*VLOOKUP('Données projet'!$B$9,'Paramètres'!$A$1:$I$88,3,0)*0.475*44/12</f>
        <v>0.2185352493</v>
      </c>
      <c r="AB142" s="162">
        <f>EXP(-LN(2)/2)*AB141+(1-EXP(-LN(2)/2))/(LN(2)/2)*V142*Y142*VLOOKUP('Données projet'!$B$9,'Paramètres'!$A$1:$I$88,3,0)*0.475*44/12</f>
        <v>0</v>
      </c>
      <c r="AC142" s="163">
        <f t="shared" si="4"/>
        <v>0.2185352493</v>
      </c>
      <c r="AD142" s="150">
        <f>('Scénario référence'!$F$8+'Scénario référence'!$F$9+'Scénario référence'!$B$17+'Scénario référence'!$B$9+'Scénario référence'!$B$10)*70+IF((45+25*(1-EXP(-0.0175*A142)))&lt;70,'Scénario référence'!$B$16*(45+25*(1-EXP(-0.0175*A142))),70*'Scénario référence'!$B$16)+IF((32+38*(1-EXP(-0.0175*A142)))&lt;70,'Scénario référence'!$B$18*(32+38*(1-EXP(-0.0175*A142))),70*'Scénario référence'!$B$18)</f>
        <v>70</v>
      </c>
      <c r="AE142" s="150">
        <f>IF(A142&gt;30,10,('Scénario référence'!$B$16+'Scénario référence'!$B$17+'Scénario référence'!$B$18+'Scénario référence'!$B$9+'Scénario référence'!$B$10)*A142*10/30+('Scénario référence'!$F$8+'Scénario référence'!$F$9)*10)</f>
        <v>10</v>
      </c>
      <c r="AF142" s="151" t="str">
        <f>VLOOKUP(A142,'Données projet'!$A$61:$I$81,2,0)</f>
        <v>#N/A</v>
      </c>
      <c r="AG142" s="151" t="str">
        <f>VLOOKUP(A142,'Données projet'!$A$61:$I$81,9,0)</f>
        <v>#N/A</v>
      </c>
      <c r="AH142" s="151" t="str">
        <f t="array" ref="AH142">INDEX(AG:AG,MIN(IF(ISNUMBER(AG142:AG338),ROW(AG142:AG338),"")))</f>
        <v/>
      </c>
      <c r="AI142" s="150">
        <f>IF('Données projet'!$A$62&gt;35,AI141+AH142-AQ141,IF(A142&lt;'Données projet'!$A$62,$AF$205^A142,IF(A142='Données projet'!$A$62,'Données projet'!$B$62,AI141+AH142-AQ141)))</f>
        <v>369</v>
      </c>
      <c r="AJ142" s="150">
        <f>AI142*VLOOKUP('Données projet'!$B$10,'Paramètres'!$A$1:$I$88,3,0)*VLOOKUP('Données projet'!$B$10,'Paramètres'!$A$1:$I$88,5,0)</f>
        <v>293.5764</v>
      </c>
      <c r="AK142" s="150">
        <f t="shared" si="36"/>
        <v>69.82813851</v>
      </c>
      <c r="AL142" s="161">
        <f t="shared" si="5"/>
        <v>632.9295712</v>
      </c>
      <c r="AM142" s="153">
        <f t="shared" si="6"/>
        <v>926.2629046</v>
      </c>
      <c r="AN142" s="153">
        <f>AVERAGE(OFFSET($AM$3,0,0,'Données projet'!$E$10+1,1))-AVERAGE(OFFSET($H$3,0,0,'Données projet'!$E$10+1,1))</f>
        <v>405.6113614</v>
      </c>
      <c r="AO142" s="153">
        <f t="shared" si="37"/>
        <v>393.0787141</v>
      </c>
      <c r="AP142" s="154">
        <f>IF(ISNA(VLOOKUP(A142,'Données projet'!$A$61:$I$81,3,0)),0,VLOOKUP(A142,'Données projet'!$A$61:$I$81,3,0))</f>
        <v>0</v>
      </c>
      <c r="AQ142" s="154">
        <f>IF(ISNA(VLOOKUP(A142,'Données projet'!$A$61:$I$81,4,0)),0,VLOOKUP(A142,'Données projet'!$A$61:$I$81,4,0))</f>
        <v>0</v>
      </c>
      <c r="AR142" s="155">
        <f>IF(ISNA(VLOOKUP(A142,'Données projet'!$A$61:$I$81,5,0)),0%,VLOOKUP(A142,'Données projet'!$A$61:$I$81,5,0)*VLOOKUP('Données projet'!$B$10,'Paramètres'!$A$1:$I$88,7,0))</f>
        <v>0</v>
      </c>
      <c r="AS142" s="155">
        <f>IF(ISNA(VLOOKUP(A142,'Données projet'!$A$61:$I$81,6,0)),0%,VLOOKUP(A142,'Données projet'!$A$61:$I$81,6,0)*VLOOKUP('Données projet'!$B$10,'Paramètres'!$A$1:$I$88,7,0))</f>
        <v>0</v>
      </c>
      <c r="AT142" s="155">
        <f>IF(ISNA(VLOOKUP(A142,'Données projet'!$A$61:$I$81,7,0)),0%,VLOOKUP(A142,'Données projet'!$A$61:$I$81,7,0))</f>
        <v>0</v>
      </c>
      <c r="AU142" s="162">
        <f>EXP(-LN(2)/35)*AU141+(1-EXP(-LN(2)/35))/(LN(2)/35)*AQ142*AR142*VLOOKUP('Données projet'!$B$10,'Paramètres'!$A$1:$I$88,3,0)*0.475*44/12</f>
        <v>0</v>
      </c>
      <c r="AV142" s="162">
        <f>EXP(-LN(2)/25)*AV141+(1-EXP(-LN(2)/25))/(LN(2)/25)*Calculateur!AQ142*Calculateur!AS142*VLOOKUP('Données projet'!$B$10,'Paramètres'!$A$1:$I$88,3,0)*0.475*44/12</f>
        <v>0.8881828072</v>
      </c>
      <c r="AW142" s="162">
        <f>EXP(-LN(2)/2)*AW141+(1-EXP(-LN(2)/2))/(LN(2)/2)*AQ142*AT142*VLOOKUP('Données projet'!$B$10,'Paramètres'!$A$1:$I$88,3,0)*0.475*44/12</f>
        <v>0</v>
      </c>
      <c r="AX142" s="162">
        <f t="shared" si="7"/>
        <v>0.8881828072</v>
      </c>
      <c r="AY142" s="157">
        <f>('Scénario référence'!$F$8+'Scénario référence'!$F$9+'Scénario référence'!$B$17+'Scénario référence'!$B$9+'Scénario référence'!$B$10)*70+IF((45+25*(1-EXP(-0.0175*A142)))&lt;70,'Scénario référence'!$B$16*(45+25*(1-EXP(-0.0175*A142))),70*'Scénario référence'!$B$16)+IF((32+38*(1-EXP(-0.0175*A142)))&lt;70,'Scénario référence'!$B$18*(32+38*(1-EXP(-0.0175*A142))),70*'Scénario référence'!$B$18)</f>
        <v>70</v>
      </c>
      <c r="AZ142" s="151">
        <f>IF(A142&gt;30,10,('Scénario référence'!$B$16+'Scénario référence'!$B$17+'Scénario référence'!$B$18+'Scénario référence'!$B$9+'Scénario référence'!$B$10)*A142*10/30+('Scénario référence'!$F$8+'Scénario référence'!$F$9)*10)</f>
        <v>10</v>
      </c>
      <c r="BA142" s="151" t="str">
        <f>VLOOKUP(A142,'Données projet'!$A$87:$I$107,2,0)</f>
        <v>#N/A</v>
      </c>
      <c r="BB142" s="151" t="str">
        <f>VLOOKUP(A142,'Données projet'!$A$87:$I$107,9,0)</f>
        <v>#N/A</v>
      </c>
      <c r="BC142" s="151" t="str">
        <f t="array" ref="BC142">INDEX(BB:BB,MIN(IF(ISNUMBER(BB142:BB338),ROW(BB142:BB338),"")))</f>
        <v/>
      </c>
      <c r="BD142" s="150">
        <f>IF('Données projet'!$A$88&gt;35,BD141+BC142-BL141,IF(A142&lt;'Données projet'!$A$88,$BA$205^A142,IF(A142='Données projet'!$A$88,'Données projet'!$B$88,BD141+BC142-BL141)))</f>
        <v>0</v>
      </c>
      <c r="BE142" s="150">
        <f>BD142*VLOOKUP('Données projet'!$B$11,'Paramètres'!$A$1:$I$88,3,0)*VLOOKUP('Données projet'!$B$11,'Paramètres'!$A$1:$I$88,5,0)</f>
        <v>0</v>
      </c>
      <c r="BF142" s="150" t="str">
        <f t="shared" si="38"/>
        <v>#NUM!</v>
      </c>
      <c r="BG142" s="161" t="str">
        <f t="shared" si="8"/>
        <v>#NUM!</v>
      </c>
      <c r="BH142" s="153" t="str">
        <f t="shared" si="9"/>
        <v>#NUM!</v>
      </c>
      <c r="BI142" s="153">
        <f>AVERAGE(OFFSET($BH$3,0,0,'Données projet'!$E$11+1,1))-AVERAGE(OFFSET($H$3,0,0,'Données projet'!$E$11+1,1))</f>
        <v>0</v>
      </c>
      <c r="BJ142" s="153">
        <f t="shared" si="39"/>
        <v>0</v>
      </c>
      <c r="BK142" s="154">
        <f>IF(ISNA(VLOOKUP(A142,'Données projet'!$A$87:$I$107,3,0)),0,VLOOKUP(A142,'Données projet'!$A$87:$I$107,3,0))</f>
        <v>0</v>
      </c>
      <c r="BL142" s="154">
        <f>IF(ISNA(VLOOKUP(A142,'Données projet'!$A$87:$I$107,4,0)),0,VLOOKUP(A142,'Données projet'!$A$87:$I$107,4,0))</f>
        <v>0</v>
      </c>
      <c r="BM142" s="155">
        <f>IF(ISNA(VLOOKUP(A142,'Données projet'!$A$87:$I$107,5,0)),0%,VLOOKUP(A142,'Données projet'!$A$87:$I$107,5,0)*VLOOKUP('Données projet'!$B$11,'Paramètres'!$A$1:$I$88,7,0))</f>
        <v>0</v>
      </c>
      <c r="BN142" s="155">
        <f>IF(ISNA(VLOOKUP(A142,'Données projet'!$A$87:$I$107,6,0)),0%,VLOOKUP(A142,'Données projet'!$A$87:$I$107,6,0)*VLOOKUP('Données projet'!$B$11,'Paramètres'!$A$1:$I$88,7,0))</f>
        <v>0</v>
      </c>
      <c r="BO142" s="155">
        <f>IF(ISNA(VLOOKUP(A142,'Données projet'!$A$87:$I$107,7,0)),0%,VLOOKUP(A142,'Données projet'!$A$87:$I$107,7,0))</f>
        <v>0</v>
      </c>
      <c r="BP142" s="162">
        <f>EXP(-LN(2)/35)*BP141+(1-EXP(-LN(2)/35))/(LN(2)/35)*BL142*BM142*VLOOKUP('Données projet'!$B$11,'Paramètres'!$A$1:$I$88,3,0)*0.475*44/12</f>
        <v>0</v>
      </c>
      <c r="BQ142" s="162">
        <f>EXP(-LN(2)/25)*BQ141+(1-EXP(-LN(2)/25))/(LN(2)/25)*Calculateur!BL142*Calculateur!BN142*VLOOKUP('Données projet'!$B$11,'Paramètres'!$A$1:$I$88,3,0)*0.475*44/12</f>
        <v>0</v>
      </c>
      <c r="BR142" s="162">
        <f>EXP(-LN(2)/2)*BR141+(1-EXP(-LN(2)/2))/(LN(2)/2)*BL142*BO142*VLOOKUP('Données projet'!$B$11,'Paramètres'!$A$1:$I$88,3,0)*0.475*44/12</f>
        <v>0</v>
      </c>
      <c r="BS142" s="163">
        <f t="shared" si="10"/>
        <v>0</v>
      </c>
      <c r="BT142" s="159">
        <f>('Scénario référence'!$F$8+'Scénario référence'!$F$9+'Scénario référence'!$B$17+'Scénario référence'!$B$9+'Scénario référence'!$B$10)*70+IF((45+25*(1-EXP(-0.0175*A142)))&lt;70,'Scénario référence'!$B$16*(45+25*(1-EXP(-0.0175*A142))),70*'Scénario référence'!$B$16)+IF((32+38*(1-EXP(-0.0175*A142)))&lt;70,'Scénario référence'!$B$18*(32+38*(1-EXP(-0.0175*A142))),70*'Scénario référence'!$B$18)</f>
        <v>70</v>
      </c>
      <c r="BU142" s="151">
        <f>IF(A142&gt;30,10,('Scénario référence'!$B$16+'Scénario référence'!$B$17+'Scénario référence'!$B$18+'Scénario référence'!$B$9+'Scénario référence'!$B$10)*A142*10/30+('Scénario référence'!$F$8+'Scénario référence'!$F$9)*10)</f>
        <v>10</v>
      </c>
      <c r="BV142" s="151" t="str">
        <f>VLOOKUP(A142,'Données projet'!$A$113:$I$133,2,0)</f>
        <v>#N/A</v>
      </c>
      <c r="BW142" s="151" t="str">
        <f>VLOOKUP(A142,'Données projet'!$A$113:$I$133,9,0)</f>
        <v>#N/A</v>
      </c>
      <c r="BX142" s="151" t="str">
        <f t="array" ref="BX142">INDEX(BW:BW,MIN(IF(ISNUMBER(BW142:BW338),ROW(BW142:BW338),"")))</f>
        <v/>
      </c>
      <c r="BY142" s="150">
        <f>IF('Données projet'!$A$114&gt;35,BY141+BX142-CG141,IF(A142&lt;'Données projet'!$A$114,$BV$205^A142,IF(A142='Données projet'!$A$114,'Données projet'!$B$114,BY141+BX142-CG141)))</f>
        <v>0</v>
      </c>
      <c r="BZ142" s="150" t="str">
        <f>BY142*VLOOKUP('Données projet'!$B$12,'Paramètres'!$A$1:$I$88,3,0)*VLOOKUP('Données projet'!$B$12,'Paramètres'!$A$1:$I$88,5,0)</f>
        <v>#N/A</v>
      </c>
      <c r="CA142" s="150" t="str">
        <f t="shared" si="40"/>
        <v>#N/A</v>
      </c>
      <c r="CB142" s="161" t="str">
        <f t="shared" si="11"/>
        <v>#N/A</v>
      </c>
      <c r="CC142" s="153" t="str">
        <f t="shared" si="12"/>
        <v>#N/A</v>
      </c>
      <c r="CD142" s="153" t="str">
        <f>AVERAGE(OFFSET($CC$3,0,0,'Données projet'!$E$12+1,1))-AVERAGE(OFFSET($H$3,0,0,'Données projet'!$E$12+1,1))</f>
        <v>#N/A</v>
      </c>
      <c r="CE142" s="153" t="str">
        <f t="shared" si="41"/>
        <v>#N/A</v>
      </c>
      <c r="CF142" s="154">
        <f>IF(ISNA(VLOOKUP(A142,'Données projet'!$A$113:$I$133,3,0)),0,VLOOKUP(A142,'Données projet'!$A$113:$I$133,3,0))</f>
        <v>0</v>
      </c>
      <c r="CG142" s="154">
        <f>IF(ISNA(VLOOKUP(A142,'Données projet'!$A$113:$I$133,4,0)),0,VLOOKUP(A142,'Données projet'!$A$113:$I$133,4,0))</f>
        <v>0</v>
      </c>
      <c r="CH142" s="155">
        <f>IF(ISNA(VLOOKUP(A142,'Données projet'!$A$113:$I$133,5,0)),0%,VLOOKUP(A142,'Données projet'!$A$113:$I$133,5,0)*VLOOKUP('Données projet'!$B$12,'Paramètres'!$A$1:$I$88,7,0))</f>
        <v>0</v>
      </c>
      <c r="CI142" s="155">
        <f>IF(ISNA(VLOOKUP(A142,'Données projet'!$A$113:$I$133,6,0)),0%,VLOOKUP(A142,'Données projet'!$A$113:$I$133,6,0)*VLOOKUP('Données projet'!$B$12,'Paramètres'!$A$1:$I$88,7,0))</f>
        <v>0</v>
      </c>
      <c r="CJ142" s="155">
        <f>IF(ISNA(VLOOKUP(A142,'Données projet'!$A$113:$I$133,7,0)),0%,VLOOKUP(A142,'Données projet'!$A$113:$I$133,7,0))</f>
        <v>0</v>
      </c>
      <c r="CK142" s="162" t="str">
        <f>EXP(-LN(2)/35)*CK141+(1-EXP(-LN(2)/35))/(LN(2)/35)*CG142*CH142*VLOOKUP('Données projet'!$B$12,'Paramètres'!$A$1:$I$88,3,0)*0.475*44/12</f>
        <v>#N/A</v>
      </c>
      <c r="CL142" s="162" t="str">
        <f>EXP(-LN(2)/25)*CL141+(1-EXP(-LN(2)/25))/(LN(2)/25)*Calculateur!CG142*Calculateur!CI142*VLOOKUP('Données projet'!$B$12,'Paramètres'!$A$1:$I$88,3,0)*0.475*44/12</f>
        <v>#N/A</v>
      </c>
      <c r="CM142" s="162" t="str">
        <f>EXP(-LN(2)/2)*CM141+(1-EXP(-LN(2)/2))/(LN(2)/2)*CG142*CJ142*VLOOKUP('Données projet'!$B$12,'Paramètres'!$A$1:$I$88,3,0)*0.475*44/12</f>
        <v>#N/A</v>
      </c>
      <c r="CN142" s="163" t="str">
        <f t="shared" si="13"/>
        <v>#N/A</v>
      </c>
      <c r="CO142" s="159">
        <f>('Scénario référence'!$F$8+'Scénario référence'!$F$9+'Scénario référence'!$B$17+'Scénario référence'!$B$9+'Scénario référence'!$B$10)*70+IF((45+25*(1-EXP(-0.0175*A142)))&lt;70,'Scénario référence'!$B$16*(45+25*(1-EXP(-0.0175*A142))),70*'Scénario référence'!$B$16)+IF((32+38*(1-EXP(-0.0175*A142)))&lt;70,'Scénario référence'!$B$18*(32+38*(1-EXP(-0.0175*A142))),70*'Scénario référence'!$B$18)</f>
        <v>70</v>
      </c>
      <c r="CP142" s="151">
        <f>IF(A142&gt;30,10,('Scénario référence'!$B$16+'Scénario référence'!$B$17+'Scénario référence'!$B$18+'Scénario référence'!$B$9+'Scénario référence'!$B$10)*A142*10/30+('Scénario référence'!$F$8+'Scénario référence'!$F$9)*10)</f>
        <v>10</v>
      </c>
      <c r="CQ142" s="151" t="str">
        <f>VLOOKUP(A142,'Données projet'!$A$139:$I$159,2,0)</f>
        <v>#N/A</v>
      </c>
      <c r="CR142" s="151" t="str">
        <f>VLOOKUP(A142,'Données projet'!$A$139:$I$159,9,0)</f>
        <v>#N/A</v>
      </c>
      <c r="CS142" s="151" t="str">
        <f t="array" ref="CS142">INDEX(CR:CR,MIN(IF(ISNUMBER(CR142:CR338),ROW(CR142:CR338),"")))</f>
        <v/>
      </c>
      <c r="CT142" s="151">
        <f>IF('Données projet'!$A$140&gt;35,CT141+CS142-DB141,IF(A142&lt;'Données projet'!$A$140,$CQ$205^A142,IF(A142='Données projet'!$A$140,'Données projet'!$B$140,CT141+CS142-DB141)))</f>
        <v>0</v>
      </c>
      <c r="CU142" s="158" t="str">
        <f>CT142*VLOOKUP('Données projet'!$B$13,'Paramètres'!$A$1:$I$88,3,0)*VLOOKUP('Données projet'!$B$13,'Paramètres'!$A$1:$I$88,5,0)</f>
        <v>#N/A</v>
      </c>
      <c r="CV142" s="150" t="str">
        <f t="shared" si="42"/>
        <v>#N/A</v>
      </c>
      <c r="CW142" s="161" t="str">
        <f t="shared" si="14"/>
        <v>#N/A</v>
      </c>
      <c r="CX142" s="153" t="str">
        <f t="shared" si="15"/>
        <v>#N/A</v>
      </c>
      <c r="CY142" s="153" t="str">
        <f>AVERAGE(OFFSET($CX$3,0,0,'Données projet'!$E$13+1,1))-AVERAGE(OFFSET($H$3,0,0,'Données projet'!$E$13+1,1))</f>
        <v>#N/A</v>
      </c>
      <c r="CZ142" s="153" t="str">
        <f t="shared" si="43"/>
        <v>#N/A</v>
      </c>
      <c r="DA142" s="154">
        <f>IF(ISNA(VLOOKUP(A142,'Données projet'!$A$139:$I$159,3,0)),0,VLOOKUP(A142,'Données projet'!$A$139:$I$159,3,0))</f>
        <v>0</v>
      </c>
      <c r="DB142" s="154">
        <f>IF(ISNA(VLOOKUP(A142,'Données projet'!$A$139:$I$159,4,0)),0,VLOOKUP(A142,'Données projet'!$A$139:$I$159,4,0))</f>
        <v>0</v>
      </c>
      <c r="DC142" s="155">
        <f>IF(ISNA(VLOOKUP(A142,'Données projet'!$A$139:$I$159,5,0)),0%,VLOOKUP(A142,'Données projet'!$A$139:$I$159,5,0)*VLOOKUP('Données projet'!$B$13,'Paramètres'!$A$1:$I$88,7,0))</f>
        <v>0</v>
      </c>
      <c r="DD142" s="155">
        <f>IF(ISNA(VLOOKUP(A142,'Données projet'!$A$139:$I$159,6,0)),0%,VLOOKUP(A142,'Données projet'!$A$139:$I$159,6,0)*VLOOKUP('Données projet'!$B$13,'Paramètres'!$A$1:$I$88,7,0))</f>
        <v>0</v>
      </c>
      <c r="DE142" s="155">
        <f>IF(ISNA(VLOOKUP(A142,'Données projet'!$A$139:$I$159,7,0)),0%,VLOOKUP(A142,'Données projet'!$A$139:$I$159,7,0))</f>
        <v>0</v>
      </c>
      <c r="DF142" s="162" t="str">
        <f>EXP(-LN(2)/35)*DF141+(1-EXP(-LN(2)/35))/(LN(2)/35)*DB142*DC142*VLOOKUP('Données projet'!$B$13,'Paramètres'!$A$1:$I$88,3,0)*0.475*44/12</f>
        <v>#N/A</v>
      </c>
      <c r="DG142" s="162" t="str">
        <f>EXP(-LN(2)/25)*DG141+(1-EXP(-LN(2)/25))/(LN(2)/25)*Calculateur!DB142*Calculateur!DD142*VLOOKUP('Données projet'!$B$13,'Paramètres'!$A$1:$I$88,3,0)*0.475*44/12</f>
        <v>#N/A</v>
      </c>
      <c r="DH142" s="162" t="str">
        <f>EXP(-LN(2)/2)*DH141+(1-EXP(-LN(2)/2))/(LN(2)/2)*DB142*DE142*VLOOKUP('Données projet'!$B$13,'Paramètres'!$A$1:$I$88,3,0)*0.475*44/12</f>
        <v>#N/A</v>
      </c>
      <c r="DI142" s="163" t="str">
        <f t="shared" si="16"/>
        <v>#N/A</v>
      </c>
      <c r="DJ142" s="159">
        <f>('Scénario référence'!$F$8+'Scénario référence'!$F$9+'Scénario référence'!$B$17+'Scénario référence'!$B$9+'Scénario référence'!$B$10)*70+IF((45+25*(1-EXP(-0.0175*A142)))&lt;70,'Scénario référence'!$B$16*(45+25*(1-EXP(-0.0175*A142))),70*'Scénario référence'!$B$16)+IF((32+38*(1-EXP(-0.0175*A142)))&lt;70,'Scénario référence'!$B$18*(32+38*(1-EXP(-0.0175*A142))),70*'Scénario référence'!$B$18)</f>
        <v>70</v>
      </c>
      <c r="DK142" s="151">
        <f>IF(A142&gt;30,10,('Scénario référence'!$B$16+'Scénario référence'!$B$17+'Scénario référence'!$B$18+'Scénario référence'!$B$9+'Scénario référence'!$B$10)*A142*10/30+('Scénario référence'!$F$8+'Scénario référence'!$F$9)*10)</f>
        <v>10</v>
      </c>
      <c r="DL142" s="151" t="str">
        <f>VLOOKUP(A142,'Données projet'!$A$165:$I$185,2,0)</f>
        <v>#N/A</v>
      </c>
      <c r="DM142" s="151" t="str">
        <f>VLOOKUP(A142,'Données projet'!$A$165:$I$185,9,0)</f>
        <v>#N/A</v>
      </c>
      <c r="DN142" s="151" t="str">
        <f t="array" ref="DN142">INDEX(DM:DM,MIN(IF(ISNUMBER(DM142:DM338),ROW(DM142:DM338),"")))</f>
        <v/>
      </c>
      <c r="DO142" s="151">
        <f>IF('Données projet'!$A$166&gt;35,DO141+DN142-DW141,IF(A142&lt;'Données projet'!$A$166,$DL$205^A142,IF(A142='Données projet'!$A$166,'Données projet'!$B$166,DO141+DN142-DW141)))</f>
        <v>0</v>
      </c>
      <c r="DP142" s="158" t="str">
        <f>DO142*VLOOKUP('Données projet'!$B$14,'Paramètres'!$A$1:$I$88,3,0)*VLOOKUP('Données projet'!$B$14,'Paramètres'!$A$1:$I$88,5,0)</f>
        <v>#N/A</v>
      </c>
      <c r="DQ142" s="150" t="str">
        <f t="shared" si="44"/>
        <v>#N/A</v>
      </c>
      <c r="DR142" s="161" t="str">
        <f t="shared" si="17"/>
        <v>#N/A</v>
      </c>
      <c r="DS142" s="153" t="str">
        <f t="shared" si="18"/>
        <v>#N/A</v>
      </c>
      <c r="DT142" s="153" t="str">
        <f>AVERAGE(OFFSET($DS$3,0,0,'Données projet'!$E$14+1,1))-AVERAGE(OFFSET($H$3,0,0,'Données projet'!$E$14+1,1))</f>
        <v>#N/A</v>
      </c>
      <c r="DU142" s="153" t="str">
        <f t="shared" si="45"/>
        <v>#N/A</v>
      </c>
      <c r="DV142" s="154">
        <f>IF(ISNA(VLOOKUP(A142,'Données projet'!$A$165:$I$185,3,0)),0,VLOOKUP(A142,'Données projet'!$A$165:$I$185,3,0))</f>
        <v>0</v>
      </c>
      <c r="DW142" s="154">
        <f>IF(ISNA(VLOOKUP(A142,'Données projet'!$A$165:$I$185,4,0)),0,VLOOKUP(A142,'Données projet'!$A$165:$I$185,4,0))</f>
        <v>0</v>
      </c>
      <c r="DX142" s="155">
        <f>IF(ISNA(VLOOKUP(A142,'Données projet'!$A$165:$I$185,5,0)),0%,VLOOKUP(A142,'Données projet'!$A$165:$I$185,5,0)*VLOOKUP('Données projet'!$B$14,'Paramètres'!$A$1:$I$88,7,0))</f>
        <v>0</v>
      </c>
      <c r="DY142" s="155">
        <f>IF(ISNA(VLOOKUP(A142,'Données projet'!$A$165:$I$185,6,0)),0%,VLOOKUP(A142,'Données projet'!$A$165:$I$185,6,0)*VLOOKUP('Données projet'!$B$14,'Paramètres'!$A$1:$I$88,7,0))</f>
        <v>0</v>
      </c>
      <c r="DZ142" s="155">
        <f>IF(ISNA(VLOOKUP(A142,'Données projet'!$A$165:$I$185,7,0)),0%,VLOOKUP(A142,'Données projet'!$A$165:$I$185,7,0))</f>
        <v>0</v>
      </c>
      <c r="EA142" s="162" t="str">
        <f>EXP(-LN(2)/35)*EA141+(1-EXP(-LN(2)/35))/(LN(2)/35)*DW142*DX142*VLOOKUP('Données projet'!$B$14,'Paramètres'!$A$1:$I$88,3,0)*0.475*44/12</f>
        <v>#N/A</v>
      </c>
      <c r="EB142" s="162" t="str">
        <f>EXP(-LN(2)/25)*EB141+(1-EXP(-LN(2)/25))/(LN(2)/25)*Calculateur!DW142*Calculateur!DY142*VLOOKUP('Données projet'!$B$14,'Paramètres'!$A$1:$I$88,3,0)*0.475*44/12</f>
        <v>#N/A</v>
      </c>
      <c r="EC142" s="162" t="str">
        <f>EXP(-LN(2)/2)*EC141+(1-EXP(-LN(2)/2))/(LN(2)/2)*DW142*DZ142*VLOOKUP('Données projet'!$B$14,'Paramètres'!$A$1:$I$88,3,0)*0.475*44/12</f>
        <v>#N/A</v>
      </c>
      <c r="ED142" s="163" t="str">
        <f t="shared" si="19"/>
        <v>#N/A</v>
      </c>
      <c r="EE142" s="159">
        <f>('Scénario référence'!$F$8+'Scénario référence'!$F$9+'Scénario référence'!$B$17+'Scénario référence'!$B$9+'Scénario référence'!$B$10)*70+IF((45+25*(1-EXP(-0.0175*A142)))&lt;70,'Scénario référence'!$B$16*(45+25*(1-EXP(-0.0175*A142))),70*'Scénario référence'!$B$16)+IF((32+38*(1-EXP(-0.0175*A142)))&lt;70,'Scénario référence'!$B$18*(32+38*(1-EXP(-0.0175*A142))),70*'Scénario référence'!$B$18)</f>
        <v>70</v>
      </c>
      <c r="EF142" s="151">
        <f>IF(A142&gt;30,10,('Scénario référence'!$B$16+'Scénario référence'!$B$17+'Scénario référence'!$B$18+'Scénario référence'!$B$9+'Scénario référence'!$B$10)*A142*10/30+('Scénario référence'!$F$8+'Scénario référence'!$F$9)*10)</f>
        <v>10</v>
      </c>
      <c r="EG142" s="151" t="str">
        <f>VLOOKUP(A142,'Données projet'!$A$191:$I$211,2,0)</f>
        <v>#N/A</v>
      </c>
      <c r="EH142" s="151" t="str">
        <f>VLOOKUP(A142,'Données projet'!$A$191:$I$211,9,0)</f>
        <v>#N/A</v>
      </c>
      <c r="EI142" s="151" t="str">
        <f t="array" ref="EI142">INDEX(EH:EH,MIN(IF(ISNUMBER(EH142:EH338),ROW(EH142:EH338),"")))</f>
        <v/>
      </c>
      <c r="EJ142" s="151">
        <f>IF('Données projet'!$A$192&gt;35,EJ141+EI142-ER141,IF(A142&lt;'Données projet'!$A$192,$EG$205^A142,IF(A142='Données projet'!$A$192,'Données projet'!$B$192,EJ141+EI142-ER141)))</f>
        <v>0</v>
      </c>
      <c r="EK142" s="158" t="str">
        <f>EJ142*VLOOKUP('Données projet'!$B$15,'Paramètres'!$A$1:$I$88,3,0)*VLOOKUP('Données projet'!$B$15,'Paramètres'!$A$1:$I$88,5,0)</f>
        <v>#N/A</v>
      </c>
      <c r="EL142" s="150" t="str">
        <f t="shared" si="46"/>
        <v>#N/A</v>
      </c>
      <c r="EM142" s="161" t="str">
        <f t="shared" si="20"/>
        <v>#N/A</v>
      </c>
      <c r="EN142" s="153" t="str">
        <f t="shared" si="21"/>
        <v>#N/A</v>
      </c>
      <c r="EO142" s="153" t="str">
        <f>AVERAGE(OFFSET($EN$3,0,0,'Données projet'!$E$15+1,1))-AVERAGE(OFFSET($H$3,0,0,'Données projet'!$E$15+1,1))</f>
        <v>#N/A</v>
      </c>
      <c r="EP142" s="153" t="str">
        <f t="shared" si="47"/>
        <v>#N/A</v>
      </c>
      <c r="EQ142" s="154">
        <f>IF(ISNA(VLOOKUP(A142,'Données projet'!$A$191:$I$211,3,0)),0,VLOOKUP(A142,'Données projet'!$A$191:$I$211,3,0))</f>
        <v>0</v>
      </c>
      <c r="ER142" s="154">
        <f>IF(ISNA(VLOOKUP(A142,'Données projet'!$A$191:$I$211,4,0)),0,VLOOKUP(A142,'Données projet'!$A$191:$I$211,4,0))</f>
        <v>0</v>
      </c>
      <c r="ES142" s="155">
        <f>IF(ISNA(VLOOKUP(A142,'Données projet'!$A$191:$I$211,5,0)),0%,VLOOKUP(A142,'Données projet'!$A$191:$I$211,5,0)*VLOOKUP('Données projet'!$B$15,'Paramètres'!$A$1:$I$88,7,0))</f>
        <v>0</v>
      </c>
      <c r="ET142" s="155">
        <f>IF(ISNA(VLOOKUP(A142,'Données projet'!$A$191:$I$211,6,0)),0%,VLOOKUP(A142,'Données projet'!$A$191:$I$211,6,0)*VLOOKUP('Données projet'!$B$15,'Paramètres'!$A$1:$I$88,7,0))</f>
        <v>0</v>
      </c>
      <c r="EU142" s="155">
        <f>IF(ISNA(VLOOKUP(A142,'Données projet'!$A$191:$I$211,7,0)),0%,VLOOKUP(A142,'Données projet'!$A$191:$I$211,7,0))</f>
        <v>0</v>
      </c>
      <c r="EV142" s="162" t="str">
        <f>EXP(-LN(2)/35)*EV141+(1-EXP(-LN(2)/35))/(LN(2)/35)*ER142*ES142*VLOOKUP('Données projet'!$B$15,'Paramètres'!$A$1:$I$88,3,0)*0.475*44/12</f>
        <v>#N/A</v>
      </c>
      <c r="EW142" s="162" t="str">
        <f>EXP(-LN(2)/25)*EW141+(1-EXP(-LN(2)/25))/(LN(2)/25)*Calculateur!ER142*Calculateur!ET142*VLOOKUP('Données projet'!$B$15,'Paramètres'!$A$1:$I$88,3,0)*0.475*44/12</f>
        <v>#N/A</v>
      </c>
      <c r="EX142" s="162" t="str">
        <f>EXP(-LN(2)/2)*EX141+(1-EXP(-LN(2)/2))/(LN(2)/2)*ER142*EU142*VLOOKUP('Données projet'!$B$15,'Paramètres'!$A$1:$I$88,3,0)*0.475*44/12</f>
        <v>#N/A</v>
      </c>
      <c r="EY142" s="163" t="str">
        <f t="shared" si="22"/>
        <v>#N/A</v>
      </c>
      <c r="EZ142" s="159">
        <f>('Scénario référence'!$F$8+'Scénario référence'!$F$9+'Scénario référence'!$B$17+'Scénario référence'!$B$9+'Scénario référence'!$B$10)*70+IF((45+25*(1-EXP(-0.0175*A142)))&lt;70,'Scénario référence'!$B$16*(45+25*(1-EXP(-0.0175*A142))),70*'Scénario référence'!$B$16)+IF((32+38*(1-EXP(-0.0175*A142)))&lt;70,'Scénario référence'!$B$18*(32+38*(1-EXP(-0.0175*A142))),70*'Scénario référence'!$B$18)</f>
        <v>70</v>
      </c>
      <c r="FA142" s="151">
        <f>IF(A142&gt;30,10,('Scénario référence'!$B$16+'Scénario référence'!$B$17+'Scénario référence'!$B$18+'Scénario référence'!$B$9+'Scénario référence'!$B$10)*A142*10/30+('Scénario référence'!$F$8+'Scénario référence'!$F$9)*10)</f>
        <v>10</v>
      </c>
      <c r="FB142" s="151" t="str">
        <f>VLOOKUP(A142,'Données projet'!$A$217:$I$237,2,0)</f>
        <v>#N/A</v>
      </c>
      <c r="FC142" s="151" t="str">
        <f>VLOOKUP(A142,'Données projet'!$A$217:$I$237,9,0)</f>
        <v>#N/A</v>
      </c>
      <c r="FD142" s="151" t="str">
        <f t="array" ref="FD142">INDEX(FC:FC,MIN(IF(ISNUMBER(FC142:FC338),ROW(FC142:FC338),"")))</f>
        <v/>
      </c>
      <c r="FE142" s="151">
        <f>IF('Données projet'!$A$218&gt;35,FE141+FD142-FM141,IF(A142&lt;'Données projet'!$A$218,$FB$205^A142,IF(A142='Données projet'!$A$218,'Données projet'!$B$218,FE141+FD142-FM141)))</f>
        <v>0</v>
      </c>
      <c r="FF142" s="158" t="str">
        <f>FE142*VLOOKUP('Données projet'!$B$16,'Paramètres'!$A$1:$I$88,3,0)*VLOOKUP('Données projet'!$B$16,'Paramètres'!$A$1:$I$88,5,0)</f>
        <v>#N/A</v>
      </c>
      <c r="FG142" s="150" t="str">
        <f t="shared" si="48"/>
        <v>#N/A</v>
      </c>
      <c r="FH142" s="161" t="str">
        <f t="shared" si="23"/>
        <v>#N/A</v>
      </c>
      <c r="FI142" s="153" t="str">
        <f t="shared" si="24"/>
        <v>#N/A</v>
      </c>
      <c r="FJ142" s="153" t="str">
        <f>AVERAGE(OFFSET($FI$3,0,0,'Données projet'!$E$16+1,1))-AVERAGE(OFFSET($H$3,0,0,'Données projet'!$E$16+1,1))</f>
        <v>#N/A</v>
      </c>
      <c r="FK142" s="153" t="str">
        <f t="shared" si="49"/>
        <v>#N/A</v>
      </c>
      <c r="FL142" s="154">
        <f>IF(ISNA(VLOOKUP(A142,'Données projet'!$A$217:$I$237,3,0)),0,VLOOKUP(A142,'Données projet'!$A$217:$I$237,3,0))</f>
        <v>0</v>
      </c>
      <c r="FM142" s="154">
        <f>IF(ISNA(VLOOKUP(A142,'Données projet'!$A$217:$I$237,4,0)),0,VLOOKUP(A142,'Données projet'!$A$217:$I$237,4,0))</f>
        <v>0</v>
      </c>
      <c r="FN142" s="155">
        <f>IF(ISNA(VLOOKUP(A142,'Données projet'!$A$217:$I$237,5,0)),0%,VLOOKUP(A142,'Données projet'!$A$217:$I$237,5,0)*VLOOKUP('Données projet'!$B$16,'Paramètres'!$A$1:$I$88,7,0))</f>
        <v>0</v>
      </c>
      <c r="FO142" s="155">
        <f>IF(ISNA(VLOOKUP(A142,'Données projet'!$A$217:$I$237,6,0)),0%,VLOOKUP(A142,'Données projet'!$A$217:$I$237,6,0)*VLOOKUP('Données projet'!$B$16,'Paramètres'!$A$1:$I$88,7,0))</f>
        <v>0</v>
      </c>
      <c r="FP142" s="155">
        <f>IF(ISNA(VLOOKUP(A142,'Données projet'!$A$217:$I$237,7,0)),0%,VLOOKUP(A142,'Données projet'!$A$217:$I$237,7,0))</f>
        <v>0</v>
      </c>
      <c r="FQ142" s="162" t="str">
        <f>EXP(-LN(2)/35)*FQ141+(1-EXP(-LN(2)/35))/(LN(2)/35)*FM142*FN142*VLOOKUP('Données projet'!$B$16,'Paramètres'!$A$1:$I$88,3,0)*0.475*44/12</f>
        <v>#N/A</v>
      </c>
      <c r="FR142" s="162" t="str">
        <f>EXP(-LN(2)/25)*FR141+(1-EXP(-LN(2)/25))/(LN(2)/25)*Calculateur!FM142*Calculateur!FO142*VLOOKUP('Données projet'!$B$16,'Paramètres'!$A$1:$I$88,3,0)*0.475*44/12</f>
        <v>#N/A</v>
      </c>
      <c r="FS142" s="162" t="str">
        <f>EXP(-LN(2)/2)*FS141+(1-EXP(-LN(2)/2))/(LN(2)/2)*FM142*FP142*VLOOKUP('Données projet'!$B$16,'Paramètres'!$A$1:$I$88,3,0)*0.475*44/12</f>
        <v>#N/A</v>
      </c>
      <c r="FT142" s="163" t="str">
        <f t="shared" si="25"/>
        <v>#N/A</v>
      </c>
      <c r="FU142" s="159">
        <f>('Scénario référence'!$F$8+'Scénario référence'!$F$9+'Scénario référence'!$B$17+'Scénario référence'!$B$9+'Scénario référence'!$B$10)*70+IF((45+25*(1-EXP(-0.0175*A142)))&lt;70,'Scénario référence'!$B$16*(45+25*(1-EXP(-0.0175*A142))),70*'Scénario référence'!$B$16)+IF((32+38*(1-EXP(-0.0175*A142)))&lt;70,'Scénario référence'!$B$18*(32+38*(1-EXP(-0.0175*A142))),70*'Scénario référence'!$B$18)</f>
        <v>70</v>
      </c>
      <c r="FV142" s="151">
        <f>IF(A142&gt;30,10,('Scénario référence'!$B$16+'Scénario référence'!$B$17+'Scénario référence'!$B$18+'Scénario référence'!$B$9+'Scénario référence'!$B$10)*A142*10/30+('Scénario référence'!$F$8+'Scénario référence'!$F$9)*10)</f>
        <v>10</v>
      </c>
      <c r="FW142" s="151" t="str">
        <f>VLOOKUP(A142,'Données projet'!$A$243:$I$263,2,0)</f>
        <v>#N/A</v>
      </c>
      <c r="FX142" s="151" t="str">
        <f>VLOOKUP(A142,'Données projet'!$A$243:$I$263,9,0)</f>
        <v>#N/A</v>
      </c>
      <c r="FY142" s="151" t="str">
        <f t="array" ref="FY142">INDEX(FX:FX,MIN(IF(ISNUMBER(FX142:FX338),ROW(FX142:FX338),"")))</f>
        <v/>
      </c>
      <c r="FZ142" s="151">
        <f>IF('Données projet'!$A$244&gt;35,FZ141+FY142-GH141,IF(A142&lt;'Données projet'!$A$244,$FW$205^A142,IF(A142='Données projet'!$A$244,'Données projet'!$B$244,FZ141+FY142-GH141)))</f>
        <v>0</v>
      </c>
      <c r="GA142" s="158" t="str">
        <f>FZ142*VLOOKUP('Données projet'!$B$17,'Paramètres'!$A$1:$I$88,3,0)*VLOOKUP('Données projet'!$B$17,'Paramètres'!$A$1:$I$88,5,0)</f>
        <v>#N/A</v>
      </c>
      <c r="GB142" s="150" t="str">
        <f t="shared" si="50"/>
        <v>#N/A</v>
      </c>
      <c r="GC142" s="161" t="str">
        <f t="shared" si="26"/>
        <v>#N/A</v>
      </c>
      <c r="GD142" s="153" t="str">
        <f t="shared" si="27"/>
        <v>#N/A</v>
      </c>
      <c r="GE142" s="153" t="str">
        <f>AVERAGE(OFFSET($GD$3,0,0,'Données projet'!$E$17+1,1))-AVERAGE(OFFSET($H$3,0,0,'Données projet'!$E$17+1,1))</f>
        <v>#N/A</v>
      </c>
      <c r="GF142" s="153" t="str">
        <f t="shared" si="51"/>
        <v>#N/A</v>
      </c>
      <c r="GG142" s="154">
        <f>IF(ISNA(VLOOKUP(A142,'Données projet'!$A$243:$I$263,3,0)),0,VLOOKUP(A142,'Données projet'!$A$243:$I$263,3,0))</f>
        <v>0</v>
      </c>
      <c r="GH142" s="154">
        <f>IF(ISNA(VLOOKUP(A142,'Données projet'!$A$243:$I$263,4,0)),0,VLOOKUP(A142,'Données projet'!$A$243:$I$263,4,0))</f>
        <v>0</v>
      </c>
      <c r="GI142" s="155">
        <f>IF(ISNA(VLOOKUP(A142,'Données projet'!$A$243:$I$263,5,0)),0%,VLOOKUP(A142,'Données projet'!$A$243:$I$263,5,0)*VLOOKUP('Données projet'!$B$17,'Paramètres'!$A$1:$I$88,7,0))</f>
        <v>0</v>
      </c>
      <c r="GJ142" s="155">
        <f>IF(ISNA(VLOOKUP(A142,'Données projet'!$A$243:$I$263,6,0)),0%,VLOOKUP(A142,'Données projet'!$A$243:$I$263,6,0)*VLOOKUP('Données projet'!$B$17,'Paramètres'!$A$1:$I$88,7,0))</f>
        <v>0</v>
      </c>
      <c r="GK142" s="155">
        <f>IF(ISNA(VLOOKUP(A142,'Données projet'!$A$243:$I$263,7,0)),0%,VLOOKUP(A142,'Données projet'!$A$243:$I$263,7,0))</f>
        <v>0</v>
      </c>
      <c r="GL142" s="162" t="str">
        <f>EXP(-LN(2)/35)*GL141+(1-EXP(-LN(2)/35))/(LN(2)/35)*GH142*GI142*VLOOKUP('Données projet'!$B$17,'Paramètres'!$A$1:$I$88,3,0)*0.475*44/12</f>
        <v>#N/A</v>
      </c>
      <c r="GM142" s="162" t="str">
        <f>EXP(-LN(2)/25)*GM141+(1-EXP(-LN(2)/25))/(LN(2)/25)*Calculateur!GH142*Calculateur!GJ142*VLOOKUP('Données projet'!$B$17,'Paramètres'!$A$1:$I$88,3,0)*0.475*44/12</f>
        <v>#N/A</v>
      </c>
      <c r="GN142" s="162" t="str">
        <f>EXP(-LN(2)/2)*GN141+(1-EXP(-LN(2)/2))/(LN(2)/2)*GH142*GK142*VLOOKUP('Données projet'!$B$17,'Paramètres'!$A$1:$I$88,3,0)*0.475*44/12</f>
        <v>#N/A</v>
      </c>
      <c r="GO142" s="162" t="str">
        <f t="shared" si="28"/>
        <v>#N/A</v>
      </c>
      <c r="GP142" s="159">
        <f>('Scénario référence'!$F$8+'Scénario référence'!$F$9+'Scénario référence'!$B$17+'Scénario référence'!$B$9+'Scénario référence'!$B$10)*70+IF((45+25*(1-EXP(-0.0175*A142)))&lt;70,'Scénario référence'!$B$16*(45+25*(1-EXP(-0.0175*A142))),70*'Scénario référence'!$B$16)+IF((32+38*(1-EXP(-0.0175*A142)))&lt;70,'Scénario référence'!$B$18*(32+38*(1-EXP(-0.0175*A142))),70*'Scénario référence'!$B$18)</f>
        <v>70</v>
      </c>
      <c r="GQ142" s="151">
        <f>IF(A142&gt;30,10,('Scénario référence'!$B$16+'Scénario référence'!$B$17+'Scénario référence'!$B$18+'Scénario référence'!$B$9+'Scénario référence'!$B$10)*A142*10/30+('Scénario référence'!$F$8+'Scénario référence'!$F$9)*10)</f>
        <v>10</v>
      </c>
      <c r="GR142" s="151" t="str">
        <f>VLOOKUP(A142,'Données projet'!$A$269:$I$289,2,0)</f>
        <v>#N/A</v>
      </c>
      <c r="GS142" s="151" t="str">
        <f>VLOOKUP(A142,'Données projet'!$A$269:$I$289,9,0)</f>
        <v>#N/A</v>
      </c>
      <c r="GT142" s="151" t="str">
        <f t="array" ref="GT142">INDEX(GS:GS,MIN(IF(ISNUMBER(GS142:GS338),ROW(GS142:GS338),"")))</f>
        <v/>
      </c>
      <c r="GU142" s="151">
        <f>IF('Données projet'!$A$270&gt;35,GU141+GT142-HC141,IF(A142&lt;'Données projet'!$A$270,$GR$205^A142,IF(A142='Données projet'!$A$270,'Données projet'!$B$270,GU141+GT142-HC141)))</f>
        <v>0</v>
      </c>
      <c r="GV142" s="158" t="str">
        <f>GU142*VLOOKUP('Données projet'!$B$18,'Paramètres'!$A$1:$I$88,3,0)*VLOOKUP('Données projet'!$B$18,'Paramètres'!$A$1:$I$88,5,0)</f>
        <v>#N/A</v>
      </c>
      <c r="GW142" s="150" t="str">
        <f t="shared" si="52"/>
        <v>#N/A</v>
      </c>
      <c r="GX142" s="161" t="str">
        <f t="shared" si="29"/>
        <v>#N/A</v>
      </c>
      <c r="GY142" s="153" t="str">
        <f t="shared" si="30"/>
        <v>#N/A</v>
      </c>
      <c r="GZ142" s="153" t="str">
        <f>AVERAGE(OFFSET($GY$3,0,0,'Données projet'!$E$18+1,1))-AVERAGE(OFFSET($H$3,0,0,'Données projet'!$E$18+1,1))</f>
        <v>#N/A</v>
      </c>
      <c r="HA142" s="153" t="str">
        <f t="shared" si="53"/>
        <v>#N/A</v>
      </c>
      <c r="HB142" s="154">
        <f>IF(ISNA(VLOOKUP(A142,'Données projet'!$A$269:$I$289,3,0)),0,VLOOKUP(A142,'Données projet'!$A$269:$I$289,3,0))</f>
        <v>0</v>
      </c>
      <c r="HC142" s="154">
        <f>IF(ISNA(VLOOKUP(A142,'Données projet'!$A$269:$I$289,4,0)),0,VLOOKUP(A142,'Données projet'!$A$269:$I$289,4,0))</f>
        <v>0</v>
      </c>
      <c r="HD142" s="155">
        <f>IF(ISNA(VLOOKUP(A142,'Données projet'!$A$269:$I$289,5,0)),0%,VLOOKUP(A142,'Données projet'!$A$269:$I$289,5,0)*VLOOKUP('Données projet'!$B$18,'Paramètres'!$A$1:$I$88,7,0))</f>
        <v>0</v>
      </c>
      <c r="HE142" s="155">
        <f>IF(ISNA(VLOOKUP(A142,'Données projet'!$A$269:$I$289,6,0)),0%,VLOOKUP(A142,'Données projet'!$A$269:$I$289,6,0)*VLOOKUP('Données projet'!$B$18,'Paramètres'!$A$1:$I$88,7,0))</f>
        <v>0</v>
      </c>
      <c r="HF142" s="155">
        <f>IF(ISNA(VLOOKUP(A142,'Données projet'!$A$269:$I$289,7,0)),0%,VLOOKUP(A142,'Données projet'!$A$269:$I$289,7,0))</f>
        <v>0</v>
      </c>
      <c r="HG142" s="162" t="str">
        <f>EXP(-LN(2)/35)*HG141+(1-EXP(-LN(2)/35))/(LN(2)/35)*HC142*HD142*VLOOKUP('Données projet'!$B$18,'Paramètres'!$A$1:$I$88,3,0)*0.475*44/12</f>
        <v>#N/A</v>
      </c>
      <c r="HH142" s="162" t="str">
        <f>EXP(-LN(2)/25)*HH141+(1-EXP(-LN(2)/25))/(LN(2)/25)*Calculateur!HC142*Calculateur!HE142*VLOOKUP('Données projet'!$B$18,'Paramètres'!$A$1:$I$88,3,0)*0.475*44/12</f>
        <v>#N/A</v>
      </c>
      <c r="HI142" s="162" t="str">
        <f>EXP(-LN(2)/2)*HI141+(1-EXP(-LN(2)/2))/(LN(2)/2)*HC142*HF142*VLOOKUP('Données projet'!$B$18,'Paramètres'!$A$1:$I$88,3,0)*0.475*44/12</f>
        <v>#N/A</v>
      </c>
      <c r="HJ142" s="163" t="str">
        <f t="shared" si="31"/>
        <v>#N/A</v>
      </c>
    </row>
    <row r="143" ht="15.75" customHeight="1">
      <c r="A143" s="145">
        <f t="shared" si="32"/>
        <v>140</v>
      </c>
      <c r="B143" s="146">
        <f>'Scénario référence'!$B$16*5+'Scénario référence'!$B$17*0+'Scénario référence'!$B$18*5</f>
        <v>0</v>
      </c>
      <c r="C143" s="160">
        <f>Calculateur!C142+'Scénario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43" s="147">
        <f t="shared" si="33"/>
        <v>0</v>
      </c>
      <c r="E143" s="147">
        <f>'Scénario référence'!$B$16*45+('Scénario référence'!$B$17+'Scénario référence'!$F$8+'Scénario référence'!$F$9+'Scénario référence'!$B$10+'Scénario référence'!$B$9)*70+'Scénario référence'!$B$18*32</f>
        <v>70</v>
      </c>
      <c r="F143" s="147">
        <f>IF(OR('Scénario référence'!$F$8&gt;0,'Scénario référence'!$F$9&gt;0),('Scénario référence'!$F$8+'Scénario référence'!$F$9)*10,0)</f>
        <v>0</v>
      </c>
      <c r="G143" s="147">
        <f>'Scénario référence'!$B$8*B143*44/12+'Scénario référence'!$B$9*(C143+D143)/0.475*44/12+'Scénario référence'!$B$10*(C143+D143)/0.475*44/12+'Scénario référence'!$F$8*(C143+D143)/0.475*44/12+'Scénario référence'!$F$9*(C143+D143)/0.475*44/12</f>
        <v>0</v>
      </c>
      <c r="H143" s="148">
        <f t="shared" si="1"/>
        <v>256.6666667</v>
      </c>
      <c r="I143" s="149">
        <f>('Scénario référence'!$F$8+'Scénario référence'!$F$9+'Scénario référence'!$B$17+'Scénario référence'!$B$9+'Scénario référence'!$B$10)*70+IF((45+25*(1-EXP(-0.0175*A143)))&lt;70,'Scénario référence'!$B$16*(45+25*(1-EXP(-0.0175*A143))),70*'Scénario référence'!$B$16)+IF((32+38*(1-EXP(-0.0175*A143)))&lt;70,'Scénario référence'!$B$18*(32+38*(1-EXP(-0.0175*A143))),70*'Scénario référence'!$B$18)</f>
        <v>70</v>
      </c>
      <c r="J143" s="150">
        <f>IF(A143&gt;30,10,('Scénario référence'!$B$16+'Scénario référence'!$B$17+'Scénario référence'!$B$18+'Scénario référence'!$B$9+'Scénario référence'!$B$10)*A143*10/30+('Scénario référence'!$F$8+'Scénario référence'!$F$9)*10)</f>
        <v>10</v>
      </c>
      <c r="K143" s="151" t="str">
        <f>VLOOKUP(A143,'Données projet'!$A$35:$I$55,2,0)</f>
        <v>#N/A</v>
      </c>
      <c r="L143" s="151" t="str">
        <f>VLOOKUP(A143,'Données projet'!$A$35:$I$55,9,0)</f>
        <v>#N/A</v>
      </c>
      <c r="M143" s="151" t="str">
        <f t="array" ref="M143">INDEX(L:L,MIN(IF(ISNUMBER(L143:L339),ROW(L143:L339),"")))</f>
        <v/>
      </c>
      <c r="N143" s="150">
        <f>IF('Données projet'!$A$36&gt;35,N142+M143-V142,IF(A143&lt;'Données projet'!$A$36,$K$205^A143,IF(A143='Données projet'!$A$36,'Données projet'!$B$36,N142+M143-V142)))</f>
        <v>307</v>
      </c>
      <c r="O143" s="150">
        <f>N143*VLOOKUP('Données projet'!$B$9,'Paramètres'!$A$1:$I$88,3,0)*VLOOKUP('Données projet'!$B$9,'Paramètres'!$A$1:$I$88,5,0)</f>
        <v>277.7736</v>
      </c>
      <c r="P143" s="150">
        <f t="shared" si="34"/>
        <v>66.49628818</v>
      </c>
      <c r="Q143" s="161">
        <f t="shared" si="2"/>
        <v>599.6033886</v>
      </c>
      <c r="R143" s="153">
        <f t="shared" si="3"/>
        <v>892.9367219</v>
      </c>
      <c r="S143" s="153">
        <f>AVERAGE(OFFSET($R$3,0,0,'Données projet'!$E$9+1,1))-AVERAGE(OFFSET($H$3,0,0,'Données projet'!$E$9+1,1))</f>
        <v>439.1985427</v>
      </c>
      <c r="T143" s="153">
        <f t="shared" si="35"/>
        <v>278.2174123</v>
      </c>
      <c r="U143" s="154">
        <f>IF(ISNA(VLOOKUP(A143,'Données projet'!$A$35:$I$55,3,0)),0,VLOOKUP(A143,'Données projet'!$A$35:$I$55,3,0))</f>
        <v>0</v>
      </c>
      <c r="V143" s="154">
        <f>IF(ISNA(VLOOKUP(A143,'Données projet'!$A$35:$I$55,4,0)),0,VLOOKUP(A143,'Données projet'!$A$35:$I$55,4,0))</f>
        <v>0</v>
      </c>
      <c r="W143" s="155">
        <f>IF(ISNA(VLOOKUP(A143,'Données projet'!$A$35:$I$55,5,0)),0%,VLOOKUP(A143,'Données projet'!$A$35:$I$55,5,0)*VLOOKUP('Données projet'!$B$9,'Paramètres'!$A$1:$I$88,7,0))</f>
        <v>0</v>
      </c>
      <c r="X143" s="155">
        <f>IF(ISNA(VLOOKUP(A143,'Données projet'!$A$35:$I$55,6,0)),0%,VLOOKUP(A143,'Données projet'!$A$35:$I$55,6,0)*VLOOKUP('Données projet'!$B$9,'Paramètres'!$A$1:$I$88,7,0))</f>
        <v>0</v>
      </c>
      <c r="Y143" s="155">
        <f>IF(ISNA(VLOOKUP(A143,'Données projet'!$A$35:$I$55,7,0)),0%,VLOOKUP(A143,'Données projet'!$A$35:$I$55,7,0))</f>
        <v>0</v>
      </c>
      <c r="Z143" s="162">
        <f>EXP(-LN(2)/35)*Z142+(1-EXP(-LN(2)/35))/(LN(2)/35)*V143*W143*VLOOKUP('Données projet'!$B$9,'Paramètres'!$A$1:$I$88,3,0)*0.475*44/12</f>
        <v>0</v>
      </c>
      <c r="AA143" s="162">
        <f>EXP(-LN(2)/25)*AA142+(1-EXP(-LN(2)/25))/(LN(2)/25)*Calculateur!V143*Calculateur!X143*VLOOKUP('Données projet'!$B$9,'Paramètres'!$A$1:$I$88,3,0)*0.475*44/12</f>
        <v>0.2125593915</v>
      </c>
      <c r="AB143" s="162">
        <f>EXP(-LN(2)/2)*AB142+(1-EXP(-LN(2)/2))/(LN(2)/2)*V143*Y143*VLOOKUP('Données projet'!$B$9,'Paramètres'!$A$1:$I$88,3,0)*0.475*44/12</f>
        <v>0</v>
      </c>
      <c r="AC143" s="163">
        <f t="shared" si="4"/>
        <v>0.2125593915</v>
      </c>
      <c r="AD143" s="150">
        <f>('Scénario référence'!$F$8+'Scénario référence'!$F$9+'Scénario référence'!$B$17+'Scénario référence'!$B$9+'Scénario référence'!$B$10)*70+IF((45+25*(1-EXP(-0.0175*A143)))&lt;70,'Scénario référence'!$B$16*(45+25*(1-EXP(-0.0175*A143))),70*'Scénario référence'!$B$16)+IF((32+38*(1-EXP(-0.0175*A143)))&lt;70,'Scénario référence'!$B$18*(32+38*(1-EXP(-0.0175*A143))),70*'Scénario référence'!$B$18)</f>
        <v>70</v>
      </c>
      <c r="AE143" s="150">
        <f>IF(A143&gt;30,10,('Scénario référence'!$B$16+'Scénario référence'!$B$17+'Scénario référence'!$B$18+'Scénario référence'!$B$9+'Scénario référence'!$B$10)*A143*10/30+('Scénario référence'!$F$8+'Scénario référence'!$F$9)*10)</f>
        <v>10</v>
      </c>
      <c r="AF143" s="151" t="str">
        <f>VLOOKUP(A143,'Données projet'!$A$61:$I$81,2,0)</f>
        <v>#N/A</v>
      </c>
      <c r="AG143" s="151" t="str">
        <f>VLOOKUP(A143,'Données projet'!$A$61:$I$81,9,0)</f>
        <v>#N/A</v>
      </c>
      <c r="AH143" s="151" t="str">
        <f t="array" ref="AH143">INDEX(AG:AG,MIN(IF(ISNUMBER(AG143:AG339),ROW(AG143:AG339),"")))</f>
        <v/>
      </c>
      <c r="AI143" s="150">
        <f>IF('Données projet'!$A$62&gt;35,AI142+AH143-AQ142,IF(A143&lt;'Données projet'!$A$62,$AF$205^A143,IF(A143='Données projet'!$A$62,'Données projet'!$B$62,AI142+AH143-AQ142)))</f>
        <v>369</v>
      </c>
      <c r="AJ143" s="150">
        <f>AI143*VLOOKUP('Données projet'!$B$10,'Paramètres'!$A$1:$I$88,3,0)*VLOOKUP('Données projet'!$B$10,'Paramètres'!$A$1:$I$88,5,0)</f>
        <v>293.5764</v>
      </c>
      <c r="AK143" s="150">
        <f t="shared" si="36"/>
        <v>69.82813851</v>
      </c>
      <c r="AL143" s="161">
        <f t="shared" si="5"/>
        <v>632.9295712</v>
      </c>
      <c r="AM143" s="153">
        <f t="shared" si="6"/>
        <v>926.2629046</v>
      </c>
      <c r="AN143" s="153">
        <f>AVERAGE(OFFSET($AM$3,0,0,'Données projet'!$E$10+1,1))-AVERAGE(OFFSET($H$3,0,0,'Données projet'!$E$10+1,1))</f>
        <v>405.6113614</v>
      </c>
      <c r="AO143" s="153">
        <f t="shared" si="37"/>
        <v>393.0787141</v>
      </c>
      <c r="AP143" s="154">
        <f>IF(ISNA(VLOOKUP(A143,'Données projet'!$A$61:$I$81,3,0)),0,VLOOKUP(A143,'Données projet'!$A$61:$I$81,3,0))</f>
        <v>0</v>
      </c>
      <c r="AQ143" s="154">
        <f>IF(ISNA(VLOOKUP(A143,'Données projet'!$A$61:$I$81,4,0)),0,VLOOKUP(A143,'Données projet'!$A$61:$I$81,4,0))</f>
        <v>0</v>
      </c>
      <c r="AR143" s="155">
        <f>IF(ISNA(VLOOKUP(A143,'Données projet'!$A$61:$I$81,5,0)),0%,VLOOKUP(A143,'Données projet'!$A$61:$I$81,5,0)*VLOOKUP('Données projet'!$B$10,'Paramètres'!$A$1:$I$88,7,0))</f>
        <v>0</v>
      </c>
      <c r="AS143" s="155">
        <f>IF(ISNA(VLOOKUP(A143,'Données projet'!$A$61:$I$81,6,0)),0%,VLOOKUP(A143,'Données projet'!$A$61:$I$81,6,0)*VLOOKUP('Données projet'!$B$10,'Paramètres'!$A$1:$I$88,7,0))</f>
        <v>0</v>
      </c>
      <c r="AT143" s="155">
        <f>IF(ISNA(VLOOKUP(A143,'Données projet'!$A$61:$I$81,7,0)),0%,VLOOKUP(A143,'Données projet'!$A$61:$I$81,7,0))</f>
        <v>0</v>
      </c>
      <c r="AU143" s="162">
        <f>EXP(-LN(2)/35)*AU142+(1-EXP(-LN(2)/35))/(LN(2)/35)*AQ143*AR143*VLOOKUP('Données projet'!$B$10,'Paramètres'!$A$1:$I$88,3,0)*0.475*44/12</f>
        <v>0</v>
      </c>
      <c r="AV143" s="162">
        <f>EXP(-LN(2)/25)*AV142+(1-EXP(-LN(2)/25))/(LN(2)/25)*Calculateur!AQ143*Calculateur!AS143*VLOOKUP('Données projet'!$B$10,'Paramètres'!$A$1:$I$88,3,0)*0.475*44/12</f>
        <v>0.8638954016</v>
      </c>
      <c r="AW143" s="162">
        <f>EXP(-LN(2)/2)*AW142+(1-EXP(-LN(2)/2))/(LN(2)/2)*AQ143*AT143*VLOOKUP('Données projet'!$B$10,'Paramètres'!$A$1:$I$88,3,0)*0.475*44/12</f>
        <v>0</v>
      </c>
      <c r="AX143" s="162">
        <f t="shared" si="7"/>
        <v>0.8638954016</v>
      </c>
      <c r="AY143" s="157">
        <f>('Scénario référence'!$F$8+'Scénario référence'!$F$9+'Scénario référence'!$B$17+'Scénario référence'!$B$9+'Scénario référence'!$B$10)*70+IF((45+25*(1-EXP(-0.0175*A143)))&lt;70,'Scénario référence'!$B$16*(45+25*(1-EXP(-0.0175*A143))),70*'Scénario référence'!$B$16)+IF((32+38*(1-EXP(-0.0175*A143)))&lt;70,'Scénario référence'!$B$18*(32+38*(1-EXP(-0.0175*A143))),70*'Scénario référence'!$B$18)</f>
        <v>70</v>
      </c>
      <c r="AZ143" s="151">
        <f>IF(A143&gt;30,10,('Scénario référence'!$B$16+'Scénario référence'!$B$17+'Scénario référence'!$B$18+'Scénario référence'!$B$9+'Scénario référence'!$B$10)*A143*10/30+('Scénario référence'!$F$8+'Scénario référence'!$F$9)*10)</f>
        <v>10</v>
      </c>
      <c r="BA143" s="151" t="str">
        <f>VLOOKUP(A143,'Données projet'!$A$87:$I$107,2,0)</f>
        <v>#N/A</v>
      </c>
      <c r="BB143" s="151" t="str">
        <f>VLOOKUP(A143,'Données projet'!$A$87:$I$107,9,0)</f>
        <v>#N/A</v>
      </c>
      <c r="BC143" s="151" t="str">
        <f t="array" ref="BC143">INDEX(BB:BB,MIN(IF(ISNUMBER(BB143:BB339),ROW(BB143:BB339),"")))</f>
        <v/>
      </c>
      <c r="BD143" s="150">
        <f>IF('Données projet'!$A$88&gt;35,BD142+BC143-BL142,IF(A143&lt;'Données projet'!$A$88,$BA$205^A143,IF(A143='Données projet'!$A$88,'Données projet'!$B$88,BD142+BC143-BL142)))</f>
        <v>0</v>
      </c>
      <c r="BE143" s="150">
        <f>BD143*VLOOKUP('Données projet'!$B$11,'Paramètres'!$A$1:$I$88,3,0)*VLOOKUP('Données projet'!$B$11,'Paramètres'!$A$1:$I$88,5,0)</f>
        <v>0</v>
      </c>
      <c r="BF143" s="150" t="str">
        <f t="shared" si="38"/>
        <v>#NUM!</v>
      </c>
      <c r="BG143" s="161" t="str">
        <f t="shared" si="8"/>
        <v>#NUM!</v>
      </c>
      <c r="BH143" s="153" t="str">
        <f t="shared" si="9"/>
        <v>#NUM!</v>
      </c>
      <c r="BI143" s="153">
        <f>AVERAGE(OFFSET($BH$3,0,0,'Données projet'!$E$11+1,1))-AVERAGE(OFFSET($H$3,0,0,'Données projet'!$E$11+1,1))</f>
        <v>0</v>
      </c>
      <c r="BJ143" s="153">
        <f t="shared" si="39"/>
        <v>0</v>
      </c>
      <c r="BK143" s="154">
        <f>IF(ISNA(VLOOKUP(A143,'Données projet'!$A$87:$I$107,3,0)),0,VLOOKUP(A143,'Données projet'!$A$87:$I$107,3,0))</f>
        <v>0</v>
      </c>
      <c r="BL143" s="154">
        <f>IF(ISNA(VLOOKUP(A143,'Données projet'!$A$87:$I$107,4,0)),0,VLOOKUP(A143,'Données projet'!$A$87:$I$107,4,0))</f>
        <v>0</v>
      </c>
      <c r="BM143" s="155">
        <f>IF(ISNA(VLOOKUP(A143,'Données projet'!$A$87:$I$107,5,0)),0%,VLOOKUP(A143,'Données projet'!$A$87:$I$107,5,0)*VLOOKUP('Données projet'!$B$11,'Paramètres'!$A$1:$I$88,7,0))</f>
        <v>0</v>
      </c>
      <c r="BN143" s="155">
        <f>IF(ISNA(VLOOKUP(A143,'Données projet'!$A$87:$I$107,6,0)),0%,VLOOKUP(A143,'Données projet'!$A$87:$I$107,6,0)*VLOOKUP('Données projet'!$B$11,'Paramètres'!$A$1:$I$88,7,0))</f>
        <v>0</v>
      </c>
      <c r="BO143" s="155">
        <f>IF(ISNA(VLOOKUP(A143,'Données projet'!$A$87:$I$107,7,0)),0%,VLOOKUP(A143,'Données projet'!$A$87:$I$107,7,0))</f>
        <v>0</v>
      </c>
      <c r="BP143" s="162">
        <f>EXP(-LN(2)/35)*BP142+(1-EXP(-LN(2)/35))/(LN(2)/35)*BL143*BM143*VLOOKUP('Données projet'!$B$11,'Paramètres'!$A$1:$I$88,3,0)*0.475*44/12</f>
        <v>0</v>
      </c>
      <c r="BQ143" s="162">
        <f>EXP(-LN(2)/25)*BQ142+(1-EXP(-LN(2)/25))/(LN(2)/25)*Calculateur!BL143*Calculateur!BN143*VLOOKUP('Données projet'!$B$11,'Paramètres'!$A$1:$I$88,3,0)*0.475*44/12</f>
        <v>0</v>
      </c>
      <c r="BR143" s="162">
        <f>EXP(-LN(2)/2)*BR142+(1-EXP(-LN(2)/2))/(LN(2)/2)*BL143*BO143*VLOOKUP('Données projet'!$B$11,'Paramètres'!$A$1:$I$88,3,0)*0.475*44/12</f>
        <v>0</v>
      </c>
      <c r="BS143" s="163">
        <f t="shared" si="10"/>
        <v>0</v>
      </c>
      <c r="BT143" s="159">
        <f>('Scénario référence'!$F$8+'Scénario référence'!$F$9+'Scénario référence'!$B$17+'Scénario référence'!$B$9+'Scénario référence'!$B$10)*70+IF((45+25*(1-EXP(-0.0175*A143)))&lt;70,'Scénario référence'!$B$16*(45+25*(1-EXP(-0.0175*A143))),70*'Scénario référence'!$B$16)+IF((32+38*(1-EXP(-0.0175*A143)))&lt;70,'Scénario référence'!$B$18*(32+38*(1-EXP(-0.0175*A143))),70*'Scénario référence'!$B$18)</f>
        <v>70</v>
      </c>
      <c r="BU143" s="151">
        <f>IF(A143&gt;30,10,('Scénario référence'!$B$16+'Scénario référence'!$B$17+'Scénario référence'!$B$18+'Scénario référence'!$B$9+'Scénario référence'!$B$10)*A143*10/30+('Scénario référence'!$F$8+'Scénario référence'!$F$9)*10)</f>
        <v>10</v>
      </c>
      <c r="BV143" s="151" t="str">
        <f>VLOOKUP(A143,'Données projet'!$A$113:$I$133,2,0)</f>
        <v>#N/A</v>
      </c>
      <c r="BW143" s="151" t="str">
        <f>VLOOKUP(A143,'Données projet'!$A$113:$I$133,9,0)</f>
        <v>#N/A</v>
      </c>
      <c r="BX143" s="151" t="str">
        <f t="array" ref="BX143">INDEX(BW:BW,MIN(IF(ISNUMBER(BW143:BW339),ROW(BW143:BW339),"")))</f>
        <v/>
      </c>
      <c r="BY143" s="150">
        <f>IF('Données projet'!$A$114&gt;35,BY142+BX143-CG142,IF(A143&lt;'Données projet'!$A$114,$BV$205^A143,IF(A143='Données projet'!$A$114,'Données projet'!$B$114,BY142+BX143-CG142)))</f>
        <v>0</v>
      </c>
      <c r="BZ143" s="150" t="str">
        <f>BY143*VLOOKUP('Données projet'!$B$12,'Paramètres'!$A$1:$I$88,3,0)*VLOOKUP('Données projet'!$B$12,'Paramètres'!$A$1:$I$88,5,0)</f>
        <v>#N/A</v>
      </c>
      <c r="CA143" s="150" t="str">
        <f t="shared" si="40"/>
        <v>#N/A</v>
      </c>
      <c r="CB143" s="161" t="str">
        <f t="shared" si="11"/>
        <v>#N/A</v>
      </c>
      <c r="CC143" s="153" t="str">
        <f t="shared" si="12"/>
        <v>#N/A</v>
      </c>
      <c r="CD143" s="153" t="str">
        <f>AVERAGE(OFFSET($CC$3,0,0,'Données projet'!$E$12+1,1))-AVERAGE(OFFSET($H$3,0,0,'Données projet'!$E$12+1,1))</f>
        <v>#N/A</v>
      </c>
      <c r="CE143" s="153" t="str">
        <f t="shared" si="41"/>
        <v>#N/A</v>
      </c>
      <c r="CF143" s="154">
        <f>IF(ISNA(VLOOKUP(A143,'Données projet'!$A$113:$I$133,3,0)),0,VLOOKUP(A143,'Données projet'!$A$113:$I$133,3,0))</f>
        <v>0</v>
      </c>
      <c r="CG143" s="154">
        <f>IF(ISNA(VLOOKUP(A143,'Données projet'!$A$113:$I$133,4,0)),0,VLOOKUP(A143,'Données projet'!$A$113:$I$133,4,0))</f>
        <v>0</v>
      </c>
      <c r="CH143" s="155">
        <f>IF(ISNA(VLOOKUP(A143,'Données projet'!$A$113:$I$133,5,0)),0%,VLOOKUP(A143,'Données projet'!$A$113:$I$133,5,0)*VLOOKUP('Données projet'!$B$12,'Paramètres'!$A$1:$I$88,7,0))</f>
        <v>0</v>
      </c>
      <c r="CI143" s="155">
        <f>IF(ISNA(VLOOKUP(A143,'Données projet'!$A$113:$I$133,6,0)),0%,VLOOKUP(A143,'Données projet'!$A$113:$I$133,6,0)*VLOOKUP('Données projet'!$B$12,'Paramètres'!$A$1:$I$88,7,0))</f>
        <v>0</v>
      </c>
      <c r="CJ143" s="155">
        <f>IF(ISNA(VLOOKUP(A143,'Données projet'!$A$113:$I$133,7,0)),0%,VLOOKUP(A143,'Données projet'!$A$113:$I$133,7,0))</f>
        <v>0</v>
      </c>
      <c r="CK143" s="162" t="str">
        <f>EXP(-LN(2)/35)*CK142+(1-EXP(-LN(2)/35))/(LN(2)/35)*CG143*CH143*VLOOKUP('Données projet'!$B$12,'Paramètres'!$A$1:$I$88,3,0)*0.475*44/12</f>
        <v>#N/A</v>
      </c>
      <c r="CL143" s="162" t="str">
        <f>EXP(-LN(2)/25)*CL142+(1-EXP(-LN(2)/25))/(LN(2)/25)*Calculateur!CG143*Calculateur!CI143*VLOOKUP('Données projet'!$B$12,'Paramètres'!$A$1:$I$88,3,0)*0.475*44/12</f>
        <v>#N/A</v>
      </c>
      <c r="CM143" s="162" t="str">
        <f>EXP(-LN(2)/2)*CM142+(1-EXP(-LN(2)/2))/(LN(2)/2)*CG143*CJ143*VLOOKUP('Données projet'!$B$12,'Paramètres'!$A$1:$I$88,3,0)*0.475*44/12</f>
        <v>#N/A</v>
      </c>
      <c r="CN143" s="163" t="str">
        <f t="shared" si="13"/>
        <v>#N/A</v>
      </c>
      <c r="CO143" s="159">
        <f>('Scénario référence'!$F$8+'Scénario référence'!$F$9+'Scénario référence'!$B$17+'Scénario référence'!$B$9+'Scénario référence'!$B$10)*70+IF((45+25*(1-EXP(-0.0175*A143)))&lt;70,'Scénario référence'!$B$16*(45+25*(1-EXP(-0.0175*A143))),70*'Scénario référence'!$B$16)+IF((32+38*(1-EXP(-0.0175*A143)))&lt;70,'Scénario référence'!$B$18*(32+38*(1-EXP(-0.0175*A143))),70*'Scénario référence'!$B$18)</f>
        <v>70</v>
      </c>
      <c r="CP143" s="151">
        <f>IF(A143&gt;30,10,('Scénario référence'!$B$16+'Scénario référence'!$B$17+'Scénario référence'!$B$18+'Scénario référence'!$B$9+'Scénario référence'!$B$10)*A143*10/30+('Scénario référence'!$F$8+'Scénario référence'!$F$9)*10)</f>
        <v>10</v>
      </c>
      <c r="CQ143" s="151" t="str">
        <f>VLOOKUP(A143,'Données projet'!$A$139:$I$159,2,0)</f>
        <v>#N/A</v>
      </c>
      <c r="CR143" s="151" t="str">
        <f>VLOOKUP(A143,'Données projet'!$A$139:$I$159,9,0)</f>
        <v>#N/A</v>
      </c>
      <c r="CS143" s="151" t="str">
        <f t="array" ref="CS143">INDEX(CR:CR,MIN(IF(ISNUMBER(CR143:CR339),ROW(CR143:CR339),"")))</f>
        <v/>
      </c>
      <c r="CT143" s="151">
        <f>IF('Données projet'!$A$140&gt;35,CT142+CS143-DB142,IF(A143&lt;'Données projet'!$A$140,$CQ$205^A143,IF(A143='Données projet'!$A$140,'Données projet'!$B$140,CT142+CS143-DB142)))</f>
        <v>0</v>
      </c>
      <c r="CU143" s="158" t="str">
        <f>CT143*VLOOKUP('Données projet'!$B$13,'Paramètres'!$A$1:$I$88,3,0)*VLOOKUP('Données projet'!$B$13,'Paramètres'!$A$1:$I$88,5,0)</f>
        <v>#N/A</v>
      </c>
      <c r="CV143" s="150" t="str">
        <f t="shared" si="42"/>
        <v>#N/A</v>
      </c>
      <c r="CW143" s="161" t="str">
        <f t="shared" si="14"/>
        <v>#N/A</v>
      </c>
      <c r="CX143" s="153" t="str">
        <f t="shared" si="15"/>
        <v>#N/A</v>
      </c>
      <c r="CY143" s="153" t="str">
        <f>AVERAGE(OFFSET($CX$3,0,0,'Données projet'!$E$13+1,1))-AVERAGE(OFFSET($H$3,0,0,'Données projet'!$E$13+1,1))</f>
        <v>#N/A</v>
      </c>
      <c r="CZ143" s="153" t="str">
        <f t="shared" si="43"/>
        <v>#N/A</v>
      </c>
      <c r="DA143" s="154">
        <f>IF(ISNA(VLOOKUP(A143,'Données projet'!$A$139:$I$159,3,0)),0,VLOOKUP(A143,'Données projet'!$A$139:$I$159,3,0))</f>
        <v>0</v>
      </c>
      <c r="DB143" s="154">
        <f>IF(ISNA(VLOOKUP(A143,'Données projet'!$A$139:$I$159,4,0)),0,VLOOKUP(A143,'Données projet'!$A$139:$I$159,4,0))</f>
        <v>0</v>
      </c>
      <c r="DC143" s="155">
        <f>IF(ISNA(VLOOKUP(A143,'Données projet'!$A$139:$I$159,5,0)),0%,VLOOKUP(A143,'Données projet'!$A$139:$I$159,5,0)*VLOOKUP('Données projet'!$B$13,'Paramètres'!$A$1:$I$88,7,0))</f>
        <v>0</v>
      </c>
      <c r="DD143" s="155">
        <f>IF(ISNA(VLOOKUP(A143,'Données projet'!$A$139:$I$159,6,0)),0%,VLOOKUP(A143,'Données projet'!$A$139:$I$159,6,0)*VLOOKUP('Données projet'!$B$13,'Paramètres'!$A$1:$I$88,7,0))</f>
        <v>0</v>
      </c>
      <c r="DE143" s="155">
        <f>IF(ISNA(VLOOKUP(A143,'Données projet'!$A$139:$I$159,7,0)),0%,VLOOKUP(A143,'Données projet'!$A$139:$I$159,7,0))</f>
        <v>0</v>
      </c>
      <c r="DF143" s="162" t="str">
        <f>EXP(-LN(2)/35)*DF142+(1-EXP(-LN(2)/35))/(LN(2)/35)*DB143*DC143*VLOOKUP('Données projet'!$B$13,'Paramètres'!$A$1:$I$88,3,0)*0.475*44/12</f>
        <v>#N/A</v>
      </c>
      <c r="DG143" s="162" t="str">
        <f>EXP(-LN(2)/25)*DG142+(1-EXP(-LN(2)/25))/(LN(2)/25)*Calculateur!DB143*Calculateur!DD143*VLOOKUP('Données projet'!$B$13,'Paramètres'!$A$1:$I$88,3,0)*0.475*44/12</f>
        <v>#N/A</v>
      </c>
      <c r="DH143" s="162" t="str">
        <f>EXP(-LN(2)/2)*DH142+(1-EXP(-LN(2)/2))/(LN(2)/2)*DB143*DE143*VLOOKUP('Données projet'!$B$13,'Paramètres'!$A$1:$I$88,3,0)*0.475*44/12</f>
        <v>#N/A</v>
      </c>
      <c r="DI143" s="163" t="str">
        <f t="shared" si="16"/>
        <v>#N/A</v>
      </c>
      <c r="DJ143" s="159">
        <f>('Scénario référence'!$F$8+'Scénario référence'!$F$9+'Scénario référence'!$B$17+'Scénario référence'!$B$9+'Scénario référence'!$B$10)*70+IF((45+25*(1-EXP(-0.0175*A143)))&lt;70,'Scénario référence'!$B$16*(45+25*(1-EXP(-0.0175*A143))),70*'Scénario référence'!$B$16)+IF((32+38*(1-EXP(-0.0175*A143)))&lt;70,'Scénario référence'!$B$18*(32+38*(1-EXP(-0.0175*A143))),70*'Scénario référence'!$B$18)</f>
        <v>70</v>
      </c>
      <c r="DK143" s="151">
        <f>IF(A143&gt;30,10,('Scénario référence'!$B$16+'Scénario référence'!$B$17+'Scénario référence'!$B$18+'Scénario référence'!$B$9+'Scénario référence'!$B$10)*A143*10/30+('Scénario référence'!$F$8+'Scénario référence'!$F$9)*10)</f>
        <v>10</v>
      </c>
      <c r="DL143" s="151" t="str">
        <f>VLOOKUP(A143,'Données projet'!$A$165:$I$185,2,0)</f>
        <v>#N/A</v>
      </c>
      <c r="DM143" s="151" t="str">
        <f>VLOOKUP(A143,'Données projet'!$A$165:$I$185,9,0)</f>
        <v>#N/A</v>
      </c>
      <c r="DN143" s="151" t="str">
        <f t="array" ref="DN143">INDEX(DM:DM,MIN(IF(ISNUMBER(DM143:DM339),ROW(DM143:DM339),"")))</f>
        <v/>
      </c>
      <c r="DO143" s="151">
        <f>IF('Données projet'!$A$166&gt;35,DO142+DN143-DW142,IF(A143&lt;'Données projet'!$A$166,$DL$205^A143,IF(A143='Données projet'!$A$166,'Données projet'!$B$166,DO142+DN143-DW142)))</f>
        <v>0</v>
      </c>
      <c r="DP143" s="158" t="str">
        <f>DO143*VLOOKUP('Données projet'!$B$14,'Paramètres'!$A$1:$I$88,3,0)*VLOOKUP('Données projet'!$B$14,'Paramètres'!$A$1:$I$88,5,0)</f>
        <v>#N/A</v>
      </c>
      <c r="DQ143" s="150" t="str">
        <f t="shared" si="44"/>
        <v>#N/A</v>
      </c>
      <c r="DR143" s="161" t="str">
        <f t="shared" si="17"/>
        <v>#N/A</v>
      </c>
      <c r="DS143" s="153" t="str">
        <f t="shared" si="18"/>
        <v>#N/A</v>
      </c>
      <c r="DT143" s="153" t="str">
        <f>AVERAGE(OFFSET($DS$3,0,0,'Données projet'!$E$14+1,1))-AVERAGE(OFFSET($H$3,0,0,'Données projet'!$E$14+1,1))</f>
        <v>#N/A</v>
      </c>
      <c r="DU143" s="153" t="str">
        <f t="shared" si="45"/>
        <v>#N/A</v>
      </c>
      <c r="DV143" s="154">
        <f>IF(ISNA(VLOOKUP(A143,'Données projet'!$A$165:$I$185,3,0)),0,VLOOKUP(A143,'Données projet'!$A$165:$I$185,3,0))</f>
        <v>0</v>
      </c>
      <c r="DW143" s="154">
        <f>IF(ISNA(VLOOKUP(A143,'Données projet'!$A$165:$I$185,4,0)),0,VLOOKUP(A143,'Données projet'!$A$165:$I$185,4,0))</f>
        <v>0</v>
      </c>
      <c r="DX143" s="155">
        <f>IF(ISNA(VLOOKUP(A143,'Données projet'!$A$165:$I$185,5,0)),0%,VLOOKUP(A143,'Données projet'!$A$165:$I$185,5,0)*VLOOKUP('Données projet'!$B$14,'Paramètres'!$A$1:$I$88,7,0))</f>
        <v>0</v>
      </c>
      <c r="DY143" s="155">
        <f>IF(ISNA(VLOOKUP(A143,'Données projet'!$A$165:$I$185,6,0)),0%,VLOOKUP(A143,'Données projet'!$A$165:$I$185,6,0)*VLOOKUP('Données projet'!$B$14,'Paramètres'!$A$1:$I$88,7,0))</f>
        <v>0</v>
      </c>
      <c r="DZ143" s="155">
        <f>IF(ISNA(VLOOKUP(A143,'Données projet'!$A$165:$I$185,7,0)),0%,VLOOKUP(A143,'Données projet'!$A$165:$I$185,7,0))</f>
        <v>0</v>
      </c>
      <c r="EA143" s="162" t="str">
        <f>EXP(-LN(2)/35)*EA142+(1-EXP(-LN(2)/35))/(LN(2)/35)*DW143*DX143*VLOOKUP('Données projet'!$B$14,'Paramètres'!$A$1:$I$88,3,0)*0.475*44/12</f>
        <v>#N/A</v>
      </c>
      <c r="EB143" s="162" t="str">
        <f>EXP(-LN(2)/25)*EB142+(1-EXP(-LN(2)/25))/(LN(2)/25)*Calculateur!DW143*Calculateur!DY143*VLOOKUP('Données projet'!$B$14,'Paramètres'!$A$1:$I$88,3,0)*0.475*44/12</f>
        <v>#N/A</v>
      </c>
      <c r="EC143" s="162" t="str">
        <f>EXP(-LN(2)/2)*EC142+(1-EXP(-LN(2)/2))/(LN(2)/2)*DW143*DZ143*VLOOKUP('Données projet'!$B$14,'Paramètres'!$A$1:$I$88,3,0)*0.475*44/12</f>
        <v>#N/A</v>
      </c>
      <c r="ED143" s="163" t="str">
        <f t="shared" si="19"/>
        <v>#N/A</v>
      </c>
      <c r="EE143" s="159">
        <f>('Scénario référence'!$F$8+'Scénario référence'!$F$9+'Scénario référence'!$B$17+'Scénario référence'!$B$9+'Scénario référence'!$B$10)*70+IF((45+25*(1-EXP(-0.0175*A143)))&lt;70,'Scénario référence'!$B$16*(45+25*(1-EXP(-0.0175*A143))),70*'Scénario référence'!$B$16)+IF((32+38*(1-EXP(-0.0175*A143)))&lt;70,'Scénario référence'!$B$18*(32+38*(1-EXP(-0.0175*A143))),70*'Scénario référence'!$B$18)</f>
        <v>70</v>
      </c>
      <c r="EF143" s="151">
        <f>IF(A143&gt;30,10,('Scénario référence'!$B$16+'Scénario référence'!$B$17+'Scénario référence'!$B$18+'Scénario référence'!$B$9+'Scénario référence'!$B$10)*A143*10/30+('Scénario référence'!$F$8+'Scénario référence'!$F$9)*10)</f>
        <v>10</v>
      </c>
      <c r="EG143" s="151" t="str">
        <f>VLOOKUP(A143,'Données projet'!$A$191:$I$211,2,0)</f>
        <v>#N/A</v>
      </c>
      <c r="EH143" s="151" t="str">
        <f>VLOOKUP(A143,'Données projet'!$A$191:$I$211,9,0)</f>
        <v>#N/A</v>
      </c>
      <c r="EI143" s="151" t="str">
        <f t="array" ref="EI143">INDEX(EH:EH,MIN(IF(ISNUMBER(EH143:EH339),ROW(EH143:EH339),"")))</f>
        <v/>
      </c>
      <c r="EJ143" s="151">
        <f>IF('Données projet'!$A$192&gt;35,EJ142+EI143-ER142,IF(A143&lt;'Données projet'!$A$192,$EG$205^A143,IF(A143='Données projet'!$A$192,'Données projet'!$B$192,EJ142+EI143-ER142)))</f>
        <v>0</v>
      </c>
      <c r="EK143" s="158" t="str">
        <f>EJ143*VLOOKUP('Données projet'!$B$15,'Paramètres'!$A$1:$I$88,3,0)*VLOOKUP('Données projet'!$B$15,'Paramètres'!$A$1:$I$88,5,0)</f>
        <v>#N/A</v>
      </c>
      <c r="EL143" s="150" t="str">
        <f t="shared" si="46"/>
        <v>#N/A</v>
      </c>
      <c r="EM143" s="161" t="str">
        <f t="shared" si="20"/>
        <v>#N/A</v>
      </c>
      <c r="EN143" s="153" t="str">
        <f t="shared" si="21"/>
        <v>#N/A</v>
      </c>
      <c r="EO143" s="153" t="str">
        <f>AVERAGE(OFFSET($EN$3,0,0,'Données projet'!$E$15+1,1))-AVERAGE(OFFSET($H$3,0,0,'Données projet'!$E$15+1,1))</f>
        <v>#N/A</v>
      </c>
      <c r="EP143" s="153" t="str">
        <f t="shared" si="47"/>
        <v>#N/A</v>
      </c>
      <c r="EQ143" s="154">
        <f>IF(ISNA(VLOOKUP(A143,'Données projet'!$A$191:$I$211,3,0)),0,VLOOKUP(A143,'Données projet'!$A$191:$I$211,3,0))</f>
        <v>0</v>
      </c>
      <c r="ER143" s="154">
        <f>IF(ISNA(VLOOKUP(A143,'Données projet'!$A$191:$I$211,4,0)),0,VLOOKUP(A143,'Données projet'!$A$191:$I$211,4,0))</f>
        <v>0</v>
      </c>
      <c r="ES143" s="155">
        <f>IF(ISNA(VLOOKUP(A143,'Données projet'!$A$191:$I$211,5,0)),0%,VLOOKUP(A143,'Données projet'!$A$191:$I$211,5,0)*VLOOKUP('Données projet'!$B$15,'Paramètres'!$A$1:$I$88,7,0))</f>
        <v>0</v>
      </c>
      <c r="ET143" s="155">
        <f>IF(ISNA(VLOOKUP(A143,'Données projet'!$A$191:$I$211,6,0)),0%,VLOOKUP(A143,'Données projet'!$A$191:$I$211,6,0)*VLOOKUP('Données projet'!$B$15,'Paramètres'!$A$1:$I$88,7,0))</f>
        <v>0</v>
      </c>
      <c r="EU143" s="155">
        <f>IF(ISNA(VLOOKUP(A143,'Données projet'!$A$191:$I$211,7,0)),0%,VLOOKUP(A143,'Données projet'!$A$191:$I$211,7,0))</f>
        <v>0</v>
      </c>
      <c r="EV143" s="162" t="str">
        <f>EXP(-LN(2)/35)*EV142+(1-EXP(-LN(2)/35))/(LN(2)/35)*ER143*ES143*VLOOKUP('Données projet'!$B$15,'Paramètres'!$A$1:$I$88,3,0)*0.475*44/12</f>
        <v>#N/A</v>
      </c>
      <c r="EW143" s="162" t="str">
        <f>EXP(-LN(2)/25)*EW142+(1-EXP(-LN(2)/25))/(LN(2)/25)*Calculateur!ER143*Calculateur!ET143*VLOOKUP('Données projet'!$B$15,'Paramètres'!$A$1:$I$88,3,0)*0.475*44/12</f>
        <v>#N/A</v>
      </c>
      <c r="EX143" s="162" t="str">
        <f>EXP(-LN(2)/2)*EX142+(1-EXP(-LN(2)/2))/(LN(2)/2)*ER143*EU143*VLOOKUP('Données projet'!$B$15,'Paramètres'!$A$1:$I$88,3,0)*0.475*44/12</f>
        <v>#N/A</v>
      </c>
      <c r="EY143" s="163" t="str">
        <f t="shared" si="22"/>
        <v>#N/A</v>
      </c>
      <c r="EZ143" s="159">
        <f>('Scénario référence'!$F$8+'Scénario référence'!$F$9+'Scénario référence'!$B$17+'Scénario référence'!$B$9+'Scénario référence'!$B$10)*70+IF((45+25*(1-EXP(-0.0175*A143)))&lt;70,'Scénario référence'!$B$16*(45+25*(1-EXP(-0.0175*A143))),70*'Scénario référence'!$B$16)+IF((32+38*(1-EXP(-0.0175*A143)))&lt;70,'Scénario référence'!$B$18*(32+38*(1-EXP(-0.0175*A143))),70*'Scénario référence'!$B$18)</f>
        <v>70</v>
      </c>
      <c r="FA143" s="151">
        <f>IF(A143&gt;30,10,('Scénario référence'!$B$16+'Scénario référence'!$B$17+'Scénario référence'!$B$18+'Scénario référence'!$B$9+'Scénario référence'!$B$10)*A143*10/30+('Scénario référence'!$F$8+'Scénario référence'!$F$9)*10)</f>
        <v>10</v>
      </c>
      <c r="FB143" s="151" t="str">
        <f>VLOOKUP(A143,'Données projet'!$A$217:$I$237,2,0)</f>
        <v>#N/A</v>
      </c>
      <c r="FC143" s="151" t="str">
        <f>VLOOKUP(A143,'Données projet'!$A$217:$I$237,9,0)</f>
        <v>#N/A</v>
      </c>
      <c r="FD143" s="151" t="str">
        <f t="array" ref="FD143">INDEX(FC:FC,MIN(IF(ISNUMBER(FC143:FC339),ROW(FC143:FC339),"")))</f>
        <v/>
      </c>
      <c r="FE143" s="151">
        <f>IF('Données projet'!$A$218&gt;35,FE142+FD143-FM142,IF(A143&lt;'Données projet'!$A$218,$FB$205^A143,IF(A143='Données projet'!$A$218,'Données projet'!$B$218,FE142+FD143-FM142)))</f>
        <v>0</v>
      </c>
      <c r="FF143" s="158" t="str">
        <f>FE143*VLOOKUP('Données projet'!$B$16,'Paramètres'!$A$1:$I$88,3,0)*VLOOKUP('Données projet'!$B$16,'Paramètres'!$A$1:$I$88,5,0)</f>
        <v>#N/A</v>
      </c>
      <c r="FG143" s="150" t="str">
        <f t="shared" si="48"/>
        <v>#N/A</v>
      </c>
      <c r="FH143" s="161" t="str">
        <f t="shared" si="23"/>
        <v>#N/A</v>
      </c>
      <c r="FI143" s="153" t="str">
        <f t="shared" si="24"/>
        <v>#N/A</v>
      </c>
      <c r="FJ143" s="153" t="str">
        <f>AVERAGE(OFFSET($FI$3,0,0,'Données projet'!$E$16+1,1))-AVERAGE(OFFSET($H$3,0,0,'Données projet'!$E$16+1,1))</f>
        <v>#N/A</v>
      </c>
      <c r="FK143" s="153" t="str">
        <f t="shared" si="49"/>
        <v>#N/A</v>
      </c>
      <c r="FL143" s="154">
        <f>IF(ISNA(VLOOKUP(A143,'Données projet'!$A$217:$I$237,3,0)),0,VLOOKUP(A143,'Données projet'!$A$217:$I$237,3,0))</f>
        <v>0</v>
      </c>
      <c r="FM143" s="154">
        <f>IF(ISNA(VLOOKUP(A143,'Données projet'!$A$217:$I$237,4,0)),0,VLOOKUP(A143,'Données projet'!$A$217:$I$237,4,0))</f>
        <v>0</v>
      </c>
      <c r="FN143" s="155">
        <f>IF(ISNA(VLOOKUP(A143,'Données projet'!$A$217:$I$237,5,0)),0%,VLOOKUP(A143,'Données projet'!$A$217:$I$237,5,0)*VLOOKUP('Données projet'!$B$16,'Paramètres'!$A$1:$I$88,7,0))</f>
        <v>0</v>
      </c>
      <c r="FO143" s="155">
        <f>IF(ISNA(VLOOKUP(A143,'Données projet'!$A$217:$I$237,6,0)),0%,VLOOKUP(A143,'Données projet'!$A$217:$I$237,6,0)*VLOOKUP('Données projet'!$B$16,'Paramètres'!$A$1:$I$88,7,0))</f>
        <v>0</v>
      </c>
      <c r="FP143" s="155">
        <f>IF(ISNA(VLOOKUP(A143,'Données projet'!$A$217:$I$237,7,0)),0%,VLOOKUP(A143,'Données projet'!$A$217:$I$237,7,0))</f>
        <v>0</v>
      </c>
      <c r="FQ143" s="162" t="str">
        <f>EXP(-LN(2)/35)*FQ142+(1-EXP(-LN(2)/35))/(LN(2)/35)*FM143*FN143*VLOOKUP('Données projet'!$B$16,'Paramètres'!$A$1:$I$88,3,0)*0.475*44/12</f>
        <v>#N/A</v>
      </c>
      <c r="FR143" s="162" t="str">
        <f>EXP(-LN(2)/25)*FR142+(1-EXP(-LN(2)/25))/(LN(2)/25)*Calculateur!FM143*Calculateur!FO143*VLOOKUP('Données projet'!$B$16,'Paramètres'!$A$1:$I$88,3,0)*0.475*44/12</f>
        <v>#N/A</v>
      </c>
      <c r="FS143" s="162" t="str">
        <f>EXP(-LN(2)/2)*FS142+(1-EXP(-LN(2)/2))/(LN(2)/2)*FM143*FP143*VLOOKUP('Données projet'!$B$16,'Paramètres'!$A$1:$I$88,3,0)*0.475*44/12</f>
        <v>#N/A</v>
      </c>
      <c r="FT143" s="163" t="str">
        <f t="shared" si="25"/>
        <v>#N/A</v>
      </c>
      <c r="FU143" s="159">
        <f>('Scénario référence'!$F$8+'Scénario référence'!$F$9+'Scénario référence'!$B$17+'Scénario référence'!$B$9+'Scénario référence'!$B$10)*70+IF((45+25*(1-EXP(-0.0175*A143)))&lt;70,'Scénario référence'!$B$16*(45+25*(1-EXP(-0.0175*A143))),70*'Scénario référence'!$B$16)+IF((32+38*(1-EXP(-0.0175*A143)))&lt;70,'Scénario référence'!$B$18*(32+38*(1-EXP(-0.0175*A143))),70*'Scénario référence'!$B$18)</f>
        <v>70</v>
      </c>
      <c r="FV143" s="151">
        <f>IF(A143&gt;30,10,('Scénario référence'!$B$16+'Scénario référence'!$B$17+'Scénario référence'!$B$18+'Scénario référence'!$B$9+'Scénario référence'!$B$10)*A143*10/30+('Scénario référence'!$F$8+'Scénario référence'!$F$9)*10)</f>
        <v>10</v>
      </c>
      <c r="FW143" s="151" t="str">
        <f>VLOOKUP(A143,'Données projet'!$A$243:$I$263,2,0)</f>
        <v>#N/A</v>
      </c>
      <c r="FX143" s="151" t="str">
        <f>VLOOKUP(A143,'Données projet'!$A$243:$I$263,9,0)</f>
        <v>#N/A</v>
      </c>
      <c r="FY143" s="151" t="str">
        <f t="array" ref="FY143">INDEX(FX:FX,MIN(IF(ISNUMBER(FX143:FX339),ROW(FX143:FX339),"")))</f>
        <v/>
      </c>
      <c r="FZ143" s="151">
        <f>IF('Données projet'!$A$244&gt;35,FZ142+FY143-GH142,IF(A143&lt;'Données projet'!$A$244,$FW$205^A143,IF(A143='Données projet'!$A$244,'Données projet'!$B$244,FZ142+FY143-GH142)))</f>
        <v>0</v>
      </c>
      <c r="GA143" s="158" t="str">
        <f>FZ143*VLOOKUP('Données projet'!$B$17,'Paramètres'!$A$1:$I$88,3,0)*VLOOKUP('Données projet'!$B$17,'Paramètres'!$A$1:$I$88,5,0)</f>
        <v>#N/A</v>
      </c>
      <c r="GB143" s="150" t="str">
        <f t="shared" si="50"/>
        <v>#N/A</v>
      </c>
      <c r="GC143" s="161" t="str">
        <f t="shared" si="26"/>
        <v>#N/A</v>
      </c>
      <c r="GD143" s="153" t="str">
        <f t="shared" si="27"/>
        <v>#N/A</v>
      </c>
      <c r="GE143" s="153" t="str">
        <f>AVERAGE(OFFSET($GD$3,0,0,'Données projet'!$E$17+1,1))-AVERAGE(OFFSET($H$3,0,0,'Données projet'!$E$17+1,1))</f>
        <v>#N/A</v>
      </c>
      <c r="GF143" s="153" t="str">
        <f t="shared" si="51"/>
        <v>#N/A</v>
      </c>
      <c r="GG143" s="154">
        <f>IF(ISNA(VLOOKUP(A143,'Données projet'!$A$243:$I$263,3,0)),0,VLOOKUP(A143,'Données projet'!$A$243:$I$263,3,0))</f>
        <v>0</v>
      </c>
      <c r="GH143" s="154">
        <f>IF(ISNA(VLOOKUP(A143,'Données projet'!$A$243:$I$263,4,0)),0,VLOOKUP(A143,'Données projet'!$A$243:$I$263,4,0))</f>
        <v>0</v>
      </c>
      <c r="GI143" s="155">
        <f>IF(ISNA(VLOOKUP(A143,'Données projet'!$A$243:$I$263,5,0)),0%,VLOOKUP(A143,'Données projet'!$A$243:$I$263,5,0)*VLOOKUP('Données projet'!$B$17,'Paramètres'!$A$1:$I$88,7,0))</f>
        <v>0</v>
      </c>
      <c r="GJ143" s="155">
        <f>IF(ISNA(VLOOKUP(A143,'Données projet'!$A$243:$I$263,6,0)),0%,VLOOKUP(A143,'Données projet'!$A$243:$I$263,6,0)*VLOOKUP('Données projet'!$B$17,'Paramètres'!$A$1:$I$88,7,0))</f>
        <v>0</v>
      </c>
      <c r="GK143" s="155">
        <f>IF(ISNA(VLOOKUP(A143,'Données projet'!$A$243:$I$263,7,0)),0%,VLOOKUP(A143,'Données projet'!$A$243:$I$263,7,0))</f>
        <v>0</v>
      </c>
      <c r="GL143" s="162" t="str">
        <f>EXP(-LN(2)/35)*GL142+(1-EXP(-LN(2)/35))/(LN(2)/35)*GH143*GI143*VLOOKUP('Données projet'!$B$17,'Paramètres'!$A$1:$I$88,3,0)*0.475*44/12</f>
        <v>#N/A</v>
      </c>
      <c r="GM143" s="162" t="str">
        <f>EXP(-LN(2)/25)*GM142+(1-EXP(-LN(2)/25))/(LN(2)/25)*Calculateur!GH143*Calculateur!GJ143*VLOOKUP('Données projet'!$B$17,'Paramètres'!$A$1:$I$88,3,0)*0.475*44/12</f>
        <v>#N/A</v>
      </c>
      <c r="GN143" s="162" t="str">
        <f>EXP(-LN(2)/2)*GN142+(1-EXP(-LN(2)/2))/(LN(2)/2)*GH143*GK143*VLOOKUP('Données projet'!$B$17,'Paramètres'!$A$1:$I$88,3,0)*0.475*44/12</f>
        <v>#N/A</v>
      </c>
      <c r="GO143" s="162" t="str">
        <f t="shared" si="28"/>
        <v>#N/A</v>
      </c>
      <c r="GP143" s="159">
        <f>('Scénario référence'!$F$8+'Scénario référence'!$F$9+'Scénario référence'!$B$17+'Scénario référence'!$B$9+'Scénario référence'!$B$10)*70+IF((45+25*(1-EXP(-0.0175*A143)))&lt;70,'Scénario référence'!$B$16*(45+25*(1-EXP(-0.0175*A143))),70*'Scénario référence'!$B$16)+IF((32+38*(1-EXP(-0.0175*A143)))&lt;70,'Scénario référence'!$B$18*(32+38*(1-EXP(-0.0175*A143))),70*'Scénario référence'!$B$18)</f>
        <v>70</v>
      </c>
      <c r="GQ143" s="151">
        <f>IF(A143&gt;30,10,('Scénario référence'!$B$16+'Scénario référence'!$B$17+'Scénario référence'!$B$18+'Scénario référence'!$B$9+'Scénario référence'!$B$10)*A143*10/30+('Scénario référence'!$F$8+'Scénario référence'!$F$9)*10)</f>
        <v>10</v>
      </c>
      <c r="GR143" s="151" t="str">
        <f>VLOOKUP(A143,'Données projet'!$A$269:$I$289,2,0)</f>
        <v>#N/A</v>
      </c>
      <c r="GS143" s="151" t="str">
        <f>VLOOKUP(A143,'Données projet'!$A$269:$I$289,9,0)</f>
        <v>#N/A</v>
      </c>
      <c r="GT143" s="151" t="str">
        <f t="array" ref="GT143">INDEX(GS:GS,MIN(IF(ISNUMBER(GS143:GS339),ROW(GS143:GS339),"")))</f>
        <v/>
      </c>
      <c r="GU143" s="151">
        <f>IF('Données projet'!$A$270&gt;35,GU142+GT143-HC142,IF(A143&lt;'Données projet'!$A$270,$GR$205^A143,IF(A143='Données projet'!$A$270,'Données projet'!$B$270,GU142+GT143-HC142)))</f>
        <v>0</v>
      </c>
      <c r="GV143" s="158" t="str">
        <f>GU143*VLOOKUP('Données projet'!$B$18,'Paramètres'!$A$1:$I$88,3,0)*VLOOKUP('Données projet'!$B$18,'Paramètres'!$A$1:$I$88,5,0)</f>
        <v>#N/A</v>
      </c>
      <c r="GW143" s="150" t="str">
        <f t="shared" si="52"/>
        <v>#N/A</v>
      </c>
      <c r="GX143" s="161" t="str">
        <f t="shared" si="29"/>
        <v>#N/A</v>
      </c>
      <c r="GY143" s="153" t="str">
        <f t="shared" si="30"/>
        <v>#N/A</v>
      </c>
      <c r="GZ143" s="153" t="str">
        <f>AVERAGE(OFFSET($GY$3,0,0,'Données projet'!$E$18+1,1))-AVERAGE(OFFSET($H$3,0,0,'Données projet'!$E$18+1,1))</f>
        <v>#N/A</v>
      </c>
      <c r="HA143" s="153" t="str">
        <f t="shared" si="53"/>
        <v>#N/A</v>
      </c>
      <c r="HB143" s="154">
        <f>IF(ISNA(VLOOKUP(A143,'Données projet'!$A$269:$I$289,3,0)),0,VLOOKUP(A143,'Données projet'!$A$269:$I$289,3,0))</f>
        <v>0</v>
      </c>
      <c r="HC143" s="154">
        <f>IF(ISNA(VLOOKUP(A143,'Données projet'!$A$269:$I$289,4,0)),0,VLOOKUP(A143,'Données projet'!$A$269:$I$289,4,0))</f>
        <v>0</v>
      </c>
      <c r="HD143" s="155">
        <f>IF(ISNA(VLOOKUP(A143,'Données projet'!$A$269:$I$289,5,0)),0%,VLOOKUP(A143,'Données projet'!$A$269:$I$289,5,0)*VLOOKUP('Données projet'!$B$18,'Paramètres'!$A$1:$I$88,7,0))</f>
        <v>0</v>
      </c>
      <c r="HE143" s="155">
        <f>IF(ISNA(VLOOKUP(A143,'Données projet'!$A$269:$I$289,6,0)),0%,VLOOKUP(A143,'Données projet'!$A$269:$I$289,6,0)*VLOOKUP('Données projet'!$B$18,'Paramètres'!$A$1:$I$88,7,0))</f>
        <v>0</v>
      </c>
      <c r="HF143" s="155">
        <f>IF(ISNA(VLOOKUP(A143,'Données projet'!$A$269:$I$289,7,0)),0%,VLOOKUP(A143,'Données projet'!$A$269:$I$289,7,0))</f>
        <v>0</v>
      </c>
      <c r="HG143" s="162" t="str">
        <f>EXP(-LN(2)/35)*HG142+(1-EXP(-LN(2)/35))/(LN(2)/35)*HC143*HD143*VLOOKUP('Données projet'!$B$18,'Paramètres'!$A$1:$I$88,3,0)*0.475*44/12</f>
        <v>#N/A</v>
      </c>
      <c r="HH143" s="162" t="str">
        <f>EXP(-LN(2)/25)*HH142+(1-EXP(-LN(2)/25))/(LN(2)/25)*Calculateur!HC143*Calculateur!HE143*VLOOKUP('Données projet'!$B$18,'Paramètres'!$A$1:$I$88,3,0)*0.475*44/12</f>
        <v>#N/A</v>
      </c>
      <c r="HI143" s="162" t="str">
        <f>EXP(-LN(2)/2)*HI142+(1-EXP(-LN(2)/2))/(LN(2)/2)*HC143*HF143*VLOOKUP('Données projet'!$B$18,'Paramètres'!$A$1:$I$88,3,0)*0.475*44/12</f>
        <v>#N/A</v>
      </c>
      <c r="HJ143" s="163" t="str">
        <f t="shared" si="31"/>
        <v>#N/A</v>
      </c>
    </row>
    <row r="144" ht="15.75" customHeight="1">
      <c r="A144" s="145">
        <f t="shared" si="32"/>
        <v>141</v>
      </c>
      <c r="B144" s="146">
        <f>'Scénario référence'!$B$16*5+'Scénario référence'!$B$17*0+'Scénario référence'!$B$18*5</f>
        <v>0</v>
      </c>
      <c r="C144" s="160">
        <f>Calculateur!C143+'Scénario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44" s="147">
        <f t="shared" si="33"/>
        <v>0</v>
      </c>
      <c r="E144" s="147">
        <f>'Scénario référence'!$B$16*45+('Scénario référence'!$B$17+'Scénario référence'!$F$8+'Scénario référence'!$F$9+'Scénario référence'!$B$10+'Scénario référence'!$B$9)*70+'Scénario référence'!$B$18*32</f>
        <v>70</v>
      </c>
      <c r="F144" s="147">
        <f>IF(OR('Scénario référence'!$F$8&gt;0,'Scénario référence'!$F$9&gt;0),('Scénario référence'!$F$8+'Scénario référence'!$F$9)*10,0)</f>
        <v>0</v>
      </c>
      <c r="G144" s="147">
        <f>'Scénario référence'!$B$8*B144*44/12+'Scénario référence'!$B$9*(C144+D144)/0.475*44/12+'Scénario référence'!$B$10*(C144+D144)/0.475*44/12+'Scénario référence'!$F$8*(C144+D144)/0.475*44/12+'Scénario référence'!$F$9*(C144+D144)/0.475*44/12</f>
        <v>0</v>
      </c>
      <c r="H144" s="148">
        <f t="shared" si="1"/>
        <v>256.6666667</v>
      </c>
      <c r="I144" s="149">
        <f>('Scénario référence'!$F$8+'Scénario référence'!$F$9+'Scénario référence'!$B$17+'Scénario référence'!$B$9+'Scénario référence'!$B$10)*70+IF((45+25*(1-EXP(-0.0175*A144)))&lt;70,'Scénario référence'!$B$16*(45+25*(1-EXP(-0.0175*A144))),70*'Scénario référence'!$B$16)+IF((32+38*(1-EXP(-0.0175*A144)))&lt;70,'Scénario référence'!$B$18*(32+38*(1-EXP(-0.0175*A144))),70*'Scénario référence'!$B$18)</f>
        <v>70</v>
      </c>
      <c r="J144" s="150">
        <f>IF(A144&gt;30,10,('Scénario référence'!$B$16+'Scénario référence'!$B$17+'Scénario référence'!$B$18+'Scénario référence'!$B$9+'Scénario référence'!$B$10)*A144*10/30+('Scénario référence'!$F$8+'Scénario référence'!$F$9)*10)</f>
        <v>10</v>
      </c>
      <c r="K144" s="151" t="str">
        <f>VLOOKUP(A144,'Données projet'!$A$35:$I$55,2,0)</f>
        <v>#N/A</v>
      </c>
      <c r="L144" s="151" t="str">
        <f>VLOOKUP(A144,'Données projet'!$A$35:$I$55,9,0)</f>
        <v>#N/A</v>
      </c>
      <c r="M144" s="151" t="str">
        <f t="array" ref="M144">INDEX(L:L,MIN(IF(ISNUMBER(L144:L340),ROW(L144:L340),"")))</f>
        <v/>
      </c>
      <c r="N144" s="150">
        <f>IF('Données projet'!$A$36&gt;35,N143+M144-V143,IF(A144&lt;'Données projet'!$A$36,$K$205^A144,IF(A144='Données projet'!$A$36,'Données projet'!$B$36,N143+M144-V143)))</f>
        <v>307</v>
      </c>
      <c r="O144" s="150">
        <f>N144*VLOOKUP('Données projet'!$B$9,'Paramètres'!$A$1:$I$88,3,0)*VLOOKUP('Données projet'!$B$9,'Paramètres'!$A$1:$I$88,5,0)</f>
        <v>277.7736</v>
      </c>
      <c r="P144" s="150">
        <f t="shared" si="34"/>
        <v>66.49628818</v>
      </c>
      <c r="Q144" s="161">
        <f t="shared" si="2"/>
        <v>599.6033886</v>
      </c>
      <c r="R144" s="153">
        <f t="shared" si="3"/>
        <v>892.9367219</v>
      </c>
      <c r="S144" s="153">
        <f>AVERAGE(OFFSET($R$3,0,0,'Données projet'!$E$9+1,1))-AVERAGE(OFFSET($H$3,0,0,'Données projet'!$E$9+1,1))</f>
        <v>439.1985427</v>
      </c>
      <c r="T144" s="153">
        <f t="shared" si="35"/>
        <v>278.2174123</v>
      </c>
      <c r="U144" s="154">
        <f>IF(ISNA(VLOOKUP(A144,'Données projet'!$A$35:$I$55,3,0)),0,VLOOKUP(A144,'Données projet'!$A$35:$I$55,3,0))</f>
        <v>0</v>
      </c>
      <c r="V144" s="154">
        <f>IF(ISNA(VLOOKUP(A144,'Données projet'!$A$35:$I$55,4,0)),0,VLOOKUP(A144,'Données projet'!$A$35:$I$55,4,0))</f>
        <v>0</v>
      </c>
      <c r="W144" s="155">
        <f>IF(ISNA(VLOOKUP(A144,'Données projet'!$A$35:$I$55,5,0)),0%,VLOOKUP(A144,'Données projet'!$A$35:$I$55,5,0)*VLOOKUP('Données projet'!$B$9,'Paramètres'!$A$1:$I$88,7,0))</f>
        <v>0</v>
      </c>
      <c r="X144" s="155">
        <f>IF(ISNA(VLOOKUP(A144,'Données projet'!$A$35:$I$55,6,0)),0%,VLOOKUP(A144,'Données projet'!$A$35:$I$55,6,0)*VLOOKUP('Données projet'!$B$9,'Paramètres'!$A$1:$I$88,7,0))</f>
        <v>0</v>
      </c>
      <c r="Y144" s="155">
        <f>IF(ISNA(VLOOKUP(A144,'Données projet'!$A$35:$I$55,7,0)),0%,VLOOKUP(A144,'Données projet'!$A$35:$I$55,7,0))</f>
        <v>0</v>
      </c>
      <c r="Z144" s="162">
        <f>EXP(-LN(2)/35)*Z143+(1-EXP(-LN(2)/35))/(LN(2)/35)*V144*W144*VLOOKUP('Données projet'!$B$9,'Paramètres'!$A$1:$I$88,3,0)*0.475*44/12</f>
        <v>0</v>
      </c>
      <c r="AA144" s="162">
        <f>EXP(-LN(2)/25)*AA143+(1-EXP(-LN(2)/25))/(LN(2)/25)*Calculateur!V144*Calculateur!X144*VLOOKUP('Données projet'!$B$9,'Paramètres'!$A$1:$I$88,3,0)*0.475*44/12</f>
        <v>0.2067469437</v>
      </c>
      <c r="AB144" s="162">
        <f>EXP(-LN(2)/2)*AB143+(1-EXP(-LN(2)/2))/(LN(2)/2)*V144*Y144*VLOOKUP('Données projet'!$B$9,'Paramètres'!$A$1:$I$88,3,0)*0.475*44/12</f>
        <v>0</v>
      </c>
      <c r="AC144" s="163">
        <f t="shared" si="4"/>
        <v>0.2067469437</v>
      </c>
      <c r="AD144" s="150">
        <f>('Scénario référence'!$F$8+'Scénario référence'!$F$9+'Scénario référence'!$B$17+'Scénario référence'!$B$9+'Scénario référence'!$B$10)*70+IF((45+25*(1-EXP(-0.0175*A144)))&lt;70,'Scénario référence'!$B$16*(45+25*(1-EXP(-0.0175*A144))),70*'Scénario référence'!$B$16)+IF((32+38*(1-EXP(-0.0175*A144)))&lt;70,'Scénario référence'!$B$18*(32+38*(1-EXP(-0.0175*A144))),70*'Scénario référence'!$B$18)</f>
        <v>70</v>
      </c>
      <c r="AE144" s="150">
        <f>IF(A144&gt;30,10,('Scénario référence'!$B$16+'Scénario référence'!$B$17+'Scénario référence'!$B$18+'Scénario référence'!$B$9+'Scénario référence'!$B$10)*A144*10/30+('Scénario référence'!$F$8+'Scénario référence'!$F$9)*10)</f>
        <v>10</v>
      </c>
      <c r="AF144" s="151" t="str">
        <f>VLOOKUP(A144,'Données projet'!$A$61:$I$81,2,0)</f>
        <v>#N/A</v>
      </c>
      <c r="AG144" s="151" t="str">
        <f>VLOOKUP(A144,'Données projet'!$A$61:$I$81,9,0)</f>
        <v>#N/A</v>
      </c>
      <c r="AH144" s="151" t="str">
        <f t="array" ref="AH144">INDEX(AG:AG,MIN(IF(ISNUMBER(AG144:AG340),ROW(AG144:AG340),"")))</f>
        <v/>
      </c>
      <c r="AI144" s="150">
        <f>IF('Données projet'!$A$62&gt;35,AI143+AH144-AQ143,IF(A144&lt;'Données projet'!$A$62,$AF$205^A144,IF(A144='Données projet'!$A$62,'Données projet'!$B$62,AI143+AH144-AQ143)))</f>
        <v>369</v>
      </c>
      <c r="AJ144" s="150">
        <f>AI144*VLOOKUP('Données projet'!$B$10,'Paramètres'!$A$1:$I$88,3,0)*VLOOKUP('Données projet'!$B$10,'Paramètres'!$A$1:$I$88,5,0)</f>
        <v>293.5764</v>
      </c>
      <c r="AK144" s="150">
        <f t="shared" si="36"/>
        <v>69.82813851</v>
      </c>
      <c r="AL144" s="161">
        <f t="shared" si="5"/>
        <v>632.9295712</v>
      </c>
      <c r="AM144" s="153">
        <f t="shared" si="6"/>
        <v>926.2629046</v>
      </c>
      <c r="AN144" s="153">
        <f>AVERAGE(OFFSET($AM$3,0,0,'Données projet'!$E$10+1,1))-AVERAGE(OFFSET($H$3,0,0,'Données projet'!$E$10+1,1))</f>
        <v>405.6113614</v>
      </c>
      <c r="AO144" s="153">
        <f t="shared" si="37"/>
        <v>393.0787141</v>
      </c>
      <c r="AP144" s="154">
        <f>IF(ISNA(VLOOKUP(A144,'Données projet'!$A$61:$I$81,3,0)),0,VLOOKUP(A144,'Données projet'!$A$61:$I$81,3,0))</f>
        <v>0</v>
      </c>
      <c r="AQ144" s="154">
        <f>IF(ISNA(VLOOKUP(A144,'Données projet'!$A$61:$I$81,4,0)),0,VLOOKUP(A144,'Données projet'!$A$61:$I$81,4,0))</f>
        <v>0</v>
      </c>
      <c r="AR144" s="155">
        <f>IF(ISNA(VLOOKUP(A144,'Données projet'!$A$61:$I$81,5,0)),0%,VLOOKUP(A144,'Données projet'!$A$61:$I$81,5,0)*VLOOKUP('Données projet'!$B$10,'Paramètres'!$A$1:$I$88,7,0))</f>
        <v>0</v>
      </c>
      <c r="AS144" s="155">
        <f>IF(ISNA(VLOOKUP(A144,'Données projet'!$A$61:$I$81,6,0)),0%,VLOOKUP(A144,'Données projet'!$A$61:$I$81,6,0)*VLOOKUP('Données projet'!$B$10,'Paramètres'!$A$1:$I$88,7,0))</f>
        <v>0</v>
      </c>
      <c r="AT144" s="155">
        <f>IF(ISNA(VLOOKUP(A144,'Données projet'!$A$61:$I$81,7,0)),0%,VLOOKUP(A144,'Données projet'!$A$61:$I$81,7,0))</f>
        <v>0</v>
      </c>
      <c r="AU144" s="162">
        <f>EXP(-LN(2)/35)*AU143+(1-EXP(-LN(2)/35))/(LN(2)/35)*AQ144*AR144*VLOOKUP('Données projet'!$B$10,'Paramètres'!$A$1:$I$88,3,0)*0.475*44/12</f>
        <v>0</v>
      </c>
      <c r="AV144" s="162">
        <f>EXP(-LN(2)/25)*AV143+(1-EXP(-LN(2)/25))/(LN(2)/25)*Calculateur!AQ144*Calculateur!AS144*VLOOKUP('Données projet'!$B$10,'Paramètres'!$A$1:$I$88,3,0)*0.475*44/12</f>
        <v>0.8402721364</v>
      </c>
      <c r="AW144" s="162">
        <f>EXP(-LN(2)/2)*AW143+(1-EXP(-LN(2)/2))/(LN(2)/2)*AQ144*AT144*VLOOKUP('Données projet'!$B$10,'Paramètres'!$A$1:$I$88,3,0)*0.475*44/12</f>
        <v>0</v>
      </c>
      <c r="AX144" s="162">
        <f t="shared" si="7"/>
        <v>0.8402721364</v>
      </c>
      <c r="AY144" s="157">
        <f>('Scénario référence'!$F$8+'Scénario référence'!$F$9+'Scénario référence'!$B$17+'Scénario référence'!$B$9+'Scénario référence'!$B$10)*70+IF((45+25*(1-EXP(-0.0175*A144)))&lt;70,'Scénario référence'!$B$16*(45+25*(1-EXP(-0.0175*A144))),70*'Scénario référence'!$B$16)+IF((32+38*(1-EXP(-0.0175*A144)))&lt;70,'Scénario référence'!$B$18*(32+38*(1-EXP(-0.0175*A144))),70*'Scénario référence'!$B$18)</f>
        <v>70</v>
      </c>
      <c r="AZ144" s="151">
        <f>IF(A144&gt;30,10,('Scénario référence'!$B$16+'Scénario référence'!$B$17+'Scénario référence'!$B$18+'Scénario référence'!$B$9+'Scénario référence'!$B$10)*A144*10/30+('Scénario référence'!$F$8+'Scénario référence'!$F$9)*10)</f>
        <v>10</v>
      </c>
      <c r="BA144" s="151" t="str">
        <f>VLOOKUP(A144,'Données projet'!$A$87:$I$107,2,0)</f>
        <v>#N/A</v>
      </c>
      <c r="BB144" s="151" t="str">
        <f>VLOOKUP(A144,'Données projet'!$A$87:$I$107,9,0)</f>
        <v>#N/A</v>
      </c>
      <c r="BC144" s="151" t="str">
        <f t="array" ref="BC144">INDEX(BB:BB,MIN(IF(ISNUMBER(BB144:BB340),ROW(BB144:BB340),"")))</f>
        <v/>
      </c>
      <c r="BD144" s="150">
        <f>IF('Données projet'!$A$88&gt;35,BD143+BC144-BL143,IF(A144&lt;'Données projet'!$A$88,$BA$205^A144,IF(A144='Données projet'!$A$88,'Données projet'!$B$88,BD143+BC144-BL143)))</f>
        <v>0</v>
      </c>
      <c r="BE144" s="150">
        <f>BD144*VLOOKUP('Données projet'!$B$11,'Paramètres'!$A$1:$I$88,3,0)*VLOOKUP('Données projet'!$B$11,'Paramètres'!$A$1:$I$88,5,0)</f>
        <v>0</v>
      </c>
      <c r="BF144" s="150" t="str">
        <f t="shared" si="38"/>
        <v>#NUM!</v>
      </c>
      <c r="BG144" s="161" t="str">
        <f t="shared" si="8"/>
        <v>#NUM!</v>
      </c>
      <c r="BH144" s="153" t="str">
        <f t="shared" si="9"/>
        <v>#NUM!</v>
      </c>
      <c r="BI144" s="153">
        <f>AVERAGE(OFFSET($BH$3,0,0,'Données projet'!$E$11+1,1))-AVERAGE(OFFSET($H$3,0,0,'Données projet'!$E$11+1,1))</f>
        <v>0</v>
      </c>
      <c r="BJ144" s="153">
        <f t="shared" si="39"/>
        <v>0</v>
      </c>
      <c r="BK144" s="154">
        <f>IF(ISNA(VLOOKUP(A144,'Données projet'!$A$87:$I$107,3,0)),0,VLOOKUP(A144,'Données projet'!$A$87:$I$107,3,0))</f>
        <v>0</v>
      </c>
      <c r="BL144" s="154">
        <f>IF(ISNA(VLOOKUP(A144,'Données projet'!$A$87:$I$107,4,0)),0,VLOOKUP(A144,'Données projet'!$A$87:$I$107,4,0))</f>
        <v>0</v>
      </c>
      <c r="BM144" s="155">
        <f>IF(ISNA(VLOOKUP(A144,'Données projet'!$A$87:$I$107,5,0)),0%,VLOOKUP(A144,'Données projet'!$A$87:$I$107,5,0)*VLOOKUP('Données projet'!$B$11,'Paramètres'!$A$1:$I$88,7,0))</f>
        <v>0</v>
      </c>
      <c r="BN144" s="155">
        <f>IF(ISNA(VLOOKUP(A144,'Données projet'!$A$87:$I$107,6,0)),0%,VLOOKUP(A144,'Données projet'!$A$87:$I$107,6,0)*VLOOKUP('Données projet'!$B$11,'Paramètres'!$A$1:$I$88,7,0))</f>
        <v>0</v>
      </c>
      <c r="BO144" s="155">
        <f>IF(ISNA(VLOOKUP(A144,'Données projet'!$A$87:$I$107,7,0)),0%,VLOOKUP(A144,'Données projet'!$A$87:$I$107,7,0))</f>
        <v>0</v>
      </c>
      <c r="BP144" s="162">
        <f>EXP(-LN(2)/35)*BP143+(1-EXP(-LN(2)/35))/(LN(2)/35)*BL144*BM144*VLOOKUP('Données projet'!$B$11,'Paramètres'!$A$1:$I$88,3,0)*0.475*44/12</f>
        <v>0</v>
      </c>
      <c r="BQ144" s="162">
        <f>EXP(-LN(2)/25)*BQ143+(1-EXP(-LN(2)/25))/(LN(2)/25)*Calculateur!BL144*Calculateur!BN144*VLOOKUP('Données projet'!$B$11,'Paramètres'!$A$1:$I$88,3,0)*0.475*44/12</f>
        <v>0</v>
      </c>
      <c r="BR144" s="162">
        <f>EXP(-LN(2)/2)*BR143+(1-EXP(-LN(2)/2))/(LN(2)/2)*BL144*BO144*VLOOKUP('Données projet'!$B$11,'Paramètres'!$A$1:$I$88,3,0)*0.475*44/12</f>
        <v>0</v>
      </c>
      <c r="BS144" s="163">
        <f t="shared" si="10"/>
        <v>0</v>
      </c>
      <c r="BT144" s="159">
        <f>('Scénario référence'!$F$8+'Scénario référence'!$F$9+'Scénario référence'!$B$17+'Scénario référence'!$B$9+'Scénario référence'!$B$10)*70+IF((45+25*(1-EXP(-0.0175*A144)))&lt;70,'Scénario référence'!$B$16*(45+25*(1-EXP(-0.0175*A144))),70*'Scénario référence'!$B$16)+IF((32+38*(1-EXP(-0.0175*A144)))&lt;70,'Scénario référence'!$B$18*(32+38*(1-EXP(-0.0175*A144))),70*'Scénario référence'!$B$18)</f>
        <v>70</v>
      </c>
      <c r="BU144" s="151">
        <f>IF(A144&gt;30,10,('Scénario référence'!$B$16+'Scénario référence'!$B$17+'Scénario référence'!$B$18+'Scénario référence'!$B$9+'Scénario référence'!$B$10)*A144*10/30+('Scénario référence'!$F$8+'Scénario référence'!$F$9)*10)</f>
        <v>10</v>
      </c>
      <c r="BV144" s="151" t="str">
        <f>VLOOKUP(A144,'Données projet'!$A$113:$I$133,2,0)</f>
        <v>#N/A</v>
      </c>
      <c r="BW144" s="151" t="str">
        <f>VLOOKUP(A144,'Données projet'!$A$113:$I$133,9,0)</f>
        <v>#N/A</v>
      </c>
      <c r="BX144" s="151" t="str">
        <f t="array" ref="BX144">INDEX(BW:BW,MIN(IF(ISNUMBER(BW144:BW340),ROW(BW144:BW340),"")))</f>
        <v/>
      </c>
      <c r="BY144" s="150">
        <f>IF('Données projet'!$A$114&gt;35,BY143+BX144-CG143,IF(A144&lt;'Données projet'!$A$114,$BV$205^A144,IF(A144='Données projet'!$A$114,'Données projet'!$B$114,BY143+BX144-CG143)))</f>
        <v>0</v>
      </c>
      <c r="BZ144" s="150" t="str">
        <f>BY144*VLOOKUP('Données projet'!$B$12,'Paramètres'!$A$1:$I$88,3,0)*VLOOKUP('Données projet'!$B$12,'Paramètres'!$A$1:$I$88,5,0)</f>
        <v>#N/A</v>
      </c>
      <c r="CA144" s="150" t="str">
        <f t="shared" si="40"/>
        <v>#N/A</v>
      </c>
      <c r="CB144" s="161" t="str">
        <f t="shared" si="11"/>
        <v>#N/A</v>
      </c>
      <c r="CC144" s="153" t="str">
        <f t="shared" si="12"/>
        <v>#N/A</v>
      </c>
      <c r="CD144" s="153" t="str">
        <f>AVERAGE(OFFSET($CC$3,0,0,'Données projet'!$E$12+1,1))-AVERAGE(OFFSET($H$3,0,0,'Données projet'!$E$12+1,1))</f>
        <v>#N/A</v>
      </c>
      <c r="CE144" s="153" t="str">
        <f t="shared" si="41"/>
        <v>#N/A</v>
      </c>
      <c r="CF144" s="154">
        <f>IF(ISNA(VLOOKUP(A144,'Données projet'!$A$113:$I$133,3,0)),0,VLOOKUP(A144,'Données projet'!$A$113:$I$133,3,0))</f>
        <v>0</v>
      </c>
      <c r="CG144" s="154">
        <f>IF(ISNA(VLOOKUP(A144,'Données projet'!$A$113:$I$133,4,0)),0,VLOOKUP(A144,'Données projet'!$A$113:$I$133,4,0))</f>
        <v>0</v>
      </c>
      <c r="CH144" s="155">
        <f>IF(ISNA(VLOOKUP(A144,'Données projet'!$A$113:$I$133,5,0)),0%,VLOOKUP(A144,'Données projet'!$A$113:$I$133,5,0)*VLOOKUP('Données projet'!$B$12,'Paramètres'!$A$1:$I$88,7,0))</f>
        <v>0</v>
      </c>
      <c r="CI144" s="155">
        <f>IF(ISNA(VLOOKUP(A144,'Données projet'!$A$113:$I$133,6,0)),0%,VLOOKUP(A144,'Données projet'!$A$113:$I$133,6,0)*VLOOKUP('Données projet'!$B$12,'Paramètres'!$A$1:$I$88,7,0))</f>
        <v>0</v>
      </c>
      <c r="CJ144" s="155">
        <f>IF(ISNA(VLOOKUP(A144,'Données projet'!$A$113:$I$133,7,0)),0%,VLOOKUP(A144,'Données projet'!$A$113:$I$133,7,0))</f>
        <v>0</v>
      </c>
      <c r="CK144" s="162" t="str">
        <f>EXP(-LN(2)/35)*CK143+(1-EXP(-LN(2)/35))/(LN(2)/35)*CG144*CH144*VLOOKUP('Données projet'!$B$12,'Paramètres'!$A$1:$I$88,3,0)*0.475*44/12</f>
        <v>#N/A</v>
      </c>
      <c r="CL144" s="162" t="str">
        <f>EXP(-LN(2)/25)*CL143+(1-EXP(-LN(2)/25))/(LN(2)/25)*Calculateur!CG144*Calculateur!CI144*VLOOKUP('Données projet'!$B$12,'Paramètres'!$A$1:$I$88,3,0)*0.475*44/12</f>
        <v>#N/A</v>
      </c>
      <c r="CM144" s="162" t="str">
        <f>EXP(-LN(2)/2)*CM143+(1-EXP(-LN(2)/2))/(LN(2)/2)*CG144*CJ144*VLOOKUP('Données projet'!$B$12,'Paramètres'!$A$1:$I$88,3,0)*0.475*44/12</f>
        <v>#N/A</v>
      </c>
      <c r="CN144" s="163" t="str">
        <f t="shared" si="13"/>
        <v>#N/A</v>
      </c>
      <c r="CO144" s="159">
        <f>('Scénario référence'!$F$8+'Scénario référence'!$F$9+'Scénario référence'!$B$17+'Scénario référence'!$B$9+'Scénario référence'!$B$10)*70+IF((45+25*(1-EXP(-0.0175*A144)))&lt;70,'Scénario référence'!$B$16*(45+25*(1-EXP(-0.0175*A144))),70*'Scénario référence'!$B$16)+IF((32+38*(1-EXP(-0.0175*A144)))&lt;70,'Scénario référence'!$B$18*(32+38*(1-EXP(-0.0175*A144))),70*'Scénario référence'!$B$18)</f>
        <v>70</v>
      </c>
      <c r="CP144" s="151">
        <f>IF(A144&gt;30,10,('Scénario référence'!$B$16+'Scénario référence'!$B$17+'Scénario référence'!$B$18+'Scénario référence'!$B$9+'Scénario référence'!$B$10)*A144*10/30+('Scénario référence'!$F$8+'Scénario référence'!$F$9)*10)</f>
        <v>10</v>
      </c>
      <c r="CQ144" s="151" t="str">
        <f>VLOOKUP(A144,'Données projet'!$A$139:$I$159,2,0)</f>
        <v>#N/A</v>
      </c>
      <c r="CR144" s="151" t="str">
        <f>VLOOKUP(A144,'Données projet'!$A$139:$I$159,9,0)</f>
        <v>#N/A</v>
      </c>
      <c r="CS144" s="151" t="str">
        <f t="array" ref="CS144">INDEX(CR:CR,MIN(IF(ISNUMBER(CR144:CR340),ROW(CR144:CR340),"")))</f>
        <v/>
      </c>
      <c r="CT144" s="151">
        <f>IF('Données projet'!$A$140&gt;35,CT143+CS144-DB143,IF(A144&lt;'Données projet'!$A$140,$CQ$205^A144,IF(A144='Données projet'!$A$140,'Données projet'!$B$140,CT143+CS144-DB143)))</f>
        <v>0</v>
      </c>
      <c r="CU144" s="158" t="str">
        <f>CT144*VLOOKUP('Données projet'!$B$13,'Paramètres'!$A$1:$I$88,3,0)*VLOOKUP('Données projet'!$B$13,'Paramètres'!$A$1:$I$88,5,0)</f>
        <v>#N/A</v>
      </c>
      <c r="CV144" s="150" t="str">
        <f t="shared" si="42"/>
        <v>#N/A</v>
      </c>
      <c r="CW144" s="161" t="str">
        <f t="shared" si="14"/>
        <v>#N/A</v>
      </c>
      <c r="CX144" s="153" t="str">
        <f t="shared" si="15"/>
        <v>#N/A</v>
      </c>
      <c r="CY144" s="153" t="str">
        <f>AVERAGE(OFFSET($CX$3,0,0,'Données projet'!$E$13+1,1))-AVERAGE(OFFSET($H$3,0,0,'Données projet'!$E$13+1,1))</f>
        <v>#N/A</v>
      </c>
      <c r="CZ144" s="153" t="str">
        <f t="shared" si="43"/>
        <v>#N/A</v>
      </c>
      <c r="DA144" s="154">
        <f>IF(ISNA(VLOOKUP(A144,'Données projet'!$A$139:$I$159,3,0)),0,VLOOKUP(A144,'Données projet'!$A$139:$I$159,3,0))</f>
        <v>0</v>
      </c>
      <c r="DB144" s="154">
        <f>IF(ISNA(VLOOKUP(A144,'Données projet'!$A$139:$I$159,4,0)),0,VLOOKUP(A144,'Données projet'!$A$139:$I$159,4,0))</f>
        <v>0</v>
      </c>
      <c r="DC144" s="155">
        <f>IF(ISNA(VLOOKUP(A144,'Données projet'!$A$139:$I$159,5,0)),0%,VLOOKUP(A144,'Données projet'!$A$139:$I$159,5,0)*VLOOKUP('Données projet'!$B$13,'Paramètres'!$A$1:$I$88,7,0))</f>
        <v>0</v>
      </c>
      <c r="DD144" s="155">
        <f>IF(ISNA(VLOOKUP(A144,'Données projet'!$A$139:$I$159,6,0)),0%,VLOOKUP(A144,'Données projet'!$A$139:$I$159,6,0)*VLOOKUP('Données projet'!$B$13,'Paramètres'!$A$1:$I$88,7,0))</f>
        <v>0</v>
      </c>
      <c r="DE144" s="155">
        <f>IF(ISNA(VLOOKUP(A144,'Données projet'!$A$139:$I$159,7,0)),0%,VLOOKUP(A144,'Données projet'!$A$139:$I$159,7,0))</f>
        <v>0</v>
      </c>
      <c r="DF144" s="162" t="str">
        <f>EXP(-LN(2)/35)*DF143+(1-EXP(-LN(2)/35))/(LN(2)/35)*DB144*DC144*VLOOKUP('Données projet'!$B$13,'Paramètres'!$A$1:$I$88,3,0)*0.475*44/12</f>
        <v>#N/A</v>
      </c>
      <c r="DG144" s="162" t="str">
        <f>EXP(-LN(2)/25)*DG143+(1-EXP(-LN(2)/25))/(LN(2)/25)*Calculateur!DB144*Calculateur!DD144*VLOOKUP('Données projet'!$B$13,'Paramètres'!$A$1:$I$88,3,0)*0.475*44/12</f>
        <v>#N/A</v>
      </c>
      <c r="DH144" s="162" t="str">
        <f>EXP(-LN(2)/2)*DH143+(1-EXP(-LN(2)/2))/(LN(2)/2)*DB144*DE144*VLOOKUP('Données projet'!$B$13,'Paramètres'!$A$1:$I$88,3,0)*0.475*44/12</f>
        <v>#N/A</v>
      </c>
      <c r="DI144" s="163" t="str">
        <f t="shared" si="16"/>
        <v>#N/A</v>
      </c>
      <c r="DJ144" s="159">
        <f>('Scénario référence'!$F$8+'Scénario référence'!$F$9+'Scénario référence'!$B$17+'Scénario référence'!$B$9+'Scénario référence'!$B$10)*70+IF((45+25*(1-EXP(-0.0175*A144)))&lt;70,'Scénario référence'!$B$16*(45+25*(1-EXP(-0.0175*A144))),70*'Scénario référence'!$B$16)+IF((32+38*(1-EXP(-0.0175*A144)))&lt;70,'Scénario référence'!$B$18*(32+38*(1-EXP(-0.0175*A144))),70*'Scénario référence'!$B$18)</f>
        <v>70</v>
      </c>
      <c r="DK144" s="151">
        <f>IF(A144&gt;30,10,('Scénario référence'!$B$16+'Scénario référence'!$B$17+'Scénario référence'!$B$18+'Scénario référence'!$B$9+'Scénario référence'!$B$10)*A144*10/30+('Scénario référence'!$F$8+'Scénario référence'!$F$9)*10)</f>
        <v>10</v>
      </c>
      <c r="DL144" s="151" t="str">
        <f>VLOOKUP(A144,'Données projet'!$A$165:$I$185,2,0)</f>
        <v>#N/A</v>
      </c>
      <c r="DM144" s="151" t="str">
        <f>VLOOKUP(A144,'Données projet'!$A$165:$I$185,9,0)</f>
        <v>#N/A</v>
      </c>
      <c r="DN144" s="151" t="str">
        <f t="array" ref="DN144">INDEX(DM:DM,MIN(IF(ISNUMBER(DM144:DM340),ROW(DM144:DM340),"")))</f>
        <v/>
      </c>
      <c r="DO144" s="151">
        <f>IF('Données projet'!$A$166&gt;35,DO143+DN144-DW143,IF(A144&lt;'Données projet'!$A$166,$DL$205^A144,IF(A144='Données projet'!$A$166,'Données projet'!$B$166,DO143+DN144-DW143)))</f>
        <v>0</v>
      </c>
      <c r="DP144" s="158" t="str">
        <f>DO144*VLOOKUP('Données projet'!$B$14,'Paramètres'!$A$1:$I$88,3,0)*VLOOKUP('Données projet'!$B$14,'Paramètres'!$A$1:$I$88,5,0)</f>
        <v>#N/A</v>
      </c>
      <c r="DQ144" s="150" t="str">
        <f t="shared" si="44"/>
        <v>#N/A</v>
      </c>
      <c r="DR144" s="161" t="str">
        <f t="shared" si="17"/>
        <v>#N/A</v>
      </c>
      <c r="DS144" s="153" t="str">
        <f t="shared" si="18"/>
        <v>#N/A</v>
      </c>
      <c r="DT144" s="153" t="str">
        <f>AVERAGE(OFFSET($DS$3,0,0,'Données projet'!$E$14+1,1))-AVERAGE(OFFSET($H$3,0,0,'Données projet'!$E$14+1,1))</f>
        <v>#N/A</v>
      </c>
      <c r="DU144" s="153" t="str">
        <f t="shared" si="45"/>
        <v>#N/A</v>
      </c>
      <c r="DV144" s="154">
        <f>IF(ISNA(VLOOKUP(A144,'Données projet'!$A$165:$I$185,3,0)),0,VLOOKUP(A144,'Données projet'!$A$165:$I$185,3,0))</f>
        <v>0</v>
      </c>
      <c r="DW144" s="154">
        <f>IF(ISNA(VLOOKUP(A144,'Données projet'!$A$165:$I$185,4,0)),0,VLOOKUP(A144,'Données projet'!$A$165:$I$185,4,0))</f>
        <v>0</v>
      </c>
      <c r="DX144" s="155">
        <f>IF(ISNA(VLOOKUP(A144,'Données projet'!$A$165:$I$185,5,0)),0%,VLOOKUP(A144,'Données projet'!$A$165:$I$185,5,0)*VLOOKUP('Données projet'!$B$14,'Paramètres'!$A$1:$I$88,7,0))</f>
        <v>0</v>
      </c>
      <c r="DY144" s="155">
        <f>IF(ISNA(VLOOKUP(A144,'Données projet'!$A$165:$I$185,6,0)),0%,VLOOKUP(A144,'Données projet'!$A$165:$I$185,6,0)*VLOOKUP('Données projet'!$B$14,'Paramètres'!$A$1:$I$88,7,0))</f>
        <v>0</v>
      </c>
      <c r="DZ144" s="155">
        <f>IF(ISNA(VLOOKUP(A144,'Données projet'!$A$165:$I$185,7,0)),0%,VLOOKUP(A144,'Données projet'!$A$165:$I$185,7,0))</f>
        <v>0</v>
      </c>
      <c r="EA144" s="162" t="str">
        <f>EXP(-LN(2)/35)*EA143+(1-EXP(-LN(2)/35))/(LN(2)/35)*DW144*DX144*VLOOKUP('Données projet'!$B$14,'Paramètres'!$A$1:$I$88,3,0)*0.475*44/12</f>
        <v>#N/A</v>
      </c>
      <c r="EB144" s="162" t="str">
        <f>EXP(-LN(2)/25)*EB143+(1-EXP(-LN(2)/25))/(LN(2)/25)*Calculateur!DW144*Calculateur!DY144*VLOOKUP('Données projet'!$B$14,'Paramètres'!$A$1:$I$88,3,0)*0.475*44/12</f>
        <v>#N/A</v>
      </c>
      <c r="EC144" s="162" t="str">
        <f>EXP(-LN(2)/2)*EC143+(1-EXP(-LN(2)/2))/(LN(2)/2)*DW144*DZ144*VLOOKUP('Données projet'!$B$14,'Paramètres'!$A$1:$I$88,3,0)*0.475*44/12</f>
        <v>#N/A</v>
      </c>
      <c r="ED144" s="163" t="str">
        <f t="shared" si="19"/>
        <v>#N/A</v>
      </c>
      <c r="EE144" s="159">
        <f>('Scénario référence'!$F$8+'Scénario référence'!$F$9+'Scénario référence'!$B$17+'Scénario référence'!$B$9+'Scénario référence'!$B$10)*70+IF((45+25*(1-EXP(-0.0175*A144)))&lt;70,'Scénario référence'!$B$16*(45+25*(1-EXP(-0.0175*A144))),70*'Scénario référence'!$B$16)+IF((32+38*(1-EXP(-0.0175*A144)))&lt;70,'Scénario référence'!$B$18*(32+38*(1-EXP(-0.0175*A144))),70*'Scénario référence'!$B$18)</f>
        <v>70</v>
      </c>
      <c r="EF144" s="151">
        <f>IF(A144&gt;30,10,('Scénario référence'!$B$16+'Scénario référence'!$B$17+'Scénario référence'!$B$18+'Scénario référence'!$B$9+'Scénario référence'!$B$10)*A144*10/30+('Scénario référence'!$F$8+'Scénario référence'!$F$9)*10)</f>
        <v>10</v>
      </c>
      <c r="EG144" s="151" t="str">
        <f>VLOOKUP(A144,'Données projet'!$A$191:$I$211,2,0)</f>
        <v>#N/A</v>
      </c>
      <c r="EH144" s="151" t="str">
        <f>VLOOKUP(A144,'Données projet'!$A$191:$I$211,9,0)</f>
        <v>#N/A</v>
      </c>
      <c r="EI144" s="151" t="str">
        <f t="array" ref="EI144">INDEX(EH:EH,MIN(IF(ISNUMBER(EH144:EH340),ROW(EH144:EH340),"")))</f>
        <v/>
      </c>
      <c r="EJ144" s="151">
        <f>IF('Données projet'!$A$192&gt;35,EJ143+EI144-ER143,IF(A144&lt;'Données projet'!$A$192,$EG$205^A144,IF(A144='Données projet'!$A$192,'Données projet'!$B$192,EJ143+EI144-ER143)))</f>
        <v>0</v>
      </c>
      <c r="EK144" s="158" t="str">
        <f>EJ144*VLOOKUP('Données projet'!$B$15,'Paramètres'!$A$1:$I$88,3,0)*VLOOKUP('Données projet'!$B$15,'Paramètres'!$A$1:$I$88,5,0)</f>
        <v>#N/A</v>
      </c>
      <c r="EL144" s="150" t="str">
        <f t="shared" si="46"/>
        <v>#N/A</v>
      </c>
      <c r="EM144" s="161" t="str">
        <f t="shared" si="20"/>
        <v>#N/A</v>
      </c>
      <c r="EN144" s="153" t="str">
        <f t="shared" si="21"/>
        <v>#N/A</v>
      </c>
      <c r="EO144" s="153" t="str">
        <f>AVERAGE(OFFSET($EN$3,0,0,'Données projet'!$E$15+1,1))-AVERAGE(OFFSET($H$3,0,0,'Données projet'!$E$15+1,1))</f>
        <v>#N/A</v>
      </c>
      <c r="EP144" s="153" t="str">
        <f t="shared" si="47"/>
        <v>#N/A</v>
      </c>
      <c r="EQ144" s="154">
        <f>IF(ISNA(VLOOKUP(A144,'Données projet'!$A$191:$I$211,3,0)),0,VLOOKUP(A144,'Données projet'!$A$191:$I$211,3,0))</f>
        <v>0</v>
      </c>
      <c r="ER144" s="154">
        <f>IF(ISNA(VLOOKUP(A144,'Données projet'!$A$191:$I$211,4,0)),0,VLOOKUP(A144,'Données projet'!$A$191:$I$211,4,0))</f>
        <v>0</v>
      </c>
      <c r="ES144" s="155">
        <f>IF(ISNA(VLOOKUP(A144,'Données projet'!$A$191:$I$211,5,0)),0%,VLOOKUP(A144,'Données projet'!$A$191:$I$211,5,0)*VLOOKUP('Données projet'!$B$15,'Paramètres'!$A$1:$I$88,7,0))</f>
        <v>0</v>
      </c>
      <c r="ET144" s="155">
        <f>IF(ISNA(VLOOKUP(A144,'Données projet'!$A$191:$I$211,6,0)),0%,VLOOKUP(A144,'Données projet'!$A$191:$I$211,6,0)*VLOOKUP('Données projet'!$B$15,'Paramètres'!$A$1:$I$88,7,0))</f>
        <v>0</v>
      </c>
      <c r="EU144" s="155">
        <f>IF(ISNA(VLOOKUP(A144,'Données projet'!$A$191:$I$211,7,0)),0%,VLOOKUP(A144,'Données projet'!$A$191:$I$211,7,0))</f>
        <v>0</v>
      </c>
      <c r="EV144" s="162" t="str">
        <f>EXP(-LN(2)/35)*EV143+(1-EXP(-LN(2)/35))/(LN(2)/35)*ER144*ES144*VLOOKUP('Données projet'!$B$15,'Paramètres'!$A$1:$I$88,3,0)*0.475*44/12</f>
        <v>#N/A</v>
      </c>
      <c r="EW144" s="162" t="str">
        <f>EXP(-LN(2)/25)*EW143+(1-EXP(-LN(2)/25))/(LN(2)/25)*Calculateur!ER144*Calculateur!ET144*VLOOKUP('Données projet'!$B$15,'Paramètres'!$A$1:$I$88,3,0)*0.475*44/12</f>
        <v>#N/A</v>
      </c>
      <c r="EX144" s="162" t="str">
        <f>EXP(-LN(2)/2)*EX143+(1-EXP(-LN(2)/2))/(LN(2)/2)*ER144*EU144*VLOOKUP('Données projet'!$B$15,'Paramètres'!$A$1:$I$88,3,0)*0.475*44/12</f>
        <v>#N/A</v>
      </c>
      <c r="EY144" s="163" t="str">
        <f t="shared" si="22"/>
        <v>#N/A</v>
      </c>
      <c r="EZ144" s="159">
        <f>('Scénario référence'!$F$8+'Scénario référence'!$F$9+'Scénario référence'!$B$17+'Scénario référence'!$B$9+'Scénario référence'!$B$10)*70+IF((45+25*(1-EXP(-0.0175*A144)))&lt;70,'Scénario référence'!$B$16*(45+25*(1-EXP(-0.0175*A144))),70*'Scénario référence'!$B$16)+IF((32+38*(1-EXP(-0.0175*A144)))&lt;70,'Scénario référence'!$B$18*(32+38*(1-EXP(-0.0175*A144))),70*'Scénario référence'!$B$18)</f>
        <v>70</v>
      </c>
      <c r="FA144" s="151">
        <f>IF(A144&gt;30,10,('Scénario référence'!$B$16+'Scénario référence'!$B$17+'Scénario référence'!$B$18+'Scénario référence'!$B$9+'Scénario référence'!$B$10)*A144*10/30+('Scénario référence'!$F$8+'Scénario référence'!$F$9)*10)</f>
        <v>10</v>
      </c>
      <c r="FB144" s="151" t="str">
        <f>VLOOKUP(A144,'Données projet'!$A$217:$I$237,2,0)</f>
        <v>#N/A</v>
      </c>
      <c r="FC144" s="151" t="str">
        <f>VLOOKUP(A144,'Données projet'!$A$217:$I$237,9,0)</f>
        <v>#N/A</v>
      </c>
      <c r="FD144" s="151" t="str">
        <f t="array" ref="FD144">INDEX(FC:FC,MIN(IF(ISNUMBER(FC144:FC340),ROW(FC144:FC340),"")))</f>
        <v/>
      </c>
      <c r="FE144" s="151">
        <f>IF('Données projet'!$A$218&gt;35,FE143+FD144-FM143,IF(A144&lt;'Données projet'!$A$218,$FB$205^A144,IF(A144='Données projet'!$A$218,'Données projet'!$B$218,FE143+FD144-FM143)))</f>
        <v>0</v>
      </c>
      <c r="FF144" s="158" t="str">
        <f>FE144*VLOOKUP('Données projet'!$B$16,'Paramètres'!$A$1:$I$88,3,0)*VLOOKUP('Données projet'!$B$16,'Paramètres'!$A$1:$I$88,5,0)</f>
        <v>#N/A</v>
      </c>
      <c r="FG144" s="150" t="str">
        <f t="shared" si="48"/>
        <v>#N/A</v>
      </c>
      <c r="FH144" s="161" t="str">
        <f t="shared" si="23"/>
        <v>#N/A</v>
      </c>
      <c r="FI144" s="153" t="str">
        <f t="shared" si="24"/>
        <v>#N/A</v>
      </c>
      <c r="FJ144" s="153" t="str">
        <f>AVERAGE(OFFSET($FI$3,0,0,'Données projet'!$E$16+1,1))-AVERAGE(OFFSET($H$3,0,0,'Données projet'!$E$16+1,1))</f>
        <v>#N/A</v>
      </c>
      <c r="FK144" s="153" t="str">
        <f t="shared" si="49"/>
        <v>#N/A</v>
      </c>
      <c r="FL144" s="154">
        <f>IF(ISNA(VLOOKUP(A144,'Données projet'!$A$217:$I$237,3,0)),0,VLOOKUP(A144,'Données projet'!$A$217:$I$237,3,0))</f>
        <v>0</v>
      </c>
      <c r="FM144" s="154">
        <f>IF(ISNA(VLOOKUP(A144,'Données projet'!$A$217:$I$237,4,0)),0,VLOOKUP(A144,'Données projet'!$A$217:$I$237,4,0))</f>
        <v>0</v>
      </c>
      <c r="FN144" s="155">
        <f>IF(ISNA(VLOOKUP(A144,'Données projet'!$A$217:$I$237,5,0)),0%,VLOOKUP(A144,'Données projet'!$A$217:$I$237,5,0)*VLOOKUP('Données projet'!$B$16,'Paramètres'!$A$1:$I$88,7,0))</f>
        <v>0</v>
      </c>
      <c r="FO144" s="155">
        <f>IF(ISNA(VLOOKUP(A144,'Données projet'!$A$217:$I$237,6,0)),0%,VLOOKUP(A144,'Données projet'!$A$217:$I$237,6,0)*VLOOKUP('Données projet'!$B$16,'Paramètres'!$A$1:$I$88,7,0))</f>
        <v>0</v>
      </c>
      <c r="FP144" s="155">
        <f>IF(ISNA(VLOOKUP(A144,'Données projet'!$A$217:$I$237,7,0)),0%,VLOOKUP(A144,'Données projet'!$A$217:$I$237,7,0))</f>
        <v>0</v>
      </c>
      <c r="FQ144" s="162" t="str">
        <f>EXP(-LN(2)/35)*FQ143+(1-EXP(-LN(2)/35))/(LN(2)/35)*FM144*FN144*VLOOKUP('Données projet'!$B$16,'Paramètres'!$A$1:$I$88,3,0)*0.475*44/12</f>
        <v>#N/A</v>
      </c>
      <c r="FR144" s="162" t="str">
        <f>EXP(-LN(2)/25)*FR143+(1-EXP(-LN(2)/25))/(LN(2)/25)*Calculateur!FM144*Calculateur!FO144*VLOOKUP('Données projet'!$B$16,'Paramètres'!$A$1:$I$88,3,0)*0.475*44/12</f>
        <v>#N/A</v>
      </c>
      <c r="FS144" s="162" t="str">
        <f>EXP(-LN(2)/2)*FS143+(1-EXP(-LN(2)/2))/(LN(2)/2)*FM144*FP144*VLOOKUP('Données projet'!$B$16,'Paramètres'!$A$1:$I$88,3,0)*0.475*44/12</f>
        <v>#N/A</v>
      </c>
      <c r="FT144" s="163" t="str">
        <f t="shared" si="25"/>
        <v>#N/A</v>
      </c>
      <c r="FU144" s="159">
        <f>('Scénario référence'!$F$8+'Scénario référence'!$F$9+'Scénario référence'!$B$17+'Scénario référence'!$B$9+'Scénario référence'!$B$10)*70+IF((45+25*(1-EXP(-0.0175*A144)))&lt;70,'Scénario référence'!$B$16*(45+25*(1-EXP(-0.0175*A144))),70*'Scénario référence'!$B$16)+IF((32+38*(1-EXP(-0.0175*A144)))&lt;70,'Scénario référence'!$B$18*(32+38*(1-EXP(-0.0175*A144))),70*'Scénario référence'!$B$18)</f>
        <v>70</v>
      </c>
      <c r="FV144" s="151">
        <f>IF(A144&gt;30,10,('Scénario référence'!$B$16+'Scénario référence'!$B$17+'Scénario référence'!$B$18+'Scénario référence'!$B$9+'Scénario référence'!$B$10)*A144*10/30+('Scénario référence'!$F$8+'Scénario référence'!$F$9)*10)</f>
        <v>10</v>
      </c>
      <c r="FW144" s="151" t="str">
        <f>VLOOKUP(A144,'Données projet'!$A$243:$I$263,2,0)</f>
        <v>#N/A</v>
      </c>
      <c r="FX144" s="151" t="str">
        <f>VLOOKUP(A144,'Données projet'!$A$243:$I$263,9,0)</f>
        <v>#N/A</v>
      </c>
      <c r="FY144" s="151" t="str">
        <f t="array" ref="FY144">INDEX(FX:FX,MIN(IF(ISNUMBER(FX144:FX340),ROW(FX144:FX340),"")))</f>
        <v/>
      </c>
      <c r="FZ144" s="151">
        <f>IF('Données projet'!$A$244&gt;35,FZ143+FY144-GH143,IF(A144&lt;'Données projet'!$A$244,$FW$205^A144,IF(A144='Données projet'!$A$244,'Données projet'!$B$244,FZ143+FY144-GH143)))</f>
        <v>0</v>
      </c>
      <c r="GA144" s="158" t="str">
        <f>FZ144*VLOOKUP('Données projet'!$B$17,'Paramètres'!$A$1:$I$88,3,0)*VLOOKUP('Données projet'!$B$17,'Paramètres'!$A$1:$I$88,5,0)</f>
        <v>#N/A</v>
      </c>
      <c r="GB144" s="150" t="str">
        <f t="shared" si="50"/>
        <v>#N/A</v>
      </c>
      <c r="GC144" s="161" t="str">
        <f t="shared" si="26"/>
        <v>#N/A</v>
      </c>
      <c r="GD144" s="153" t="str">
        <f t="shared" si="27"/>
        <v>#N/A</v>
      </c>
      <c r="GE144" s="153" t="str">
        <f>AVERAGE(OFFSET($GD$3,0,0,'Données projet'!$E$17+1,1))-AVERAGE(OFFSET($H$3,0,0,'Données projet'!$E$17+1,1))</f>
        <v>#N/A</v>
      </c>
      <c r="GF144" s="153" t="str">
        <f t="shared" si="51"/>
        <v>#N/A</v>
      </c>
      <c r="GG144" s="154">
        <f>IF(ISNA(VLOOKUP(A144,'Données projet'!$A$243:$I$263,3,0)),0,VLOOKUP(A144,'Données projet'!$A$243:$I$263,3,0))</f>
        <v>0</v>
      </c>
      <c r="GH144" s="154">
        <f>IF(ISNA(VLOOKUP(A144,'Données projet'!$A$243:$I$263,4,0)),0,VLOOKUP(A144,'Données projet'!$A$243:$I$263,4,0))</f>
        <v>0</v>
      </c>
      <c r="GI144" s="155">
        <f>IF(ISNA(VLOOKUP(A144,'Données projet'!$A$243:$I$263,5,0)),0%,VLOOKUP(A144,'Données projet'!$A$243:$I$263,5,0)*VLOOKUP('Données projet'!$B$17,'Paramètres'!$A$1:$I$88,7,0))</f>
        <v>0</v>
      </c>
      <c r="GJ144" s="155">
        <f>IF(ISNA(VLOOKUP(A144,'Données projet'!$A$243:$I$263,6,0)),0%,VLOOKUP(A144,'Données projet'!$A$243:$I$263,6,0)*VLOOKUP('Données projet'!$B$17,'Paramètres'!$A$1:$I$88,7,0))</f>
        <v>0</v>
      </c>
      <c r="GK144" s="155">
        <f>IF(ISNA(VLOOKUP(A144,'Données projet'!$A$243:$I$263,7,0)),0%,VLOOKUP(A144,'Données projet'!$A$243:$I$263,7,0))</f>
        <v>0</v>
      </c>
      <c r="GL144" s="162" t="str">
        <f>EXP(-LN(2)/35)*GL143+(1-EXP(-LN(2)/35))/(LN(2)/35)*GH144*GI144*VLOOKUP('Données projet'!$B$17,'Paramètres'!$A$1:$I$88,3,0)*0.475*44/12</f>
        <v>#N/A</v>
      </c>
      <c r="GM144" s="162" t="str">
        <f>EXP(-LN(2)/25)*GM143+(1-EXP(-LN(2)/25))/(LN(2)/25)*Calculateur!GH144*Calculateur!GJ144*VLOOKUP('Données projet'!$B$17,'Paramètres'!$A$1:$I$88,3,0)*0.475*44/12</f>
        <v>#N/A</v>
      </c>
      <c r="GN144" s="162" t="str">
        <f>EXP(-LN(2)/2)*GN143+(1-EXP(-LN(2)/2))/(LN(2)/2)*GH144*GK144*VLOOKUP('Données projet'!$B$17,'Paramètres'!$A$1:$I$88,3,0)*0.475*44/12</f>
        <v>#N/A</v>
      </c>
      <c r="GO144" s="162" t="str">
        <f t="shared" si="28"/>
        <v>#N/A</v>
      </c>
      <c r="GP144" s="159">
        <f>('Scénario référence'!$F$8+'Scénario référence'!$F$9+'Scénario référence'!$B$17+'Scénario référence'!$B$9+'Scénario référence'!$B$10)*70+IF((45+25*(1-EXP(-0.0175*A144)))&lt;70,'Scénario référence'!$B$16*(45+25*(1-EXP(-0.0175*A144))),70*'Scénario référence'!$B$16)+IF((32+38*(1-EXP(-0.0175*A144)))&lt;70,'Scénario référence'!$B$18*(32+38*(1-EXP(-0.0175*A144))),70*'Scénario référence'!$B$18)</f>
        <v>70</v>
      </c>
      <c r="GQ144" s="151">
        <f>IF(A144&gt;30,10,('Scénario référence'!$B$16+'Scénario référence'!$B$17+'Scénario référence'!$B$18+'Scénario référence'!$B$9+'Scénario référence'!$B$10)*A144*10/30+('Scénario référence'!$F$8+'Scénario référence'!$F$9)*10)</f>
        <v>10</v>
      </c>
      <c r="GR144" s="151" t="str">
        <f>VLOOKUP(A144,'Données projet'!$A$269:$I$289,2,0)</f>
        <v>#N/A</v>
      </c>
      <c r="GS144" s="151" t="str">
        <f>VLOOKUP(A144,'Données projet'!$A$269:$I$289,9,0)</f>
        <v>#N/A</v>
      </c>
      <c r="GT144" s="151" t="str">
        <f t="array" ref="GT144">INDEX(GS:GS,MIN(IF(ISNUMBER(GS144:GS340),ROW(GS144:GS340),"")))</f>
        <v/>
      </c>
      <c r="GU144" s="151">
        <f>IF('Données projet'!$A$270&gt;35,GU143+GT144-HC143,IF(A144&lt;'Données projet'!$A$270,$GR$205^A144,IF(A144='Données projet'!$A$270,'Données projet'!$B$270,GU143+GT144-HC143)))</f>
        <v>0</v>
      </c>
      <c r="GV144" s="158" t="str">
        <f>GU144*VLOOKUP('Données projet'!$B$18,'Paramètres'!$A$1:$I$88,3,0)*VLOOKUP('Données projet'!$B$18,'Paramètres'!$A$1:$I$88,5,0)</f>
        <v>#N/A</v>
      </c>
      <c r="GW144" s="150" t="str">
        <f t="shared" si="52"/>
        <v>#N/A</v>
      </c>
      <c r="GX144" s="161" t="str">
        <f t="shared" si="29"/>
        <v>#N/A</v>
      </c>
      <c r="GY144" s="153" t="str">
        <f t="shared" si="30"/>
        <v>#N/A</v>
      </c>
      <c r="GZ144" s="153" t="str">
        <f>AVERAGE(OFFSET($GY$3,0,0,'Données projet'!$E$18+1,1))-AVERAGE(OFFSET($H$3,0,0,'Données projet'!$E$18+1,1))</f>
        <v>#N/A</v>
      </c>
      <c r="HA144" s="153" t="str">
        <f t="shared" si="53"/>
        <v>#N/A</v>
      </c>
      <c r="HB144" s="154">
        <f>IF(ISNA(VLOOKUP(A144,'Données projet'!$A$269:$I$289,3,0)),0,VLOOKUP(A144,'Données projet'!$A$269:$I$289,3,0))</f>
        <v>0</v>
      </c>
      <c r="HC144" s="154">
        <f>IF(ISNA(VLOOKUP(A144,'Données projet'!$A$269:$I$289,4,0)),0,VLOOKUP(A144,'Données projet'!$A$269:$I$289,4,0))</f>
        <v>0</v>
      </c>
      <c r="HD144" s="155">
        <f>IF(ISNA(VLOOKUP(A144,'Données projet'!$A$269:$I$289,5,0)),0%,VLOOKUP(A144,'Données projet'!$A$269:$I$289,5,0)*VLOOKUP('Données projet'!$B$18,'Paramètres'!$A$1:$I$88,7,0))</f>
        <v>0</v>
      </c>
      <c r="HE144" s="155">
        <f>IF(ISNA(VLOOKUP(A144,'Données projet'!$A$269:$I$289,6,0)),0%,VLOOKUP(A144,'Données projet'!$A$269:$I$289,6,0)*VLOOKUP('Données projet'!$B$18,'Paramètres'!$A$1:$I$88,7,0))</f>
        <v>0</v>
      </c>
      <c r="HF144" s="155">
        <f>IF(ISNA(VLOOKUP(A144,'Données projet'!$A$269:$I$289,7,0)),0%,VLOOKUP(A144,'Données projet'!$A$269:$I$289,7,0))</f>
        <v>0</v>
      </c>
      <c r="HG144" s="162" t="str">
        <f>EXP(-LN(2)/35)*HG143+(1-EXP(-LN(2)/35))/(LN(2)/35)*HC144*HD144*VLOOKUP('Données projet'!$B$18,'Paramètres'!$A$1:$I$88,3,0)*0.475*44/12</f>
        <v>#N/A</v>
      </c>
      <c r="HH144" s="162" t="str">
        <f>EXP(-LN(2)/25)*HH143+(1-EXP(-LN(2)/25))/(LN(2)/25)*Calculateur!HC144*Calculateur!HE144*VLOOKUP('Données projet'!$B$18,'Paramètres'!$A$1:$I$88,3,0)*0.475*44/12</f>
        <v>#N/A</v>
      </c>
      <c r="HI144" s="162" t="str">
        <f>EXP(-LN(2)/2)*HI143+(1-EXP(-LN(2)/2))/(LN(2)/2)*HC144*HF144*VLOOKUP('Données projet'!$B$18,'Paramètres'!$A$1:$I$88,3,0)*0.475*44/12</f>
        <v>#N/A</v>
      </c>
      <c r="HJ144" s="163" t="str">
        <f t="shared" si="31"/>
        <v>#N/A</v>
      </c>
    </row>
    <row r="145" ht="15.75" customHeight="1">
      <c r="A145" s="145">
        <f t="shared" si="32"/>
        <v>142</v>
      </c>
      <c r="B145" s="146">
        <f>'Scénario référence'!$B$16*5+'Scénario référence'!$B$17*0+'Scénario référence'!$B$18*5</f>
        <v>0</v>
      </c>
      <c r="C145" s="160">
        <f>Calculateur!C144+'Scénario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45" s="147">
        <f t="shared" si="33"/>
        <v>0</v>
      </c>
      <c r="E145" s="147">
        <f>'Scénario référence'!$B$16*45+('Scénario référence'!$B$17+'Scénario référence'!$F$8+'Scénario référence'!$F$9+'Scénario référence'!$B$10+'Scénario référence'!$B$9)*70+'Scénario référence'!$B$18*32</f>
        <v>70</v>
      </c>
      <c r="F145" s="147">
        <f>IF(OR('Scénario référence'!$F$8&gt;0,'Scénario référence'!$F$9&gt;0),('Scénario référence'!$F$8+'Scénario référence'!$F$9)*10,0)</f>
        <v>0</v>
      </c>
      <c r="G145" s="147">
        <f>'Scénario référence'!$B$8*B145*44/12+'Scénario référence'!$B$9*(C145+D145)/0.475*44/12+'Scénario référence'!$B$10*(C145+D145)/0.475*44/12+'Scénario référence'!$F$8*(C145+D145)/0.475*44/12+'Scénario référence'!$F$9*(C145+D145)/0.475*44/12</f>
        <v>0</v>
      </c>
      <c r="H145" s="148">
        <f t="shared" si="1"/>
        <v>256.6666667</v>
      </c>
      <c r="I145" s="149">
        <f>('Scénario référence'!$F$8+'Scénario référence'!$F$9+'Scénario référence'!$B$17+'Scénario référence'!$B$9+'Scénario référence'!$B$10)*70+IF((45+25*(1-EXP(-0.0175*A145)))&lt;70,'Scénario référence'!$B$16*(45+25*(1-EXP(-0.0175*A145))),70*'Scénario référence'!$B$16)+IF((32+38*(1-EXP(-0.0175*A145)))&lt;70,'Scénario référence'!$B$18*(32+38*(1-EXP(-0.0175*A145))),70*'Scénario référence'!$B$18)</f>
        <v>70</v>
      </c>
      <c r="J145" s="150">
        <f>IF(A145&gt;30,10,('Scénario référence'!$B$16+'Scénario référence'!$B$17+'Scénario référence'!$B$18+'Scénario référence'!$B$9+'Scénario référence'!$B$10)*A145*10/30+('Scénario référence'!$F$8+'Scénario référence'!$F$9)*10)</f>
        <v>10</v>
      </c>
      <c r="K145" s="151" t="str">
        <f>VLOOKUP(A145,'Données projet'!$A$35:$I$55,2,0)</f>
        <v>#N/A</v>
      </c>
      <c r="L145" s="151" t="str">
        <f>VLOOKUP(A145,'Données projet'!$A$35:$I$55,9,0)</f>
        <v>#N/A</v>
      </c>
      <c r="M145" s="151" t="str">
        <f t="array" ref="M145">INDEX(L:L,MIN(IF(ISNUMBER(L145:L341),ROW(L145:L341),"")))</f>
        <v/>
      </c>
      <c r="N145" s="150">
        <f>IF('Données projet'!$A$36&gt;35,N144+M145-V144,IF(A145&lt;'Données projet'!$A$36,$K$205^A145,IF(A145='Données projet'!$A$36,'Données projet'!$B$36,N144+M145-V144)))</f>
        <v>307</v>
      </c>
      <c r="O145" s="150">
        <f>N145*VLOOKUP('Données projet'!$B$9,'Paramètres'!$A$1:$I$88,3,0)*VLOOKUP('Données projet'!$B$9,'Paramètres'!$A$1:$I$88,5,0)</f>
        <v>277.7736</v>
      </c>
      <c r="P145" s="150">
        <f t="shared" si="34"/>
        <v>66.49628818</v>
      </c>
      <c r="Q145" s="161">
        <f t="shared" si="2"/>
        <v>599.6033886</v>
      </c>
      <c r="R145" s="153">
        <f t="shared" si="3"/>
        <v>892.9367219</v>
      </c>
      <c r="S145" s="153">
        <f>AVERAGE(OFFSET($R$3,0,0,'Données projet'!$E$9+1,1))-AVERAGE(OFFSET($H$3,0,0,'Données projet'!$E$9+1,1))</f>
        <v>439.1985427</v>
      </c>
      <c r="T145" s="153">
        <f t="shared" si="35"/>
        <v>278.2174123</v>
      </c>
      <c r="U145" s="154">
        <f>IF(ISNA(VLOOKUP(A145,'Données projet'!$A$35:$I$55,3,0)),0,VLOOKUP(A145,'Données projet'!$A$35:$I$55,3,0))</f>
        <v>0</v>
      </c>
      <c r="V145" s="154">
        <f>IF(ISNA(VLOOKUP(A145,'Données projet'!$A$35:$I$55,4,0)),0,VLOOKUP(A145,'Données projet'!$A$35:$I$55,4,0))</f>
        <v>0</v>
      </c>
      <c r="W145" s="155">
        <f>IF(ISNA(VLOOKUP(A145,'Données projet'!$A$35:$I$55,5,0)),0%,VLOOKUP(A145,'Données projet'!$A$35:$I$55,5,0)*VLOOKUP('Données projet'!$B$9,'Paramètres'!$A$1:$I$88,7,0))</f>
        <v>0</v>
      </c>
      <c r="X145" s="155">
        <f>IF(ISNA(VLOOKUP(A145,'Données projet'!$A$35:$I$55,6,0)),0%,VLOOKUP(A145,'Données projet'!$A$35:$I$55,6,0)*VLOOKUP('Données projet'!$B$9,'Paramètres'!$A$1:$I$88,7,0))</f>
        <v>0</v>
      </c>
      <c r="Y145" s="155">
        <f>IF(ISNA(VLOOKUP(A145,'Données projet'!$A$35:$I$55,7,0)),0%,VLOOKUP(A145,'Données projet'!$A$35:$I$55,7,0))</f>
        <v>0</v>
      </c>
      <c r="Z145" s="162">
        <f>EXP(-LN(2)/35)*Z144+(1-EXP(-LN(2)/35))/(LN(2)/35)*V145*W145*VLOOKUP('Données projet'!$B$9,'Paramètres'!$A$1:$I$88,3,0)*0.475*44/12</f>
        <v>0</v>
      </c>
      <c r="AA145" s="162">
        <f>EXP(-LN(2)/25)*AA144+(1-EXP(-LN(2)/25))/(LN(2)/25)*Calculateur!V145*Calculateur!X145*VLOOKUP('Données projet'!$B$9,'Paramètres'!$A$1:$I$88,3,0)*0.475*44/12</f>
        <v>0.2010934377</v>
      </c>
      <c r="AB145" s="162">
        <f>EXP(-LN(2)/2)*AB144+(1-EXP(-LN(2)/2))/(LN(2)/2)*V145*Y145*VLOOKUP('Données projet'!$B$9,'Paramètres'!$A$1:$I$88,3,0)*0.475*44/12</f>
        <v>0</v>
      </c>
      <c r="AC145" s="163">
        <f t="shared" si="4"/>
        <v>0.2010934377</v>
      </c>
      <c r="AD145" s="150">
        <f>('Scénario référence'!$F$8+'Scénario référence'!$F$9+'Scénario référence'!$B$17+'Scénario référence'!$B$9+'Scénario référence'!$B$10)*70+IF((45+25*(1-EXP(-0.0175*A145)))&lt;70,'Scénario référence'!$B$16*(45+25*(1-EXP(-0.0175*A145))),70*'Scénario référence'!$B$16)+IF((32+38*(1-EXP(-0.0175*A145)))&lt;70,'Scénario référence'!$B$18*(32+38*(1-EXP(-0.0175*A145))),70*'Scénario référence'!$B$18)</f>
        <v>70</v>
      </c>
      <c r="AE145" s="150">
        <f>IF(A145&gt;30,10,('Scénario référence'!$B$16+'Scénario référence'!$B$17+'Scénario référence'!$B$18+'Scénario référence'!$B$9+'Scénario référence'!$B$10)*A145*10/30+('Scénario référence'!$F$8+'Scénario référence'!$F$9)*10)</f>
        <v>10</v>
      </c>
      <c r="AF145" s="151" t="str">
        <f>VLOOKUP(A145,'Données projet'!$A$61:$I$81,2,0)</f>
        <v>#N/A</v>
      </c>
      <c r="AG145" s="151" t="str">
        <f>VLOOKUP(A145,'Données projet'!$A$61:$I$81,9,0)</f>
        <v>#N/A</v>
      </c>
      <c r="AH145" s="151" t="str">
        <f t="array" ref="AH145">INDEX(AG:AG,MIN(IF(ISNUMBER(AG145:AG341),ROW(AG145:AG341),"")))</f>
        <v/>
      </c>
      <c r="AI145" s="150">
        <f>IF('Données projet'!$A$62&gt;35,AI144+AH145-AQ144,IF(A145&lt;'Données projet'!$A$62,$AF$205^A145,IF(A145='Données projet'!$A$62,'Données projet'!$B$62,AI144+AH145-AQ144)))</f>
        <v>369</v>
      </c>
      <c r="AJ145" s="150">
        <f>AI145*VLOOKUP('Données projet'!$B$10,'Paramètres'!$A$1:$I$88,3,0)*VLOOKUP('Données projet'!$B$10,'Paramètres'!$A$1:$I$88,5,0)</f>
        <v>293.5764</v>
      </c>
      <c r="AK145" s="150">
        <f t="shared" si="36"/>
        <v>69.82813851</v>
      </c>
      <c r="AL145" s="161">
        <f t="shared" si="5"/>
        <v>632.9295712</v>
      </c>
      <c r="AM145" s="153">
        <f t="shared" si="6"/>
        <v>926.2629046</v>
      </c>
      <c r="AN145" s="153">
        <f>AVERAGE(OFFSET($AM$3,0,0,'Données projet'!$E$10+1,1))-AVERAGE(OFFSET($H$3,0,0,'Données projet'!$E$10+1,1))</f>
        <v>405.6113614</v>
      </c>
      <c r="AO145" s="153">
        <f t="shared" si="37"/>
        <v>393.0787141</v>
      </c>
      <c r="AP145" s="154">
        <f>IF(ISNA(VLOOKUP(A145,'Données projet'!$A$61:$I$81,3,0)),0,VLOOKUP(A145,'Données projet'!$A$61:$I$81,3,0))</f>
        <v>0</v>
      </c>
      <c r="AQ145" s="154">
        <f>IF(ISNA(VLOOKUP(A145,'Données projet'!$A$61:$I$81,4,0)),0,VLOOKUP(A145,'Données projet'!$A$61:$I$81,4,0))</f>
        <v>0</v>
      </c>
      <c r="AR145" s="155">
        <f>IF(ISNA(VLOOKUP(A145,'Données projet'!$A$61:$I$81,5,0)),0%,VLOOKUP(A145,'Données projet'!$A$61:$I$81,5,0)*VLOOKUP('Données projet'!$B$10,'Paramètres'!$A$1:$I$88,7,0))</f>
        <v>0</v>
      </c>
      <c r="AS145" s="155">
        <f>IF(ISNA(VLOOKUP(A145,'Données projet'!$A$61:$I$81,6,0)),0%,VLOOKUP(A145,'Données projet'!$A$61:$I$81,6,0)*VLOOKUP('Données projet'!$B$10,'Paramètres'!$A$1:$I$88,7,0))</f>
        <v>0</v>
      </c>
      <c r="AT145" s="155">
        <f>IF(ISNA(VLOOKUP(A145,'Données projet'!$A$61:$I$81,7,0)),0%,VLOOKUP(A145,'Données projet'!$A$61:$I$81,7,0))</f>
        <v>0</v>
      </c>
      <c r="AU145" s="162">
        <f>EXP(-LN(2)/35)*AU144+(1-EXP(-LN(2)/35))/(LN(2)/35)*AQ145*AR145*VLOOKUP('Données projet'!$B$10,'Paramètres'!$A$1:$I$88,3,0)*0.475*44/12</f>
        <v>0</v>
      </c>
      <c r="AV145" s="162">
        <f>EXP(-LN(2)/25)*AV144+(1-EXP(-LN(2)/25))/(LN(2)/25)*Calculateur!AQ145*Calculateur!AS145*VLOOKUP('Données projet'!$B$10,'Paramètres'!$A$1:$I$88,3,0)*0.475*44/12</f>
        <v>0.8172948507</v>
      </c>
      <c r="AW145" s="162">
        <f>EXP(-LN(2)/2)*AW144+(1-EXP(-LN(2)/2))/(LN(2)/2)*AQ145*AT145*VLOOKUP('Données projet'!$B$10,'Paramètres'!$A$1:$I$88,3,0)*0.475*44/12</f>
        <v>0</v>
      </c>
      <c r="AX145" s="162">
        <f t="shared" si="7"/>
        <v>0.8172948507</v>
      </c>
      <c r="AY145" s="157">
        <f>('Scénario référence'!$F$8+'Scénario référence'!$F$9+'Scénario référence'!$B$17+'Scénario référence'!$B$9+'Scénario référence'!$B$10)*70+IF((45+25*(1-EXP(-0.0175*A145)))&lt;70,'Scénario référence'!$B$16*(45+25*(1-EXP(-0.0175*A145))),70*'Scénario référence'!$B$16)+IF((32+38*(1-EXP(-0.0175*A145)))&lt;70,'Scénario référence'!$B$18*(32+38*(1-EXP(-0.0175*A145))),70*'Scénario référence'!$B$18)</f>
        <v>70</v>
      </c>
      <c r="AZ145" s="151">
        <f>IF(A145&gt;30,10,('Scénario référence'!$B$16+'Scénario référence'!$B$17+'Scénario référence'!$B$18+'Scénario référence'!$B$9+'Scénario référence'!$B$10)*A145*10/30+('Scénario référence'!$F$8+'Scénario référence'!$F$9)*10)</f>
        <v>10</v>
      </c>
      <c r="BA145" s="151" t="str">
        <f>VLOOKUP(A145,'Données projet'!$A$87:$I$107,2,0)</f>
        <v>#N/A</v>
      </c>
      <c r="BB145" s="151" t="str">
        <f>VLOOKUP(A145,'Données projet'!$A$87:$I$107,9,0)</f>
        <v>#N/A</v>
      </c>
      <c r="BC145" s="151" t="str">
        <f t="array" ref="BC145">INDEX(BB:BB,MIN(IF(ISNUMBER(BB145:BB341),ROW(BB145:BB341),"")))</f>
        <v/>
      </c>
      <c r="BD145" s="150">
        <f>IF('Données projet'!$A$88&gt;35,BD144+BC145-BL144,IF(A145&lt;'Données projet'!$A$88,$BA$205^A145,IF(A145='Données projet'!$A$88,'Données projet'!$B$88,BD144+BC145-BL144)))</f>
        <v>0</v>
      </c>
      <c r="BE145" s="150">
        <f>BD145*VLOOKUP('Données projet'!$B$11,'Paramètres'!$A$1:$I$88,3,0)*VLOOKUP('Données projet'!$B$11,'Paramètres'!$A$1:$I$88,5,0)</f>
        <v>0</v>
      </c>
      <c r="BF145" s="150" t="str">
        <f t="shared" si="38"/>
        <v>#NUM!</v>
      </c>
      <c r="BG145" s="161" t="str">
        <f t="shared" si="8"/>
        <v>#NUM!</v>
      </c>
      <c r="BH145" s="153" t="str">
        <f t="shared" si="9"/>
        <v>#NUM!</v>
      </c>
      <c r="BI145" s="153">
        <f>AVERAGE(OFFSET($BH$3,0,0,'Données projet'!$E$11+1,1))-AVERAGE(OFFSET($H$3,0,0,'Données projet'!$E$11+1,1))</f>
        <v>0</v>
      </c>
      <c r="BJ145" s="153">
        <f t="shared" si="39"/>
        <v>0</v>
      </c>
      <c r="BK145" s="154">
        <f>IF(ISNA(VLOOKUP(A145,'Données projet'!$A$87:$I$107,3,0)),0,VLOOKUP(A145,'Données projet'!$A$87:$I$107,3,0))</f>
        <v>0</v>
      </c>
      <c r="BL145" s="154">
        <f>IF(ISNA(VLOOKUP(A145,'Données projet'!$A$87:$I$107,4,0)),0,VLOOKUP(A145,'Données projet'!$A$87:$I$107,4,0))</f>
        <v>0</v>
      </c>
      <c r="BM145" s="155">
        <f>IF(ISNA(VLOOKUP(A145,'Données projet'!$A$87:$I$107,5,0)),0%,VLOOKUP(A145,'Données projet'!$A$87:$I$107,5,0)*VLOOKUP('Données projet'!$B$11,'Paramètres'!$A$1:$I$88,7,0))</f>
        <v>0</v>
      </c>
      <c r="BN145" s="155">
        <f>IF(ISNA(VLOOKUP(A145,'Données projet'!$A$87:$I$107,6,0)),0%,VLOOKUP(A145,'Données projet'!$A$87:$I$107,6,0)*VLOOKUP('Données projet'!$B$11,'Paramètres'!$A$1:$I$88,7,0))</f>
        <v>0</v>
      </c>
      <c r="BO145" s="155">
        <f>IF(ISNA(VLOOKUP(A145,'Données projet'!$A$87:$I$107,7,0)),0%,VLOOKUP(A145,'Données projet'!$A$87:$I$107,7,0))</f>
        <v>0</v>
      </c>
      <c r="BP145" s="162">
        <f>EXP(-LN(2)/35)*BP144+(1-EXP(-LN(2)/35))/(LN(2)/35)*BL145*BM145*VLOOKUP('Données projet'!$B$11,'Paramètres'!$A$1:$I$88,3,0)*0.475*44/12</f>
        <v>0</v>
      </c>
      <c r="BQ145" s="162">
        <f>EXP(-LN(2)/25)*BQ144+(1-EXP(-LN(2)/25))/(LN(2)/25)*Calculateur!BL145*Calculateur!BN145*VLOOKUP('Données projet'!$B$11,'Paramètres'!$A$1:$I$88,3,0)*0.475*44/12</f>
        <v>0</v>
      </c>
      <c r="BR145" s="162">
        <f>EXP(-LN(2)/2)*BR144+(1-EXP(-LN(2)/2))/(LN(2)/2)*BL145*BO145*VLOOKUP('Données projet'!$B$11,'Paramètres'!$A$1:$I$88,3,0)*0.475*44/12</f>
        <v>0</v>
      </c>
      <c r="BS145" s="163">
        <f t="shared" si="10"/>
        <v>0</v>
      </c>
      <c r="BT145" s="159">
        <f>('Scénario référence'!$F$8+'Scénario référence'!$F$9+'Scénario référence'!$B$17+'Scénario référence'!$B$9+'Scénario référence'!$B$10)*70+IF((45+25*(1-EXP(-0.0175*A145)))&lt;70,'Scénario référence'!$B$16*(45+25*(1-EXP(-0.0175*A145))),70*'Scénario référence'!$B$16)+IF((32+38*(1-EXP(-0.0175*A145)))&lt;70,'Scénario référence'!$B$18*(32+38*(1-EXP(-0.0175*A145))),70*'Scénario référence'!$B$18)</f>
        <v>70</v>
      </c>
      <c r="BU145" s="151">
        <f>IF(A145&gt;30,10,('Scénario référence'!$B$16+'Scénario référence'!$B$17+'Scénario référence'!$B$18+'Scénario référence'!$B$9+'Scénario référence'!$B$10)*A145*10/30+('Scénario référence'!$F$8+'Scénario référence'!$F$9)*10)</f>
        <v>10</v>
      </c>
      <c r="BV145" s="151" t="str">
        <f>VLOOKUP(A145,'Données projet'!$A$113:$I$133,2,0)</f>
        <v>#N/A</v>
      </c>
      <c r="BW145" s="151" t="str">
        <f>VLOOKUP(A145,'Données projet'!$A$113:$I$133,9,0)</f>
        <v>#N/A</v>
      </c>
      <c r="BX145" s="151" t="str">
        <f t="array" ref="BX145">INDEX(BW:BW,MIN(IF(ISNUMBER(BW145:BW341),ROW(BW145:BW341),"")))</f>
        <v/>
      </c>
      <c r="BY145" s="150">
        <f>IF('Données projet'!$A$114&gt;35,BY144+BX145-CG144,IF(A145&lt;'Données projet'!$A$114,$BV$205^A145,IF(A145='Données projet'!$A$114,'Données projet'!$B$114,BY144+BX145-CG144)))</f>
        <v>0</v>
      </c>
      <c r="BZ145" s="150" t="str">
        <f>BY145*VLOOKUP('Données projet'!$B$12,'Paramètres'!$A$1:$I$88,3,0)*VLOOKUP('Données projet'!$B$12,'Paramètres'!$A$1:$I$88,5,0)</f>
        <v>#N/A</v>
      </c>
      <c r="CA145" s="150" t="str">
        <f t="shared" si="40"/>
        <v>#N/A</v>
      </c>
      <c r="CB145" s="161" t="str">
        <f t="shared" si="11"/>
        <v>#N/A</v>
      </c>
      <c r="CC145" s="153" t="str">
        <f t="shared" si="12"/>
        <v>#N/A</v>
      </c>
      <c r="CD145" s="153" t="str">
        <f>AVERAGE(OFFSET($CC$3,0,0,'Données projet'!$E$12+1,1))-AVERAGE(OFFSET($H$3,0,0,'Données projet'!$E$12+1,1))</f>
        <v>#N/A</v>
      </c>
      <c r="CE145" s="153" t="str">
        <f t="shared" si="41"/>
        <v>#N/A</v>
      </c>
      <c r="CF145" s="154">
        <f>IF(ISNA(VLOOKUP(A145,'Données projet'!$A$113:$I$133,3,0)),0,VLOOKUP(A145,'Données projet'!$A$113:$I$133,3,0))</f>
        <v>0</v>
      </c>
      <c r="CG145" s="154">
        <f>IF(ISNA(VLOOKUP(A145,'Données projet'!$A$113:$I$133,4,0)),0,VLOOKUP(A145,'Données projet'!$A$113:$I$133,4,0))</f>
        <v>0</v>
      </c>
      <c r="CH145" s="155">
        <f>IF(ISNA(VLOOKUP(A145,'Données projet'!$A$113:$I$133,5,0)),0%,VLOOKUP(A145,'Données projet'!$A$113:$I$133,5,0)*VLOOKUP('Données projet'!$B$12,'Paramètres'!$A$1:$I$88,7,0))</f>
        <v>0</v>
      </c>
      <c r="CI145" s="155">
        <f>IF(ISNA(VLOOKUP(A145,'Données projet'!$A$113:$I$133,6,0)),0%,VLOOKUP(A145,'Données projet'!$A$113:$I$133,6,0)*VLOOKUP('Données projet'!$B$12,'Paramètres'!$A$1:$I$88,7,0))</f>
        <v>0</v>
      </c>
      <c r="CJ145" s="155">
        <f>IF(ISNA(VLOOKUP(A145,'Données projet'!$A$113:$I$133,7,0)),0%,VLOOKUP(A145,'Données projet'!$A$113:$I$133,7,0))</f>
        <v>0</v>
      </c>
      <c r="CK145" s="162" t="str">
        <f>EXP(-LN(2)/35)*CK144+(1-EXP(-LN(2)/35))/(LN(2)/35)*CG145*CH145*VLOOKUP('Données projet'!$B$12,'Paramètres'!$A$1:$I$88,3,0)*0.475*44/12</f>
        <v>#N/A</v>
      </c>
      <c r="CL145" s="162" t="str">
        <f>EXP(-LN(2)/25)*CL144+(1-EXP(-LN(2)/25))/(LN(2)/25)*Calculateur!CG145*Calculateur!CI145*VLOOKUP('Données projet'!$B$12,'Paramètres'!$A$1:$I$88,3,0)*0.475*44/12</f>
        <v>#N/A</v>
      </c>
      <c r="CM145" s="162" t="str">
        <f>EXP(-LN(2)/2)*CM144+(1-EXP(-LN(2)/2))/(LN(2)/2)*CG145*CJ145*VLOOKUP('Données projet'!$B$12,'Paramètres'!$A$1:$I$88,3,0)*0.475*44/12</f>
        <v>#N/A</v>
      </c>
      <c r="CN145" s="163" t="str">
        <f t="shared" si="13"/>
        <v>#N/A</v>
      </c>
      <c r="CO145" s="159">
        <f>('Scénario référence'!$F$8+'Scénario référence'!$F$9+'Scénario référence'!$B$17+'Scénario référence'!$B$9+'Scénario référence'!$B$10)*70+IF((45+25*(1-EXP(-0.0175*A145)))&lt;70,'Scénario référence'!$B$16*(45+25*(1-EXP(-0.0175*A145))),70*'Scénario référence'!$B$16)+IF((32+38*(1-EXP(-0.0175*A145)))&lt;70,'Scénario référence'!$B$18*(32+38*(1-EXP(-0.0175*A145))),70*'Scénario référence'!$B$18)</f>
        <v>70</v>
      </c>
      <c r="CP145" s="151">
        <f>IF(A145&gt;30,10,('Scénario référence'!$B$16+'Scénario référence'!$B$17+'Scénario référence'!$B$18+'Scénario référence'!$B$9+'Scénario référence'!$B$10)*A145*10/30+('Scénario référence'!$F$8+'Scénario référence'!$F$9)*10)</f>
        <v>10</v>
      </c>
      <c r="CQ145" s="151" t="str">
        <f>VLOOKUP(A145,'Données projet'!$A$139:$I$159,2,0)</f>
        <v>#N/A</v>
      </c>
      <c r="CR145" s="151" t="str">
        <f>VLOOKUP(A145,'Données projet'!$A$139:$I$159,9,0)</f>
        <v>#N/A</v>
      </c>
      <c r="CS145" s="151" t="str">
        <f t="array" ref="CS145">INDEX(CR:CR,MIN(IF(ISNUMBER(CR145:CR341),ROW(CR145:CR341),"")))</f>
        <v/>
      </c>
      <c r="CT145" s="151">
        <f>IF('Données projet'!$A$140&gt;35,CT144+CS145-DB144,IF(A145&lt;'Données projet'!$A$140,$CQ$205^A145,IF(A145='Données projet'!$A$140,'Données projet'!$B$140,CT144+CS145-DB144)))</f>
        <v>0</v>
      </c>
      <c r="CU145" s="158" t="str">
        <f>CT145*VLOOKUP('Données projet'!$B$13,'Paramètres'!$A$1:$I$88,3,0)*VLOOKUP('Données projet'!$B$13,'Paramètres'!$A$1:$I$88,5,0)</f>
        <v>#N/A</v>
      </c>
      <c r="CV145" s="150" t="str">
        <f t="shared" si="42"/>
        <v>#N/A</v>
      </c>
      <c r="CW145" s="161" t="str">
        <f t="shared" si="14"/>
        <v>#N/A</v>
      </c>
      <c r="CX145" s="153" t="str">
        <f t="shared" si="15"/>
        <v>#N/A</v>
      </c>
      <c r="CY145" s="153" t="str">
        <f>AVERAGE(OFFSET($CX$3,0,0,'Données projet'!$E$13+1,1))-AVERAGE(OFFSET($H$3,0,0,'Données projet'!$E$13+1,1))</f>
        <v>#N/A</v>
      </c>
      <c r="CZ145" s="153" t="str">
        <f t="shared" si="43"/>
        <v>#N/A</v>
      </c>
      <c r="DA145" s="154">
        <f>IF(ISNA(VLOOKUP(A145,'Données projet'!$A$139:$I$159,3,0)),0,VLOOKUP(A145,'Données projet'!$A$139:$I$159,3,0))</f>
        <v>0</v>
      </c>
      <c r="DB145" s="154">
        <f>IF(ISNA(VLOOKUP(A145,'Données projet'!$A$139:$I$159,4,0)),0,VLOOKUP(A145,'Données projet'!$A$139:$I$159,4,0))</f>
        <v>0</v>
      </c>
      <c r="DC145" s="155">
        <f>IF(ISNA(VLOOKUP(A145,'Données projet'!$A$139:$I$159,5,0)),0%,VLOOKUP(A145,'Données projet'!$A$139:$I$159,5,0)*VLOOKUP('Données projet'!$B$13,'Paramètres'!$A$1:$I$88,7,0))</f>
        <v>0</v>
      </c>
      <c r="DD145" s="155">
        <f>IF(ISNA(VLOOKUP(A145,'Données projet'!$A$139:$I$159,6,0)),0%,VLOOKUP(A145,'Données projet'!$A$139:$I$159,6,0)*VLOOKUP('Données projet'!$B$13,'Paramètres'!$A$1:$I$88,7,0))</f>
        <v>0</v>
      </c>
      <c r="DE145" s="155">
        <f>IF(ISNA(VLOOKUP(A145,'Données projet'!$A$139:$I$159,7,0)),0%,VLOOKUP(A145,'Données projet'!$A$139:$I$159,7,0))</f>
        <v>0</v>
      </c>
      <c r="DF145" s="162" t="str">
        <f>EXP(-LN(2)/35)*DF144+(1-EXP(-LN(2)/35))/(LN(2)/35)*DB145*DC145*VLOOKUP('Données projet'!$B$13,'Paramètres'!$A$1:$I$88,3,0)*0.475*44/12</f>
        <v>#N/A</v>
      </c>
      <c r="DG145" s="162" t="str">
        <f>EXP(-LN(2)/25)*DG144+(1-EXP(-LN(2)/25))/(LN(2)/25)*Calculateur!DB145*Calculateur!DD145*VLOOKUP('Données projet'!$B$13,'Paramètres'!$A$1:$I$88,3,0)*0.475*44/12</f>
        <v>#N/A</v>
      </c>
      <c r="DH145" s="162" t="str">
        <f>EXP(-LN(2)/2)*DH144+(1-EXP(-LN(2)/2))/(LN(2)/2)*DB145*DE145*VLOOKUP('Données projet'!$B$13,'Paramètres'!$A$1:$I$88,3,0)*0.475*44/12</f>
        <v>#N/A</v>
      </c>
      <c r="DI145" s="163" t="str">
        <f t="shared" si="16"/>
        <v>#N/A</v>
      </c>
      <c r="DJ145" s="159">
        <f>('Scénario référence'!$F$8+'Scénario référence'!$F$9+'Scénario référence'!$B$17+'Scénario référence'!$B$9+'Scénario référence'!$B$10)*70+IF((45+25*(1-EXP(-0.0175*A145)))&lt;70,'Scénario référence'!$B$16*(45+25*(1-EXP(-0.0175*A145))),70*'Scénario référence'!$B$16)+IF((32+38*(1-EXP(-0.0175*A145)))&lt;70,'Scénario référence'!$B$18*(32+38*(1-EXP(-0.0175*A145))),70*'Scénario référence'!$B$18)</f>
        <v>70</v>
      </c>
      <c r="DK145" s="151">
        <f>IF(A145&gt;30,10,('Scénario référence'!$B$16+'Scénario référence'!$B$17+'Scénario référence'!$B$18+'Scénario référence'!$B$9+'Scénario référence'!$B$10)*A145*10/30+('Scénario référence'!$F$8+'Scénario référence'!$F$9)*10)</f>
        <v>10</v>
      </c>
      <c r="DL145" s="151" t="str">
        <f>VLOOKUP(A145,'Données projet'!$A$165:$I$185,2,0)</f>
        <v>#N/A</v>
      </c>
      <c r="DM145" s="151" t="str">
        <f>VLOOKUP(A145,'Données projet'!$A$165:$I$185,9,0)</f>
        <v>#N/A</v>
      </c>
      <c r="DN145" s="151" t="str">
        <f t="array" ref="DN145">INDEX(DM:DM,MIN(IF(ISNUMBER(DM145:DM341),ROW(DM145:DM341),"")))</f>
        <v/>
      </c>
      <c r="DO145" s="151">
        <f>IF('Données projet'!$A$166&gt;35,DO144+DN145-DW144,IF(A145&lt;'Données projet'!$A$166,$DL$205^A145,IF(A145='Données projet'!$A$166,'Données projet'!$B$166,DO144+DN145-DW144)))</f>
        <v>0</v>
      </c>
      <c r="DP145" s="158" t="str">
        <f>DO145*VLOOKUP('Données projet'!$B$14,'Paramètres'!$A$1:$I$88,3,0)*VLOOKUP('Données projet'!$B$14,'Paramètres'!$A$1:$I$88,5,0)</f>
        <v>#N/A</v>
      </c>
      <c r="DQ145" s="150" t="str">
        <f t="shared" si="44"/>
        <v>#N/A</v>
      </c>
      <c r="DR145" s="161" t="str">
        <f t="shared" si="17"/>
        <v>#N/A</v>
      </c>
      <c r="DS145" s="153" t="str">
        <f t="shared" si="18"/>
        <v>#N/A</v>
      </c>
      <c r="DT145" s="153" t="str">
        <f>AVERAGE(OFFSET($DS$3,0,0,'Données projet'!$E$14+1,1))-AVERAGE(OFFSET($H$3,0,0,'Données projet'!$E$14+1,1))</f>
        <v>#N/A</v>
      </c>
      <c r="DU145" s="153" t="str">
        <f t="shared" si="45"/>
        <v>#N/A</v>
      </c>
      <c r="DV145" s="154">
        <f>IF(ISNA(VLOOKUP(A145,'Données projet'!$A$165:$I$185,3,0)),0,VLOOKUP(A145,'Données projet'!$A$165:$I$185,3,0))</f>
        <v>0</v>
      </c>
      <c r="DW145" s="154">
        <f>IF(ISNA(VLOOKUP(A145,'Données projet'!$A$165:$I$185,4,0)),0,VLOOKUP(A145,'Données projet'!$A$165:$I$185,4,0))</f>
        <v>0</v>
      </c>
      <c r="DX145" s="155">
        <f>IF(ISNA(VLOOKUP(A145,'Données projet'!$A$165:$I$185,5,0)),0%,VLOOKUP(A145,'Données projet'!$A$165:$I$185,5,0)*VLOOKUP('Données projet'!$B$14,'Paramètres'!$A$1:$I$88,7,0))</f>
        <v>0</v>
      </c>
      <c r="DY145" s="155">
        <f>IF(ISNA(VLOOKUP(A145,'Données projet'!$A$165:$I$185,6,0)),0%,VLOOKUP(A145,'Données projet'!$A$165:$I$185,6,0)*VLOOKUP('Données projet'!$B$14,'Paramètres'!$A$1:$I$88,7,0))</f>
        <v>0</v>
      </c>
      <c r="DZ145" s="155">
        <f>IF(ISNA(VLOOKUP(A145,'Données projet'!$A$165:$I$185,7,0)),0%,VLOOKUP(A145,'Données projet'!$A$165:$I$185,7,0))</f>
        <v>0</v>
      </c>
      <c r="EA145" s="162" t="str">
        <f>EXP(-LN(2)/35)*EA144+(1-EXP(-LN(2)/35))/(LN(2)/35)*DW145*DX145*VLOOKUP('Données projet'!$B$14,'Paramètres'!$A$1:$I$88,3,0)*0.475*44/12</f>
        <v>#N/A</v>
      </c>
      <c r="EB145" s="162" t="str">
        <f>EXP(-LN(2)/25)*EB144+(1-EXP(-LN(2)/25))/(LN(2)/25)*Calculateur!DW145*Calculateur!DY145*VLOOKUP('Données projet'!$B$14,'Paramètres'!$A$1:$I$88,3,0)*0.475*44/12</f>
        <v>#N/A</v>
      </c>
      <c r="EC145" s="162" t="str">
        <f>EXP(-LN(2)/2)*EC144+(1-EXP(-LN(2)/2))/(LN(2)/2)*DW145*DZ145*VLOOKUP('Données projet'!$B$14,'Paramètres'!$A$1:$I$88,3,0)*0.475*44/12</f>
        <v>#N/A</v>
      </c>
      <c r="ED145" s="163" t="str">
        <f t="shared" si="19"/>
        <v>#N/A</v>
      </c>
      <c r="EE145" s="159">
        <f>('Scénario référence'!$F$8+'Scénario référence'!$F$9+'Scénario référence'!$B$17+'Scénario référence'!$B$9+'Scénario référence'!$B$10)*70+IF((45+25*(1-EXP(-0.0175*A145)))&lt;70,'Scénario référence'!$B$16*(45+25*(1-EXP(-0.0175*A145))),70*'Scénario référence'!$B$16)+IF((32+38*(1-EXP(-0.0175*A145)))&lt;70,'Scénario référence'!$B$18*(32+38*(1-EXP(-0.0175*A145))),70*'Scénario référence'!$B$18)</f>
        <v>70</v>
      </c>
      <c r="EF145" s="151">
        <f>IF(A145&gt;30,10,('Scénario référence'!$B$16+'Scénario référence'!$B$17+'Scénario référence'!$B$18+'Scénario référence'!$B$9+'Scénario référence'!$B$10)*A145*10/30+('Scénario référence'!$F$8+'Scénario référence'!$F$9)*10)</f>
        <v>10</v>
      </c>
      <c r="EG145" s="151" t="str">
        <f>VLOOKUP(A145,'Données projet'!$A$191:$I$211,2,0)</f>
        <v>#N/A</v>
      </c>
      <c r="EH145" s="151" t="str">
        <f>VLOOKUP(A145,'Données projet'!$A$191:$I$211,9,0)</f>
        <v>#N/A</v>
      </c>
      <c r="EI145" s="151" t="str">
        <f t="array" ref="EI145">INDEX(EH:EH,MIN(IF(ISNUMBER(EH145:EH341),ROW(EH145:EH341),"")))</f>
        <v/>
      </c>
      <c r="EJ145" s="151">
        <f>IF('Données projet'!$A$192&gt;35,EJ144+EI145-ER144,IF(A145&lt;'Données projet'!$A$192,$EG$205^A145,IF(A145='Données projet'!$A$192,'Données projet'!$B$192,EJ144+EI145-ER144)))</f>
        <v>0</v>
      </c>
      <c r="EK145" s="158" t="str">
        <f>EJ145*VLOOKUP('Données projet'!$B$15,'Paramètres'!$A$1:$I$88,3,0)*VLOOKUP('Données projet'!$B$15,'Paramètres'!$A$1:$I$88,5,0)</f>
        <v>#N/A</v>
      </c>
      <c r="EL145" s="150" t="str">
        <f t="shared" si="46"/>
        <v>#N/A</v>
      </c>
      <c r="EM145" s="161" t="str">
        <f t="shared" si="20"/>
        <v>#N/A</v>
      </c>
      <c r="EN145" s="153" t="str">
        <f t="shared" si="21"/>
        <v>#N/A</v>
      </c>
      <c r="EO145" s="153" t="str">
        <f>AVERAGE(OFFSET($EN$3,0,0,'Données projet'!$E$15+1,1))-AVERAGE(OFFSET($H$3,0,0,'Données projet'!$E$15+1,1))</f>
        <v>#N/A</v>
      </c>
      <c r="EP145" s="153" t="str">
        <f t="shared" si="47"/>
        <v>#N/A</v>
      </c>
      <c r="EQ145" s="154">
        <f>IF(ISNA(VLOOKUP(A145,'Données projet'!$A$191:$I$211,3,0)),0,VLOOKUP(A145,'Données projet'!$A$191:$I$211,3,0))</f>
        <v>0</v>
      </c>
      <c r="ER145" s="154">
        <f>IF(ISNA(VLOOKUP(A145,'Données projet'!$A$191:$I$211,4,0)),0,VLOOKUP(A145,'Données projet'!$A$191:$I$211,4,0))</f>
        <v>0</v>
      </c>
      <c r="ES145" s="155">
        <f>IF(ISNA(VLOOKUP(A145,'Données projet'!$A$191:$I$211,5,0)),0%,VLOOKUP(A145,'Données projet'!$A$191:$I$211,5,0)*VLOOKUP('Données projet'!$B$15,'Paramètres'!$A$1:$I$88,7,0))</f>
        <v>0</v>
      </c>
      <c r="ET145" s="155">
        <f>IF(ISNA(VLOOKUP(A145,'Données projet'!$A$191:$I$211,6,0)),0%,VLOOKUP(A145,'Données projet'!$A$191:$I$211,6,0)*VLOOKUP('Données projet'!$B$15,'Paramètres'!$A$1:$I$88,7,0))</f>
        <v>0</v>
      </c>
      <c r="EU145" s="155">
        <f>IF(ISNA(VLOOKUP(A145,'Données projet'!$A$191:$I$211,7,0)),0%,VLOOKUP(A145,'Données projet'!$A$191:$I$211,7,0))</f>
        <v>0</v>
      </c>
      <c r="EV145" s="162" t="str">
        <f>EXP(-LN(2)/35)*EV144+(1-EXP(-LN(2)/35))/(LN(2)/35)*ER145*ES145*VLOOKUP('Données projet'!$B$15,'Paramètres'!$A$1:$I$88,3,0)*0.475*44/12</f>
        <v>#N/A</v>
      </c>
      <c r="EW145" s="162" t="str">
        <f>EXP(-LN(2)/25)*EW144+(1-EXP(-LN(2)/25))/(LN(2)/25)*Calculateur!ER145*Calculateur!ET145*VLOOKUP('Données projet'!$B$15,'Paramètres'!$A$1:$I$88,3,0)*0.475*44/12</f>
        <v>#N/A</v>
      </c>
      <c r="EX145" s="162" t="str">
        <f>EXP(-LN(2)/2)*EX144+(1-EXP(-LN(2)/2))/(LN(2)/2)*ER145*EU145*VLOOKUP('Données projet'!$B$15,'Paramètres'!$A$1:$I$88,3,0)*0.475*44/12</f>
        <v>#N/A</v>
      </c>
      <c r="EY145" s="163" t="str">
        <f t="shared" si="22"/>
        <v>#N/A</v>
      </c>
      <c r="EZ145" s="159">
        <f>('Scénario référence'!$F$8+'Scénario référence'!$F$9+'Scénario référence'!$B$17+'Scénario référence'!$B$9+'Scénario référence'!$B$10)*70+IF((45+25*(1-EXP(-0.0175*A145)))&lt;70,'Scénario référence'!$B$16*(45+25*(1-EXP(-0.0175*A145))),70*'Scénario référence'!$B$16)+IF((32+38*(1-EXP(-0.0175*A145)))&lt;70,'Scénario référence'!$B$18*(32+38*(1-EXP(-0.0175*A145))),70*'Scénario référence'!$B$18)</f>
        <v>70</v>
      </c>
      <c r="FA145" s="151">
        <f>IF(A145&gt;30,10,('Scénario référence'!$B$16+'Scénario référence'!$B$17+'Scénario référence'!$B$18+'Scénario référence'!$B$9+'Scénario référence'!$B$10)*A145*10/30+('Scénario référence'!$F$8+'Scénario référence'!$F$9)*10)</f>
        <v>10</v>
      </c>
      <c r="FB145" s="151" t="str">
        <f>VLOOKUP(A145,'Données projet'!$A$217:$I$237,2,0)</f>
        <v>#N/A</v>
      </c>
      <c r="FC145" s="151" t="str">
        <f>VLOOKUP(A145,'Données projet'!$A$217:$I$237,9,0)</f>
        <v>#N/A</v>
      </c>
      <c r="FD145" s="151" t="str">
        <f t="array" ref="FD145">INDEX(FC:FC,MIN(IF(ISNUMBER(FC145:FC341),ROW(FC145:FC341),"")))</f>
        <v/>
      </c>
      <c r="FE145" s="151">
        <f>IF('Données projet'!$A$218&gt;35,FE144+FD145-FM144,IF(A145&lt;'Données projet'!$A$218,$FB$205^A145,IF(A145='Données projet'!$A$218,'Données projet'!$B$218,FE144+FD145-FM144)))</f>
        <v>0</v>
      </c>
      <c r="FF145" s="158" t="str">
        <f>FE145*VLOOKUP('Données projet'!$B$16,'Paramètres'!$A$1:$I$88,3,0)*VLOOKUP('Données projet'!$B$16,'Paramètres'!$A$1:$I$88,5,0)</f>
        <v>#N/A</v>
      </c>
      <c r="FG145" s="150" t="str">
        <f t="shared" si="48"/>
        <v>#N/A</v>
      </c>
      <c r="FH145" s="161" t="str">
        <f t="shared" si="23"/>
        <v>#N/A</v>
      </c>
      <c r="FI145" s="153" t="str">
        <f t="shared" si="24"/>
        <v>#N/A</v>
      </c>
      <c r="FJ145" s="153" t="str">
        <f>AVERAGE(OFFSET($FI$3,0,0,'Données projet'!$E$16+1,1))-AVERAGE(OFFSET($H$3,0,0,'Données projet'!$E$16+1,1))</f>
        <v>#N/A</v>
      </c>
      <c r="FK145" s="153" t="str">
        <f t="shared" si="49"/>
        <v>#N/A</v>
      </c>
      <c r="FL145" s="154">
        <f>IF(ISNA(VLOOKUP(A145,'Données projet'!$A$217:$I$237,3,0)),0,VLOOKUP(A145,'Données projet'!$A$217:$I$237,3,0))</f>
        <v>0</v>
      </c>
      <c r="FM145" s="154">
        <f>IF(ISNA(VLOOKUP(A145,'Données projet'!$A$217:$I$237,4,0)),0,VLOOKUP(A145,'Données projet'!$A$217:$I$237,4,0))</f>
        <v>0</v>
      </c>
      <c r="FN145" s="155">
        <f>IF(ISNA(VLOOKUP(A145,'Données projet'!$A$217:$I$237,5,0)),0%,VLOOKUP(A145,'Données projet'!$A$217:$I$237,5,0)*VLOOKUP('Données projet'!$B$16,'Paramètres'!$A$1:$I$88,7,0))</f>
        <v>0</v>
      </c>
      <c r="FO145" s="155">
        <f>IF(ISNA(VLOOKUP(A145,'Données projet'!$A$217:$I$237,6,0)),0%,VLOOKUP(A145,'Données projet'!$A$217:$I$237,6,0)*VLOOKUP('Données projet'!$B$16,'Paramètres'!$A$1:$I$88,7,0))</f>
        <v>0</v>
      </c>
      <c r="FP145" s="155">
        <f>IF(ISNA(VLOOKUP(A145,'Données projet'!$A$217:$I$237,7,0)),0%,VLOOKUP(A145,'Données projet'!$A$217:$I$237,7,0))</f>
        <v>0</v>
      </c>
      <c r="FQ145" s="162" t="str">
        <f>EXP(-LN(2)/35)*FQ144+(1-EXP(-LN(2)/35))/(LN(2)/35)*FM145*FN145*VLOOKUP('Données projet'!$B$16,'Paramètres'!$A$1:$I$88,3,0)*0.475*44/12</f>
        <v>#N/A</v>
      </c>
      <c r="FR145" s="162" t="str">
        <f>EXP(-LN(2)/25)*FR144+(1-EXP(-LN(2)/25))/(LN(2)/25)*Calculateur!FM145*Calculateur!FO145*VLOOKUP('Données projet'!$B$16,'Paramètres'!$A$1:$I$88,3,0)*0.475*44/12</f>
        <v>#N/A</v>
      </c>
      <c r="FS145" s="162" t="str">
        <f>EXP(-LN(2)/2)*FS144+(1-EXP(-LN(2)/2))/(LN(2)/2)*FM145*FP145*VLOOKUP('Données projet'!$B$16,'Paramètres'!$A$1:$I$88,3,0)*0.475*44/12</f>
        <v>#N/A</v>
      </c>
      <c r="FT145" s="163" t="str">
        <f t="shared" si="25"/>
        <v>#N/A</v>
      </c>
      <c r="FU145" s="159">
        <f>('Scénario référence'!$F$8+'Scénario référence'!$F$9+'Scénario référence'!$B$17+'Scénario référence'!$B$9+'Scénario référence'!$B$10)*70+IF((45+25*(1-EXP(-0.0175*A145)))&lt;70,'Scénario référence'!$B$16*(45+25*(1-EXP(-0.0175*A145))),70*'Scénario référence'!$B$16)+IF((32+38*(1-EXP(-0.0175*A145)))&lt;70,'Scénario référence'!$B$18*(32+38*(1-EXP(-0.0175*A145))),70*'Scénario référence'!$B$18)</f>
        <v>70</v>
      </c>
      <c r="FV145" s="151">
        <f>IF(A145&gt;30,10,('Scénario référence'!$B$16+'Scénario référence'!$B$17+'Scénario référence'!$B$18+'Scénario référence'!$B$9+'Scénario référence'!$B$10)*A145*10/30+('Scénario référence'!$F$8+'Scénario référence'!$F$9)*10)</f>
        <v>10</v>
      </c>
      <c r="FW145" s="151" t="str">
        <f>VLOOKUP(A145,'Données projet'!$A$243:$I$263,2,0)</f>
        <v>#N/A</v>
      </c>
      <c r="FX145" s="151" t="str">
        <f>VLOOKUP(A145,'Données projet'!$A$243:$I$263,9,0)</f>
        <v>#N/A</v>
      </c>
      <c r="FY145" s="151" t="str">
        <f t="array" ref="FY145">INDEX(FX:FX,MIN(IF(ISNUMBER(FX145:FX341),ROW(FX145:FX341),"")))</f>
        <v/>
      </c>
      <c r="FZ145" s="151">
        <f>IF('Données projet'!$A$244&gt;35,FZ144+FY145-GH144,IF(A145&lt;'Données projet'!$A$244,$FW$205^A145,IF(A145='Données projet'!$A$244,'Données projet'!$B$244,FZ144+FY145-GH144)))</f>
        <v>0</v>
      </c>
      <c r="GA145" s="158" t="str">
        <f>FZ145*VLOOKUP('Données projet'!$B$17,'Paramètres'!$A$1:$I$88,3,0)*VLOOKUP('Données projet'!$B$17,'Paramètres'!$A$1:$I$88,5,0)</f>
        <v>#N/A</v>
      </c>
      <c r="GB145" s="150" t="str">
        <f t="shared" si="50"/>
        <v>#N/A</v>
      </c>
      <c r="GC145" s="161" t="str">
        <f t="shared" si="26"/>
        <v>#N/A</v>
      </c>
      <c r="GD145" s="153" t="str">
        <f t="shared" si="27"/>
        <v>#N/A</v>
      </c>
      <c r="GE145" s="153" t="str">
        <f>AVERAGE(OFFSET($GD$3,0,0,'Données projet'!$E$17+1,1))-AVERAGE(OFFSET($H$3,0,0,'Données projet'!$E$17+1,1))</f>
        <v>#N/A</v>
      </c>
      <c r="GF145" s="153" t="str">
        <f t="shared" si="51"/>
        <v>#N/A</v>
      </c>
      <c r="GG145" s="154">
        <f>IF(ISNA(VLOOKUP(A145,'Données projet'!$A$243:$I$263,3,0)),0,VLOOKUP(A145,'Données projet'!$A$243:$I$263,3,0))</f>
        <v>0</v>
      </c>
      <c r="GH145" s="154">
        <f>IF(ISNA(VLOOKUP(A145,'Données projet'!$A$243:$I$263,4,0)),0,VLOOKUP(A145,'Données projet'!$A$243:$I$263,4,0))</f>
        <v>0</v>
      </c>
      <c r="GI145" s="155">
        <f>IF(ISNA(VLOOKUP(A145,'Données projet'!$A$243:$I$263,5,0)),0%,VLOOKUP(A145,'Données projet'!$A$243:$I$263,5,0)*VLOOKUP('Données projet'!$B$17,'Paramètres'!$A$1:$I$88,7,0))</f>
        <v>0</v>
      </c>
      <c r="GJ145" s="155">
        <f>IF(ISNA(VLOOKUP(A145,'Données projet'!$A$243:$I$263,6,0)),0%,VLOOKUP(A145,'Données projet'!$A$243:$I$263,6,0)*VLOOKUP('Données projet'!$B$17,'Paramètres'!$A$1:$I$88,7,0))</f>
        <v>0</v>
      </c>
      <c r="GK145" s="155">
        <f>IF(ISNA(VLOOKUP(A145,'Données projet'!$A$243:$I$263,7,0)),0%,VLOOKUP(A145,'Données projet'!$A$243:$I$263,7,0))</f>
        <v>0</v>
      </c>
      <c r="GL145" s="162" t="str">
        <f>EXP(-LN(2)/35)*GL144+(1-EXP(-LN(2)/35))/(LN(2)/35)*GH145*GI145*VLOOKUP('Données projet'!$B$17,'Paramètres'!$A$1:$I$88,3,0)*0.475*44/12</f>
        <v>#N/A</v>
      </c>
      <c r="GM145" s="162" t="str">
        <f>EXP(-LN(2)/25)*GM144+(1-EXP(-LN(2)/25))/(LN(2)/25)*Calculateur!GH145*Calculateur!GJ145*VLOOKUP('Données projet'!$B$17,'Paramètres'!$A$1:$I$88,3,0)*0.475*44/12</f>
        <v>#N/A</v>
      </c>
      <c r="GN145" s="162" t="str">
        <f>EXP(-LN(2)/2)*GN144+(1-EXP(-LN(2)/2))/(LN(2)/2)*GH145*GK145*VLOOKUP('Données projet'!$B$17,'Paramètres'!$A$1:$I$88,3,0)*0.475*44/12</f>
        <v>#N/A</v>
      </c>
      <c r="GO145" s="162" t="str">
        <f t="shared" si="28"/>
        <v>#N/A</v>
      </c>
      <c r="GP145" s="159">
        <f>('Scénario référence'!$F$8+'Scénario référence'!$F$9+'Scénario référence'!$B$17+'Scénario référence'!$B$9+'Scénario référence'!$B$10)*70+IF((45+25*(1-EXP(-0.0175*A145)))&lt;70,'Scénario référence'!$B$16*(45+25*(1-EXP(-0.0175*A145))),70*'Scénario référence'!$B$16)+IF((32+38*(1-EXP(-0.0175*A145)))&lt;70,'Scénario référence'!$B$18*(32+38*(1-EXP(-0.0175*A145))),70*'Scénario référence'!$B$18)</f>
        <v>70</v>
      </c>
      <c r="GQ145" s="151">
        <f>IF(A145&gt;30,10,('Scénario référence'!$B$16+'Scénario référence'!$B$17+'Scénario référence'!$B$18+'Scénario référence'!$B$9+'Scénario référence'!$B$10)*A145*10/30+('Scénario référence'!$F$8+'Scénario référence'!$F$9)*10)</f>
        <v>10</v>
      </c>
      <c r="GR145" s="151" t="str">
        <f>VLOOKUP(A145,'Données projet'!$A$269:$I$289,2,0)</f>
        <v>#N/A</v>
      </c>
      <c r="GS145" s="151" t="str">
        <f>VLOOKUP(A145,'Données projet'!$A$269:$I$289,9,0)</f>
        <v>#N/A</v>
      </c>
      <c r="GT145" s="151" t="str">
        <f t="array" ref="GT145">INDEX(GS:GS,MIN(IF(ISNUMBER(GS145:GS341),ROW(GS145:GS341),"")))</f>
        <v/>
      </c>
      <c r="GU145" s="151">
        <f>IF('Données projet'!$A$270&gt;35,GU144+GT145-HC144,IF(A145&lt;'Données projet'!$A$270,$GR$205^A145,IF(A145='Données projet'!$A$270,'Données projet'!$B$270,GU144+GT145-HC144)))</f>
        <v>0</v>
      </c>
      <c r="GV145" s="158" t="str">
        <f>GU145*VLOOKUP('Données projet'!$B$18,'Paramètres'!$A$1:$I$88,3,0)*VLOOKUP('Données projet'!$B$18,'Paramètres'!$A$1:$I$88,5,0)</f>
        <v>#N/A</v>
      </c>
      <c r="GW145" s="150" t="str">
        <f t="shared" si="52"/>
        <v>#N/A</v>
      </c>
      <c r="GX145" s="161" t="str">
        <f t="shared" si="29"/>
        <v>#N/A</v>
      </c>
      <c r="GY145" s="153" t="str">
        <f t="shared" si="30"/>
        <v>#N/A</v>
      </c>
      <c r="GZ145" s="153" t="str">
        <f>AVERAGE(OFFSET($GY$3,0,0,'Données projet'!$E$18+1,1))-AVERAGE(OFFSET($H$3,0,0,'Données projet'!$E$18+1,1))</f>
        <v>#N/A</v>
      </c>
      <c r="HA145" s="153" t="str">
        <f t="shared" si="53"/>
        <v>#N/A</v>
      </c>
      <c r="HB145" s="154">
        <f>IF(ISNA(VLOOKUP(A145,'Données projet'!$A$269:$I$289,3,0)),0,VLOOKUP(A145,'Données projet'!$A$269:$I$289,3,0))</f>
        <v>0</v>
      </c>
      <c r="HC145" s="154">
        <f>IF(ISNA(VLOOKUP(A145,'Données projet'!$A$269:$I$289,4,0)),0,VLOOKUP(A145,'Données projet'!$A$269:$I$289,4,0))</f>
        <v>0</v>
      </c>
      <c r="HD145" s="155">
        <f>IF(ISNA(VLOOKUP(A145,'Données projet'!$A$269:$I$289,5,0)),0%,VLOOKUP(A145,'Données projet'!$A$269:$I$289,5,0)*VLOOKUP('Données projet'!$B$18,'Paramètres'!$A$1:$I$88,7,0))</f>
        <v>0</v>
      </c>
      <c r="HE145" s="155">
        <f>IF(ISNA(VLOOKUP(A145,'Données projet'!$A$269:$I$289,6,0)),0%,VLOOKUP(A145,'Données projet'!$A$269:$I$289,6,0)*VLOOKUP('Données projet'!$B$18,'Paramètres'!$A$1:$I$88,7,0))</f>
        <v>0</v>
      </c>
      <c r="HF145" s="155">
        <f>IF(ISNA(VLOOKUP(A145,'Données projet'!$A$269:$I$289,7,0)),0%,VLOOKUP(A145,'Données projet'!$A$269:$I$289,7,0))</f>
        <v>0</v>
      </c>
      <c r="HG145" s="162" t="str">
        <f>EXP(-LN(2)/35)*HG144+(1-EXP(-LN(2)/35))/(LN(2)/35)*HC145*HD145*VLOOKUP('Données projet'!$B$18,'Paramètres'!$A$1:$I$88,3,0)*0.475*44/12</f>
        <v>#N/A</v>
      </c>
      <c r="HH145" s="162" t="str">
        <f>EXP(-LN(2)/25)*HH144+(1-EXP(-LN(2)/25))/(LN(2)/25)*Calculateur!HC145*Calculateur!HE145*VLOOKUP('Données projet'!$B$18,'Paramètres'!$A$1:$I$88,3,0)*0.475*44/12</f>
        <v>#N/A</v>
      </c>
      <c r="HI145" s="162" t="str">
        <f>EXP(-LN(2)/2)*HI144+(1-EXP(-LN(2)/2))/(LN(2)/2)*HC145*HF145*VLOOKUP('Données projet'!$B$18,'Paramètres'!$A$1:$I$88,3,0)*0.475*44/12</f>
        <v>#N/A</v>
      </c>
      <c r="HJ145" s="163" t="str">
        <f t="shared" si="31"/>
        <v>#N/A</v>
      </c>
    </row>
    <row r="146" ht="15.75" customHeight="1">
      <c r="A146" s="145">
        <f t="shared" si="32"/>
        <v>143</v>
      </c>
      <c r="B146" s="146">
        <f>'Scénario référence'!$B$16*5+'Scénario référence'!$B$17*0+'Scénario référence'!$B$18*5</f>
        <v>0</v>
      </c>
      <c r="C146" s="160">
        <f>Calculateur!C145+'Scénario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46" s="147">
        <f t="shared" si="33"/>
        <v>0</v>
      </c>
      <c r="E146" s="147">
        <f>'Scénario référence'!$B$16*45+('Scénario référence'!$B$17+'Scénario référence'!$F$8+'Scénario référence'!$F$9+'Scénario référence'!$B$10+'Scénario référence'!$B$9)*70+'Scénario référence'!$B$18*32</f>
        <v>70</v>
      </c>
      <c r="F146" s="147">
        <f>IF(OR('Scénario référence'!$F$8&gt;0,'Scénario référence'!$F$9&gt;0),('Scénario référence'!$F$8+'Scénario référence'!$F$9)*10,0)</f>
        <v>0</v>
      </c>
      <c r="G146" s="147">
        <f>'Scénario référence'!$B$8*B146*44/12+'Scénario référence'!$B$9*(C146+D146)/0.475*44/12+'Scénario référence'!$B$10*(C146+D146)/0.475*44/12+'Scénario référence'!$F$8*(C146+D146)/0.475*44/12+'Scénario référence'!$F$9*(C146+D146)/0.475*44/12</f>
        <v>0</v>
      </c>
      <c r="H146" s="148">
        <f t="shared" si="1"/>
        <v>256.6666667</v>
      </c>
      <c r="I146" s="149">
        <f>('Scénario référence'!$F$8+'Scénario référence'!$F$9+'Scénario référence'!$B$17+'Scénario référence'!$B$9+'Scénario référence'!$B$10)*70+IF((45+25*(1-EXP(-0.0175*A146)))&lt;70,'Scénario référence'!$B$16*(45+25*(1-EXP(-0.0175*A146))),70*'Scénario référence'!$B$16)+IF((32+38*(1-EXP(-0.0175*A146)))&lt;70,'Scénario référence'!$B$18*(32+38*(1-EXP(-0.0175*A146))),70*'Scénario référence'!$B$18)</f>
        <v>70</v>
      </c>
      <c r="J146" s="150">
        <f>IF(A146&gt;30,10,('Scénario référence'!$B$16+'Scénario référence'!$B$17+'Scénario référence'!$B$18+'Scénario référence'!$B$9+'Scénario référence'!$B$10)*A146*10/30+('Scénario référence'!$F$8+'Scénario référence'!$F$9)*10)</f>
        <v>10</v>
      </c>
      <c r="K146" s="151" t="str">
        <f>VLOOKUP(A146,'Données projet'!$A$35:$I$55,2,0)</f>
        <v>#N/A</v>
      </c>
      <c r="L146" s="151" t="str">
        <f>VLOOKUP(A146,'Données projet'!$A$35:$I$55,9,0)</f>
        <v>#N/A</v>
      </c>
      <c r="M146" s="151" t="str">
        <f t="array" ref="M146">INDEX(L:L,MIN(IF(ISNUMBER(L146:L342),ROW(L146:L342),"")))</f>
        <v/>
      </c>
      <c r="N146" s="150">
        <f>IF('Données projet'!$A$36&gt;35,N145+M146-V145,IF(A146&lt;'Données projet'!$A$36,$K$205^A146,IF(A146='Données projet'!$A$36,'Données projet'!$B$36,N145+M146-V145)))</f>
        <v>307</v>
      </c>
      <c r="O146" s="150">
        <f>N146*VLOOKUP('Données projet'!$B$9,'Paramètres'!$A$1:$I$88,3,0)*VLOOKUP('Données projet'!$B$9,'Paramètres'!$A$1:$I$88,5,0)</f>
        <v>277.7736</v>
      </c>
      <c r="P146" s="150">
        <f t="shared" si="34"/>
        <v>66.49628818</v>
      </c>
      <c r="Q146" s="161">
        <f t="shared" si="2"/>
        <v>599.6033886</v>
      </c>
      <c r="R146" s="153">
        <f t="shared" si="3"/>
        <v>892.9367219</v>
      </c>
      <c r="S146" s="153">
        <f>AVERAGE(OFFSET($R$3,0,0,'Données projet'!$E$9+1,1))-AVERAGE(OFFSET($H$3,0,0,'Données projet'!$E$9+1,1))</f>
        <v>439.1985427</v>
      </c>
      <c r="T146" s="153">
        <f t="shared" si="35"/>
        <v>278.2174123</v>
      </c>
      <c r="U146" s="154">
        <f>IF(ISNA(VLOOKUP(A146,'Données projet'!$A$35:$I$55,3,0)),0,VLOOKUP(A146,'Données projet'!$A$35:$I$55,3,0))</f>
        <v>0</v>
      </c>
      <c r="V146" s="154">
        <f>IF(ISNA(VLOOKUP(A146,'Données projet'!$A$35:$I$55,4,0)),0,VLOOKUP(A146,'Données projet'!$A$35:$I$55,4,0))</f>
        <v>0</v>
      </c>
      <c r="W146" s="155">
        <f>IF(ISNA(VLOOKUP(A146,'Données projet'!$A$35:$I$55,5,0)),0%,VLOOKUP(A146,'Données projet'!$A$35:$I$55,5,0)*VLOOKUP('Données projet'!$B$9,'Paramètres'!$A$1:$I$88,7,0))</f>
        <v>0</v>
      </c>
      <c r="X146" s="155">
        <f>IF(ISNA(VLOOKUP(A146,'Données projet'!$A$35:$I$55,6,0)),0%,VLOOKUP(A146,'Données projet'!$A$35:$I$55,6,0)*VLOOKUP('Données projet'!$B$9,'Paramètres'!$A$1:$I$88,7,0))</f>
        <v>0</v>
      </c>
      <c r="Y146" s="155">
        <f>IF(ISNA(VLOOKUP(A146,'Données projet'!$A$35:$I$55,7,0)),0%,VLOOKUP(A146,'Données projet'!$A$35:$I$55,7,0))</f>
        <v>0</v>
      </c>
      <c r="Z146" s="162">
        <f>EXP(-LN(2)/35)*Z145+(1-EXP(-LN(2)/35))/(LN(2)/35)*V146*W146*VLOOKUP('Données projet'!$B$9,'Paramètres'!$A$1:$I$88,3,0)*0.475*44/12</f>
        <v>0</v>
      </c>
      <c r="AA146" s="162">
        <f>EXP(-LN(2)/25)*AA145+(1-EXP(-LN(2)/25))/(LN(2)/25)*Calculateur!V146*Calculateur!X146*VLOOKUP('Données projet'!$B$9,'Paramètres'!$A$1:$I$88,3,0)*0.475*44/12</f>
        <v>0.195594527</v>
      </c>
      <c r="AB146" s="162">
        <f>EXP(-LN(2)/2)*AB145+(1-EXP(-LN(2)/2))/(LN(2)/2)*V146*Y146*VLOOKUP('Données projet'!$B$9,'Paramètres'!$A$1:$I$88,3,0)*0.475*44/12</f>
        <v>0</v>
      </c>
      <c r="AC146" s="163">
        <f t="shared" si="4"/>
        <v>0.195594527</v>
      </c>
      <c r="AD146" s="150">
        <f>('Scénario référence'!$F$8+'Scénario référence'!$F$9+'Scénario référence'!$B$17+'Scénario référence'!$B$9+'Scénario référence'!$B$10)*70+IF((45+25*(1-EXP(-0.0175*A146)))&lt;70,'Scénario référence'!$B$16*(45+25*(1-EXP(-0.0175*A146))),70*'Scénario référence'!$B$16)+IF((32+38*(1-EXP(-0.0175*A146)))&lt;70,'Scénario référence'!$B$18*(32+38*(1-EXP(-0.0175*A146))),70*'Scénario référence'!$B$18)</f>
        <v>70</v>
      </c>
      <c r="AE146" s="150">
        <f>IF(A146&gt;30,10,('Scénario référence'!$B$16+'Scénario référence'!$B$17+'Scénario référence'!$B$18+'Scénario référence'!$B$9+'Scénario référence'!$B$10)*A146*10/30+('Scénario référence'!$F$8+'Scénario référence'!$F$9)*10)</f>
        <v>10</v>
      </c>
      <c r="AF146" s="151" t="str">
        <f>VLOOKUP(A146,'Données projet'!$A$61:$I$81,2,0)</f>
        <v>#N/A</v>
      </c>
      <c r="AG146" s="151" t="str">
        <f>VLOOKUP(A146,'Données projet'!$A$61:$I$81,9,0)</f>
        <v>#N/A</v>
      </c>
      <c r="AH146" s="151" t="str">
        <f t="array" ref="AH146">INDEX(AG:AG,MIN(IF(ISNUMBER(AG146:AG342),ROW(AG146:AG342),"")))</f>
        <v/>
      </c>
      <c r="AI146" s="150">
        <f>IF('Données projet'!$A$62&gt;35,AI145+AH146-AQ145,IF(A146&lt;'Données projet'!$A$62,$AF$205^A146,IF(A146='Données projet'!$A$62,'Données projet'!$B$62,AI145+AH146-AQ145)))</f>
        <v>369</v>
      </c>
      <c r="AJ146" s="150">
        <f>AI146*VLOOKUP('Données projet'!$B$10,'Paramètres'!$A$1:$I$88,3,0)*VLOOKUP('Données projet'!$B$10,'Paramètres'!$A$1:$I$88,5,0)</f>
        <v>293.5764</v>
      </c>
      <c r="AK146" s="150">
        <f t="shared" si="36"/>
        <v>69.82813851</v>
      </c>
      <c r="AL146" s="161">
        <f t="shared" si="5"/>
        <v>632.9295712</v>
      </c>
      <c r="AM146" s="153">
        <f t="shared" si="6"/>
        <v>926.2629046</v>
      </c>
      <c r="AN146" s="153">
        <f>AVERAGE(OFFSET($AM$3,0,0,'Données projet'!$E$10+1,1))-AVERAGE(OFFSET($H$3,0,0,'Données projet'!$E$10+1,1))</f>
        <v>405.6113614</v>
      </c>
      <c r="AO146" s="153">
        <f t="shared" si="37"/>
        <v>393.0787141</v>
      </c>
      <c r="AP146" s="154">
        <f>IF(ISNA(VLOOKUP(A146,'Données projet'!$A$61:$I$81,3,0)),0,VLOOKUP(A146,'Données projet'!$A$61:$I$81,3,0))</f>
        <v>0</v>
      </c>
      <c r="AQ146" s="154">
        <f>IF(ISNA(VLOOKUP(A146,'Données projet'!$A$61:$I$81,4,0)),0,VLOOKUP(A146,'Données projet'!$A$61:$I$81,4,0))</f>
        <v>0</v>
      </c>
      <c r="AR146" s="155">
        <f>IF(ISNA(VLOOKUP(A146,'Données projet'!$A$61:$I$81,5,0)),0%,VLOOKUP(A146,'Données projet'!$A$61:$I$81,5,0)*VLOOKUP('Données projet'!$B$10,'Paramètres'!$A$1:$I$88,7,0))</f>
        <v>0</v>
      </c>
      <c r="AS146" s="155">
        <f>IF(ISNA(VLOOKUP(A146,'Données projet'!$A$61:$I$81,6,0)),0%,VLOOKUP(A146,'Données projet'!$A$61:$I$81,6,0)*VLOOKUP('Données projet'!$B$10,'Paramètres'!$A$1:$I$88,7,0))</f>
        <v>0</v>
      </c>
      <c r="AT146" s="155">
        <f>IF(ISNA(VLOOKUP(A146,'Données projet'!$A$61:$I$81,7,0)),0%,VLOOKUP(A146,'Données projet'!$A$61:$I$81,7,0))</f>
        <v>0</v>
      </c>
      <c r="AU146" s="162">
        <f>EXP(-LN(2)/35)*AU145+(1-EXP(-LN(2)/35))/(LN(2)/35)*AQ146*AR146*VLOOKUP('Données projet'!$B$10,'Paramètres'!$A$1:$I$88,3,0)*0.475*44/12</f>
        <v>0</v>
      </c>
      <c r="AV146" s="162">
        <f>EXP(-LN(2)/25)*AV145+(1-EXP(-LN(2)/25))/(LN(2)/25)*Calculateur!AQ146*Calculateur!AS146*VLOOKUP('Données projet'!$B$10,'Paramètres'!$A$1:$I$88,3,0)*0.475*44/12</f>
        <v>0.79494588</v>
      </c>
      <c r="AW146" s="162">
        <f>EXP(-LN(2)/2)*AW145+(1-EXP(-LN(2)/2))/(LN(2)/2)*AQ146*AT146*VLOOKUP('Données projet'!$B$10,'Paramètres'!$A$1:$I$88,3,0)*0.475*44/12</f>
        <v>0</v>
      </c>
      <c r="AX146" s="162">
        <f t="shared" si="7"/>
        <v>0.79494588</v>
      </c>
      <c r="AY146" s="157">
        <f>('Scénario référence'!$F$8+'Scénario référence'!$F$9+'Scénario référence'!$B$17+'Scénario référence'!$B$9+'Scénario référence'!$B$10)*70+IF((45+25*(1-EXP(-0.0175*A146)))&lt;70,'Scénario référence'!$B$16*(45+25*(1-EXP(-0.0175*A146))),70*'Scénario référence'!$B$16)+IF((32+38*(1-EXP(-0.0175*A146)))&lt;70,'Scénario référence'!$B$18*(32+38*(1-EXP(-0.0175*A146))),70*'Scénario référence'!$B$18)</f>
        <v>70</v>
      </c>
      <c r="AZ146" s="151">
        <f>IF(A146&gt;30,10,('Scénario référence'!$B$16+'Scénario référence'!$B$17+'Scénario référence'!$B$18+'Scénario référence'!$B$9+'Scénario référence'!$B$10)*A146*10/30+('Scénario référence'!$F$8+'Scénario référence'!$F$9)*10)</f>
        <v>10</v>
      </c>
      <c r="BA146" s="151" t="str">
        <f>VLOOKUP(A146,'Données projet'!$A$87:$I$107,2,0)</f>
        <v>#N/A</v>
      </c>
      <c r="BB146" s="151" t="str">
        <f>VLOOKUP(A146,'Données projet'!$A$87:$I$107,9,0)</f>
        <v>#N/A</v>
      </c>
      <c r="BC146" s="151" t="str">
        <f t="array" ref="BC146">INDEX(BB:BB,MIN(IF(ISNUMBER(BB146:BB342),ROW(BB146:BB342),"")))</f>
        <v/>
      </c>
      <c r="BD146" s="150">
        <f>IF('Données projet'!$A$88&gt;35,BD145+BC146-BL145,IF(A146&lt;'Données projet'!$A$88,$BA$205^A146,IF(A146='Données projet'!$A$88,'Données projet'!$B$88,BD145+BC146-BL145)))</f>
        <v>0</v>
      </c>
      <c r="BE146" s="150">
        <f>BD146*VLOOKUP('Données projet'!$B$11,'Paramètres'!$A$1:$I$88,3,0)*VLOOKUP('Données projet'!$B$11,'Paramètres'!$A$1:$I$88,5,0)</f>
        <v>0</v>
      </c>
      <c r="BF146" s="150" t="str">
        <f t="shared" si="38"/>
        <v>#NUM!</v>
      </c>
      <c r="BG146" s="161" t="str">
        <f t="shared" si="8"/>
        <v>#NUM!</v>
      </c>
      <c r="BH146" s="153" t="str">
        <f t="shared" si="9"/>
        <v>#NUM!</v>
      </c>
      <c r="BI146" s="153">
        <f>AVERAGE(OFFSET($BH$3,0,0,'Données projet'!$E$11+1,1))-AVERAGE(OFFSET($H$3,0,0,'Données projet'!$E$11+1,1))</f>
        <v>0</v>
      </c>
      <c r="BJ146" s="153">
        <f t="shared" si="39"/>
        <v>0</v>
      </c>
      <c r="BK146" s="154">
        <f>IF(ISNA(VLOOKUP(A146,'Données projet'!$A$87:$I$107,3,0)),0,VLOOKUP(A146,'Données projet'!$A$87:$I$107,3,0))</f>
        <v>0</v>
      </c>
      <c r="BL146" s="154">
        <f>IF(ISNA(VLOOKUP(A146,'Données projet'!$A$87:$I$107,4,0)),0,VLOOKUP(A146,'Données projet'!$A$87:$I$107,4,0))</f>
        <v>0</v>
      </c>
      <c r="BM146" s="155">
        <f>IF(ISNA(VLOOKUP(A146,'Données projet'!$A$87:$I$107,5,0)),0%,VLOOKUP(A146,'Données projet'!$A$87:$I$107,5,0)*VLOOKUP('Données projet'!$B$11,'Paramètres'!$A$1:$I$88,7,0))</f>
        <v>0</v>
      </c>
      <c r="BN146" s="155">
        <f>IF(ISNA(VLOOKUP(A146,'Données projet'!$A$87:$I$107,6,0)),0%,VLOOKUP(A146,'Données projet'!$A$87:$I$107,6,0)*VLOOKUP('Données projet'!$B$11,'Paramètres'!$A$1:$I$88,7,0))</f>
        <v>0</v>
      </c>
      <c r="BO146" s="155">
        <f>IF(ISNA(VLOOKUP(A146,'Données projet'!$A$87:$I$107,7,0)),0%,VLOOKUP(A146,'Données projet'!$A$87:$I$107,7,0))</f>
        <v>0</v>
      </c>
      <c r="BP146" s="162">
        <f>EXP(-LN(2)/35)*BP145+(1-EXP(-LN(2)/35))/(LN(2)/35)*BL146*BM146*VLOOKUP('Données projet'!$B$11,'Paramètres'!$A$1:$I$88,3,0)*0.475*44/12</f>
        <v>0</v>
      </c>
      <c r="BQ146" s="162">
        <f>EXP(-LN(2)/25)*BQ145+(1-EXP(-LN(2)/25))/(LN(2)/25)*Calculateur!BL146*Calculateur!BN146*VLOOKUP('Données projet'!$B$11,'Paramètres'!$A$1:$I$88,3,0)*0.475*44/12</f>
        <v>0</v>
      </c>
      <c r="BR146" s="162">
        <f>EXP(-LN(2)/2)*BR145+(1-EXP(-LN(2)/2))/(LN(2)/2)*BL146*BO146*VLOOKUP('Données projet'!$B$11,'Paramètres'!$A$1:$I$88,3,0)*0.475*44/12</f>
        <v>0</v>
      </c>
      <c r="BS146" s="163">
        <f t="shared" si="10"/>
        <v>0</v>
      </c>
      <c r="BT146" s="159">
        <f>('Scénario référence'!$F$8+'Scénario référence'!$F$9+'Scénario référence'!$B$17+'Scénario référence'!$B$9+'Scénario référence'!$B$10)*70+IF((45+25*(1-EXP(-0.0175*A146)))&lt;70,'Scénario référence'!$B$16*(45+25*(1-EXP(-0.0175*A146))),70*'Scénario référence'!$B$16)+IF((32+38*(1-EXP(-0.0175*A146)))&lt;70,'Scénario référence'!$B$18*(32+38*(1-EXP(-0.0175*A146))),70*'Scénario référence'!$B$18)</f>
        <v>70</v>
      </c>
      <c r="BU146" s="151">
        <f>IF(A146&gt;30,10,('Scénario référence'!$B$16+'Scénario référence'!$B$17+'Scénario référence'!$B$18+'Scénario référence'!$B$9+'Scénario référence'!$B$10)*A146*10/30+('Scénario référence'!$F$8+'Scénario référence'!$F$9)*10)</f>
        <v>10</v>
      </c>
      <c r="BV146" s="151" t="str">
        <f>VLOOKUP(A146,'Données projet'!$A$113:$I$133,2,0)</f>
        <v>#N/A</v>
      </c>
      <c r="BW146" s="151" t="str">
        <f>VLOOKUP(A146,'Données projet'!$A$113:$I$133,9,0)</f>
        <v>#N/A</v>
      </c>
      <c r="BX146" s="151" t="str">
        <f t="array" ref="BX146">INDEX(BW:BW,MIN(IF(ISNUMBER(BW146:BW342),ROW(BW146:BW342),"")))</f>
        <v/>
      </c>
      <c r="BY146" s="150">
        <f>IF('Données projet'!$A$114&gt;35,BY145+BX146-CG145,IF(A146&lt;'Données projet'!$A$114,$BV$205^A146,IF(A146='Données projet'!$A$114,'Données projet'!$B$114,BY145+BX146-CG145)))</f>
        <v>0</v>
      </c>
      <c r="BZ146" s="150" t="str">
        <f>BY146*VLOOKUP('Données projet'!$B$12,'Paramètres'!$A$1:$I$88,3,0)*VLOOKUP('Données projet'!$B$12,'Paramètres'!$A$1:$I$88,5,0)</f>
        <v>#N/A</v>
      </c>
      <c r="CA146" s="150" t="str">
        <f t="shared" si="40"/>
        <v>#N/A</v>
      </c>
      <c r="CB146" s="161" t="str">
        <f t="shared" si="11"/>
        <v>#N/A</v>
      </c>
      <c r="CC146" s="153" t="str">
        <f t="shared" si="12"/>
        <v>#N/A</v>
      </c>
      <c r="CD146" s="153" t="str">
        <f>AVERAGE(OFFSET($CC$3,0,0,'Données projet'!$E$12+1,1))-AVERAGE(OFFSET($H$3,0,0,'Données projet'!$E$12+1,1))</f>
        <v>#N/A</v>
      </c>
      <c r="CE146" s="153" t="str">
        <f t="shared" si="41"/>
        <v>#N/A</v>
      </c>
      <c r="CF146" s="154">
        <f>IF(ISNA(VLOOKUP(A146,'Données projet'!$A$113:$I$133,3,0)),0,VLOOKUP(A146,'Données projet'!$A$113:$I$133,3,0))</f>
        <v>0</v>
      </c>
      <c r="CG146" s="154">
        <f>IF(ISNA(VLOOKUP(A146,'Données projet'!$A$113:$I$133,4,0)),0,VLOOKUP(A146,'Données projet'!$A$113:$I$133,4,0))</f>
        <v>0</v>
      </c>
      <c r="CH146" s="155">
        <f>IF(ISNA(VLOOKUP(A146,'Données projet'!$A$113:$I$133,5,0)),0%,VLOOKUP(A146,'Données projet'!$A$113:$I$133,5,0)*VLOOKUP('Données projet'!$B$12,'Paramètres'!$A$1:$I$88,7,0))</f>
        <v>0</v>
      </c>
      <c r="CI146" s="155">
        <f>IF(ISNA(VLOOKUP(A146,'Données projet'!$A$113:$I$133,6,0)),0%,VLOOKUP(A146,'Données projet'!$A$113:$I$133,6,0)*VLOOKUP('Données projet'!$B$12,'Paramètres'!$A$1:$I$88,7,0))</f>
        <v>0</v>
      </c>
      <c r="CJ146" s="155">
        <f>IF(ISNA(VLOOKUP(A146,'Données projet'!$A$113:$I$133,7,0)),0%,VLOOKUP(A146,'Données projet'!$A$113:$I$133,7,0))</f>
        <v>0</v>
      </c>
      <c r="CK146" s="162" t="str">
        <f>EXP(-LN(2)/35)*CK145+(1-EXP(-LN(2)/35))/(LN(2)/35)*CG146*CH146*VLOOKUP('Données projet'!$B$12,'Paramètres'!$A$1:$I$88,3,0)*0.475*44/12</f>
        <v>#N/A</v>
      </c>
      <c r="CL146" s="162" t="str">
        <f>EXP(-LN(2)/25)*CL145+(1-EXP(-LN(2)/25))/(LN(2)/25)*Calculateur!CG146*Calculateur!CI146*VLOOKUP('Données projet'!$B$12,'Paramètres'!$A$1:$I$88,3,0)*0.475*44/12</f>
        <v>#N/A</v>
      </c>
      <c r="CM146" s="162" t="str">
        <f>EXP(-LN(2)/2)*CM145+(1-EXP(-LN(2)/2))/(LN(2)/2)*CG146*CJ146*VLOOKUP('Données projet'!$B$12,'Paramètres'!$A$1:$I$88,3,0)*0.475*44/12</f>
        <v>#N/A</v>
      </c>
      <c r="CN146" s="163" t="str">
        <f t="shared" si="13"/>
        <v>#N/A</v>
      </c>
      <c r="CO146" s="159">
        <f>('Scénario référence'!$F$8+'Scénario référence'!$F$9+'Scénario référence'!$B$17+'Scénario référence'!$B$9+'Scénario référence'!$B$10)*70+IF((45+25*(1-EXP(-0.0175*A146)))&lt;70,'Scénario référence'!$B$16*(45+25*(1-EXP(-0.0175*A146))),70*'Scénario référence'!$B$16)+IF((32+38*(1-EXP(-0.0175*A146)))&lt;70,'Scénario référence'!$B$18*(32+38*(1-EXP(-0.0175*A146))),70*'Scénario référence'!$B$18)</f>
        <v>70</v>
      </c>
      <c r="CP146" s="151">
        <f>IF(A146&gt;30,10,('Scénario référence'!$B$16+'Scénario référence'!$B$17+'Scénario référence'!$B$18+'Scénario référence'!$B$9+'Scénario référence'!$B$10)*A146*10/30+('Scénario référence'!$F$8+'Scénario référence'!$F$9)*10)</f>
        <v>10</v>
      </c>
      <c r="CQ146" s="151" t="str">
        <f>VLOOKUP(A146,'Données projet'!$A$139:$I$159,2,0)</f>
        <v>#N/A</v>
      </c>
      <c r="CR146" s="151" t="str">
        <f>VLOOKUP(A146,'Données projet'!$A$139:$I$159,9,0)</f>
        <v>#N/A</v>
      </c>
      <c r="CS146" s="151" t="str">
        <f t="array" ref="CS146">INDEX(CR:CR,MIN(IF(ISNUMBER(CR146:CR342),ROW(CR146:CR342),"")))</f>
        <v/>
      </c>
      <c r="CT146" s="151">
        <f>IF('Données projet'!$A$140&gt;35,CT145+CS146-DB145,IF(A146&lt;'Données projet'!$A$140,$CQ$205^A146,IF(A146='Données projet'!$A$140,'Données projet'!$B$140,CT145+CS146-DB145)))</f>
        <v>0</v>
      </c>
      <c r="CU146" s="158" t="str">
        <f>CT146*VLOOKUP('Données projet'!$B$13,'Paramètres'!$A$1:$I$88,3,0)*VLOOKUP('Données projet'!$B$13,'Paramètres'!$A$1:$I$88,5,0)</f>
        <v>#N/A</v>
      </c>
      <c r="CV146" s="150" t="str">
        <f t="shared" si="42"/>
        <v>#N/A</v>
      </c>
      <c r="CW146" s="161" t="str">
        <f t="shared" si="14"/>
        <v>#N/A</v>
      </c>
      <c r="CX146" s="153" t="str">
        <f t="shared" si="15"/>
        <v>#N/A</v>
      </c>
      <c r="CY146" s="153" t="str">
        <f>AVERAGE(OFFSET($CX$3,0,0,'Données projet'!$E$13+1,1))-AVERAGE(OFFSET($H$3,0,0,'Données projet'!$E$13+1,1))</f>
        <v>#N/A</v>
      </c>
      <c r="CZ146" s="153" t="str">
        <f t="shared" si="43"/>
        <v>#N/A</v>
      </c>
      <c r="DA146" s="154">
        <f>IF(ISNA(VLOOKUP(A146,'Données projet'!$A$139:$I$159,3,0)),0,VLOOKUP(A146,'Données projet'!$A$139:$I$159,3,0))</f>
        <v>0</v>
      </c>
      <c r="DB146" s="154">
        <f>IF(ISNA(VLOOKUP(A146,'Données projet'!$A$139:$I$159,4,0)),0,VLOOKUP(A146,'Données projet'!$A$139:$I$159,4,0))</f>
        <v>0</v>
      </c>
      <c r="DC146" s="155">
        <f>IF(ISNA(VLOOKUP(A146,'Données projet'!$A$139:$I$159,5,0)),0%,VLOOKUP(A146,'Données projet'!$A$139:$I$159,5,0)*VLOOKUP('Données projet'!$B$13,'Paramètres'!$A$1:$I$88,7,0))</f>
        <v>0</v>
      </c>
      <c r="DD146" s="155">
        <f>IF(ISNA(VLOOKUP(A146,'Données projet'!$A$139:$I$159,6,0)),0%,VLOOKUP(A146,'Données projet'!$A$139:$I$159,6,0)*VLOOKUP('Données projet'!$B$13,'Paramètres'!$A$1:$I$88,7,0))</f>
        <v>0</v>
      </c>
      <c r="DE146" s="155">
        <f>IF(ISNA(VLOOKUP(A146,'Données projet'!$A$139:$I$159,7,0)),0%,VLOOKUP(A146,'Données projet'!$A$139:$I$159,7,0))</f>
        <v>0</v>
      </c>
      <c r="DF146" s="162" t="str">
        <f>EXP(-LN(2)/35)*DF145+(1-EXP(-LN(2)/35))/(LN(2)/35)*DB146*DC146*VLOOKUP('Données projet'!$B$13,'Paramètres'!$A$1:$I$88,3,0)*0.475*44/12</f>
        <v>#N/A</v>
      </c>
      <c r="DG146" s="162" t="str">
        <f>EXP(-LN(2)/25)*DG145+(1-EXP(-LN(2)/25))/(LN(2)/25)*Calculateur!DB146*Calculateur!DD146*VLOOKUP('Données projet'!$B$13,'Paramètres'!$A$1:$I$88,3,0)*0.475*44/12</f>
        <v>#N/A</v>
      </c>
      <c r="DH146" s="162" t="str">
        <f>EXP(-LN(2)/2)*DH145+(1-EXP(-LN(2)/2))/(LN(2)/2)*DB146*DE146*VLOOKUP('Données projet'!$B$13,'Paramètres'!$A$1:$I$88,3,0)*0.475*44/12</f>
        <v>#N/A</v>
      </c>
      <c r="DI146" s="163" t="str">
        <f t="shared" si="16"/>
        <v>#N/A</v>
      </c>
      <c r="DJ146" s="159">
        <f>('Scénario référence'!$F$8+'Scénario référence'!$F$9+'Scénario référence'!$B$17+'Scénario référence'!$B$9+'Scénario référence'!$B$10)*70+IF((45+25*(1-EXP(-0.0175*A146)))&lt;70,'Scénario référence'!$B$16*(45+25*(1-EXP(-0.0175*A146))),70*'Scénario référence'!$B$16)+IF((32+38*(1-EXP(-0.0175*A146)))&lt;70,'Scénario référence'!$B$18*(32+38*(1-EXP(-0.0175*A146))),70*'Scénario référence'!$B$18)</f>
        <v>70</v>
      </c>
      <c r="DK146" s="151">
        <f>IF(A146&gt;30,10,('Scénario référence'!$B$16+'Scénario référence'!$B$17+'Scénario référence'!$B$18+'Scénario référence'!$B$9+'Scénario référence'!$B$10)*A146*10/30+('Scénario référence'!$F$8+'Scénario référence'!$F$9)*10)</f>
        <v>10</v>
      </c>
      <c r="DL146" s="151" t="str">
        <f>VLOOKUP(A146,'Données projet'!$A$165:$I$185,2,0)</f>
        <v>#N/A</v>
      </c>
      <c r="DM146" s="151" t="str">
        <f>VLOOKUP(A146,'Données projet'!$A$165:$I$185,9,0)</f>
        <v>#N/A</v>
      </c>
      <c r="DN146" s="151" t="str">
        <f t="array" ref="DN146">INDEX(DM:DM,MIN(IF(ISNUMBER(DM146:DM342),ROW(DM146:DM342),"")))</f>
        <v/>
      </c>
      <c r="DO146" s="151">
        <f>IF('Données projet'!$A$166&gt;35,DO145+DN146-DW145,IF(A146&lt;'Données projet'!$A$166,$DL$205^A146,IF(A146='Données projet'!$A$166,'Données projet'!$B$166,DO145+DN146-DW145)))</f>
        <v>0</v>
      </c>
      <c r="DP146" s="158" t="str">
        <f>DO146*VLOOKUP('Données projet'!$B$14,'Paramètres'!$A$1:$I$88,3,0)*VLOOKUP('Données projet'!$B$14,'Paramètres'!$A$1:$I$88,5,0)</f>
        <v>#N/A</v>
      </c>
      <c r="DQ146" s="150" t="str">
        <f t="shared" si="44"/>
        <v>#N/A</v>
      </c>
      <c r="DR146" s="161" t="str">
        <f t="shared" si="17"/>
        <v>#N/A</v>
      </c>
      <c r="DS146" s="153" t="str">
        <f t="shared" si="18"/>
        <v>#N/A</v>
      </c>
      <c r="DT146" s="153" t="str">
        <f>AVERAGE(OFFSET($DS$3,0,0,'Données projet'!$E$14+1,1))-AVERAGE(OFFSET($H$3,0,0,'Données projet'!$E$14+1,1))</f>
        <v>#N/A</v>
      </c>
      <c r="DU146" s="153" t="str">
        <f t="shared" si="45"/>
        <v>#N/A</v>
      </c>
      <c r="DV146" s="154">
        <f>IF(ISNA(VLOOKUP(A146,'Données projet'!$A$165:$I$185,3,0)),0,VLOOKUP(A146,'Données projet'!$A$165:$I$185,3,0))</f>
        <v>0</v>
      </c>
      <c r="DW146" s="154">
        <f>IF(ISNA(VLOOKUP(A146,'Données projet'!$A$165:$I$185,4,0)),0,VLOOKUP(A146,'Données projet'!$A$165:$I$185,4,0))</f>
        <v>0</v>
      </c>
      <c r="DX146" s="155">
        <f>IF(ISNA(VLOOKUP(A146,'Données projet'!$A$165:$I$185,5,0)),0%,VLOOKUP(A146,'Données projet'!$A$165:$I$185,5,0)*VLOOKUP('Données projet'!$B$14,'Paramètres'!$A$1:$I$88,7,0))</f>
        <v>0</v>
      </c>
      <c r="DY146" s="155">
        <f>IF(ISNA(VLOOKUP(A146,'Données projet'!$A$165:$I$185,6,0)),0%,VLOOKUP(A146,'Données projet'!$A$165:$I$185,6,0)*VLOOKUP('Données projet'!$B$14,'Paramètres'!$A$1:$I$88,7,0))</f>
        <v>0</v>
      </c>
      <c r="DZ146" s="155">
        <f>IF(ISNA(VLOOKUP(A146,'Données projet'!$A$165:$I$185,7,0)),0%,VLOOKUP(A146,'Données projet'!$A$165:$I$185,7,0))</f>
        <v>0</v>
      </c>
      <c r="EA146" s="162" t="str">
        <f>EXP(-LN(2)/35)*EA145+(1-EXP(-LN(2)/35))/(LN(2)/35)*DW146*DX146*VLOOKUP('Données projet'!$B$14,'Paramètres'!$A$1:$I$88,3,0)*0.475*44/12</f>
        <v>#N/A</v>
      </c>
      <c r="EB146" s="162" t="str">
        <f>EXP(-LN(2)/25)*EB145+(1-EXP(-LN(2)/25))/(LN(2)/25)*Calculateur!DW146*Calculateur!DY146*VLOOKUP('Données projet'!$B$14,'Paramètres'!$A$1:$I$88,3,0)*0.475*44/12</f>
        <v>#N/A</v>
      </c>
      <c r="EC146" s="162" t="str">
        <f>EXP(-LN(2)/2)*EC145+(1-EXP(-LN(2)/2))/(LN(2)/2)*DW146*DZ146*VLOOKUP('Données projet'!$B$14,'Paramètres'!$A$1:$I$88,3,0)*0.475*44/12</f>
        <v>#N/A</v>
      </c>
      <c r="ED146" s="163" t="str">
        <f t="shared" si="19"/>
        <v>#N/A</v>
      </c>
      <c r="EE146" s="159">
        <f>('Scénario référence'!$F$8+'Scénario référence'!$F$9+'Scénario référence'!$B$17+'Scénario référence'!$B$9+'Scénario référence'!$B$10)*70+IF((45+25*(1-EXP(-0.0175*A146)))&lt;70,'Scénario référence'!$B$16*(45+25*(1-EXP(-0.0175*A146))),70*'Scénario référence'!$B$16)+IF((32+38*(1-EXP(-0.0175*A146)))&lt;70,'Scénario référence'!$B$18*(32+38*(1-EXP(-0.0175*A146))),70*'Scénario référence'!$B$18)</f>
        <v>70</v>
      </c>
      <c r="EF146" s="151">
        <f>IF(A146&gt;30,10,('Scénario référence'!$B$16+'Scénario référence'!$B$17+'Scénario référence'!$B$18+'Scénario référence'!$B$9+'Scénario référence'!$B$10)*A146*10/30+('Scénario référence'!$F$8+'Scénario référence'!$F$9)*10)</f>
        <v>10</v>
      </c>
      <c r="EG146" s="151" t="str">
        <f>VLOOKUP(A146,'Données projet'!$A$191:$I$211,2,0)</f>
        <v>#N/A</v>
      </c>
      <c r="EH146" s="151" t="str">
        <f>VLOOKUP(A146,'Données projet'!$A$191:$I$211,9,0)</f>
        <v>#N/A</v>
      </c>
      <c r="EI146" s="151" t="str">
        <f t="array" ref="EI146">INDEX(EH:EH,MIN(IF(ISNUMBER(EH146:EH342),ROW(EH146:EH342),"")))</f>
        <v/>
      </c>
      <c r="EJ146" s="151">
        <f>IF('Données projet'!$A$192&gt;35,EJ145+EI146-ER145,IF(A146&lt;'Données projet'!$A$192,$EG$205^A146,IF(A146='Données projet'!$A$192,'Données projet'!$B$192,EJ145+EI146-ER145)))</f>
        <v>0</v>
      </c>
      <c r="EK146" s="158" t="str">
        <f>EJ146*VLOOKUP('Données projet'!$B$15,'Paramètres'!$A$1:$I$88,3,0)*VLOOKUP('Données projet'!$B$15,'Paramètres'!$A$1:$I$88,5,0)</f>
        <v>#N/A</v>
      </c>
      <c r="EL146" s="150" t="str">
        <f t="shared" si="46"/>
        <v>#N/A</v>
      </c>
      <c r="EM146" s="161" t="str">
        <f t="shared" si="20"/>
        <v>#N/A</v>
      </c>
      <c r="EN146" s="153" t="str">
        <f t="shared" si="21"/>
        <v>#N/A</v>
      </c>
      <c r="EO146" s="153" t="str">
        <f>AVERAGE(OFFSET($EN$3,0,0,'Données projet'!$E$15+1,1))-AVERAGE(OFFSET($H$3,0,0,'Données projet'!$E$15+1,1))</f>
        <v>#N/A</v>
      </c>
      <c r="EP146" s="153" t="str">
        <f t="shared" si="47"/>
        <v>#N/A</v>
      </c>
      <c r="EQ146" s="154">
        <f>IF(ISNA(VLOOKUP(A146,'Données projet'!$A$191:$I$211,3,0)),0,VLOOKUP(A146,'Données projet'!$A$191:$I$211,3,0))</f>
        <v>0</v>
      </c>
      <c r="ER146" s="154">
        <f>IF(ISNA(VLOOKUP(A146,'Données projet'!$A$191:$I$211,4,0)),0,VLOOKUP(A146,'Données projet'!$A$191:$I$211,4,0))</f>
        <v>0</v>
      </c>
      <c r="ES146" s="155">
        <f>IF(ISNA(VLOOKUP(A146,'Données projet'!$A$191:$I$211,5,0)),0%,VLOOKUP(A146,'Données projet'!$A$191:$I$211,5,0)*VLOOKUP('Données projet'!$B$15,'Paramètres'!$A$1:$I$88,7,0))</f>
        <v>0</v>
      </c>
      <c r="ET146" s="155">
        <f>IF(ISNA(VLOOKUP(A146,'Données projet'!$A$191:$I$211,6,0)),0%,VLOOKUP(A146,'Données projet'!$A$191:$I$211,6,0)*VLOOKUP('Données projet'!$B$15,'Paramètres'!$A$1:$I$88,7,0))</f>
        <v>0</v>
      </c>
      <c r="EU146" s="155">
        <f>IF(ISNA(VLOOKUP(A146,'Données projet'!$A$191:$I$211,7,0)),0%,VLOOKUP(A146,'Données projet'!$A$191:$I$211,7,0))</f>
        <v>0</v>
      </c>
      <c r="EV146" s="162" t="str">
        <f>EXP(-LN(2)/35)*EV145+(1-EXP(-LN(2)/35))/(LN(2)/35)*ER146*ES146*VLOOKUP('Données projet'!$B$15,'Paramètres'!$A$1:$I$88,3,0)*0.475*44/12</f>
        <v>#N/A</v>
      </c>
      <c r="EW146" s="162" t="str">
        <f>EXP(-LN(2)/25)*EW145+(1-EXP(-LN(2)/25))/(LN(2)/25)*Calculateur!ER146*Calculateur!ET146*VLOOKUP('Données projet'!$B$15,'Paramètres'!$A$1:$I$88,3,0)*0.475*44/12</f>
        <v>#N/A</v>
      </c>
      <c r="EX146" s="162" t="str">
        <f>EXP(-LN(2)/2)*EX145+(1-EXP(-LN(2)/2))/(LN(2)/2)*ER146*EU146*VLOOKUP('Données projet'!$B$15,'Paramètres'!$A$1:$I$88,3,0)*0.475*44/12</f>
        <v>#N/A</v>
      </c>
      <c r="EY146" s="163" t="str">
        <f t="shared" si="22"/>
        <v>#N/A</v>
      </c>
      <c r="EZ146" s="159">
        <f>('Scénario référence'!$F$8+'Scénario référence'!$F$9+'Scénario référence'!$B$17+'Scénario référence'!$B$9+'Scénario référence'!$B$10)*70+IF((45+25*(1-EXP(-0.0175*A146)))&lt;70,'Scénario référence'!$B$16*(45+25*(1-EXP(-0.0175*A146))),70*'Scénario référence'!$B$16)+IF((32+38*(1-EXP(-0.0175*A146)))&lt;70,'Scénario référence'!$B$18*(32+38*(1-EXP(-0.0175*A146))),70*'Scénario référence'!$B$18)</f>
        <v>70</v>
      </c>
      <c r="FA146" s="151">
        <f>IF(A146&gt;30,10,('Scénario référence'!$B$16+'Scénario référence'!$B$17+'Scénario référence'!$B$18+'Scénario référence'!$B$9+'Scénario référence'!$B$10)*A146*10/30+('Scénario référence'!$F$8+'Scénario référence'!$F$9)*10)</f>
        <v>10</v>
      </c>
      <c r="FB146" s="151" t="str">
        <f>VLOOKUP(A146,'Données projet'!$A$217:$I$237,2,0)</f>
        <v>#N/A</v>
      </c>
      <c r="FC146" s="151" t="str">
        <f>VLOOKUP(A146,'Données projet'!$A$217:$I$237,9,0)</f>
        <v>#N/A</v>
      </c>
      <c r="FD146" s="151" t="str">
        <f t="array" ref="FD146">INDEX(FC:FC,MIN(IF(ISNUMBER(FC146:FC342),ROW(FC146:FC342),"")))</f>
        <v/>
      </c>
      <c r="FE146" s="151">
        <f>IF('Données projet'!$A$218&gt;35,FE145+FD146-FM145,IF(A146&lt;'Données projet'!$A$218,$FB$205^A146,IF(A146='Données projet'!$A$218,'Données projet'!$B$218,FE145+FD146-FM145)))</f>
        <v>0</v>
      </c>
      <c r="FF146" s="158" t="str">
        <f>FE146*VLOOKUP('Données projet'!$B$16,'Paramètres'!$A$1:$I$88,3,0)*VLOOKUP('Données projet'!$B$16,'Paramètres'!$A$1:$I$88,5,0)</f>
        <v>#N/A</v>
      </c>
      <c r="FG146" s="150" t="str">
        <f t="shared" si="48"/>
        <v>#N/A</v>
      </c>
      <c r="FH146" s="161" t="str">
        <f t="shared" si="23"/>
        <v>#N/A</v>
      </c>
      <c r="FI146" s="153" t="str">
        <f t="shared" si="24"/>
        <v>#N/A</v>
      </c>
      <c r="FJ146" s="153" t="str">
        <f>AVERAGE(OFFSET($FI$3,0,0,'Données projet'!$E$16+1,1))-AVERAGE(OFFSET($H$3,0,0,'Données projet'!$E$16+1,1))</f>
        <v>#N/A</v>
      </c>
      <c r="FK146" s="153" t="str">
        <f t="shared" si="49"/>
        <v>#N/A</v>
      </c>
      <c r="FL146" s="154">
        <f>IF(ISNA(VLOOKUP(A146,'Données projet'!$A$217:$I$237,3,0)),0,VLOOKUP(A146,'Données projet'!$A$217:$I$237,3,0))</f>
        <v>0</v>
      </c>
      <c r="FM146" s="154">
        <f>IF(ISNA(VLOOKUP(A146,'Données projet'!$A$217:$I$237,4,0)),0,VLOOKUP(A146,'Données projet'!$A$217:$I$237,4,0))</f>
        <v>0</v>
      </c>
      <c r="FN146" s="155">
        <f>IF(ISNA(VLOOKUP(A146,'Données projet'!$A$217:$I$237,5,0)),0%,VLOOKUP(A146,'Données projet'!$A$217:$I$237,5,0)*VLOOKUP('Données projet'!$B$16,'Paramètres'!$A$1:$I$88,7,0))</f>
        <v>0</v>
      </c>
      <c r="FO146" s="155">
        <f>IF(ISNA(VLOOKUP(A146,'Données projet'!$A$217:$I$237,6,0)),0%,VLOOKUP(A146,'Données projet'!$A$217:$I$237,6,0)*VLOOKUP('Données projet'!$B$16,'Paramètres'!$A$1:$I$88,7,0))</f>
        <v>0</v>
      </c>
      <c r="FP146" s="155">
        <f>IF(ISNA(VLOOKUP(A146,'Données projet'!$A$217:$I$237,7,0)),0%,VLOOKUP(A146,'Données projet'!$A$217:$I$237,7,0))</f>
        <v>0</v>
      </c>
      <c r="FQ146" s="162" t="str">
        <f>EXP(-LN(2)/35)*FQ145+(1-EXP(-LN(2)/35))/(LN(2)/35)*FM146*FN146*VLOOKUP('Données projet'!$B$16,'Paramètres'!$A$1:$I$88,3,0)*0.475*44/12</f>
        <v>#N/A</v>
      </c>
      <c r="FR146" s="162" t="str">
        <f>EXP(-LN(2)/25)*FR145+(1-EXP(-LN(2)/25))/(LN(2)/25)*Calculateur!FM146*Calculateur!FO146*VLOOKUP('Données projet'!$B$16,'Paramètres'!$A$1:$I$88,3,0)*0.475*44/12</f>
        <v>#N/A</v>
      </c>
      <c r="FS146" s="162" t="str">
        <f>EXP(-LN(2)/2)*FS145+(1-EXP(-LN(2)/2))/(LN(2)/2)*FM146*FP146*VLOOKUP('Données projet'!$B$16,'Paramètres'!$A$1:$I$88,3,0)*0.475*44/12</f>
        <v>#N/A</v>
      </c>
      <c r="FT146" s="163" t="str">
        <f t="shared" si="25"/>
        <v>#N/A</v>
      </c>
      <c r="FU146" s="159">
        <f>('Scénario référence'!$F$8+'Scénario référence'!$F$9+'Scénario référence'!$B$17+'Scénario référence'!$B$9+'Scénario référence'!$B$10)*70+IF((45+25*(1-EXP(-0.0175*A146)))&lt;70,'Scénario référence'!$B$16*(45+25*(1-EXP(-0.0175*A146))),70*'Scénario référence'!$B$16)+IF((32+38*(1-EXP(-0.0175*A146)))&lt;70,'Scénario référence'!$B$18*(32+38*(1-EXP(-0.0175*A146))),70*'Scénario référence'!$B$18)</f>
        <v>70</v>
      </c>
      <c r="FV146" s="151">
        <f>IF(A146&gt;30,10,('Scénario référence'!$B$16+'Scénario référence'!$B$17+'Scénario référence'!$B$18+'Scénario référence'!$B$9+'Scénario référence'!$B$10)*A146*10/30+('Scénario référence'!$F$8+'Scénario référence'!$F$9)*10)</f>
        <v>10</v>
      </c>
      <c r="FW146" s="151" t="str">
        <f>VLOOKUP(A146,'Données projet'!$A$243:$I$263,2,0)</f>
        <v>#N/A</v>
      </c>
      <c r="FX146" s="151" t="str">
        <f>VLOOKUP(A146,'Données projet'!$A$243:$I$263,9,0)</f>
        <v>#N/A</v>
      </c>
      <c r="FY146" s="151" t="str">
        <f t="array" ref="FY146">INDEX(FX:FX,MIN(IF(ISNUMBER(FX146:FX342),ROW(FX146:FX342),"")))</f>
        <v/>
      </c>
      <c r="FZ146" s="151">
        <f>IF('Données projet'!$A$244&gt;35,FZ145+FY146-GH145,IF(A146&lt;'Données projet'!$A$244,$FW$205^A146,IF(A146='Données projet'!$A$244,'Données projet'!$B$244,FZ145+FY146-GH145)))</f>
        <v>0</v>
      </c>
      <c r="GA146" s="158" t="str">
        <f>FZ146*VLOOKUP('Données projet'!$B$17,'Paramètres'!$A$1:$I$88,3,0)*VLOOKUP('Données projet'!$B$17,'Paramètres'!$A$1:$I$88,5,0)</f>
        <v>#N/A</v>
      </c>
      <c r="GB146" s="150" t="str">
        <f t="shared" si="50"/>
        <v>#N/A</v>
      </c>
      <c r="GC146" s="161" t="str">
        <f t="shared" si="26"/>
        <v>#N/A</v>
      </c>
      <c r="GD146" s="153" t="str">
        <f t="shared" si="27"/>
        <v>#N/A</v>
      </c>
      <c r="GE146" s="153" t="str">
        <f>AVERAGE(OFFSET($GD$3,0,0,'Données projet'!$E$17+1,1))-AVERAGE(OFFSET($H$3,0,0,'Données projet'!$E$17+1,1))</f>
        <v>#N/A</v>
      </c>
      <c r="GF146" s="153" t="str">
        <f t="shared" si="51"/>
        <v>#N/A</v>
      </c>
      <c r="GG146" s="154">
        <f>IF(ISNA(VLOOKUP(A146,'Données projet'!$A$243:$I$263,3,0)),0,VLOOKUP(A146,'Données projet'!$A$243:$I$263,3,0))</f>
        <v>0</v>
      </c>
      <c r="GH146" s="154">
        <f>IF(ISNA(VLOOKUP(A146,'Données projet'!$A$243:$I$263,4,0)),0,VLOOKUP(A146,'Données projet'!$A$243:$I$263,4,0))</f>
        <v>0</v>
      </c>
      <c r="GI146" s="155">
        <f>IF(ISNA(VLOOKUP(A146,'Données projet'!$A$243:$I$263,5,0)),0%,VLOOKUP(A146,'Données projet'!$A$243:$I$263,5,0)*VLOOKUP('Données projet'!$B$17,'Paramètres'!$A$1:$I$88,7,0))</f>
        <v>0</v>
      </c>
      <c r="GJ146" s="155">
        <f>IF(ISNA(VLOOKUP(A146,'Données projet'!$A$243:$I$263,6,0)),0%,VLOOKUP(A146,'Données projet'!$A$243:$I$263,6,0)*VLOOKUP('Données projet'!$B$17,'Paramètres'!$A$1:$I$88,7,0))</f>
        <v>0</v>
      </c>
      <c r="GK146" s="155">
        <f>IF(ISNA(VLOOKUP(A146,'Données projet'!$A$243:$I$263,7,0)),0%,VLOOKUP(A146,'Données projet'!$A$243:$I$263,7,0))</f>
        <v>0</v>
      </c>
      <c r="GL146" s="162" t="str">
        <f>EXP(-LN(2)/35)*GL145+(1-EXP(-LN(2)/35))/(LN(2)/35)*GH146*GI146*VLOOKUP('Données projet'!$B$17,'Paramètres'!$A$1:$I$88,3,0)*0.475*44/12</f>
        <v>#N/A</v>
      </c>
      <c r="GM146" s="162" t="str">
        <f>EXP(-LN(2)/25)*GM145+(1-EXP(-LN(2)/25))/(LN(2)/25)*Calculateur!GH146*Calculateur!GJ146*VLOOKUP('Données projet'!$B$17,'Paramètres'!$A$1:$I$88,3,0)*0.475*44/12</f>
        <v>#N/A</v>
      </c>
      <c r="GN146" s="162" t="str">
        <f>EXP(-LN(2)/2)*GN145+(1-EXP(-LN(2)/2))/(LN(2)/2)*GH146*GK146*VLOOKUP('Données projet'!$B$17,'Paramètres'!$A$1:$I$88,3,0)*0.475*44/12</f>
        <v>#N/A</v>
      </c>
      <c r="GO146" s="162" t="str">
        <f t="shared" si="28"/>
        <v>#N/A</v>
      </c>
      <c r="GP146" s="159">
        <f>('Scénario référence'!$F$8+'Scénario référence'!$F$9+'Scénario référence'!$B$17+'Scénario référence'!$B$9+'Scénario référence'!$B$10)*70+IF((45+25*(1-EXP(-0.0175*A146)))&lt;70,'Scénario référence'!$B$16*(45+25*(1-EXP(-0.0175*A146))),70*'Scénario référence'!$B$16)+IF((32+38*(1-EXP(-0.0175*A146)))&lt;70,'Scénario référence'!$B$18*(32+38*(1-EXP(-0.0175*A146))),70*'Scénario référence'!$B$18)</f>
        <v>70</v>
      </c>
      <c r="GQ146" s="151">
        <f>IF(A146&gt;30,10,('Scénario référence'!$B$16+'Scénario référence'!$B$17+'Scénario référence'!$B$18+'Scénario référence'!$B$9+'Scénario référence'!$B$10)*A146*10/30+('Scénario référence'!$F$8+'Scénario référence'!$F$9)*10)</f>
        <v>10</v>
      </c>
      <c r="GR146" s="151" t="str">
        <f>VLOOKUP(A146,'Données projet'!$A$269:$I$289,2,0)</f>
        <v>#N/A</v>
      </c>
      <c r="GS146" s="151" t="str">
        <f>VLOOKUP(A146,'Données projet'!$A$269:$I$289,9,0)</f>
        <v>#N/A</v>
      </c>
      <c r="GT146" s="151" t="str">
        <f t="array" ref="GT146">INDEX(GS:GS,MIN(IF(ISNUMBER(GS146:GS342),ROW(GS146:GS342),"")))</f>
        <v/>
      </c>
      <c r="GU146" s="151">
        <f>IF('Données projet'!$A$270&gt;35,GU145+GT146-HC145,IF(A146&lt;'Données projet'!$A$270,$GR$205^A146,IF(A146='Données projet'!$A$270,'Données projet'!$B$270,GU145+GT146-HC145)))</f>
        <v>0</v>
      </c>
      <c r="GV146" s="158" t="str">
        <f>GU146*VLOOKUP('Données projet'!$B$18,'Paramètres'!$A$1:$I$88,3,0)*VLOOKUP('Données projet'!$B$18,'Paramètres'!$A$1:$I$88,5,0)</f>
        <v>#N/A</v>
      </c>
      <c r="GW146" s="150" t="str">
        <f t="shared" si="52"/>
        <v>#N/A</v>
      </c>
      <c r="GX146" s="161" t="str">
        <f t="shared" si="29"/>
        <v>#N/A</v>
      </c>
      <c r="GY146" s="153" t="str">
        <f t="shared" si="30"/>
        <v>#N/A</v>
      </c>
      <c r="GZ146" s="153" t="str">
        <f>AVERAGE(OFFSET($GY$3,0,0,'Données projet'!$E$18+1,1))-AVERAGE(OFFSET($H$3,0,0,'Données projet'!$E$18+1,1))</f>
        <v>#N/A</v>
      </c>
      <c r="HA146" s="153" t="str">
        <f t="shared" si="53"/>
        <v>#N/A</v>
      </c>
      <c r="HB146" s="154">
        <f>IF(ISNA(VLOOKUP(A146,'Données projet'!$A$269:$I$289,3,0)),0,VLOOKUP(A146,'Données projet'!$A$269:$I$289,3,0))</f>
        <v>0</v>
      </c>
      <c r="HC146" s="154">
        <f>IF(ISNA(VLOOKUP(A146,'Données projet'!$A$269:$I$289,4,0)),0,VLOOKUP(A146,'Données projet'!$A$269:$I$289,4,0))</f>
        <v>0</v>
      </c>
      <c r="HD146" s="155">
        <f>IF(ISNA(VLOOKUP(A146,'Données projet'!$A$269:$I$289,5,0)),0%,VLOOKUP(A146,'Données projet'!$A$269:$I$289,5,0)*VLOOKUP('Données projet'!$B$18,'Paramètres'!$A$1:$I$88,7,0))</f>
        <v>0</v>
      </c>
      <c r="HE146" s="155">
        <f>IF(ISNA(VLOOKUP(A146,'Données projet'!$A$269:$I$289,6,0)),0%,VLOOKUP(A146,'Données projet'!$A$269:$I$289,6,0)*VLOOKUP('Données projet'!$B$18,'Paramètres'!$A$1:$I$88,7,0))</f>
        <v>0</v>
      </c>
      <c r="HF146" s="155">
        <f>IF(ISNA(VLOOKUP(A146,'Données projet'!$A$269:$I$289,7,0)),0%,VLOOKUP(A146,'Données projet'!$A$269:$I$289,7,0))</f>
        <v>0</v>
      </c>
      <c r="HG146" s="162" t="str">
        <f>EXP(-LN(2)/35)*HG145+(1-EXP(-LN(2)/35))/(LN(2)/35)*HC146*HD146*VLOOKUP('Données projet'!$B$18,'Paramètres'!$A$1:$I$88,3,0)*0.475*44/12</f>
        <v>#N/A</v>
      </c>
      <c r="HH146" s="162" t="str">
        <f>EXP(-LN(2)/25)*HH145+(1-EXP(-LN(2)/25))/(LN(2)/25)*Calculateur!HC146*Calculateur!HE146*VLOOKUP('Données projet'!$B$18,'Paramètres'!$A$1:$I$88,3,0)*0.475*44/12</f>
        <v>#N/A</v>
      </c>
      <c r="HI146" s="162" t="str">
        <f>EXP(-LN(2)/2)*HI145+(1-EXP(-LN(2)/2))/(LN(2)/2)*HC146*HF146*VLOOKUP('Données projet'!$B$18,'Paramètres'!$A$1:$I$88,3,0)*0.475*44/12</f>
        <v>#N/A</v>
      </c>
      <c r="HJ146" s="163" t="str">
        <f t="shared" si="31"/>
        <v>#N/A</v>
      </c>
    </row>
    <row r="147" ht="15.75" customHeight="1">
      <c r="A147" s="145">
        <f t="shared" si="32"/>
        <v>144</v>
      </c>
      <c r="B147" s="146">
        <f>'Scénario référence'!$B$16*5+'Scénario référence'!$B$17*0+'Scénario référence'!$B$18*5</f>
        <v>0</v>
      </c>
      <c r="C147" s="160">
        <f>Calculateur!C146+'Scénario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47" s="147">
        <f t="shared" si="33"/>
        <v>0</v>
      </c>
      <c r="E147" s="147">
        <f>'Scénario référence'!$B$16*45+('Scénario référence'!$B$17+'Scénario référence'!$F$8+'Scénario référence'!$F$9+'Scénario référence'!$B$10+'Scénario référence'!$B$9)*70+'Scénario référence'!$B$18*32</f>
        <v>70</v>
      </c>
      <c r="F147" s="147">
        <f>IF(OR('Scénario référence'!$F$8&gt;0,'Scénario référence'!$F$9&gt;0),('Scénario référence'!$F$8+'Scénario référence'!$F$9)*10,0)</f>
        <v>0</v>
      </c>
      <c r="G147" s="147">
        <f>'Scénario référence'!$B$8*B147*44/12+'Scénario référence'!$B$9*(C147+D147)/0.475*44/12+'Scénario référence'!$B$10*(C147+D147)/0.475*44/12+'Scénario référence'!$F$8*(C147+D147)/0.475*44/12+'Scénario référence'!$F$9*(C147+D147)/0.475*44/12</f>
        <v>0</v>
      </c>
      <c r="H147" s="148">
        <f t="shared" si="1"/>
        <v>256.6666667</v>
      </c>
      <c r="I147" s="149">
        <f>('Scénario référence'!$F$8+'Scénario référence'!$F$9+'Scénario référence'!$B$17+'Scénario référence'!$B$9+'Scénario référence'!$B$10)*70+IF((45+25*(1-EXP(-0.0175*A147)))&lt;70,'Scénario référence'!$B$16*(45+25*(1-EXP(-0.0175*A147))),70*'Scénario référence'!$B$16)+IF((32+38*(1-EXP(-0.0175*A147)))&lt;70,'Scénario référence'!$B$18*(32+38*(1-EXP(-0.0175*A147))),70*'Scénario référence'!$B$18)</f>
        <v>70</v>
      </c>
      <c r="J147" s="150">
        <f>IF(A147&gt;30,10,('Scénario référence'!$B$16+'Scénario référence'!$B$17+'Scénario référence'!$B$18+'Scénario référence'!$B$9+'Scénario référence'!$B$10)*A147*10/30+('Scénario référence'!$F$8+'Scénario référence'!$F$9)*10)</f>
        <v>10</v>
      </c>
      <c r="K147" s="151" t="str">
        <f>VLOOKUP(A147,'Données projet'!$A$35:$I$55,2,0)</f>
        <v>#N/A</v>
      </c>
      <c r="L147" s="151" t="str">
        <f>VLOOKUP(A147,'Données projet'!$A$35:$I$55,9,0)</f>
        <v>#N/A</v>
      </c>
      <c r="M147" s="151" t="str">
        <f t="array" ref="M147">INDEX(L:L,MIN(IF(ISNUMBER(L147:L343),ROW(L147:L343),"")))</f>
        <v/>
      </c>
      <c r="N147" s="150">
        <f>IF('Données projet'!$A$36&gt;35,N146+M147-V146,IF(A147&lt;'Données projet'!$A$36,$K$205^A147,IF(A147='Données projet'!$A$36,'Données projet'!$B$36,N146+M147-V146)))</f>
        <v>307</v>
      </c>
      <c r="O147" s="150">
        <f>N147*VLOOKUP('Données projet'!$B$9,'Paramètres'!$A$1:$I$88,3,0)*VLOOKUP('Données projet'!$B$9,'Paramètres'!$A$1:$I$88,5,0)</f>
        <v>277.7736</v>
      </c>
      <c r="P147" s="150">
        <f t="shared" si="34"/>
        <v>66.49628818</v>
      </c>
      <c r="Q147" s="161">
        <f t="shared" si="2"/>
        <v>599.6033886</v>
      </c>
      <c r="R147" s="153">
        <f t="shared" si="3"/>
        <v>892.9367219</v>
      </c>
      <c r="S147" s="153">
        <f>AVERAGE(OFFSET($R$3,0,0,'Données projet'!$E$9+1,1))-AVERAGE(OFFSET($H$3,0,0,'Données projet'!$E$9+1,1))</f>
        <v>439.1985427</v>
      </c>
      <c r="T147" s="153">
        <f t="shared" si="35"/>
        <v>278.2174123</v>
      </c>
      <c r="U147" s="154">
        <f>IF(ISNA(VLOOKUP(A147,'Données projet'!$A$35:$I$55,3,0)),0,VLOOKUP(A147,'Données projet'!$A$35:$I$55,3,0))</f>
        <v>0</v>
      </c>
      <c r="V147" s="154">
        <f>IF(ISNA(VLOOKUP(A147,'Données projet'!$A$35:$I$55,4,0)),0,VLOOKUP(A147,'Données projet'!$A$35:$I$55,4,0))</f>
        <v>0</v>
      </c>
      <c r="W147" s="155">
        <f>IF(ISNA(VLOOKUP(A147,'Données projet'!$A$35:$I$55,5,0)),0%,VLOOKUP(A147,'Données projet'!$A$35:$I$55,5,0)*VLOOKUP('Données projet'!$B$9,'Paramètres'!$A$1:$I$88,7,0))</f>
        <v>0</v>
      </c>
      <c r="X147" s="155">
        <f>IF(ISNA(VLOOKUP(A147,'Données projet'!$A$35:$I$55,6,0)),0%,VLOOKUP(A147,'Données projet'!$A$35:$I$55,6,0)*VLOOKUP('Données projet'!$B$9,'Paramètres'!$A$1:$I$88,7,0))</f>
        <v>0</v>
      </c>
      <c r="Y147" s="155">
        <f>IF(ISNA(VLOOKUP(A147,'Données projet'!$A$35:$I$55,7,0)),0%,VLOOKUP(A147,'Données projet'!$A$35:$I$55,7,0))</f>
        <v>0</v>
      </c>
      <c r="Z147" s="162">
        <f>EXP(-LN(2)/35)*Z146+(1-EXP(-LN(2)/35))/(LN(2)/35)*V147*W147*VLOOKUP('Données projet'!$B$9,'Paramètres'!$A$1:$I$88,3,0)*0.475*44/12</f>
        <v>0</v>
      </c>
      <c r="AA147" s="162">
        <f>EXP(-LN(2)/25)*AA146+(1-EXP(-LN(2)/25))/(LN(2)/25)*Calculateur!V147*Calculateur!X147*VLOOKUP('Données projet'!$B$9,'Paramètres'!$A$1:$I$88,3,0)*0.475*44/12</f>
        <v>0.1902459844</v>
      </c>
      <c r="AB147" s="162">
        <f>EXP(-LN(2)/2)*AB146+(1-EXP(-LN(2)/2))/(LN(2)/2)*V147*Y147*VLOOKUP('Données projet'!$B$9,'Paramètres'!$A$1:$I$88,3,0)*0.475*44/12</f>
        <v>0</v>
      </c>
      <c r="AC147" s="163">
        <f t="shared" si="4"/>
        <v>0.1902459844</v>
      </c>
      <c r="AD147" s="150">
        <f>('Scénario référence'!$F$8+'Scénario référence'!$F$9+'Scénario référence'!$B$17+'Scénario référence'!$B$9+'Scénario référence'!$B$10)*70+IF((45+25*(1-EXP(-0.0175*A147)))&lt;70,'Scénario référence'!$B$16*(45+25*(1-EXP(-0.0175*A147))),70*'Scénario référence'!$B$16)+IF((32+38*(1-EXP(-0.0175*A147)))&lt;70,'Scénario référence'!$B$18*(32+38*(1-EXP(-0.0175*A147))),70*'Scénario référence'!$B$18)</f>
        <v>70</v>
      </c>
      <c r="AE147" s="150">
        <f>IF(A147&gt;30,10,('Scénario référence'!$B$16+'Scénario référence'!$B$17+'Scénario référence'!$B$18+'Scénario référence'!$B$9+'Scénario référence'!$B$10)*A147*10/30+('Scénario référence'!$F$8+'Scénario référence'!$F$9)*10)</f>
        <v>10</v>
      </c>
      <c r="AF147" s="151" t="str">
        <f>VLOOKUP(A147,'Données projet'!$A$61:$I$81,2,0)</f>
        <v>#N/A</v>
      </c>
      <c r="AG147" s="151" t="str">
        <f>VLOOKUP(A147,'Données projet'!$A$61:$I$81,9,0)</f>
        <v>#N/A</v>
      </c>
      <c r="AH147" s="151" t="str">
        <f t="array" ref="AH147">INDEX(AG:AG,MIN(IF(ISNUMBER(AG147:AG343),ROW(AG147:AG343),"")))</f>
        <v/>
      </c>
      <c r="AI147" s="150">
        <f>IF('Données projet'!$A$62&gt;35,AI146+AH147-AQ146,IF(A147&lt;'Données projet'!$A$62,$AF$205^A147,IF(A147='Données projet'!$A$62,'Données projet'!$B$62,AI146+AH147-AQ146)))</f>
        <v>369</v>
      </c>
      <c r="AJ147" s="150">
        <f>AI147*VLOOKUP('Données projet'!$B$10,'Paramètres'!$A$1:$I$88,3,0)*VLOOKUP('Données projet'!$B$10,'Paramètres'!$A$1:$I$88,5,0)</f>
        <v>293.5764</v>
      </c>
      <c r="AK147" s="150">
        <f t="shared" si="36"/>
        <v>69.82813851</v>
      </c>
      <c r="AL147" s="161">
        <f t="shared" si="5"/>
        <v>632.9295712</v>
      </c>
      <c r="AM147" s="153">
        <f t="shared" si="6"/>
        <v>926.2629046</v>
      </c>
      <c r="AN147" s="153">
        <f>AVERAGE(OFFSET($AM$3,0,0,'Données projet'!$E$10+1,1))-AVERAGE(OFFSET($H$3,0,0,'Données projet'!$E$10+1,1))</f>
        <v>405.6113614</v>
      </c>
      <c r="AO147" s="153">
        <f t="shared" si="37"/>
        <v>393.0787141</v>
      </c>
      <c r="AP147" s="154">
        <f>IF(ISNA(VLOOKUP(A147,'Données projet'!$A$61:$I$81,3,0)),0,VLOOKUP(A147,'Données projet'!$A$61:$I$81,3,0))</f>
        <v>0</v>
      </c>
      <c r="AQ147" s="154">
        <f>IF(ISNA(VLOOKUP(A147,'Données projet'!$A$61:$I$81,4,0)),0,VLOOKUP(A147,'Données projet'!$A$61:$I$81,4,0))</f>
        <v>0</v>
      </c>
      <c r="AR147" s="155">
        <f>IF(ISNA(VLOOKUP(A147,'Données projet'!$A$61:$I$81,5,0)),0%,VLOOKUP(A147,'Données projet'!$A$61:$I$81,5,0)*VLOOKUP('Données projet'!$B$10,'Paramètres'!$A$1:$I$88,7,0))</f>
        <v>0</v>
      </c>
      <c r="AS147" s="155">
        <f>IF(ISNA(VLOOKUP(A147,'Données projet'!$A$61:$I$81,6,0)),0%,VLOOKUP(A147,'Données projet'!$A$61:$I$81,6,0)*VLOOKUP('Données projet'!$B$10,'Paramètres'!$A$1:$I$88,7,0))</f>
        <v>0</v>
      </c>
      <c r="AT147" s="155">
        <f>IF(ISNA(VLOOKUP(A147,'Données projet'!$A$61:$I$81,7,0)),0%,VLOOKUP(A147,'Données projet'!$A$61:$I$81,7,0))</f>
        <v>0</v>
      </c>
      <c r="AU147" s="162">
        <f>EXP(-LN(2)/35)*AU146+(1-EXP(-LN(2)/35))/(LN(2)/35)*AQ147*AR147*VLOOKUP('Données projet'!$B$10,'Paramètres'!$A$1:$I$88,3,0)*0.475*44/12</f>
        <v>0</v>
      </c>
      <c r="AV147" s="162">
        <f>EXP(-LN(2)/25)*AV146+(1-EXP(-LN(2)/25))/(LN(2)/25)*Calculateur!AQ147*Calculateur!AS147*VLOOKUP('Données projet'!$B$10,'Paramètres'!$A$1:$I$88,3,0)*0.475*44/12</f>
        <v>0.7732080431</v>
      </c>
      <c r="AW147" s="162">
        <f>EXP(-LN(2)/2)*AW146+(1-EXP(-LN(2)/2))/(LN(2)/2)*AQ147*AT147*VLOOKUP('Données projet'!$B$10,'Paramètres'!$A$1:$I$88,3,0)*0.475*44/12</f>
        <v>0</v>
      </c>
      <c r="AX147" s="162">
        <f t="shared" si="7"/>
        <v>0.7732080431</v>
      </c>
      <c r="AY147" s="157">
        <f>('Scénario référence'!$F$8+'Scénario référence'!$F$9+'Scénario référence'!$B$17+'Scénario référence'!$B$9+'Scénario référence'!$B$10)*70+IF((45+25*(1-EXP(-0.0175*A147)))&lt;70,'Scénario référence'!$B$16*(45+25*(1-EXP(-0.0175*A147))),70*'Scénario référence'!$B$16)+IF((32+38*(1-EXP(-0.0175*A147)))&lt;70,'Scénario référence'!$B$18*(32+38*(1-EXP(-0.0175*A147))),70*'Scénario référence'!$B$18)</f>
        <v>70</v>
      </c>
      <c r="AZ147" s="151">
        <f>IF(A147&gt;30,10,('Scénario référence'!$B$16+'Scénario référence'!$B$17+'Scénario référence'!$B$18+'Scénario référence'!$B$9+'Scénario référence'!$B$10)*A147*10/30+('Scénario référence'!$F$8+'Scénario référence'!$F$9)*10)</f>
        <v>10</v>
      </c>
      <c r="BA147" s="151" t="str">
        <f>VLOOKUP(A147,'Données projet'!$A$87:$I$107,2,0)</f>
        <v>#N/A</v>
      </c>
      <c r="BB147" s="151" t="str">
        <f>VLOOKUP(A147,'Données projet'!$A$87:$I$107,9,0)</f>
        <v>#N/A</v>
      </c>
      <c r="BC147" s="151" t="str">
        <f t="array" ref="BC147">INDEX(BB:BB,MIN(IF(ISNUMBER(BB147:BB343),ROW(BB147:BB343),"")))</f>
        <v/>
      </c>
      <c r="BD147" s="150">
        <f>IF('Données projet'!$A$88&gt;35,BD146+BC147-BL146,IF(A147&lt;'Données projet'!$A$88,$BA$205^A147,IF(A147='Données projet'!$A$88,'Données projet'!$B$88,BD146+BC147-BL146)))</f>
        <v>0</v>
      </c>
      <c r="BE147" s="150">
        <f>BD147*VLOOKUP('Données projet'!$B$11,'Paramètres'!$A$1:$I$88,3,0)*VLOOKUP('Données projet'!$B$11,'Paramètres'!$A$1:$I$88,5,0)</f>
        <v>0</v>
      </c>
      <c r="BF147" s="150" t="str">
        <f t="shared" si="38"/>
        <v>#NUM!</v>
      </c>
      <c r="BG147" s="161" t="str">
        <f t="shared" si="8"/>
        <v>#NUM!</v>
      </c>
      <c r="BH147" s="153" t="str">
        <f t="shared" si="9"/>
        <v>#NUM!</v>
      </c>
      <c r="BI147" s="153">
        <f>AVERAGE(OFFSET($BH$3,0,0,'Données projet'!$E$11+1,1))-AVERAGE(OFFSET($H$3,0,0,'Données projet'!$E$11+1,1))</f>
        <v>0</v>
      </c>
      <c r="BJ147" s="153">
        <f t="shared" si="39"/>
        <v>0</v>
      </c>
      <c r="BK147" s="154">
        <f>IF(ISNA(VLOOKUP(A147,'Données projet'!$A$87:$I$107,3,0)),0,VLOOKUP(A147,'Données projet'!$A$87:$I$107,3,0))</f>
        <v>0</v>
      </c>
      <c r="BL147" s="154">
        <f>IF(ISNA(VLOOKUP(A147,'Données projet'!$A$87:$I$107,4,0)),0,VLOOKUP(A147,'Données projet'!$A$87:$I$107,4,0))</f>
        <v>0</v>
      </c>
      <c r="BM147" s="155">
        <f>IF(ISNA(VLOOKUP(A147,'Données projet'!$A$87:$I$107,5,0)),0%,VLOOKUP(A147,'Données projet'!$A$87:$I$107,5,0)*VLOOKUP('Données projet'!$B$11,'Paramètres'!$A$1:$I$88,7,0))</f>
        <v>0</v>
      </c>
      <c r="BN147" s="155">
        <f>IF(ISNA(VLOOKUP(A147,'Données projet'!$A$87:$I$107,6,0)),0%,VLOOKUP(A147,'Données projet'!$A$87:$I$107,6,0)*VLOOKUP('Données projet'!$B$11,'Paramètres'!$A$1:$I$88,7,0))</f>
        <v>0</v>
      </c>
      <c r="BO147" s="155">
        <f>IF(ISNA(VLOOKUP(A147,'Données projet'!$A$87:$I$107,7,0)),0%,VLOOKUP(A147,'Données projet'!$A$87:$I$107,7,0))</f>
        <v>0</v>
      </c>
      <c r="BP147" s="162">
        <f>EXP(-LN(2)/35)*BP146+(1-EXP(-LN(2)/35))/(LN(2)/35)*BL147*BM147*VLOOKUP('Données projet'!$B$11,'Paramètres'!$A$1:$I$88,3,0)*0.475*44/12</f>
        <v>0</v>
      </c>
      <c r="BQ147" s="162">
        <f>EXP(-LN(2)/25)*BQ146+(1-EXP(-LN(2)/25))/(LN(2)/25)*Calculateur!BL147*Calculateur!BN147*VLOOKUP('Données projet'!$B$11,'Paramètres'!$A$1:$I$88,3,0)*0.475*44/12</f>
        <v>0</v>
      </c>
      <c r="BR147" s="162">
        <f>EXP(-LN(2)/2)*BR146+(1-EXP(-LN(2)/2))/(LN(2)/2)*BL147*BO147*VLOOKUP('Données projet'!$B$11,'Paramètres'!$A$1:$I$88,3,0)*0.475*44/12</f>
        <v>0</v>
      </c>
      <c r="BS147" s="163">
        <f t="shared" si="10"/>
        <v>0</v>
      </c>
      <c r="BT147" s="159">
        <f>('Scénario référence'!$F$8+'Scénario référence'!$F$9+'Scénario référence'!$B$17+'Scénario référence'!$B$9+'Scénario référence'!$B$10)*70+IF((45+25*(1-EXP(-0.0175*A147)))&lt;70,'Scénario référence'!$B$16*(45+25*(1-EXP(-0.0175*A147))),70*'Scénario référence'!$B$16)+IF((32+38*(1-EXP(-0.0175*A147)))&lt;70,'Scénario référence'!$B$18*(32+38*(1-EXP(-0.0175*A147))),70*'Scénario référence'!$B$18)</f>
        <v>70</v>
      </c>
      <c r="BU147" s="151">
        <f>IF(A147&gt;30,10,('Scénario référence'!$B$16+'Scénario référence'!$B$17+'Scénario référence'!$B$18+'Scénario référence'!$B$9+'Scénario référence'!$B$10)*A147*10/30+('Scénario référence'!$F$8+'Scénario référence'!$F$9)*10)</f>
        <v>10</v>
      </c>
      <c r="BV147" s="151" t="str">
        <f>VLOOKUP(A147,'Données projet'!$A$113:$I$133,2,0)</f>
        <v>#N/A</v>
      </c>
      <c r="BW147" s="151" t="str">
        <f>VLOOKUP(A147,'Données projet'!$A$113:$I$133,9,0)</f>
        <v>#N/A</v>
      </c>
      <c r="BX147" s="151" t="str">
        <f t="array" ref="BX147">INDEX(BW:BW,MIN(IF(ISNUMBER(BW147:BW343),ROW(BW147:BW343),"")))</f>
        <v/>
      </c>
      <c r="BY147" s="150">
        <f>IF('Données projet'!$A$114&gt;35,BY146+BX147-CG146,IF(A147&lt;'Données projet'!$A$114,$BV$205^A147,IF(A147='Données projet'!$A$114,'Données projet'!$B$114,BY146+BX147-CG146)))</f>
        <v>0</v>
      </c>
      <c r="BZ147" s="150" t="str">
        <f>BY147*VLOOKUP('Données projet'!$B$12,'Paramètres'!$A$1:$I$88,3,0)*VLOOKUP('Données projet'!$B$12,'Paramètres'!$A$1:$I$88,5,0)</f>
        <v>#N/A</v>
      </c>
      <c r="CA147" s="150" t="str">
        <f t="shared" si="40"/>
        <v>#N/A</v>
      </c>
      <c r="CB147" s="161" t="str">
        <f t="shared" si="11"/>
        <v>#N/A</v>
      </c>
      <c r="CC147" s="153" t="str">
        <f t="shared" si="12"/>
        <v>#N/A</v>
      </c>
      <c r="CD147" s="153" t="str">
        <f>AVERAGE(OFFSET($CC$3,0,0,'Données projet'!$E$12+1,1))-AVERAGE(OFFSET($H$3,0,0,'Données projet'!$E$12+1,1))</f>
        <v>#N/A</v>
      </c>
      <c r="CE147" s="153" t="str">
        <f t="shared" si="41"/>
        <v>#N/A</v>
      </c>
      <c r="CF147" s="154">
        <f>IF(ISNA(VLOOKUP(A147,'Données projet'!$A$113:$I$133,3,0)),0,VLOOKUP(A147,'Données projet'!$A$113:$I$133,3,0))</f>
        <v>0</v>
      </c>
      <c r="CG147" s="154">
        <f>IF(ISNA(VLOOKUP(A147,'Données projet'!$A$113:$I$133,4,0)),0,VLOOKUP(A147,'Données projet'!$A$113:$I$133,4,0))</f>
        <v>0</v>
      </c>
      <c r="CH147" s="155">
        <f>IF(ISNA(VLOOKUP(A147,'Données projet'!$A$113:$I$133,5,0)),0%,VLOOKUP(A147,'Données projet'!$A$113:$I$133,5,0)*VLOOKUP('Données projet'!$B$12,'Paramètres'!$A$1:$I$88,7,0))</f>
        <v>0</v>
      </c>
      <c r="CI147" s="155">
        <f>IF(ISNA(VLOOKUP(A147,'Données projet'!$A$113:$I$133,6,0)),0%,VLOOKUP(A147,'Données projet'!$A$113:$I$133,6,0)*VLOOKUP('Données projet'!$B$12,'Paramètres'!$A$1:$I$88,7,0))</f>
        <v>0</v>
      </c>
      <c r="CJ147" s="155">
        <f>IF(ISNA(VLOOKUP(A147,'Données projet'!$A$113:$I$133,7,0)),0%,VLOOKUP(A147,'Données projet'!$A$113:$I$133,7,0))</f>
        <v>0</v>
      </c>
      <c r="CK147" s="162" t="str">
        <f>EXP(-LN(2)/35)*CK146+(1-EXP(-LN(2)/35))/(LN(2)/35)*CG147*CH147*VLOOKUP('Données projet'!$B$12,'Paramètres'!$A$1:$I$88,3,0)*0.475*44/12</f>
        <v>#N/A</v>
      </c>
      <c r="CL147" s="162" t="str">
        <f>EXP(-LN(2)/25)*CL146+(1-EXP(-LN(2)/25))/(LN(2)/25)*Calculateur!CG147*Calculateur!CI147*VLOOKUP('Données projet'!$B$12,'Paramètres'!$A$1:$I$88,3,0)*0.475*44/12</f>
        <v>#N/A</v>
      </c>
      <c r="CM147" s="162" t="str">
        <f>EXP(-LN(2)/2)*CM146+(1-EXP(-LN(2)/2))/(LN(2)/2)*CG147*CJ147*VLOOKUP('Données projet'!$B$12,'Paramètres'!$A$1:$I$88,3,0)*0.475*44/12</f>
        <v>#N/A</v>
      </c>
      <c r="CN147" s="163" t="str">
        <f t="shared" si="13"/>
        <v>#N/A</v>
      </c>
      <c r="CO147" s="159">
        <f>('Scénario référence'!$F$8+'Scénario référence'!$F$9+'Scénario référence'!$B$17+'Scénario référence'!$B$9+'Scénario référence'!$B$10)*70+IF((45+25*(1-EXP(-0.0175*A147)))&lt;70,'Scénario référence'!$B$16*(45+25*(1-EXP(-0.0175*A147))),70*'Scénario référence'!$B$16)+IF((32+38*(1-EXP(-0.0175*A147)))&lt;70,'Scénario référence'!$B$18*(32+38*(1-EXP(-0.0175*A147))),70*'Scénario référence'!$B$18)</f>
        <v>70</v>
      </c>
      <c r="CP147" s="151">
        <f>IF(A147&gt;30,10,('Scénario référence'!$B$16+'Scénario référence'!$B$17+'Scénario référence'!$B$18+'Scénario référence'!$B$9+'Scénario référence'!$B$10)*A147*10/30+('Scénario référence'!$F$8+'Scénario référence'!$F$9)*10)</f>
        <v>10</v>
      </c>
      <c r="CQ147" s="151" t="str">
        <f>VLOOKUP(A147,'Données projet'!$A$139:$I$159,2,0)</f>
        <v>#N/A</v>
      </c>
      <c r="CR147" s="151" t="str">
        <f>VLOOKUP(A147,'Données projet'!$A$139:$I$159,9,0)</f>
        <v>#N/A</v>
      </c>
      <c r="CS147" s="151" t="str">
        <f t="array" ref="CS147">INDEX(CR:CR,MIN(IF(ISNUMBER(CR147:CR343),ROW(CR147:CR343),"")))</f>
        <v/>
      </c>
      <c r="CT147" s="151">
        <f>IF('Données projet'!$A$140&gt;35,CT146+CS147-DB146,IF(A147&lt;'Données projet'!$A$140,$CQ$205^A147,IF(A147='Données projet'!$A$140,'Données projet'!$B$140,CT146+CS147-DB146)))</f>
        <v>0</v>
      </c>
      <c r="CU147" s="158" t="str">
        <f>CT147*VLOOKUP('Données projet'!$B$13,'Paramètres'!$A$1:$I$88,3,0)*VLOOKUP('Données projet'!$B$13,'Paramètres'!$A$1:$I$88,5,0)</f>
        <v>#N/A</v>
      </c>
      <c r="CV147" s="150" t="str">
        <f t="shared" si="42"/>
        <v>#N/A</v>
      </c>
      <c r="CW147" s="161" t="str">
        <f t="shared" si="14"/>
        <v>#N/A</v>
      </c>
      <c r="CX147" s="153" t="str">
        <f t="shared" si="15"/>
        <v>#N/A</v>
      </c>
      <c r="CY147" s="153" t="str">
        <f>AVERAGE(OFFSET($CX$3,0,0,'Données projet'!$E$13+1,1))-AVERAGE(OFFSET($H$3,0,0,'Données projet'!$E$13+1,1))</f>
        <v>#N/A</v>
      </c>
      <c r="CZ147" s="153" t="str">
        <f t="shared" si="43"/>
        <v>#N/A</v>
      </c>
      <c r="DA147" s="154">
        <f>IF(ISNA(VLOOKUP(A147,'Données projet'!$A$139:$I$159,3,0)),0,VLOOKUP(A147,'Données projet'!$A$139:$I$159,3,0))</f>
        <v>0</v>
      </c>
      <c r="DB147" s="154">
        <f>IF(ISNA(VLOOKUP(A147,'Données projet'!$A$139:$I$159,4,0)),0,VLOOKUP(A147,'Données projet'!$A$139:$I$159,4,0))</f>
        <v>0</v>
      </c>
      <c r="DC147" s="155">
        <f>IF(ISNA(VLOOKUP(A147,'Données projet'!$A$139:$I$159,5,0)),0%,VLOOKUP(A147,'Données projet'!$A$139:$I$159,5,0)*VLOOKUP('Données projet'!$B$13,'Paramètres'!$A$1:$I$88,7,0))</f>
        <v>0</v>
      </c>
      <c r="DD147" s="155">
        <f>IF(ISNA(VLOOKUP(A147,'Données projet'!$A$139:$I$159,6,0)),0%,VLOOKUP(A147,'Données projet'!$A$139:$I$159,6,0)*VLOOKUP('Données projet'!$B$13,'Paramètres'!$A$1:$I$88,7,0))</f>
        <v>0</v>
      </c>
      <c r="DE147" s="155">
        <f>IF(ISNA(VLOOKUP(A147,'Données projet'!$A$139:$I$159,7,0)),0%,VLOOKUP(A147,'Données projet'!$A$139:$I$159,7,0))</f>
        <v>0</v>
      </c>
      <c r="DF147" s="162" t="str">
        <f>EXP(-LN(2)/35)*DF146+(1-EXP(-LN(2)/35))/(LN(2)/35)*DB147*DC147*VLOOKUP('Données projet'!$B$13,'Paramètres'!$A$1:$I$88,3,0)*0.475*44/12</f>
        <v>#N/A</v>
      </c>
      <c r="DG147" s="162" t="str">
        <f>EXP(-LN(2)/25)*DG146+(1-EXP(-LN(2)/25))/(LN(2)/25)*Calculateur!DB147*Calculateur!DD147*VLOOKUP('Données projet'!$B$13,'Paramètres'!$A$1:$I$88,3,0)*0.475*44/12</f>
        <v>#N/A</v>
      </c>
      <c r="DH147" s="162" t="str">
        <f>EXP(-LN(2)/2)*DH146+(1-EXP(-LN(2)/2))/(LN(2)/2)*DB147*DE147*VLOOKUP('Données projet'!$B$13,'Paramètres'!$A$1:$I$88,3,0)*0.475*44/12</f>
        <v>#N/A</v>
      </c>
      <c r="DI147" s="163" t="str">
        <f t="shared" si="16"/>
        <v>#N/A</v>
      </c>
      <c r="DJ147" s="159">
        <f>('Scénario référence'!$F$8+'Scénario référence'!$F$9+'Scénario référence'!$B$17+'Scénario référence'!$B$9+'Scénario référence'!$B$10)*70+IF((45+25*(1-EXP(-0.0175*A147)))&lt;70,'Scénario référence'!$B$16*(45+25*(1-EXP(-0.0175*A147))),70*'Scénario référence'!$B$16)+IF((32+38*(1-EXP(-0.0175*A147)))&lt;70,'Scénario référence'!$B$18*(32+38*(1-EXP(-0.0175*A147))),70*'Scénario référence'!$B$18)</f>
        <v>70</v>
      </c>
      <c r="DK147" s="151">
        <f>IF(A147&gt;30,10,('Scénario référence'!$B$16+'Scénario référence'!$B$17+'Scénario référence'!$B$18+'Scénario référence'!$B$9+'Scénario référence'!$B$10)*A147*10/30+('Scénario référence'!$F$8+'Scénario référence'!$F$9)*10)</f>
        <v>10</v>
      </c>
      <c r="DL147" s="151" t="str">
        <f>VLOOKUP(A147,'Données projet'!$A$165:$I$185,2,0)</f>
        <v>#N/A</v>
      </c>
      <c r="DM147" s="151" t="str">
        <f>VLOOKUP(A147,'Données projet'!$A$165:$I$185,9,0)</f>
        <v>#N/A</v>
      </c>
      <c r="DN147" s="151" t="str">
        <f t="array" ref="DN147">INDEX(DM:DM,MIN(IF(ISNUMBER(DM147:DM343),ROW(DM147:DM343),"")))</f>
        <v/>
      </c>
      <c r="DO147" s="151">
        <f>IF('Données projet'!$A$166&gt;35,DO146+DN147-DW146,IF(A147&lt;'Données projet'!$A$166,$DL$205^A147,IF(A147='Données projet'!$A$166,'Données projet'!$B$166,DO146+DN147-DW146)))</f>
        <v>0</v>
      </c>
      <c r="DP147" s="158" t="str">
        <f>DO147*VLOOKUP('Données projet'!$B$14,'Paramètres'!$A$1:$I$88,3,0)*VLOOKUP('Données projet'!$B$14,'Paramètres'!$A$1:$I$88,5,0)</f>
        <v>#N/A</v>
      </c>
      <c r="DQ147" s="150" t="str">
        <f t="shared" si="44"/>
        <v>#N/A</v>
      </c>
      <c r="DR147" s="161" t="str">
        <f t="shared" si="17"/>
        <v>#N/A</v>
      </c>
      <c r="DS147" s="153" t="str">
        <f t="shared" si="18"/>
        <v>#N/A</v>
      </c>
      <c r="DT147" s="153" t="str">
        <f>AVERAGE(OFFSET($DS$3,0,0,'Données projet'!$E$14+1,1))-AVERAGE(OFFSET($H$3,0,0,'Données projet'!$E$14+1,1))</f>
        <v>#N/A</v>
      </c>
      <c r="DU147" s="153" t="str">
        <f t="shared" si="45"/>
        <v>#N/A</v>
      </c>
      <c r="DV147" s="154">
        <f>IF(ISNA(VLOOKUP(A147,'Données projet'!$A$165:$I$185,3,0)),0,VLOOKUP(A147,'Données projet'!$A$165:$I$185,3,0))</f>
        <v>0</v>
      </c>
      <c r="DW147" s="154">
        <f>IF(ISNA(VLOOKUP(A147,'Données projet'!$A$165:$I$185,4,0)),0,VLOOKUP(A147,'Données projet'!$A$165:$I$185,4,0))</f>
        <v>0</v>
      </c>
      <c r="DX147" s="155">
        <f>IF(ISNA(VLOOKUP(A147,'Données projet'!$A$165:$I$185,5,0)),0%,VLOOKUP(A147,'Données projet'!$A$165:$I$185,5,0)*VLOOKUP('Données projet'!$B$14,'Paramètres'!$A$1:$I$88,7,0))</f>
        <v>0</v>
      </c>
      <c r="DY147" s="155">
        <f>IF(ISNA(VLOOKUP(A147,'Données projet'!$A$165:$I$185,6,0)),0%,VLOOKUP(A147,'Données projet'!$A$165:$I$185,6,0)*VLOOKUP('Données projet'!$B$14,'Paramètres'!$A$1:$I$88,7,0))</f>
        <v>0</v>
      </c>
      <c r="DZ147" s="155">
        <f>IF(ISNA(VLOOKUP(A147,'Données projet'!$A$165:$I$185,7,0)),0%,VLOOKUP(A147,'Données projet'!$A$165:$I$185,7,0))</f>
        <v>0</v>
      </c>
      <c r="EA147" s="162" t="str">
        <f>EXP(-LN(2)/35)*EA146+(1-EXP(-LN(2)/35))/(LN(2)/35)*DW147*DX147*VLOOKUP('Données projet'!$B$14,'Paramètres'!$A$1:$I$88,3,0)*0.475*44/12</f>
        <v>#N/A</v>
      </c>
      <c r="EB147" s="162" t="str">
        <f>EXP(-LN(2)/25)*EB146+(1-EXP(-LN(2)/25))/(LN(2)/25)*Calculateur!DW147*Calculateur!DY147*VLOOKUP('Données projet'!$B$14,'Paramètres'!$A$1:$I$88,3,0)*0.475*44/12</f>
        <v>#N/A</v>
      </c>
      <c r="EC147" s="162" t="str">
        <f>EXP(-LN(2)/2)*EC146+(1-EXP(-LN(2)/2))/(LN(2)/2)*DW147*DZ147*VLOOKUP('Données projet'!$B$14,'Paramètres'!$A$1:$I$88,3,0)*0.475*44/12</f>
        <v>#N/A</v>
      </c>
      <c r="ED147" s="163" t="str">
        <f t="shared" si="19"/>
        <v>#N/A</v>
      </c>
      <c r="EE147" s="159">
        <f>('Scénario référence'!$F$8+'Scénario référence'!$F$9+'Scénario référence'!$B$17+'Scénario référence'!$B$9+'Scénario référence'!$B$10)*70+IF((45+25*(1-EXP(-0.0175*A147)))&lt;70,'Scénario référence'!$B$16*(45+25*(1-EXP(-0.0175*A147))),70*'Scénario référence'!$B$16)+IF((32+38*(1-EXP(-0.0175*A147)))&lt;70,'Scénario référence'!$B$18*(32+38*(1-EXP(-0.0175*A147))),70*'Scénario référence'!$B$18)</f>
        <v>70</v>
      </c>
      <c r="EF147" s="151">
        <f>IF(A147&gt;30,10,('Scénario référence'!$B$16+'Scénario référence'!$B$17+'Scénario référence'!$B$18+'Scénario référence'!$B$9+'Scénario référence'!$B$10)*A147*10/30+('Scénario référence'!$F$8+'Scénario référence'!$F$9)*10)</f>
        <v>10</v>
      </c>
      <c r="EG147" s="151" t="str">
        <f>VLOOKUP(A147,'Données projet'!$A$191:$I$211,2,0)</f>
        <v>#N/A</v>
      </c>
      <c r="EH147" s="151" t="str">
        <f>VLOOKUP(A147,'Données projet'!$A$191:$I$211,9,0)</f>
        <v>#N/A</v>
      </c>
      <c r="EI147" s="151" t="str">
        <f t="array" ref="EI147">INDEX(EH:EH,MIN(IF(ISNUMBER(EH147:EH343),ROW(EH147:EH343),"")))</f>
        <v/>
      </c>
      <c r="EJ147" s="151">
        <f>IF('Données projet'!$A$192&gt;35,EJ146+EI147-ER146,IF(A147&lt;'Données projet'!$A$192,$EG$205^A147,IF(A147='Données projet'!$A$192,'Données projet'!$B$192,EJ146+EI147-ER146)))</f>
        <v>0</v>
      </c>
      <c r="EK147" s="158" t="str">
        <f>EJ147*VLOOKUP('Données projet'!$B$15,'Paramètres'!$A$1:$I$88,3,0)*VLOOKUP('Données projet'!$B$15,'Paramètres'!$A$1:$I$88,5,0)</f>
        <v>#N/A</v>
      </c>
      <c r="EL147" s="150" t="str">
        <f t="shared" si="46"/>
        <v>#N/A</v>
      </c>
      <c r="EM147" s="161" t="str">
        <f t="shared" si="20"/>
        <v>#N/A</v>
      </c>
      <c r="EN147" s="153" t="str">
        <f t="shared" si="21"/>
        <v>#N/A</v>
      </c>
      <c r="EO147" s="153" t="str">
        <f>AVERAGE(OFFSET($EN$3,0,0,'Données projet'!$E$15+1,1))-AVERAGE(OFFSET($H$3,0,0,'Données projet'!$E$15+1,1))</f>
        <v>#N/A</v>
      </c>
      <c r="EP147" s="153" t="str">
        <f t="shared" si="47"/>
        <v>#N/A</v>
      </c>
      <c r="EQ147" s="154">
        <f>IF(ISNA(VLOOKUP(A147,'Données projet'!$A$191:$I$211,3,0)),0,VLOOKUP(A147,'Données projet'!$A$191:$I$211,3,0))</f>
        <v>0</v>
      </c>
      <c r="ER147" s="154">
        <f>IF(ISNA(VLOOKUP(A147,'Données projet'!$A$191:$I$211,4,0)),0,VLOOKUP(A147,'Données projet'!$A$191:$I$211,4,0))</f>
        <v>0</v>
      </c>
      <c r="ES147" s="155">
        <f>IF(ISNA(VLOOKUP(A147,'Données projet'!$A$191:$I$211,5,0)),0%,VLOOKUP(A147,'Données projet'!$A$191:$I$211,5,0)*VLOOKUP('Données projet'!$B$15,'Paramètres'!$A$1:$I$88,7,0))</f>
        <v>0</v>
      </c>
      <c r="ET147" s="155">
        <f>IF(ISNA(VLOOKUP(A147,'Données projet'!$A$191:$I$211,6,0)),0%,VLOOKUP(A147,'Données projet'!$A$191:$I$211,6,0)*VLOOKUP('Données projet'!$B$15,'Paramètres'!$A$1:$I$88,7,0))</f>
        <v>0</v>
      </c>
      <c r="EU147" s="155">
        <f>IF(ISNA(VLOOKUP(A147,'Données projet'!$A$191:$I$211,7,0)),0%,VLOOKUP(A147,'Données projet'!$A$191:$I$211,7,0))</f>
        <v>0</v>
      </c>
      <c r="EV147" s="162" t="str">
        <f>EXP(-LN(2)/35)*EV146+(1-EXP(-LN(2)/35))/(LN(2)/35)*ER147*ES147*VLOOKUP('Données projet'!$B$15,'Paramètres'!$A$1:$I$88,3,0)*0.475*44/12</f>
        <v>#N/A</v>
      </c>
      <c r="EW147" s="162" t="str">
        <f>EXP(-LN(2)/25)*EW146+(1-EXP(-LN(2)/25))/(LN(2)/25)*Calculateur!ER147*Calculateur!ET147*VLOOKUP('Données projet'!$B$15,'Paramètres'!$A$1:$I$88,3,0)*0.475*44/12</f>
        <v>#N/A</v>
      </c>
      <c r="EX147" s="162" t="str">
        <f>EXP(-LN(2)/2)*EX146+(1-EXP(-LN(2)/2))/(LN(2)/2)*ER147*EU147*VLOOKUP('Données projet'!$B$15,'Paramètres'!$A$1:$I$88,3,0)*0.475*44/12</f>
        <v>#N/A</v>
      </c>
      <c r="EY147" s="163" t="str">
        <f t="shared" si="22"/>
        <v>#N/A</v>
      </c>
      <c r="EZ147" s="159">
        <f>('Scénario référence'!$F$8+'Scénario référence'!$F$9+'Scénario référence'!$B$17+'Scénario référence'!$B$9+'Scénario référence'!$B$10)*70+IF((45+25*(1-EXP(-0.0175*A147)))&lt;70,'Scénario référence'!$B$16*(45+25*(1-EXP(-0.0175*A147))),70*'Scénario référence'!$B$16)+IF((32+38*(1-EXP(-0.0175*A147)))&lt;70,'Scénario référence'!$B$18*(32+38*(1-EXP(-0.0175*A147))),70*'Scénario référence'!$B$18)</f>
        <v>70</v>
      </c>
      <c r="FA147" s="151">
        <f>IF(A147&gt;30,10,('Scénario référence'!$B$16+'Scénario référence'!$B$17+'Scénario référence'!$B$18+'Scénario référence'!$B$9+'Scénario référence'!$B$10)*A147*10/30+('Scénario référence'!$F$8+'Scénario référence'!$F$9)*10)</f>
        <v>10</v>
      </c>
      <c r="FB147" s="151" t="str">
        <f>VLOOKUP(A147,'Données projet'!$A$217:$I$237,2,0)</f>
        <v>#N/A</v>
      </c>
      <c r="FC147" s="151" t="str">
        <f>VLOOKUP(A147,'Données projet'!$A$217:$I$237,9,0)</f>
        <v>#N/A</v>
      </c>
      <c r="FD147" s="151" t="str">
        <f t="array" ref="FD147">INDEX(FC:FC,MIN(IF(ISNUMBER(FC147:FC343),ROW(FC147:FC343),"")))</f>
        <v/>
      </c>
      <c r="FE147" s="151">
        <f>IF('Données projet'!$A$218&gt;35,FE146+FD147-FM146,IF(A147&lt;'Données projet'!$A$218,$FB$205^A147,IF(A147='Données projet'!$A$218,'Données projet'!$B$218,FE146+FD147-FM146)))</f>
        <v>0</v>
      </c>
      <c r="FF147" s="158" t="str">
        <f>FE147*VLOOKUP('Données projet'!$B$16,'Paramètres'!$A$1:$I$88,3,0)*VLOOKUP('Données projet'!$B$16,'Paramètres'!$A$1:$I$88,5,0)</f>
        <v>#N/A</v>
      </c>
      <c r="FG147" s="150" t="str">
        <f t="shared" si="48"/>
        <v>#N/A</v>
      </c>
      <c r="FH147" s="161" t="str">
        <f t="shared" si="23"/>
        <v>#N/A</v>
      </c>
      <c r="FI147" s="153" t="str">
        <f t="shared" si="24"/>
        <v>#N/A</v>
      </c>
      <c r="FJ147" s="153" t="str">
        <f>AVERAGE(OFFSET($FI$3,0,0,'Données projet'!$E$16+1,1))-AVERAGE(OFFSET($H$3,0,0,'Données projet'!$E$16+1,1))</f>
        <v>#N/A</v>
      </c>
      <c r="FK147" s="153" t="str">
        <f t="shared" si="49"/>
        <v>#N/A</v>
      </c>
      <c r="FL147" s="154">
        <f>IF(ISNA(VLOOKUP(A147,'Données projet'!$A$217:$I$237,3,0)),0,VLOOKUP(A147,'Données projet'!$A$217:$I$237,3,0))</f>
        <v>0</v>
      </c>
      <c r="FM147" s="154">
        <f>IF(ISNA(VLOOKUP(A147,'Données projet'!$A$217:$I$237,4,0)),0,VLOOKUP(A147,'Données projet'!$A$217:$I$237,4,0))</f>
        <v>0</v>
      </c>
      <c r="FN147" s="155">
        <f>IF(ISNA(VLOOKUP(A147,'Données projet'!$A$217:$I$237,5,0)),0%,VLOOKUP(A147,'Données projet'!$A$217:$I$237,5,0)*VLOOKUP('Données projet'!$B$16,'Paramètres'!$A$1:$I$88,7,0))</f>
        <v>0</v>
      </c>
      <c r="FO147" s="155">
        <f>IF(ISNA(VLOOKUP(A147,'Données projet'!$A$217:$I$237,6,0)),0%,VLOOKUP(A147,'Données projet'!$A$217:$I$237,6,0)*VLOOKUP('Données projet'!$B$16,'Paramètres'!$A$1:$I$88,7,0))</f>
        <v>0</v>
      </c>
      <c r="FP147" s="155">
        <f>IF(ISNA(VLOOKUP(A147,'Données projet'!$A$217:$I$237,7,0)),0%,VLOOKUP(A147,'Données projet'!$A$217:$I$237,7,0))</f>
        <v>0</v>
      </c>
      <c r="FQ147" s="162" t="str">
        <f>EXP(-LN(2)/35)*FQ146+(1-EXP(-LN(2)/35))/(LN(2)/35)*FM147*FN147*VLOOKUP('Données projet'!$B$16,'Paramètres'!$A$1:$I$88,3,0)*0.475*44/12</f>
        <v>#N/A</v>
      </c>
      <c r="FR147" s="162" t="str">
        <f>EXP(-LN(2)/25)*FR146+(1-EXP(-LN(2)/25))/(LN(2)/25)*Calculateur!FM147*Calculateur!FO147*VLOOKUP('Données projet'!$B$16,'Paramètres'!$A$1:$I$88,3,0)*0.475*44/12</f>
        <v>#N/A</v>
      </c>
      <c r="FS147" s="162" t="str">
        <f>EXP(-LN(2)/2)*FS146+(1-EXP(-LN(2)/2))/(LN(2)/2)*FM147*FP147*VLOOKUP('Données projet'!$B$16,'Paramètres'!$A$1:$I$88,3,0)*0.475*44/12</f>
        <v>#N/A</v>
      </c>
      <c r="FT147" s="163" t="str">
        <f t="shared" si="25"/>
        <v>#N/A</v>
      </c>
      <c r="FU147" s="159">
        <f>('Scénario référence'!$F$8+'Scénario référence'!$F$9+'Scénario référence'!$B$17+'Scénario référence'!$B$9+'Scénario référence'!$B$10)*70+IF((45+25*(1-EXP(-0.0175*A147)))&lt;70,'Scénario référence'!$B$16*(45+25*(1-EXP(-0.0175*A147))),70*'Scénario référence'!$B$16)+IF((32+38*(1-EXP(-0.0175*A147)))&lt;70,'Scénario référence'!$B$18*(32+38*(1-EXP(-0.0175*A147))),70*'Scénario référence'!$B$18)</f>
        <v>70</v>
      </c>
      <c r="FV147" s="151">
        <f>IF(A147&gt;30,10,('Scénario référence'!$B$16+'Scénario référence'!$B$17+'Scénario référence'!$B$18+'Scénario référence'!$B$9+'Scénario référence'!$B$10)*A147*10/30+('Scénario référence'!$F$8+'Scénario référence'!$F$9)*10)</f>
        <v>10</v>
      </c>
      <c r="FW147" s="151" t="str">
        <f>VLOOKUP(A147,'Données projet'!$A$243:$I$263,2,0)</f>
        <v>#N/A</v>
      </c>
      <c r="FX147" s="151" t="str">
        <f>VLOOKUP(A147,'Données projet'!$A$243:$I$263,9,0)</f>
        <v>#N/A</v>
      </c>
      <c r="FY147" s="151" t="str">
        <f t="array" ref="FY147">INDEX(FX:FX,MIN(IF(ISNUMBER(FX147:FX343),ROW(FX147:FX343),"")))</f>
        <v/>
      </c>
      <c r="FZ147" s="151">
        <f>IF('Données projet'!$A$244&gt;35,FZ146+FY147-GH146,IF(A147&lt;'Données projet'!$A$244,$FW$205^A147,IF(A147='Données projet'!$A$244,'Données projet'!$B$244,FZ146+FY147-GH146)))</f>
        <v>0</v>
      </c>
      <c r="GA147" s="158" t="str">
        <f>FZ147*VLOOKUP('Données projet'!$B$17,'Paramètres'!$A$1:$I$88,3,0)*VLOOKUP('Données projet'!$B$17,'Paramètres'!$A$1:$I$88,5,0)</f>
        <v>#N/A</v>
      </c>
      <c r="GB147" s="150" t="str">
        <f t="shared" si="50"/>
        <v>#N/A</v>
      </c>
      <c r="GC147" s="161" t="str">
        <f t="shared" si="26"/>
        <v>#N/A</v>
      </c>
      <c r="GD147" s="153" t="str">
        <f t="shared" si="27"/>
        <v>#N/A</v>
      </c>
      <c r="GE147" s="153" t="str">
        <f>AVERAGE(OFFSET($GD$3,0,0,'Données projet'!$E$17+1,1))-AVERAGE(OFFSET($H$3,0,0,'Données projet'!$E$17+1,1))</f>
        <v>#N/A</v>
      </c>
      <c r="GF147" s="153" t="str">
        <f t="shared" si="51"/>
        <v>#N/A</v>
      </c>
      <c r="GG147" s="154">
        <f>IF(ISNA(VLOOKUP(A147,'Données projet'!$A$243:$I$263,3,0)),0,VLOOKUP(A147,'Données projet'!$A$243:$I$263,3,0))</f>
        <v>0</v>
      </c>
      <c r="GH147" s="154">
        <f>IF(ISNA(VLOOKUP(A147,'Données projet'!$A$243:$I$263,4,0)),0,VLOOKUP(A147,'Données projet'!$A$243:$I$263,4,0))</f>
        <v>0</v>
      </c>
      <c r="GI147" s="155">
        <f>IF(ISNA(VLOOKUP(A147,'Données projet'!$A$243:$I$263,5,0)),0%,VLOOKUP(A147,'Données projet'!$A$243:$I$263,5,0)*VLOOKUP('Données projet'!$B$17,'Paramètres'!$A$1:$I$88,7,0))</f>
        <v>0</v>
      </c>
      <c r="GJ147" s="155">
        <f>IF(ISNA(VLOOKUP(A147,'Données projet'!$A$243:$I$263,6,0)),0%,VLOOKUP(A147,'Données projet'!$A$243:$I$263,6,0)*VLOOKUP('Données projet'!$B$17,'Paramètres'!$A$1:$I$88,7,0))</f>
        <v>0</v>
      </c>
      <c r="GK147" s="155">
        <f>IF(ISNA(VLOOKUP(A147,'Données projet'!$A$243:$I$263,7,0)),0%,VLOOKUP(A147,'Données projet'!$A$243:$I$263,7,0))</f>
        <v>0</v>
      </c>
      <c r="GL147" s="162" t="str">
        <f>EXP(-LN(2)/35)*GL146+(1-EXP(-LN(2)/35))/(LN(2)/35)*GH147*GI147*VLOOKUP('Données projet'!$B$17,'Paramètres'!$A$1:$I$88,3,0)*0.475*44/12</f>
        <v>#N/A</v>
      </c>
      <c r="GM147" s="162" t="str">
        <f>EXP(-LN(2)/25)*GM146+(1-EXP(-LN(2)/25))/(LN(2)/25)*Calculateur!GH147*Calculateur!GJ147*VLOOKUP('Données projet'!$B$17,'Paramètres'!$A$1:$I$88,3,0)*0.475*44/12</f>
        <v>#N/A</v>
      </c>
      <c r="GN147" s="162" t="str">
        <f>EXP(-LN(2)/2)*GN146+(1-EXP(-LN(2)/2))/(LN(2)/2)*GH147*GK147*VLOOKUP('Données projet'!$B$17,'Paramètres'!$A$1:$I$88,3,0)*0.475*44/12</f>
        <v>#N/A</v>
      </c>
      <c r="GO147" s="162" t="str">
        <f t="shared" si="28"/>
        <v>#N/A</v>
      </c>
      <c r="GP147" s="159">
        <f>('Scénario référence'!$F$8+'Scénario référence'!$F$9+'Scénario référence'!$B$17+'Scénario référence'!$B$9+'Scénario référence'!$B$10)*70+IF((45+25*(1-EXP(-0.0175*A147)))&lt;70,'Scénario référence'!$B$16*(45+25*(1-EXP(-0.0175*A147))),70*'Scénario référence'!$B$16)+IF((32+38*(1-EXP(-0.0175*A147)))&lt;70,'Scénario référence'!$B$18*(32+38*(1-EXP(-0.0175*A147))),70*'Scénario référence'!$B$18)</f>
        <v>70</v>
      </c>
      <c r="GQ147" s="151">
        <f>IF(A147&gt;30,10,('Scénario référence'!$B$16+'Scénario référence'!$B$17+'Scénario référence'!$B$18+'Scénario référence'!$B$9+'Scénario référence'!$B$10)*A147*10/30+('Scénario référence'!$F$8+'Scénario référence'!$F$9)*10)</f>
        <v>10</v>
      </c>
      <c r="GR147" s="151" t="str">
        <f>VLOOKUP(A147,'Données projet'!$A$269:$I$289,2,0)</f>
        <v>#N/A</v>
      </c>
      <c r="GS147" s="151" t="str">
        <f>VLOOKUP(A147,'Données projet'!$A$269:$I$289,9,0)</f>
        <v>#N/A</v>
      </c>
      <c r="GT147" s="151" t="str">
        <f t="array" ref="GT147">INDEX(GS:GS,MIN(IF(ISNUMBER(GS147:GS343),ROW(GS147:GS343),"")))</f>
        <v/>
      </c>
      <c r="GU147" s="151">
        <f>IF('Données projet'!$A$270&gt;35,GU146+GT147-HC146,IF(A147&lt;'Données projet'!$A$270,$GR$205^A147,IF(A147='Données projet'!$A$270,'Données projet'!$B$270,GU146+GT147-HC146)))</f>
        <v>0</v>
      </c>
      <c r="GV147" s="158" t="str">
        <f>GU147*VLOOKUP('Données projet'!$B$18,'Paramètres'!$A$1:$I$88,3,0)*VLOOKUP('Données projet'!$B$18,'Paramètres'!$A$1:$I$88,5,0)</f>
        <v>#N/A</v>
      </c>
      <c r="GW147" s="150" t="str">
        <f t="shared" si="52"/>
        <v>#N/A</v>
      </c>
      <c r="GX147" s="161" t="str">
        <f t="shared" si="29"/>
        <v>#N/A</v>
      </c>
      <c r="GY147" s="153" t="str">
        <f t="shared" si="30"/>
        <v>#N/A</v>
      </c>
      <c r="GZ147" s="153" t="str">
        <f>AVERAGE(OFFSET($GY$3,0,0,'Données projet'!$E$18+1,1))-AVERAGE(OFFSET($H$3,0,0,'Données projet'!$E$18+1,1))</f>
        <v>#N/A</v>
      </c>
      <c r="HA147" s="153" t="str">
        <f t="shared" si="53"/>
        <v>#N/A</v>
      </c>
      <c r="HB147" s="154">
        <f>IF(ISNA(VLOOKUP(A147,'Données projet'!$A$269:$I$289,3,0)),0,VLOOKUP(A147,'Données projet'!$A$269:$I$289,3,0))</f>
        <v>0</v>
      </c>
      <c r="HC147" s="154">
        <f>IF(ISNA(VLOOKUP(A147,'Données projet'!$A$269:$I$289,4,0)),0,VLOOKUP(A147,'Données projet'!$A$269:$I$289,4,0))</f>
        <v>0</v>
      </c>
      <c r="HD147" s="155">
        <f>IF(ISNA(VLOOKUP(A147,'Données projet'!$A$269:$I$289,5,0)),0%,VLOOKUP(A147,'Données projet'!$A$269:$I$289,5,0)*VLOOKUP('Données projet'!$B$18,'Paramètres'!$A$1:$I$88,7,0))</f>
        <v>0</v>
      </c>
      <c r="HE147" s="155">
        <f>IF(ISNA(VLOOKUP(A147,'Données projet'!$A$269:$I$289,6,0)),0%,VLOOKUP(A147,'Données projet'!$A$269:$I$289,6,0)*VLOOKUP('Données projet'!$B$18,'Paramètres'!$A$1:$I$88,7,0))</f>
        <v>0</v>
      </c>
      <c r="HF147" s="155">
        <f>IF(ISNA(VLOOKUP(A147,'Données projet'!$A$269:$I$289,7,0)),0%,VLOOKUP(A147,'Données projet'!$A$269:$I$289,7,0))</f>
        <v>0</v>
      </c>
      <c r="HG147" s="162" t="str">
        <f>EXP(-LN(2)/35)*HG146+(1-EXP(-LN(2)/35))/(LN(2)/35)*HC147*HD147*VLOOKUP('Données projet'!$B$18,'Paramètres'!$A$1:$I$88,3,0)*0.475*44/12</f>
        <v>#N/A</v>
      </c>
      <c r="HH147" s="162" t="str">
        <f>EXP(-LN(2)/25)*HH146+(1-EXP(-LN(2)/25))/(LN(2)/25)*Calculateur!HC147*Calculateur!HE147*VLOOKUP('Données projet'!$B$18,'Paramètres'!$A$1:$I$88,3,0)*0.475*44/12</f>
        <v>#N/A</v>
      </c>
      <c r="HI147" s="162" t="str">
        <f>EXP(-LN(2)/2)*HI146+(1-EXP(-LN(2)/2))/(LN(2)/2)*HC147*HF147*VLOOKUP('Données projet'!$B$18,'Paramètres'!$A$1:$I$88,3,0)*0.475*44/12</f>
        <v>#N/A</v>
      </c>
      <c r="HJ147" s="163" t="str">
        <f t="shared" si="31"/>
        <v>#N/A</v>
      </c>
    </row>
    <row r="148" ht="15.75" customHeight="1">
      <c r="A148" s="145">
        <f t="shared" si="32"/>
        <v>145</v>
      </c>
      <c r="B148" s="146">
        <f>'Scénario référence'!$B$16*5+'Scénario référence'!$B$17*0+'Scénario référence'!$B$18*5</f>
        <v>0</v>
      </c>
      <c r="C148" s="160">
        <f>Calculateur!C147+'Scénario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48" s="147">
        <f t="shared" si="33"/>
        <v>0</v>
      </c>
      <c r="E148" s="147">
        <f>'Scénario référence'!$B$16*45+('Scénario référence'!$B$17+'Scénario référence'!$F$8+'Scénario référence'!$F$9+'Scénario référence'!$B$10+'Scénario référence'!$B$9)*70+'Scénario référence'!$B$18*32</f>
        <v>70</v>
      </c>
      <c r="F148" s="147">
        <f>IF(OR('Scénario référence'!$F$8&gt;0,'Scénario référence'!$F$9&gt;0),('Scénario référence'!$F$8+'Scénario référence'!$F$9)*10,0)</f>
        <v>0</v>
      </c>
      <c r="G148" s="147">
        <f>'Scénario référence'!$B$8*B148*44/12+'Scénario référence'!$B$9*(C148+D148)/0.475*44/12+'Scénario référence'!$B$10*(C148+D148)/0.475*44/12+'Scénario référence'!$F$8*(C148+D148)/0.475*44/12+'Scénario référence'!$F$9*(C148+D148)/0.475*44/12</f>
        <v>0</v>
      </c>
      <c r="H148" s="148">
        <f t="shared" si="1"/>
        <v>256.6666667</v>
      </c>
      <c r="I148" s="149">
        <f>('Scénario référence'!$F$8+'Scénario référence'!$F$9+'Scénario référence'!$B$17+'Scénario référence'!$B$9+'Scénario référence'!$B$10)*70+IF((45+25*(1-EXP(-0.0175*A148)))&lt;70,'Scénario référence'!$B$16*(45+25*(1-EXP(-0.0175*A148))),70*'Scénario référence'!$B$16)+IF((32+38*(1-EXP(-0.0175*A148)))&lt;70,'Scénario référence'!$B$18*(32+38*(1-EXP(-0.0175*A148))),70*'Scénario référence'!$B$18)</f>
        <v>70</v>
      </c>
      <c r="J148" s="150">
        <f>IF(A148&gt;30,10,('Scénario référence'!$B$16+'Scénario référence'!$B$17+'Scénario référence'!$B$18+'Scénario référence'!$B$9+'Scénario référence'!$B$10)*A148*10/30+('Scénario référence'!$F$8+'Scénario référence'!$F$9)*10)</f>
        <v>10</v>
      </c>
      <c r="K148" s="151" t="str">
        <f>VLOOKUP(A148,'Données projet'!$A$35:$I$55,2,0)</f>
        <v>#N/A</v>
      </c>
      <c r="L148" s="151" t="str">
        <f>VLOOKUP(A148,'Données projet'!$A$35:$I$55,9,0)</f>
        <v>#N/A</v>
      </c>
      <c r="M148" s="151" t="str">
        <f t="array" ref="M148">INDEX(L:L,MIN(IF(ISNUMBER(L148:L344),ROW(L148:L344),"")))</f>
        <v/>
      </c>
      <c r="N148" s="150">
        <f>IF('Données projet'!$A$36&gt;35,N147+M148-V147,IF(A148&lt;'Données projet'!$A$36,$K$205^A148,IF(A148='Données projet'!$A$36,'Données projet'!$B$36,N147+M148-V147)))</f>
        <v>307</v>
      </c>
      <c r="O148" s="150">
        <f>N148*VLOOKUP('Données projet'!$B$9,'Paramètres'!$A$1:$I$88,3,0)*VLOOKUP('Données projet'!$B$9,'Paramètres'!$A$1:$I$88,5,0)</f>
        <v>277.7736</v>
      </c>
      <c r="P148" s="150">
        <f t="shared" si="34"/>
        <v>66.49628818</v>
      </c>
      <c r="Q148" s="161">
        <f t="shared" si="2"/>
        <v>599.6033886</v>
      </c>
      <c r="R148" s="153">
        <f t="shared" si="3"/>
        <v>892.9367219</v>
      </c>
      <c r="S148" s="153">
        <f>AVERAGE(OFFSET($R$3,0,0,'Données projet'!$E$9+1,1))-AVERAGE(OFFSET($H$3,0,0,'Données projet'!$E$9+1,1))</f>
        <v>439.1985427</v>
      </c>
      <c r="T148" s="153">
        <f t="shared" si="35"/>
        <v>278.2174123</v>
      </c>
      <c r="U148" s="154">
        <f>IF(ISNA(VLOOKUP(A148,'Données projet'!$A$35:$I$55,3,0)),0,VLOOKUP(A148,'Données projet'!$A$35:$I$55,3,0))</f>
        <v>0</v>
      </c>
      <c r="V148" s="154">
        <f>IF(ISNA(VLOOKUP(A148,'Données projet'!$A$35:$I$55,4,0)),0,VLOOKUP(A148,'Données projet'!$A$35:$I$55,4,0))</f>
        <v>0</v>
      </c>
      <c r="W148" s="155">
        <f>IF(ISNA(VLOOKUP(A148,'Données projet'!$A$35:$I$55,5,0)),0%,VLOOKUP(A148,'Données projet'!$A$35:$I$55,5,0)*VLOOKUP('Données projet'!$B$9,'Paramètres'!$A$1:$I$88,7,0))</f>
        <v>0</v>
      </c>
      <c r="X148" s="155">
        <f>IF(ISNA(VLOOKUP(A148,'Données projet'!$A$35:$I$55,6,0)),0%,VLOOKUP(A148,'Données projet'!$A$35:$I$55,6,0)*VLOOKUP('Données projet'!$B$9,'Paramètres'!$A$1:$I$88,7,0))</f>
        <v>0</v>
      </c>
      <c r="Y148" s="155">
        <f>IF(ISNA(VLOOKUP(A148,'Données projet'!$A$35:$I$55,7,0)),0%,VLOOKUP(A148,'Données projet'!$A$35:$I$55,7,0))</f>
        <v>0</v>
      </c>
      <c r="Z148" s="162">
        <f>EXP(-LN(2)/35)*Z147+(1-EXP(-LN(2)/35))/(LN(2)/35)*V148*W148*VLOOKUP('Données projet'!$B$9,'Paramètres'!$A$1:$I$88,3,0)*0.475*44/12</f>
        <v>0</v>
      </c>
      <c r="AA148" s="162">
        <f>EXP(-LN(2)/25)*AA147+(1-EXP(-LN(2)/25))/(LN(2)/25)*Calculateur!V148*Calculateur!X148*VLOOKUP('Données projet'!$B$9,'Paramètres'!$A$1:$I$88,3,0)*0.475*44/12</f>
        <v>0.185043698</v>
      </c>
      <c r="AB148" s="162">
        <f>EXP(-LN(2)/2)*AB147+(1-EXP(-LN(2)/2))/(LN(2)/2)*V148*Y148*VLOOKUP('Données projet'!$B$9,'Paramètres'!$A$1:$I$88,3,0)*0.475*44/12</f>
        <v>0</v>
      </c>
      <c r="AC148" s="163">
        <f t="shared" si="4"/>
        <v>0.185043698</v>
      </c>
      <c r="AD148" s="150">
        <f>('Scénario référence'!$F$8+'Scénario référence'!$F$9+'Scénario référence'!$B$17+'Scénario référence'!$B$9+'Scénario référence'!$B$10)*70+IF((45+25*(1-EXP(-0.0175*A148)))&lt;70,'Scénario référence'!$B$16*(45+25*(1-EXP(-0.0175*A148))),70*'Scénario référence'!$B$16)+IF((32+38*(1-EXP(-0.0175*A148)))&lt;70,'Scénario référence'!$B$18*(32+38*(1-EXP(-0.0175*A148))),70*'Scénario référence'!$B$18)</f>
        <v>70</v>
      </c>
      <c r="AE148" s="150">
        <f>IF(A148&gt;30,10,('Scénario référence'!$B$16+'Scénario référence'!$B$17+'Scénario référence'!$B$18+'Scénario référence'!$B$9+'Scénario référence'!$B$10)*A148*10/30+('Scénario référence'!$F$8+'Scénario référence'!$F$9)*10)</f>
        <v>10</v>
      </c>
      <c r="AF148" s="151" t="str">
        <f>VLOOKUP(A148,'Données projet'!$A$61:$I$81,2,0)</f>
        <v>#N/A</v>
      </c>
      <c r="AG148" s="151" t="str">
        <f>VLOOKUP(A148,'Données projet'!$A$61:$I$81,9,0)</f>
        <v>#N/A</v>
      </c>
      <c r="AH148" s="151" t="str">
        <f t="array" ref="AH148">INDEX(AG:AG,MIN(IF(ISNUMBER(AG148:AG344),ROW(AG148:AG344),"")))</f>
        <v/>
      </c>
      <c r="AI148" s="150">
        <f>IF('Données projet'!$A$62&gt;35,AI147+AH148-AQ147,IF(A148&lt;'Données projet'!$A$62,$AF$205^A148,IF(A148='Données projet'!$A$62,'Données projet'!$B$62,AI147+AH148-AQ147)))</f>
        <v>369</v>
      </c>
      <c r="AJ148" s="150">
        <f>AI148*VLOOKUP('Données projet'!$B$10,'Paramètres'!$A$1:$I$88,3,0)*VLOOKUP('Données projet'!$B$10,'Paramètres'!$A$1:$I$88,5,0)</f>
        <v>293.5764</v>
      </c>
      <c r="AK148" s="150">
        <f t="shared" si="36"/>
        <v>69.82813851</v>
      </c>
      <c r="AL148" s="161">
        <f t="shared" si="5"/>
        <v>632.9295712</v>
      </c>
      <c r="AM148" s="153">
        <f t="shared" si="6"/>
        <v>926.2629046</v>
      </c>
      <c r="AN148" s="153">
        <f>AVERAGE(OFFSET($AM$3,0,0,'Données projet'!$E$10+1,1))-AVERAGE(OFFSET($H$3,0,0,'Données projet'!$E$10+1,1))</f>
        <v>405.6113614</v>
      </c>
      <c r="AO148" s="153">
        <f t="shared" si="37"/>
        <v>393.0787141</v>
      </c>
      <c r="AP148" s="154">
        <f>IF(ISNA(VLOOKUP(A148,'Données projet'!$A$61:$I$81,3,0)),0,VLOOKUP(A148,'Données projet'!$A$61:$I$81,3,0))</f>
        <v>0</v>
      </c>
      <c r="AQ148" s="154">
        <f>IF(ISNA(VLOOKUP(A148,'Données projet'!$A$61:$I$81,4,0)),0,VLOOKUP(A148,'Données projet'!$A$61:$I$81,4,0))</f>
        <v>0</v>
      </c>
      <c r="AR148" s="155">
        <f>IF(ISNA(VLOOKUP(A148,'Données projet'!$A$61:$I$81,5,0)),0%,VLOOKUP(A148,'Données projet'!$A$61:$I$81,5,0)*VLOOKUP('Données projet'!$B$10,'Paramètres'!$A$1:$I$88,7,0))</f>
        <v>0</v>
      </c>
      <c r="AS148" s="155">
        <f>IF(ISNA(VLOOKUP(A148,'Données projet'!$A$61:$I$81,6,0)),0%,VLOOKUP(A148,'Données projet'!$A$61:$I$81,6,0)*VLOOKUP('Données projet'!$B$10,'Paramètres'!$A$1:$I$88,7,0))</f>
        <v>0</v>
      </c>
      <c r="AT148" s="155">
        <f>IF(ISNA(VLOOKUP(A148,'Données projet'!$A$61:$I$81,7,0)),0%,VLOOKUP(A148,'Données projet'!$A$61:$I$81,7,0))</f>
        <v>0</v>
      </c>
      <c r="AU148" s="162">
        <f>EXP(-LN(2)/35)*AU147+(1-EXP(-LN(2)/35))/(LN(2)/35)*AQ148*AR148*VLOOKUP('Données projet'!$B$10,'Paramètres'!$A$1:$I$88,3,0)*0.475*44/12</f>
        <v>0</v>
      </c>
      <c r="AV148" s="162">
        <f>EXP(-LN(2)/25)*AV147+(1-EXP(-LN(2)/25))/(LN(2)/25)*Calculateur!AQ148*Calculateur!AS148*VLOOKUP('Données projet'!$B$10,'Paramètres'!$A$1:$I$88,3,0)*0.475*44/12</f>
        <v>0.7520646285</v>
      </c>
      <c r="AW148" s="162">
        <f>EXP(-LN(2)/2)*AW147+(1-EXP(-LN(2)/2))/(LN(2)/2)*AQ148*AT148*VLOOKUP('Données projet'!$B$10,'Paramètres'!$A$1:$I$88,3,0)*0.475*44/12</f>
        <v>0</v>
      </c>
      <c r="AX148" s="162">
        <f t="shared" si="7"/>
        <v>0.7520646285</v>
      </c>
      <c r="AY148" s="157">
        <f>('Scénario référence'!$F$8+'Scénario référence'!$F$9+'Scénario référence'!$B$17+'Scénario référence'!$B$9+'Scénario référence'!$B$10)*70+IF((45+25*(1-EXP(-0.0175*A148)))&lt;70,'Scénario référence'!$B$16*(45+25*(1-EXP(-0.0175*A148))),70*'Scénario référence'!$B$16)+IF((32+38*(1-EXP(-0.0175*A148)))&lt;70,'Scénario référence'!$B$18*(32+38*(1-EXP(-0.0175*A148))),70*'Scénario référence'!$B$18)</f>
        <v>70</v>
      </c>
      <c r="AZ148" s="151">
        <f>IF(A148&gt;30,10,('Scénario référence'!$B$16+'Scénario référence'!$B$17+'Scénario référence'!$B$18+'Scénario référence'!$B$9+'Scénario référence'!$B$10)*A148*10/30+('Scénario référence'!$F$8+'Scénario référence'!$F$9)*10)</f>
        <v>10</v>
      </c>
      <c r="BA148" s="151" t="str">
        <f>VLOOKUP(A148,'Données projet'!$A$87:$I$107,2,0)</f>
        <v>#N/A</v>
      </c>
      <c r="BB148" s="151" t="str">
        <f>VLOOKUP(A148,'Données projet'!$A$87:$I$107,9,0)</f>
        <v>#N/A</v>
      </c>
      <c r="BC148" s="151" t="str">
        <f t="array" ref="BC148">INDEX(BB:BB,MIN(IF(ISNUMBER(BB148:BB344),ROW(BB148:BB344),"")))</f>
        <v/>
      </c>
      <c r="BD148" s="150">
        <f>IF('Données projet'!$A$88&gt;35,BD147+BC148-BL147,IF(A148&lt;'Données projet'!$A$88,$BA$205^A148,IF(A148='Données projet'!$A$88,'Données projet'!$B$88,BD147+BC148-BL147)))</f>
        <v>0</v>
      </c>
      <c r="BE148" s="150">
        <f>BD148*VLOOKUP('Données projet'!$B$11,'Paramètres'!$A$1:$I$88,3,0)*VLOOKUP('Données projet'!$B$11,'Paramètres'!$A$1:$I$88,5,0)</f>
        <v>0</v>
      </c>
      <c r="BF148" s="150" t="str">
        <f t="shared" si="38"/>
        <v>#NUM!</v>
      </c>
      <c r="BG148" s="161" t="str">
        <f t="shared" si="8"/>
        <v>#NUM!</v>
      </c>
      <c r="BH148" s="153" t="str">
        <f t="shared" si="9"/>
        <v>#NUM!</v>
      </c>
      <c r="BI148" s="153">
        <f>AVERAGE(OFFSET($BH$3,0,0,'Données projet'!$E$11+1,1))-AVERAGE(OFFSET($H$3,0,0,'Données projet'!$E$11+1,1))</f>
        <v>0</v>
      </c>
      <c r="BJ148" s="153">
        <f t="shared" si="39"/>
        <v>0</v>
      </c>
      <c r="BK148" s="154">
        <f>IF(ISNA(VLOOKUP(A148,'Données projet'!$A$87:$I$107,3,0)),0,VLOOKUP(A148,'Données projet'!$A$87:$I$107,3,0))</f>
        <v>0</v>
      </c>
      <c r="BL148" s="154">
        <f>IF(ISNA(VLOOKUP(A148,'Données projet'!$A$87:$I$107,4,0)),0,VLOOKUP(A148,'Données projet'!$A$87:$I$107,4,0))</f>
        <v>0</v>
      </c>
      <c r="BM148" s="155">
        <f>IF(ISNA(VLOOKUP(A148,'Données projet'!$A$87:$I$107,5,0)),0%,VLOOKUP(A148,'Données projet'!$A$87:$I$107,5,0)*VLOOKUP('Données projet'!$B$11,'Paramètres'!$A$1:$I$88,7,0))</f>
        <v>0</v>
      </c>
      <c r="BN148" s="155">
        <f>IF(ISNA(VLOOKUP(A148,'Données projet'!$A$87:$I$107,6,0)),0%,VLOOKUP(A148,'Données projet'!$A$87:$I$107,6,0)*VLOOKUP('Données projet'!$B$11,'Paramètres'!$A$1:$I$88,7,0))</f>
        <v>0</v>
      </c>
      <c r="BO148" s="155">
        <f>IF(ISNA(VLOOKUP(A148,'Données projet'!$A$87:$I$107,7,0)),0%,VLOOKUP(A148,'Données projet'!$A$87:$I$107,7,0))</f>
        <v>0</v>
      </c>
      <c r="BP148" s="162">
        <f>EXP(-LN(2)/35)*BP147+(1-EXP(-LN(2)/35))/(LN(2)/35)*BL148*BM148*VLOOKUP('Données projet'!$B$11,'Paramètres'!$A$1:$I$88,3,0)*0.475*44/12</f>
        <v>0</v>
      </c>
      <c r="BQ148" s="162">
        <f>EXP(-LN(2)/25)*BQ147+(1-EXP(-LN(2)/25))/(LN(2)/25)*Calculateur!BL148*Calculateur!BN148*VLOOKUP('Données projet'!$B$11,'Paramètres'!$A$1:$I$88,3,0)*0.475*44/12</f>
        <v>0</v>
      </c>
      <c r="BR148" s="162">
        <f>EXP(-LN(2)/2)*BR147+(1-EXP(-LN(2)/2))/(LN(2)/2)*BL148*BO148*VLOOKUP('Données projet'!$B$11,'Paramètres'!$A$1:$I$88,3,0)*0.475*44/12</f>
        <v>0</v>
      </c>
      <c r="BS148" s="163">
        <f t="shared" si="10"/>
        <v>0</v>
      </c>
      <c r="BT148" s="159">
        <f>('Scénario référence'!$F$8+'Scénario référence'!$F$9+'Scénario référence'!$B$17+'Scénario référence'!$B$9+'Scénario référence'!$B$10)*70+IF((45+25*(1-EXP(-0.0175*A148)))&lt;70,'Scénario référence'!$B$16*(45+25*(1-EXP(-0.0175*A148))),70*'Scénario référence'!$B$16)+IF((32+38*(1-EXP(-0.0175*A148)))&lt;70,'Scénario référence'!$B$18*(32+38*(1-EXP(-0.0175*A148))),70*'Scénario référence'!$B$18)</f>
        <v>70</v>
      </c>
      <c r="BU148" s="151">
        <f>IF(A148&gt;30,10,('Scénario référence'!$B$16+'Scénario référence'!$B$17+'Scénario référence'!$B$18+'Scénario référence'!$B$9+'Scénario référence'!$B$10)*A148*10/30+('Scénario référence'!$F$8+'Scénario référence'!$F$9)*10)</f>
        <v>10</v>
      </c>
      <c r="BV148" s="151" t="str">
        <f>VLOOKUP(A148,'Données projet'!$A$113:$I$133,2,0)</f>
        <v>#N/A</v>
      </c>
      <c r="BW148" s="151" t="str">
        <f>VLOOKUP(A148,'Données projet'!$A$113:$I$133,9,0)</f>
        <v>#N/A</v>
      </c>
      <c r="BX148" s="151" t="str">
        <f t="array" ref="BX148">INDEX(BW:BW,MIN(IF(ISNUMBER(BW148:BW344),ROW(BW148:BW344),"")))</f>
        <v/>
      </c>
      <c r="BY148" s="150">
        <f>IF('Données projet'!$A$114&gt;35,BY147+BX148-CG147,IF(A148&lt;'Données projet'!$A$114,$BV$205^A148,IF(A148='Données projet'!$A$114,'Données projet'!$B$114,BY147+BX148-CG147)))</f>
        <v>0</v>
      </c>
      <c r="BZ148" s="150" t="str">
        <f>BY148*VLOOKUP('Données projet'!$B$12,'Paramètres'!$A$1:$I$88,3,0)*VLOOKUP('Données projet'!$B$12,'Paramètres'!$A$1:$I$88,5,0)</f>
        <v>#N/A</v>
      </c>
      <c r="CA148" s="150" t="str">
        <f t="shared" si="40"/>
        <v>#N/A</v>
      </c>
      <c r="CB148" s="161" t="str">
        <f t="shared" si="11"/>
        <v>#N/A</v>
      </c>
      <c r="CC148" s="153" t="str">
        <f t="shared" si="12"/>
        <v>#N/A</v>
      </c>
      <c r="CD148" s="153" t="str">
        <f>AVERAGE(OFFSET($CC$3,0,0,'Données projet'!$E$12+1,1))-AVERAGE(OFFSET($H$3,0,0,'Données projet'!$E$12+1,1))</f>
        <v>#N/A</v>
      </c>
      <c r="CE148" s="153" t="str">
        <f t="shared" si="41"/>
        <v>#N/A</v>
      </c>
      <c r="CF148" s="154">
        <f>IF(ISNA(VLOOKUP(A148,'Données projet'!$A$113:$I$133,3,0)),0,VLOOKUP(A148,'Données projet'!$A$113:$I$133,3,0))</f>
        <v>0</v>
      </c>
      <c r="CG148" s="154">
        <f>IF(ISNA(VLOOKUP(A148,'Données projet'!$A$113:$I$133,4,0)),0,VLOOKUP(A148,'Données projet'!$A$113:$I$133,4,0))</f>
        <v>0</v>
      </c>
      <c r="CH148" s="155">
        <f>IF(ISNA(VLOOKUP(A148,'Données projet'!$A$113:$I$133,5,0)),0%,VLOOKUP(A148,'Données projet'!$A$113:$I$133,5,0)*VLOOKUP('Données projet'!$B$12,'Paramètres'!$A$1:$I$88,7,0))</f>
        <v>0</v>
      </c>
      <c r="CI148" s="155">
        <f>IF(ISNA(VLOOKUP(A148,'Données projet'!$A$113:$I$133,6,0)),0%,VLOOKUP(A148,'Données projet'!$A$113:$I$133,6,0)*VLOOKUP('Données projet'!$B$12,'Paramètres'!$A$1:$I$88,7,0))</f>
        <v>0</v>
      </c>
      <c r="CJ148" s="155">
        <f>IF(ISNA(VLOOKUP(A148,'Données projet'!$A$113:$I$133,7,0)),0%,VLOOKUP(A148,'Données projet'!$A$113:$I$133,7,0))</f>
        <v>0</v>
      </c>
      <c r="CK148" s="162" t="str">
        <f>EXP(-LN(2)/35)*CK147+(1-EXP(-LN(2)/35))/(LN(2)/35)*CG148*CH148*VLOOKUP('Données projet'!$B$12,'Paramètres'!$A$1:$I$88,3,0)*0.475*44/12</f>
        <v>#N/A</v>
      </c>
      <c r="CL148" s="162" t="str">
        <f>EXP(-LN(2)/25)*CL147+(1-EXP(-LN(2)/25))/(LN(2)/25)*Calculateur!CG148*Calculateur!CI148*VLOOKUP('Données projet'!$B$12,'Paramètres'!$A$1:$I$88,3,0)*0.475*44/12</f>
        <v>#N/A</v>
      </c>
      <c r="CM148" s="162" t="str">
        <f>EXP(-LN(2)/2)*CM147+(1-EXP(-LN(2)/2))/(LN(2)/2)*CG148*CJ148*VLOOKUP('Données projet'!$B$12,'Paramètres'!$A$1:$I$88,3,0)*0.475*44/12</f>
        <v>#N/A</v>
      </c>
      <c r="CN148" s="163" t="str">
        <f t="shared" si="13"/>
        <v>#N/A</v>
      </c>
      <c r="CO148" s="159">
        <f>('Scénario référence'!$F$8+'Scénario référence'!$F$9+'Scénario référence'!$B$17+'Scénario référence'!$B$9+'Scénario référence'!$B$10)*70+IF((45+25*(1-EXP(-0.0175*A148)))&lt;70,'Scénario référence'!$B$16*(45+25*(1-EXP(-0.0175*A148))),70*'Scénario référence'!$B$16)+IF((32+38*(1-EXP(-0.0175*A148)))&lt;70,'Scénario référence'!$B$18*(32+38*(1-EXP(-0.0175*A148))),70*'Scénario référence'!$B$18)</f>
        <v>70</v>
      </c>
      <c r="CP148" s="151">
        <f>IF(A148&gt;30,10,('Scénario référence'!$B$16+'Scénario référence'!$B$17+'Scénario référence'!$B$18+'Scénario référence'!$B$9+'Scénario référence'!$B$10)*A148*10/30+('Scénario référence'!$F$8+'Scénario référence'!$F$9)*10)</f>
        <v>10</v>
      </c>
      <c r="CQ148" s="151" t="str">
        <f>VLOOKUP(A148,'Données projet'!$A$139:$I$159,2,0)</f>
        <v>#N/A</v>
      </c>
      <c r="CR148" s="151" t="str">
        <f>VLOOKUP(A148,'Données projet'!$A$139:$I$159,9,0)</f>
        <v>#N/A</v>
      </c>
      <c r="CS148" s="151" t="str">
        <f t="array" ref="CS148">INDEX(CR:CR,MIN(IF(ISNUMBER(CR148:CR344),ROW(CR148:CR344),"")))</f>
        <v/>
      </c>
      <c r="CT148" s="151">
        <f>IF('Données projet'!$A$140&gt;35,CT147+CS148-DB147,IF(A148&lt;'Données projet'!$A$140,$CQ$205^A148,IF(A148='Données projet'!$A$140,'Données projet'!$B$140,CT147+CS148-DB147)))</f>
        <v>0</v>
      </c>
      <c r="CU148" s="158" t="str">
        <f>CT148*VLOOKUP('Données projet'!$B$13,'Paramètres'!$A$1:$I$88,3,0)*VLOOKUP('Données projet'!$B$13,'Paramètres'!$A$1:$I$88,5,0)</f>
        <v>#N/A</v>
      </c>
      <c r="CV148" s="150" t="str">
        <f t="shared" si="42"/>
        <v>#N/A</v>
      </c>
      <c r="CW148" s="161" t="str">
        <f t="shared" si="14"/>
        <v>#N/A</v>
      </c>
      <c r="CX148" s="153" t="str">
        <f t="shared" si="15"/>
        <v>#N/A</v>
      </c>
      <c r="CY148" s="153" t="str">
        <f>AVERAGE(OFFSET($CX$3,0,0,'Données projet'!$E$13+1,1))-AVERAGE(OFFSET($H$3,0,0,'Données projet'!$E$13+1,1))</f>
        <v>#N/A</v>
      </c>
      <c r="CZ148" s="153" t="str">
        <f t="shared" si="43"/>
        <v>#N/A</v>
      </c>
      <c r="DA148" s="154">
        <f>IF(ISNA(VLOOKUP(A148,'Données projet'!$A$139:$I$159,3,0)),0,VLOOKUP(A148,'Données projet'!$A$139:$I$159,3,0))</f>
        <v>0</v>
      </c>
      <c r="DB148" s="154">
        <f>IF(ISNA(VLOOKUP(A148,'Données projet'!$A$139:$I$159,4,0)),0,VLOOKUP(A148,'Données projet'!$A$139:$I$159,4,0))</f>
        <v>0</v>
      </c>
      <c r="DC148" s="155">
        <f>IF(ISNA(VLOOKUP(A148,'Données projet'!$A$139:$I$159,5,0)),0%,VLOOKUP(A148,'Données projet'!$A$139:$I$159,5,0)*VLOOKUP('Données projet'!$B$13,'Paramètres'!$A$1:$I$88,7,0))</f>
        <v>0</v>
      </c>
      <c r="DD148" s="155">
        <f>IF(ISNA(VLOOKUP(A148,'Données projet'!$A$139:$I$159,6,0)),0%,VLOOKUP(A148,'Données projet'!$A$139:$I$159,6,0)*VLOOKUP('Données projet'!$B$13,'Paramètres'!$A$1:$I$88,7,0))</f>
        <v>0</v>
      </c>
      <c r="DE148" s="155">
        <f>IF(ISNA(VLOOKUP(A148,'Données projet'!$A$139:$I$159,7,0)),0%,VLOOKUP(A148,'Données projet'!$A$139:$I$159,7,0))</f>
        <v>0</v>
      </c>
      <c r="DF148" s="162" t="str">
        <f>EXP(-LN(2)/35)*DF147+(1-EXP(-LN(2)/35))/(LN(2)/35)*DB148*DC148*VLOOKUP('Données projet'!$B$13,'Paramètres'!$A$1:$I$88,3,0)*0.475*44/12</f>
        <v>#N/A</v>
      </c>
      <c r="DG148" s="162" t="str">
        <f>EXP(-LN(2)/25)*DG147+(1-EXP(-LN(2)/25))/(LN(2)/25)*Calculateur!DB148*Calculateur!DD148*VLOOKUP('Données projet'!$B$13,'Paramètres'!$A$1:$I$88,3,0)*0.475*44/12</f>
        <v>#N/A</v>
      </c>
      <c r="DH148" s="162" t="str">
        <f>EXP(-LN(2)/2)*DH147+(1-EXP(-LN(2)/2))/(LN(2)/2)*DB148*DE148*VLOOKUP('Données projet'!$B$13,'Paramètres'!$A$1:$I$88,3,0)*0.475*44/12</f>
        <v>#N/A</v>
      </c>
      <c r="DI148" s="163" t="str">
        <f t="shared" si="16"/>
        <v>#N/A</v>
      </c>
      <c r="DJ148" s="159">
        <f>('Scénario référence'!$F$8+'Scénario référence'!$F$9+'Scénario référence'!$B$17+'Scénario référence'!$B$9+'Scénario référence'!$B$10)*70+IF((45+25*(1-EXP(-0.0175*A148)))&lt;70,'Scénario référence'!$B$16*(45+25*(1-EXP(-0.0175*A148))),70*'Scénario référence'!$B$16)+IF((32+38*(1-EXP(-0.0175*A148)))&lt;70,'Scénario référence'!$B$18*(32+38*(1-EXP(-0.0175*A148))),70*'Scénario référence'!$B$18)</f>
        <v>70</v>
      </c>
      <c r="DK148" s="151">
        <f>IF(A148&gt;30,10,('Scénario référence'!$B$16+'Scénario référence'!$B$17+'Scénario référence'!$B$18+'Scénario référence'!$B$9+'Scénario référence'!$B$10)*A148*10/30+('Scénario référence'!$F$8+'Scénario référence'!$F$9)*10)</f>
        <v>10</v>
      </c>
      <c r="DL148" s="151" t="str">
        <f>VLOOKUP(A148,'Données projet'!$A$165:$I$185,2,0)</f>
        <v>#N/A</v>
      </c>
      <c r="DM148" s="151" t="str">
        <f>VLOOKUP(A148,'Données projet'!$A$165:$I$185,9,0)</f>
        <v>#N/A</v>
      </c>
      <c r="DN148" s="151" t="str">
        <f t="array" ref="DN148">INDEX(DM:DM,MIN(IF(ISNUMBER(DM148:DM344),ROW(DM148:DM344),"")))</f>
        <v/>
      </c>
      <c r="DO148" s="151">
        <f>IF('Données projet'!$A$166&gt;35,DO147+DN148-DW147,IF(A148&lt;'Données projet'!$A$166,$DL$205^A148,IF(A148='Données projet'!$A$166,'Données projet'!$B$166,DO147+DN148-DW147)))</f>
        <v>0</v>
      </c>
      <c r="DP148" s="158" t="str">
        <f>DO148*VLOOKUP('Données projet'!$B$14,'Paramètres'!$A$1:$I$88,3,0)*VLOOKUP('Données projet'!$B$14,'Paramètres'!$A$1:$I$88,5,0)</f>
        <v>#N/A</v>
      </c>
      <c r="DQ148" s="150" t="str">
        <f t="shared" si="44"/>
        <v>#N/A</v>
      </c>
      <c r="DR148" s="161" t="str">
        <f t="shared" si="17"/>
        <v>#N/A</v>
      </c>
      <c r="DS148" s="153" t="str">
        <f t="shared" si="18"/>
        <v>#N/A</v>
      </c>
      <c r="DT148" s="153" t="str">
        <f>AVERAGE(OFFSET($DS$3,0,0,'Données projet'!$E$14+1,1))-AVERAGE(OFFSET($H$3,0,0,'Données projet'!$E$14+1,1))</f>
        <v>#N/A</v>
      </c>
      <c r="DU148" s="153" t="str">
        <f t="shared" si="45"/>
        <v>#N/A</v>
      </c>
      <c r="DV148" s="154">
        <f>IF(ISNA(VLOOKUP(A148,'Données projet'!$A$165:$I$185,3,0)),0,VLOOKUP(A148,'Données projet'!$A$165:$I$185,3,0))</f>
        <v>0</v>
      </c>
      <c r="DW148" s="154">
        <f>IF(ISNA(VLOOKUP(A148,'Données projet'!$A$165:$I$185,4,0)),0,VLOOKUP(A148,'Données projet'!$A$165:$I$185,4,0))</f>
        <v>0</v>
      </c>
      <c r="DX148" s="155">
        <f>IF(ISNA(VLOOKUP(A148,'Données projet'!$A$165:$I$185,5,0)),0%,VLOOKUP(A148,'Données projet'!$A$165:$I$185,5,0)*VLOOKUP('Données projet'!$B$14,'Paramètres'!$A$1:$I$88,7,0))</f>
        <v>0</v>
      </c>
      <c r="DY148" s="155">
        <f>IF(ISNA(VLOOKUP(A148,'Données projet'!$A$165:$I$185,6,0)),0%,VLOOKUP(A148,'Données projet'!$A$165:$I$185,6,0)*VLOOKUP('Données projet'!$B$14,'Paramètres'!$A$1:$I$88,7,0))</f>
        <v>0</v>
      </c>
      <c r="DZ148" s="155">
        <f>IF(ISNA(VLOOKUP(A148,'Données projet'!$A$165:$I$185,7,0)),0%,VLOOKUP(A148,'Données projet'!$A$165:$I$185,7,0))</f>
        <v>0</v>
      </c>
      <c r="EA148" s="162" t="str">
        <f>EXP(-LN(2)/35)*EA147+(1-EXP(-LN(2)/35))/(LN(2)/35)*DW148*DX148*VLOOKUP('Données projet'!$B$14,'Paramètres'!$A$1:$I$88,3,0)*0.475*44/12</f>
        <v>#N/A</v>
      </c>
      <c r="EB148" s="162" t="str">
        <f>EXP(-LN(2)/25)*EB147+(1-EXP(-LN(2)/25))/(LN(2)/25)*Calculateur!DW148*Calculateur!DY148*VLOOKUP('Données projet'!$B$14,'Paramètres'!$A$1:$I$88,3,0)*0.475*44/12</f>
        <v>#N/A</v>
      </c>
      <c r="EC148" s="162" t="str">
        <f>EXP(-LN(2)/2)*EC147+(1-EXP(-LN(2)/2))/(LN(2)/2)*DW148*DZ148*VLOOKUP('Données projet'!$B$14,'Paramètres'!$A$1:$I$88,3,0)*0.475*44/12</f>
        <v>#N/A</v>
      </c>
      <c r="ED148" s="163" t="str">
        <f t="shared" si="19"/>
        <v>#N/A</v>
      </c>
      <c r="EE148" s="159">
        <f>('Scénario référence'!$F$8+'Scénario référence'!$F$9+'Scénario référence'!$B$17+'Scénario référence'!$B$9+'Scénario référence'!$B$10)*70+IF((45+25*(1-EXP(-0.0175*A148)))&lt;70,'Scénario référence'!$B$16*(45+25*(1-EXP(-0.0175*A148))),70*'Scénario référence'!$B$16)+IF((32+38*(1-EXP(-0.0175*A148)))&lt;70,'Scénario référence'!$B$18*(32+38*(1-EXP(-0.0175*A148))),70*'Scénario référence'!$B$18)</f>
        <v>70</v>
      </c>
      <c r="EF148" s="151">
        <f>IF(A148&gt;30,10,('Scénario référence'!$B$16+'Scénario référence'!$B$17+'Scénario référence'!$B$18+'Scénario référence'!$B$9+'Scénario référence'!$B$10)*A148*10/30+('Scénario référence'!$F$8+'Scénario référence'!$F$9)*10)</f>
        <v>10</v>
      </c>
      <c r="EG148" s="151" t="str">
        <f>VLOOKUP(A148,'Données projet'!$A$191:$I$211,2,0)</f>
        <v>#N/A</v>
      </c>
      <c r="EH148" s="151" t="str">
        <f>VLOOKUP(A148,'Données projet'!$A$191:$I$211,9,0)</f>
        <v>#N/A</v>
      </c>
      <c r="EI148" s="151" t="str">
        <f t="array" ref="EI148">INDEX(EH:EH,MIN(IF(ISNUMBER(EH148:EH344),ROW(EH148:EH344),"")))</f>
        <v/>
      </c>
      <c r="EJ148" s="151">
        <f>IF('Données projet'!$A$192&gt;35,EJ147+EI148-ER147,IF(A148&lt;'Données projet'!$A$192,$EG$205^A148,IF(A148='Données projet'!$A$192,'Données projet'!$B$192,EJ147+EI148-ER147)))</f>
        <v>0</v>
      </c>
      <c r="EK148" s="158" t="str">
        <f>EJ148*VLOOKUP('Données projet'!$B$15,'Paramètres'!$A$1:$I$88,3,0)*VLOOKUP('Données projet'!$B$15,'Paramètres'!$A$1:$I$88,5,0)</f>
        <v>#N/A</v>
      </c>
      <c r="EL148" s="150" t="str">
        <f t="shared" si="46"/>
        <v>#N/A</v>
      </c>
      <c r="EM148" s="161" t="str">
        <f t="shared" si="20"/>
        <v>#N/A</v>
      </c>
      <c r="EN148" s="153" t="str">
        <f t="shared" si="21"/>
        <v>#N/A</v>
      </c>
      <c r="EO148" s="153" t="str">
        <f>AVERAGE(OFFSET($EN$3,0,0,'Données projet'!$E$15+1,1))-AVERAGE(OFFSET($H$3,0,0,'Données projet'!$E$15+1,1))</f>
        <v>#N/A</v>
      </c>
      <c r="EP148" s="153" t="str">
        <f t="shared" si="47"/>
        <v>#N/A</v>
      </c>
      <c r="EQ148" s="154">
        <f>IF(ISNA(VLOOKUP(A148,'Données projet'!$A$191:$I$211,3,0)),0,VLOOKUP(A148,'Données projet'!$A$191:$I$211,3,0))</f>
        <v>0</v>
      </c>
      <c r="ER148" s="154">
        <f>IF(ISNA(VLOOKUP(A148,'Données projet'!$A$191:$I$211,4,0)),0,VLOOKUP(A148,'Données projet'!$A$191:$I$211,4,0))</f>
        <v>0</v>
      </c>
      <c r="ES148" s="155">
        <f>IF(ISNA(VLOOKUP(A148,'Données projet'!$A$191:$I$211,5,0)),0%,VLOOKUP(A148,'Données projet'!$A$191:$I$211,5,0)*VLOOKUP('Données projet'!$B$15,'Paramètres'!$A$1:$I$88,7,0))</f>
        <v>0</v>
      </c>
      <c r="ET148" s="155">
        <f>IF(ISNA(VLOOKUP(A148,'Données projet'!$A$191:$I$211,6,0)),0%,VLOOKUP(A148,'Données projet'!$A$191:$I$211,6,0)*VLOOKUP('Données projet'!$B$15,'Paramètres'!$A$1:$I$88,7,0))</f>
        <v>0</v>
      </c>
      <c r="EU148" s="155">
        <f>IF(ISNA(VLOOKUP(A148,'Données projet'!$A$191:$I$211,7,0)),0%,VLOOKUP(A148,'Données projet'!$A$191:$I$211,7,0))</f>
        <v>0</v>
      </c>
      <c r="EV148" s="162" t="str">
        <f>EXP(-LN(2)/35)*EV147+(1-EXP(-LN(2)/35))/(LN(2)/35)*ER148*ES148*VLOOKUP('Données projet'!$B$15,'Paramètres'!$A$1:$I$88,3,0)*0.475*44/12</f>
        <v>#N/A</v>
      </c>
      <c r="EW148" s="162" t="str">
        <f>EXP(-LN(2)/25)*EW147+(1-EXP(-LN(2)/25))/(LN(2)/25)*Calculateur!ER148*Calculateur!ET148*VLOOKUP('Données projet'!$B$15,'Paramètres'!$A$1:$I$88,3,0)*0.475*44/12</f>
        <v>#N/A</v>
      </c>
      <c r="EX148" s="162" t="str">
        <f>EXP(-LN(2)/2)*EX147+(1-EXP(-LN(2)/2))/(LN(2)/2)*ER148*EU148*VLOOKUP('Données projet'!$B$15,'Paramètres'!$A$1:$I$88,3,0)*0.475*44/12</f>
        <v>#N/A</v>
      </c>
      <c r="EY148" s="163" t="str">
        <f t="shared" si="22"/>
        <v>#N/A</v>
      </c>
      <c r="EZ148" s="159">
        <f>('Scénario référence'!$F$8+'Scénario référence'!$F$9+'Scénario référence'!$B$17+'Scénario référence'!$B$9+'Scénario référence'!$B$10)*70+IF((45+25*(1-EXP(-0.0175*A148)))&lt;70,'Scénario référence'!$B$16*(45+25*(1-EXP(-0.0175*A148))),70*'Scénario référence'!$B$16)+IF((32+38*(1-EXP(-0.0175*A148)))&lt;70,'Scénario référence'!$B$18*(32+38*(1-EXP(-0.0175*A148))),70*'Scénario référence'!$B$18)</f>
        <v>70</v>
      </c>
      <c r="FA148" s="151">
        <f>IF(A148&gt;30,10,('Scénario référence'!$B$16+'Scénario référence'!$B$17+'Scénario référence'!$B$18+'Scénario référence'!$B$9+'Scénario référence'!$B$10)*A148*10/30+('Scénario référence'!$F$8+'Scénario référence'!$F$9)*10)</f>
        <v>10</v>
      </c>
      <c r="FB148" s="151" t="str">
        <f>VLOOKUP(A148,'Données projet'!$A$217:$I$237,2,0)</f>
        <v>#N/A</v>
      </c>
      <c r="FC148" s="151" t="str">
        <f>VLOOKUP(A148,'Données projet'!$A$217:$I$237,9,0)</f>
        <v>#N/A</v>
      </c>
      <c r="FD148" s="151" t="str">
        <f t="array" ref="FD148">INDEX(FC:FC,MIN(IF(ISNUMBER(FC148:FC344),ROW(FC148:FC344),"")))</f>
        <v/>
      </c>
      <c r="FE148" s="151">
        <f>IF('Données projet'!$A$218&gt;35,FE147+FD148-FM147,IF(A148&lt;'Données projet'!$A$218,$FB$205^A148,IF(A148='Données projet'!$A$218,'Données projet'!$B$218,FE147+FD148-FM147)))</f>
        <v>0</v>
      </c>
      <c r="FF148" s="158" t="str">
        <f>FE148*VLOOKUP('Données projet'!$B$16,'Paramètres'!$A$1:$I$88,3,0)*VLOOKUP('Données projet'!$B$16,'Paramètres'!$A$1:$I$88,5,0)</f>
        <v>#N/A</v>
      </c>
      <c r="FG148" s="150" t="str">
        <f t="shared" si="48"/>
        <v>#N/A</v>
      </c>
      <c r="FH148" s="161" t="str">
        <f t="shared" si="23"/>
        <v>#N/A</v>
      </c>
      <c r="FI148" s="153" t="str">
        <f t="shared" si="24"/>
        <v>#N/A</v>
      </c>
      <c r="FJ148" s="153" t="str">
        <f>AVERAGE(OFFSET($FI$3,0,0,'Données projet'!$E$16+1,1))-AVERAGE(OFFSET($H$3,0,0,'Données projet'!$E$16+1,1))</f>
        <v>#N/A</v>
      </c>
      <c r="FK148" s="153" t="str">
        <f t="shared" si="49"/>
        <v>#N/A</v>
      </c>
      <c r="FL148" s="154">
        <f>IF(ISNA(VLOOKUP(A148,'Données projet'!$A$217:$I$237,3,0)),0,VLOOKUP(A148,'Données projet'!$A$217:$I$237,3,0))</f>
        <v>0</v>
      </c>
      <c r="FM148" s="154">
        <f>IF(ISNA(VLOOKUP(A148,'Données projet'!$A$217:$I$237,4,0)),0,VLOOKUP(A148,'Données projet'!$A$217:$I$237,4,0))</f>
        <v>0</v>
      </c>
      <c r="FN148" s="155">
        <f>IF(ISNA(VLOOKUP(A148,'Données projet'!$A$217:$I$237,5,0)),0%,VLOOKUP(A148,'Données projet'!$A$217:$I$237,5,0)*VLOOKUP('Données projet'!$B$16,'Paramètres'!$A$1:$I$88,7,0))</f>
        <v>0</v>
      </c>
      <c r="FO148" s="155">
        <f>IF(ISNA(VLOOKUP(A148,'Données projet'!$A$217:$I$237,6,0)),0%,VLOOKUP(A148,'Données projet'!$A$217:$I$237,6,0)*VLOOKUP('Données projet'!$B$16,'Paramètres'!$A$1:$I$88,7,0))</f>
        <v>0</v>
      </c>
      <c r="FP148" s="155">
        <f>IF(ISNA(VLOOKUP(A148,'Données projet'!$A$217:$I$237,7,0)),0%,VLOOKUP(A148,'Données projet'!$A$217:$I$237,7,0))</f>
        <v>0</v>
      </c>
      <c r="FQ148" s="162" t="str">
        <f>EXP(-LN(2)/35)*FQ147+(1-EXP(-LN(2)/35))/(LN(2)/35)*FM148*FN148*VLOOKUP('Données projet'!$B$16,'Paramètres'!$A$1:$I$88,3,0)*0.475*44/12</f>
        <v>#N/A</v>
      </c>
      <c r="FR148" s="162" t="str">
        <f>EXP(-LN(2)/25)*FR147+(1-EXP(-LN(2)/25))/(LN(2)/25)*Calculateur!FM148*Calculateur!FO148*VLOOKUP('Données projet'!$B$16,'Paramètres'!$A$1:$I$88,3,0)*0.475*44/12</f>
        <v>#N/A</v>
      </c>
      <c r="FS148" s="162" t="str">
        <f>EXP(-LN(2)/2)*FS147+(1-EXP(-LN(2)/2))/(LN(2)/2)*FM148*FP148*VLOOKUP('Données projet'!$B$16,'Paramètres'!$A$1:$I$88,3,0)*0.475*44/12</f>
        <v>#N/A</v>
      </c>
      <c r="FT148" s="163" t="str">
        <f t="shared" si="25"/>
        <v>#N/A</v>
      </c>
      <c r="FU148" s="159">
        <f>('Scénario référence'!$F$8+'Scénario référence'!$F$9+'Scénario référence'!$B$17+'Scénario référence'!$B$9+'Scénario référence'!$B$10)*70+IF((45+25*(1-EXP(-0.0175*A148)))&lt;70,'Scénario référence'!$B$16*(45+25*(1-EXP(-0.0175*A148))),70*'Scénario référence'!$B$16)+IF((32+38*(1-EXP(-0.0175*A148)))&lt;70,'Scénario référence'!$B$18*(32+38*(1-EXP(-0.0175*A148))),70*'Scénario référence'!$B$18)</f>
        <v>70</v>
      </c>
      <c r="FV148" s="151">
        <f>IF(A148&gt;30,10,('Scénario référence'!$B$16+'Scénario référence'!$B$17+'Scénario référence'!$B$18+'Scénario référence'!$B$9+'Scénario référence'!$B$10)*A148*10/30+('Scénario référence'!$F$8+'Scénario référence'!$F$9)*10)</f>
        <v>10</v>
      </c>
      <c r="FW148" s="151" t="str">
        <f>VLOOKUP(A148,'Données projet'!$A$243:$I$263,2,0)</f>
        <v>#N/A</v>
      </c>
      <c r="FX148" s="151" t="str">
        <f>VLOOKUP(A148,'Données projet'!$A$243:$I$263,9,0)</f>
        <v>#N/A</v>
      </c>
      <c r="FY148" s="151" t="str">
        <f t="array" ref="FY148">INDEX(FX:FX,MIN(IF(ISNUMBER(FX148:FX344),ROW(FX148:FX344),"")))</f>
        <v/>
      </c>
      <c r="FZ148" s="151">
        <f>IF('Données projet'!$A$244&gt;35,FZ147+FY148-GH147,IF(A148&lt;'Données projet'!$A$244,$FW$205^A148,IF(A148='Données projet'!$A$244,'Données projet'!$B$244,FZ147+FY148-GH147)))</f>
        <v>0</v>
      </c>
      <c r="GA148" s="158" t="str">
        <f>FZ148*VLOOKUP('Données projet'!$B$17,'Paramètres'!$A$1:$I$88,3,0)*VLOOKUP('Données projet'!$B$17,'Paramètres'!$A$1:$I$88,5,0)</f>
        <v>#N/A</v>
      </c>
      <c r="GB148" s="150" t="str">
        <f t="shared" si="50"/>
        <v>#N/A</v>
      </c>
      <c r="GC148" s="161" t="str">
        <f t="shared" si="26"/>
        <v>#N/A</v>
      </c>
      <c r="GD148" s="153" t="str">
        <f t="shared" si="27"/>
        <v>#N/A</v>
      </c>
      <c r="GE148" s="153" t="str">
        <f>AVERAGE(OFFSET($GD$3,0,0,'Données projet'!$E$17+1,1))-AVERAGE(OFFSET($H$3,0,0,'Données projet'!$E$17+1,1))</f>
        <v>#N/A</v>
      </c>
      <c r="GF148" s="153" t="str">
        <f t="shared" si="51"/>
        <v>#N/A</v>
      </c>
      <c r="GG148" s="154">
        <f>IF(ISNA(VLOOKUP(A148,'Données projet'!$A$243:$I$263,3,0)),0,VLOOKUP(A148,'Données projet'!$A$243:$I$263,3,0))</f>
        <v>0</v>
      </c>
      <c r="GH148" s="154">
        <f>IF(ISNA(VLOOKUP(A148,'Données projet'!$A$243:$I$263,4,0)),0,VLOOKUP(A148,'Données projet'!$A$243:$I$263,4,0))</f>
        <v>0</v>
      </c>
      <c r="GI148" s="155">
        <f>IF(ISNA(VLOOKUP(A148,'Données projet'!$A$243:$I$263,5,0)),0%,VLOOKUP(A148,'Données projet'!$A$243:$I$263,5,0)*VLOOKUP('Données projet'!$B$17,'Paramètres'!$A$1:$I$88,7,0))</f>
        <v>0</v>
      </c>
      <c r="GJ148" s="155">
        <f>IF(ISNA(VLOOKUP(A148,'Données projet'!$A$243:$I$263,6,0)),0%,VLOOKUP(A148,'Données projet'!$A$243:$I$263,6,0)*VLOOKUP('Données projet'!$B$17,'Paramètres'!$A$1:$I$88,7,0))</f>
        <v>0</v>
      </c>
      <c r="GK148" s="155">
        <f>IF(ISNA(VLOOKUP(A148,'Données projet'!$A$243:$I$263,7,0)),0%,VLOOKUP(A148,'Données projet'!$A$243:$I$263,7,0))</f>
        <v>0</v>
      </c>
      <c r="GL148" s="162" t="str">
        <f>EXP(-LN(2)/35)*GL147+(1-EXP(-LN(2)/35))/(LN(2)/35)*GH148*GI148*VLOOKUP('Données projet'!$B$17,'Paramètres'!$A$1:$I$88,3,0)*0.475*44/12</f>
        <v>#N/A</v>
      </c>
      <c r="GM148" s="162" t="str">
        <f>EXP(-LN(2)/25)*GM147+(1-EXP(-LN(2)/25))/(LN(2)/25)*Calculateur!GH148*Calculateur!GJ148*VLOOKUP('Données projet'!$B$17,'Paramètres'!$A$1:$I$88,3,0)*0.475*44/12</f>
        <v>#N/A</v>
      </c>
      <c r="GN148" s="162" t="str">
        <f>EXP(-LN(2)/2)*GN147+(1-EXP(-LN(2)/2))/(LN(2)/2)*GH148*GK148*VLOOKUP('Données projet'!$B$17,'Paramètres'!$A$1:$I$88,3,0)*0.475*44/12</f>
        <v>#N/A</v>
      </c>
      <c r="GO148" s="162" t="str">
        <f t="shared" si="28"/>
        <v>#N/A</v>
      </c>
      <c r="GP148" s="159">
        <f>('Scénario référence'!$F$8+'Scénario référence'!$F$9+'Scénario référence'!$B$17+'Scénario référence'!$B$9+'Scénario référence'!$B$10)*70+IF((45+25*(1-EXP(-0.0175*A148)))&lt;70,'Scénario référence'!$B$16*(45+25*(1-EXP(-0.0175*A148))),70*'Scénario référence'!$B$16)+IF((32+38*(1-EXP(-0.0175*A148)))&lt;70,'Scénario référence'!$B$18*(32+38*(1-EXP(-0.0175*A148))),70*'Scénario référence'!$B$18)</f>
        <v>70</v>
      </c>
      <c r="GQ148" s="151">
        <f>IF(A148&gt;30,10,('Scénario référence'!$B$16+'Scénario référence'!$B$17+'Scénario référence'!$B$18+'Scénario référence'!$B$9+'Scénario référence'!$B$10)*A148*10/30+('Scénario référence'!$F$8+'Scénario référence'!$F$9)*10)</f>
        <v>10</v>
      </c>
      <c r="GR148" s="151" t="str">
        <f>VLOOKUP(A148,'Données projet'!$A$269:$I$289,2,0)</f>
        <v>#N/A</v>
      </c>
      <c r="GS148" s="151" t="str">
        <f>VLOOKUP(A148,'Données projet'!$A$269:$I$289,9,0)</f>
        <v>#N/A</v>
      </c>
      <c r="GT148" s="151" t="str">
        <f t="array" ref="GT148">INDEX(GS:GS,MIN(IF(ISNUMBER(GS148:GS344),ROW(GS148:GS344),"")))</f>
        <v/>
      </c>
      <c r="GU148" s="151">
        <f>IF('Données projet'!$A$270&gt;35,GU147+GT148-HC147,IF(A148&lt;'Données projet'!$A$270,$GR$205^A148,IF(A148='Données projet'!$A$270,'Données projet'!$B$270,GU147+GT148-HC147)))</f>
        <v>0</v>
      </c>
      <c r="GV148" s="158" t="str">
        <f>GU148*VLOOKUP('Données projet'!$B$18,'Paramètres'!$A$1:$I$88,3,0)*VLOOKUP('Données projet'!$B$18,'Paramètres'!$A$1:$I$88,5,0)</f>
        <v>#N/A</v>
      </c>
      <c r="GW148" s="150" t="str">
        <f t="shared" si="52"/>
        <v>#N/A</v>
      </c>
      <c r="GX148" s="161" t="str">
        <f t="shared" si="29"/>
        <v>#N/A</v>
      </c>
      <c r="GY148" s="153" t="str">
        <f t="shared" si="30"/>
        <v>#N/A</v>
      </c>
      <c r="GZ148" s="153" t="str">
        <f>AVERAGE(OFFSET($GY$3,0,0,'Données projet'!$E$18+1,1))-AVERAGE(OFFSET($H$3,0,0,'Données projet'!$E$18+1,1))</f>
        <v>#N/A</v>
      </c>
      <c r="HA148" s="153" t="str">
        <f t="shared" si="53"/>
        <v>#N/A</v>
      </c>
      <c r="HB148" s="154">
        <f>IF(ISNA(VLOOKUP(A148,'Données projet'!$A$269:$I$289,3,0)),0,VLOOKUP(A148,'Données projet'!$A$269:$I$289,3,0))</f>
        <v>0</v>
      </c>
      <c r="HC148" s="154">
        <f>IF(ISNA(VLOOKUP(A148,'Données projet'!$A$269:$I$289,4,0)),0,VLOOKUP(A148,'Données projet'!$A$269:$I$289,4,0))</f>
        <v>0</v>
      </c>
      <c r="HD148" s="155">
        <f>IF(ISNA(VLOOKUP(A148,'Données projet'!$A$269:$I$289,5,0)),0%,VLOOKUP(A148,'Données projet'!$A$269:$I$289,5,0)*VLOOKUP('Données projet'!$B$18,'Paramètres'!$A$1:$I$88,7,0))</f>
        <v>0</v>
      </c>
      <c r="HE148" s="155">
        <f>IF(ISNA(VLOOKUP(A148,'Données projet'!$A$269:$I$289,6,0)),0%,VLOOKUP(A148,'Données projet'!$A$269:$I$289,6,0)*VLOOKUP('Données projet'!$B$18,'Paramètres'!$A$1:$I$88,7,0))</f>
        <v>0</v>
      </c>
      <c r="HF148" s="155">
        <f>IF(ISNA(VLOOKUP(A148,'Données projet'!$A$269:$I$289,7,0)),0%,VLOOKUP(A148,'Données projet'!$A$269:$I$289,7,0))</f>
        <v>0</v>
      </c>
      <c r="HG148" s="162" t="str">
        <f>EXP(-LN(2)/35)*HG147+(1-EXP(-LN(2)/35))/(LN(2)/35)*HC148*HD148*VLOOKUP('Données projet'!$B$18,'Paramètres'!$A$1:$I$88,3,0)*0.475*44/12</f>
        <v>#N/A</v>
      </c>
      <c r="HH148" s="162" t="str">
        <f>EXP(-LN(2)/25)*HH147+(1-EXP(-LN(2)/25))/(LN(2)/25)*Calculateur!HC148*Calculateur!HE148*VLOOKUP('Données projet'!$B$18,'Paramètres'!$A$1:$I$88,3,0)*0.475*44/12</f>
        <v>#N/A</v>
      </c>
      <c r="HI148" s="162" t="str">
        <f>EXP(-LN(2)/2)*HI147+(1-EXP(-LN(2)/2))/(LN(2)/2)*HC148*HF148*VLOOKUP('Données projet'!$B$18,'Paramètres'!$A$1:$I$88,3,0)*0.475*44/12</f>
        <v>#N/A</v>
      </c>
      <c r="HJ148" s="163" t="str">
        <f t="shared" si="31"/>
        <v>#N/A</v>
      </c>
    </row>
    <row r="149" ht="15.75" customHeight="1">
      <c r="A149" s="145">
        <f t="shared" si="32"/>
        <v>146</v>
      </c>
      <c r="B149" s="146">
        <f>'Scénario référence'!$B$16*5+'Scénario référence'!$B$17*0+'Scénario référence'!$B$18*5</f>
        <v>0</v>
      </c>
      <c r="C149" s="160">
        <f>Calculateur!C148+'Scénario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49" s="147">
        <f t="shared" si="33"/>
        <v>0</v>
      </c>
      <c r="E149" s="147">
        <f>'Scénario référence'!$B$16*45+('Scénario référence'!$B$17+'Scénario référence'!$F$8+'Scénario référence'!$F$9+'Scénario référence'!$B$10+'Scénario référence'!$B$9)*70+'Scénario référence'!$B$18*32</f>
        <v>70</v>
      </c>
      <c r="F149" s="147">
        <f>IF(OR('Scénario référence'!$F$8&gt;0,'Scénario référence'!$F$9&gt;0),('Scénario référence'!$F$8+'Scénario référence'!$F$9)*10,0)</f>
        <v>0</v>
      </c>
      <c r="G149" s="147">
        <f>'Scénario référence'!$B$8*B149*44/12+'Scénario référence'!$B$9*(C149+D149)/0.475*44/12+'Scénario référence'!$B$10*(C149+D149)/0.475*44/12+'Scénario référence'!$F$8*(C149+D149)/0.475*44/12+'Scénario référence'!$F$9*(C149+D149)/0.475*44/12</f>
        <v>0</v>
      </c>
      <c r="H149" s="148">
        <f t="shared" si="1"/>
        <v>256.6666667</v>
      </c>
      <c r="I149" s="149">
        <f>('Scénario référence'!$F$8+'Scénario référence'!$F$9+'Scénario référence'!$B$17+'Scénario référence'!$B$9+'Scénario référence'!$B$10)*70+IF((45+25*(1-EXP(-0.0175*A149)))&lt;70,'Scénario référence'!$B$16*(45+25*(1-EXP(-0.0175*A149))),70*'Scénario référence'!$B$16)+IF((32+38*(1-EXP(-0.0175*A149)))&lt;70,'Scénario référence'!$B$18*(32+38*(1-EXP(-0.0175*A149))),70*'Scénario référence'!$B$18)</f>
        <v>70</v>
      </c>
      <c r="J149" s="150">
        <f>IF(A149&gt;30,10,('Scénario référence'!$B$16+'Scénario référence'!$B$17+'Scénario référence'!$B$18+'Scénario référence'!$B$9+'Scénario référence'!$B$10)*A149*10/30+('Scénario référence'!$F$8+'Scénario référence'!$F$9)*10)</f>
        <v>10</v>
      </c>
      <c r="K149" s="151" t="str">
        <f>VLOOKUP(A149,'Données projet'!$A$35:$I$55,2,0)</f>
        <v>#N/A</v>
      </c>
      <c r="L149" s="151" t="str">
        <f>VLOOKUP(A149,'Données projet'!$A$35:$I$55,9,0)</f>
        <v>#N/A</v>
      </c>
      <c r="M149" s="151" t="str">
        <f t="array" ref="M149">INDEX(L:L,MIN(IF(ISNUMBER(L149:L345),ROW(L149:L345),"")))</f>
        <v/>
      </c>
      <c r="N149" s="150">
        <f>IF('Données projet'!$A$36&gt;35,N148+M149-V148,IF(A149&lt;'Données projet'!$A$36,$K$205^A149,IF(A149='Données projet'!$A$36,'Données projet'!$B$36,N148+M149-V148)))</f>
        <v>307</v>
      </c>
      <c r="O149" s="150">
        <f>N149*VLOOKUP('Données projet'!$B$9,'Paramètres'!$A$1:$I$88,3,0)*VLOOKUP('Données projet'!$B$9,'Paramètres'!$A$1:$I$88,5,0)</f>
        <v>277.7736</v>
      </c>
      <c r="P149" s="150">
        <f t="shared" si="34"/>
        <v>66.49628818</v>
      </c>
      <c r="Q149" s="161">
        <f t="shared" si="2"/>
        <v>599.6033886</v>
      </c>
      <c r="R149" s="153">
        <f t="shared" si="3"/>
        <v>892.9367219</v>
      </c>
      <c r="S149" s="153">
        <f>AVERAGE(OFFSET($R$3,0,0,'Données projet'!$E$9+1,1))-AVERAGE(OFFSET($H$3,0,0,'Données projet'!$E$9+1,1))</f>
        <v>439.1985427</v>
      </c>
      <c r="T149" s="153">
        <f t="shared" si="35"/>
        <v>278.2174123</v>
      </c>
      <c r="U149" s="154">
        <f>IF(ISNA(VLOOKUP(A149,'Données projet'!$A$35:$I$55,3,0)),0,VLOOKUP(A149,'Données projet'!$A$35:$I$55,3,0))</f>
        <v>0</v>
      </c>
      <c r="V149" s="154">
        <f>IF(ISNA(VLOOKUP(A149,'Données projet'!$A$35:$I$55,4,0)),0,VLOOKUP(A149,'Données projet'!$A$35:$I$55,4,0))</f>
        <v>0</v>
      </c>
      <c r="W149" s="155">
        <f>IF(ISNA(VLOOKUP(A149,'Données projet'!$A$35:$I$55,5,0)),0%,VLOOKUP(A149,'Données projet'!$A$35:$I$55,5,0)*VLOOKUP('Données projet'!$B$9,'Paramètres'!$A$1:$I$88,7,0))</f>
        <v>0</v>
      </c>
      <c r="X149" s="155">
        <f>IF(ISNA(VLOOKUP(A149,'Données projet'!$A$35:$I$55,6,0)),0%,VLOOKUP(A149,'Données projet'!$A$35:$I$55,6,0)*VLOOKUP('Données projet'!$B$9,'Paramètres'!$A$1:$I$88,7,0))</f>
        <v>0</v>
      </c>
      <c r="Y149" s="155">
        <f>IF(ISNA(VLOOKUP(A149,'Données projet'!$A$35:$I$55,7,0)),0%,VLOOKUP(A149,'Données projet'!$A$35:$I$55,7,0))</f>
        <v>0</v>
      </c>
      <c r="Z149" s="162">
        <f>EXP(-LN(2)/35)*Z148+(1-EXP(-LN(2)/35))/(LN(2)/35)*V149*W149*VLOOKUP('Données projet'!$B$9,'Paramètres'!$A$1:$I$88,3,0)*0.475*44/12</f>
        <v>0</v>
      </c>
      <c r="AA149" s="162">
        <f>EXP(-LN(2)/25)*AA148+(1-EXP(-LN(2)/25))/(LN(2)/25)*Calculateur!V149*Calculateur!X149*VLOOKUP('Données projet'!$B$9,'Paramètres'!$A$1:$I$88,3,0)*0.475*44/12</f>
        <v>0.1799836683</v>
      </c>
      <c r="AB149" s="162">
        <f>EXP(-LN(2)/2)*AB148+(1-EXP(-LN(2)/2))/(LN(2)/2)*V149*Y149*VLOOKUP('Données projet'!$B$9,'Paramètres'!$A$1:$I$88,3,0)*0.475*44/12</f>
        <v>0</v>
      </c>
      <c r="AC149" s="163">
        <f t="shared" si="4"/>
        <v>0.1799836683</v>
      </c>
      <c r="AD149" s="150">
        <f>('Scénario référence'!$F$8+'Scénario référence'!$F$9+'Scénario référence'!$B$17+'Scénario référence'!$B$9+'Scénario référence'!$B$10)*70+IF((45+25*(1-EXP(-0.0175*A149)))&lt;70,'Scénario référence'!$B$16*(45+25*(1-EXP(-0.0175*A149))),70*'Scénario référence'!$B$16)+IF((32+38*(1-EXP(-0.0175*A149)))&lt;70,'Scénario référence'!$B$18*(32+38*(1-EXP(-0.0175*A149))),70*'Scénario référence'!$B$18)</f>
        <v>70</v>
      </c>
      <c r="AE149" s="150">
        <f>IF(A149&gt;30,10,('Scénario référence'!$B$16+'Scénario référence'!$B$17+'Scénario référence'!$B$18+'Scénario référence'!$B$9+'Scénario référence'!$B$10)*A149*10/30+('Scénario référence'!$F$8+'Scénario référence'!$F$9)*10)</f>
        <v>10</v>
      </c>
      <c r="AF149" s="151" t="str">
        <f>VLOOKUP(A149,'Données projet'!$A$61:$I$81,2,0)</f>
        <v>#N/A</v>
      </c>
      <c r="AG149" s="151" t="str">
        <f>VLOOKUP(A149,'Données projet'!$A$61:$I$81,9,0)</f>
        <v>#N/A</v>
      </c>
      <c r="AH149" s="151" t="str">
        <f t="array" ref="AH149">INDEX(AG:AG,MIN(IF(ISNUMBER(AG149:AG345),ROW(AG149:AG345),"")))</f>
        <v/>
      </c>
      <c r="AI149" s="150">
        <f>IF('Données projet'!$A$62&gt;35,AI148+AH149-AQ148,IF(A149&lt;'Données projet'!$A$62,$AF$205^A149,IF(A149='Données projet'!$A$62,'Données projet'!$B$62,AI148+AH149-AQ148)))</f>
        <v>369</v>
      </c>
      <c r="AJ149" s="150">
        <f>AI149*VLOOKUP('Données projet'!$B$10,'Paramètres'!$A$1:$I$88,3,0)*VLOOKUP('Données projet'!$B$10,'Paramètres'!$A$1:$I$88,5,0)</f>
        <v>293.5764</v>
      </c>
      <c r="AK149" s="150">
        <f t="shared" si="36"/>
        <v>69.82813851</v>
      </c>
      <c r="AL149" s="161">
        <f t="shared" si="5"/>
        <v>632.9295712</v>
      </c>
      <c r="AM149" s="153">
        <f t="shared" si="6"/>
        <v>926.2629046</v>
      </c>
      <c r="AN149" s="153">
        <f>AVERAGE(OFFSET($AM$3,0,0,'Données projet'!$E$10+1,1))-AVERAGE(OFFSET($H$3,0,0,'Données projet'!$E$10+1,1))</f>
        <v>405.6113614</v>
      </c>
      <c r="AO149" s="153">
        <f t="shared" si="37"/>
        <v>393.0787141</v>
      </c>
      <c r="AP149" s="154">
        <f>IF(ISNA(VLOOKUP(A149,'Données projet'!$A$61:$I$81,3,0)),0,VLOOKUP(A149,'Données projet'!$A$61:$I$81,3,0))</f>
        <v>0</v>
      </c>
      <c r="AQ149" s="154">
        <f>IF(ISNA(VLOOKUP(A149,'Données projet'!$A$61:$I$81,4,0)),0,VLOOKUP(A149,'Données projet'!$A$61:$I$81,4,0))</f>
        <v>0</v>
      </c>
      <c r="AR149" s="155">
        <f>IF(ISNA(VLOOKUP(A149,'Données projet'!$A$61:$I$81,5,0)),0%,VLOOKUP(A149,'Données projet'!$A$61:$I$81,5,0)*VLOOKUP('Données projet'!$B$10,'Paramètres'!$A$1:$I$88,7,0))</f>
        <v>0</v>
      </c>
      <c r="AS149" s="155">
        <f>IF(ISNA(VLOOKUP(A149,'Données projet'!$A$61:$I$81,6,0)),0%,VLOOKUP(A149,'Données projet'!$A$61:$I$81,6,0)*VLOOKUP('Données projet'!$B$10,'Paramètres'!$A$1:$I$88,7,0))</f>
        <v>0</v>
      </c>
      <c r="AT149" s="155">
        <f>IF(ISNA(VLOOKUP(A149,'Données projet'!$A$61:$I$81,7,0)),0%,VLOOKUP(A149,'Données projet'!$A$61:$I$81,7,0))</f>
        <v>0</v>
      </c>
      <c r="AU149" s="162">
        <f>EXP(-LN(2)/35)*AU148+(1-EXP(-LN(2)/35))/(LN(2)/35)*AQ149*AR149*VLOOKUP('Données projet'!$B$10,'Paramètres'!$A$1:$I$88,3,0)*0.475*44/12</f>
        <v>0</v>
      </c>
      <c r="AV149" s="162">
        <f>EXP(-LN(2)/25)*AV148+(1-EXP(-LN(2)/25))/(LN(2)/25)*Calculateur!AQ149*Calculateur!AS149*VLOOKUP('Données projet'!$B$10,'Paramètres'!$A$1:$I$88,3,0)*0.475*44/12</f>
        <v>0.7314993817</v>
      </c>
      <c r="AW149" s="162">
        <f>EXP(-LN(2)/2)*AW148+(1-EXP(-LN(2)/2))/(LN(2)/2)*AQ149*AT149*VLOOKUP('Données projet'!$B$10,'Paramètres'!$A$1:$I$88,3,0)*0.475*44/12</f>
        <v>0</v>
      </c>
      <c r="AX149" s="162">
        <f t="shared" si="7"/>
        <v>0.7314993817</v>
      </c>
      <c r="AY149" s="157">
        <f>('Scénario référence'!$F$8+'Scénario référence'!$F$9+'Scénario référence'!$B$17+'Scénario référence'!$B$9+'Scénario référence'!$B$10)*70+IF((45+25*(1-EXP(-0.0175*A149)))&lt;70,'Scénario référence'!$B$16*(45+25*(1-EXP(-0.0175*A149))),70*'Scénario référence'!$B$16)+IF((32+38*(1-EXP(-0.0175*A149)))&lt;70,'Scénario référence'!$B$18*(32+38*(1-EXP(-0.0175*A149))),70*'Scénario référence'!$B$18)</f>
        <v>70</v>
      </c>
      <c r="AZ149" s="151">
        <f>IF(A149&gt;30,10,('Scénario référence'!$B$16+'Scénario référence'!$B$17+'Scénario référence'!$B$18+'Scénario référence'!$B$9+'Scénario référence'!$B$10)*A149*10/30+('Scénario référence'!$F$8+'Scénario référence'!$F$9)*10)</f>
        <v>10</v>
      </c>
      <c r="BA149" s="151" t="str">
        <f>VLOOKUP(A149,'Données projet'!$A$87:$I$107,2,0)</f>
        <v>#N/A</v>
      </c>
      <c r="BB149" s="151" t="str">
        <f>VLOOKUP(A149,'Données projet'!$A$87:$I$107,9,0)</f>
        <v>#N/A</v>
      </c>
      <c r="BC149" s="151" t="str">
        <f t="array" ref="BC149">INDEX(BB:BB,MIN(IF(ISNUMBER(BB149:BB345),ROW(BB149:BB345),"")))</f>
        <v/>
      </c>
      <c r="BD149" s="150">
        <f>IF('Données projet'!$A$88&gt;35,BD148+BC149-BL148,IF(A149&lt;'Données projet'!$A$88,$BA$205^A149,IF(A149='Données projet'!$A$88,'Données projet'!$B$88,BD148+BC149-BL148)))</f>
        <v>0</v>
      </c>
      <c r="BE149" s="150">
        <f>BD149*VLOOKUP('Données projet'!$B$11,'Paramètres'!$A$1:$I$88,3,0)*VLOOKUP('Données projet'!$B$11,'Paramètres'!$A$1:$I$88,5,0)</f>
        <v>0</v>
      </c>
      <c r="BF149" s="150" t="str">
        <f t="shared" si="38"/>
        <v>#NUM!</v>
      </c>
      <c r="BG149" s="161" t="str">
        <f t="shared" si="8"/>
        <v>#NUM!</v>
      </c>
      <c r="BH149" s="153" t="str">
        <f t="shared" si="9"/>
        <v>#NUM!</v>
      </c>
      <c r="BI149" s="153">
        <f>AVERAGE(OFFSET($BH$3,0,0,'Données projet'!$E$11+1,1))-AVERAGE(OFFSET($H$3,0,0,'Données projet'!$E$11+1,1))</f>
        <v>0</v>
      </c>
      <c r="BJ149" s="153">
        <f t="shared" si="39"/>
        <v>0</v>
      </c>
      <c r="BK149" s="154">
        <f>IF(ISNA(VLOOKUP(A149,'Données projet'!$A$87:$I$107,3,0)),0,VLOOKUP(A149,'Données projet'!$A$87:$I$107,3,0))</f>
        <v>0</v>
      </c>
      <c r="BL149" s="154">
        <f>IF(ISNA(VLOOKUP(A149,'Données projet'!$A$87:$I$107,4,0)),0,VLOOKUP(A149,'Données projet'!$A$87:$I$107,4,0))</f>
        <v>0</v>
      </c>
      <c r="BM149" s="155">
        <f>IF(ISNA(VLOOKUP(A149,'Données projet'!$A$87:$I$107,5,0)),0%,VLOOKUP(A149,'Données projet'!$A$87:$I$107,5,0)*VLOOKUP('Données projet'!$B$11,'Paramètres'!$A$1:$I$88,7,0))</f>
        <v>0</v>
      </c>
      <c r="BN149" s="155">
        <f>IF(ISNA(VLOOKUP(A149,'Données projet'!$A$87:$I$107,6,0)),0%,VLOOKUP(A149,'Données projet'!$A$87:$I$107,6,0)*VLOOKUP('Données projet'!$B$11,'Paramètres'!$A$1:$I$88,7,0))</f>
        <v>0</v>
      </c>
      <c r="BO149" s="155">
        <f>IF(ISNA(VLOOKUP(A149,'Données projet'!$A$87:$I$107,7,0)),0%,VLOOKUP(A149,'Données projet'!$A$87:$I$107,7,0))</f>
        <v>0</v>
      </c>
      <c r="BP149" s="162">
        <f>EXP(-LN(2)/35)*BP148+(1-EXP(-LN(2)/35))/(LN(2)/35)*BL149*BM149*VLOOKUP('Données projet'!$B$11,'Paramètres'!$A$1:$I$88,3,0)*0.475*44/12</f>
        <v>0</v>
      </c>
      <c r="BQ149" s="162">
        <f>EXP(-LN(2)/25)*BQ148+(1-EXP(-LN(2)/25))/(LN(2)/25)*Calculateur!BL149*Calculateur!BN149*VLOOKUP('Données projet'!$B$11,'Paramètres'!$A$1:$I$88,3,0)*0.475*44/12</f>
        <v>0</v>
      </c>
      <c r="BR149" s="162">
        <f>EXP(-LN(2)/2)*BR148+(1-EXP(-LN(2)/2))/(LN(2)/2)*BL149*BO149*VLOOKUP('Données projet'!$B$11,'Paramètres'!$A$1:$I$88,3,0)*0.475*44/12</f>
        <v>0</v>
      </c>
      <c r="BS149" s="163">
        <f t="shared" si="10"/>
        <v>0</v>
      </c>
      <c r="BT149" s="159">
        <f>('Scénario référence'!$F$8+'Scénario référence'!$F$9+'Scénario référence'!$B$17+'Scénario référence'!$B$9+'Scénario référence'!$B$10)*70+IF((45+25*(1-EXP(-0.0175*A149)))&lt;70,'Scénario référence'!$B$16*(45+25*(1-EXP(-0.0175*A149))),70*'Scénario référence'!$B$16)+IF((32+38*(1-EXP(-0.0175*A149)))&lt;70,'Scénario référence'!$B$18*(32+38*(1-EXP(-0.0175*A149))),70*'Scénario référence'!$B$18)</f>
        <v>70</v>
      </c>
      <c r="BU149" s="151">
        <f>IF(A149&gt;30,10,('Scénario référence'!$B$16+'Scénario référence'!$B$17+'Scénario référence'!$B$18+'Scénario référence'!$B$9+'Scénario référence'!$B$10)*A149*10/30+('Scénario référence'!$F$8+'Scénario référence'!$F$9)*10)</f>
        <v>10</v>
      </c>
      <c r="BV149" s="151" t="str">
        <f>VLOOKUP(A149,'Données projet'!$A$113:$I$133,2,0)</f>
        <v>#N/A</v>
      </c>
      <c r="BW149" s="151" t="str">
        <f>VLOOKUP(A149,'Données projet'!$A$113:$I$133,9,0)</f>
        <v>#N/A</v>
      </c>
      <c r="BX149" s="151" t="str">
        <f t="array" ref="BX149">INDEX(BW:BW,MIN(IF(ISNUMBER(BW149:BW345),ROW(BW149:BW345),"")))</f>
        <v/>
      </c>
      <c r="BY149" s="150">
        <f>IF('Données projet'!$A$114&gt;35,BY148+BX149-CG148,IF(A149&lt;'Données projet'!$A$114,$BV$205^A149,IF(A149='Données projet'!$A$114,'Données projet'!$B$114,BY148+BX149-CG148)))</f>
        <v>0</v>
      </c>
      <c r="BZ149" s="150" t="str">
        <f>BY149*VLOOKUP('Données projet'!$B$12,'Paramètres'!$A$1:$I$88,3,0)*VLOOKUP('Données projet'!$B$12,'Paramètres'!$A$1:$I$88,5,0)</f>
        <v>#N/A</v>
      </c>
      <c r="CA149" s="150" t="str">
        <f t="shared" si="40"/>
        <v>#N/A</v>
      </c>
      <c r="CB149" s="161" t="str">
        <f t="shared" si="11"/>
        <v>#N/A</v>
      </c>
      <c r="CC149" s="153" t="str">
        <f t="shared" si="12"/>
        <v>#N/A</v>
      </c>
      <c r="CD149" s="153" t="str">
        <f>AVERAGE(OFFSET($CC$3,0,0,'Données projet'!$E$12+1,1))-AVERAGE(OFFSET($H$3,0,0,'Données projet'!$E$12+1,1))</f>
        <v>#N/A</v>
      </c>
      <c r="CE149" s="153" t="str">
        <f t="shared" si="41"/>
        <v>#N/A</v>
      </c>
      <c r="CF149" s="154">
        <f>IF(ISNA(VLOOKUP(A149,'Données projet'!$A$113:$I$133,3,0)),0,VLOOKUP(A149,'Données projet'!$A$113:$I$133,3,0))</f>
        <v>0</v>
      </c>
      <c r="CG149" s="154">
        <f>IF(ISNA(VLOOKUP(A149,'Données projet'!$A$113:$I$133,4,0)),0,VLOOKUP(A149,'Données projet'!$A$113:$I$133,4,0))</f>
        <v>0</v>
      </c>
      <c r="CH149" s="155">
        <f>IF(ISNA(VLOOKUP(A149,'Données projet'!$A$113:$I$133,5,0)),0%,VLOOKUP(A149,'Données projet'!$A$113:$I$133,5,0)*VLOOKUP('Données projet'!$B$12,'Paramètres'!$A$1:$I$88,7,0))</f>
        <v>0</v>
      </c>
      <c r="CI149" s="155">
        <f>IF(ISNA(VLOOKUP(A149,'Données projet'!$A$113:$I$133,6,0)),0%,VLOOKUP(A149,'Données projet'!$A$113:$I$133,6,0)*VLOOKUP('Données projet'!$B$12,'Paramètres'!$A$1:$I$88,7,0))</f>
        <v>0</v>
      </c>
      <c r="CJ149" s="155">
        <f>IF(ISNA(VLOOKUP(A149,'Données projet'!$A$113:$I$133,7,0)),0%,VLOOKUP(A149,'Données projet'!$A$113:$I$133,7,0))</f>
        <v>0</v>
      </c>
      <c r="CK149" s="162" t="str">
        <f>EXP(-LN(2)/35)*CK148+(1-EXP(-LN(2)/35))/(LN(2)/35)*CG149*CH149*VLOOKUP('Données projet'!$B$12,'Paramètres'!$A$1:$I$88,3,0)*0.475*44/12</f>
        <v>#N/A</v>
      </c>
      <c r="CL149" s="162" t="str">
        <f>EXP(-LN(2)/25)*CL148+(1-EXP(-LN(2)/25))/(LN(2)/25)*Calculateur!CG149*Calculateur!CI149*VLOOKUP('Données projet'!$B$12,'Paramètres'!$A$1:$I$88,3,0)*0.475*44/12</f>
        <v>#N/A</v>
      </c>
      <c r="CM149" s="162" t="str">
        <f>EXP(-LN(2)/2)*CM148+(1-EXP(-LN(2)/2))/(LN(2)/2)*CG149*CJ149*VLOOKUP('Données projet'!$B$12,'Paramètres'!$A$1:$I$88,3,0)*0.475*44/12</f>
        <v>#N/A</v>
      </c>
      <c r="CN149" s="163" t="str">
        <f t="shared" si="13"/>
        <v>#N/A</v>
      </c>
      <c r="CO149" s="159">
        <f>('Scénario référence'!$F$8+'Scénario référence'!$F$9+'Scénario référence'!$B$17+'Scénario référence'!$B$9+'Scénario référence'!$B$10)*70+IF((45+25*(1-EXP(-0.0175*A149)))&lt;70,'Scénario référence'!$B$16*(45+25*(1-EXP(-0.0175*A149))),70*'Scénario référence'!$B$16)+IF((32+38*(1-EXP(-0.0175*A149)))&lt;70,'Scénario référence'!$B$18*(32+38*(1-EXP(-0.0175*A149))),70*'Scénario référence'!$B$18)</f>
        <v>70</v>
      </c>
      <c r="CP149" s="151">
        <f>IF(A149&gt;30,10,('Scénario référence'!$B$16+'Scénario référence'!$B$17+'Scénario référence'!$B$18+'Scénario référence'!$B$9+'Scénario référence'!$B$10)*A149*10/30+('Scénario référence'!$F$8+'Scénario référence'!$F$9)*10)</f>
        <v>10</v>
      </c>
      <c r="CQ149" s="151" t="str">
        <f>VLOOKUP(A149,'Données projet'!$A$139:$I$159,2,0)</f>
        <v>#N/A</v>
      </c>
      <c r="CR149" s="151" t="str">
        <f>VLOOKUP(A149,'Données projet'!$A$139:$I$159,9,0)</f>
        <v>#N/A</v>
      </c>
      <c r="CS149" s="151" t="str">
        <f t="array" ref="CS149">INDEX(CR:CR,MIN(IF(ISNUMBER(CR149:CR345),ROW(CR149:CR345),"")))</f>
        <v/>
      </c>
      <c r="CT149" s="151">
        <f>IF('Données projet'!$A$140&gt;35,CT148+CS149-DB148,IF(A149&lt;'Données projet'!$A$140,$CQ$205^A149,IF(A149='Données projet'!$A$140,'Données projet'!$B$140,CT148+CS149-DB148)))</f>
        <v>0</v>
      </c>
      <c r="CU149" s="158" t="str">
        <f>CT149*VLOOKUP('Données projet'!$B$13,'Paramètres'!$A$1:$I$88,3,0)*VLOOKUP('Données projet'!$B$13,'Paramètres'!$A$1:$I$88,5,0)</f>
        <v>#N/A</v>
      </c>
      <c r="CV149" s="150" t="str">
        <f t="shared" si="42"/>
        <v>#N/A</v>
      </c>
      <c r="CW149" s="161" t="str">
        <f t="shared" si="14"/>
        <v>#N/A</v>
      </c>
      <c r="CX149" s="153" t="str">
        <f t="shared" si="15"/>
        <v>#N/A</v>
      </c>
      <c r="CY149" s="153" t="str">
        <f>AVERAGE(OFFSET($CX$3,0,0,'Données projet'!$E$13+1,1))-AVERAGE(OFFSET($H$3,0,0,'Données projet'!$E$13+1,1))</f>
        <v>#N/A</v>
      </c>
      <c r="CZ149" s="153" t="str">
        <f t="shared" si="43"/>
        <v>#N/A</v>
      </c>
      <c r="DA149" s="154">
        <f>IF(ISNA(VLOOKUP(A149,'Données projet'!$A$139:$I$159,3,0)),0,VLOOKUP(A149,'Données projet'!$A$139:$I$159,3,0))</f>
        <v>0</v>
      </c>
      <c r="DB149" s="154">
        <f>IF(ISNA(VLOOKUP(A149,'Données projet'!$A$139:$I$159,4,0)),0,VLOOKUP(A149,'Données projet'!$A$139:$I$159,4,0))</f>
        <v>0</v>
      </c>
      <c r="DC149" s="155">
        <f>IF(ISNA(VLOOKUP(A149,'Données projet'!$A$139:$I$159,5,0)),0%,VLOOKUP(A149,'Données projet'!$A$139:$I$159,5,0)*VLOOKUP('Données projet'!$B$13,'Paramètres'!$A$1:$I$88,7,0))</f>
        <v>0</v>
      </c>
      <c r="DD149" s="155">
        <f>IF(ISNA(VLOOKUP(A149,'Données projet'!$A$139:$I$159,6,0)),0%,VLOOKUP(A149,'Données projet'!$A$139:$I$159,6,0)*VLOOKUP('Données projet'!$B$13,'Paramètres'!$A$1:$I$88,7,0))</f>
        <v>0</v>
      </c>
      <c r="DE149" s="155">
        <f>IF(ISNA(VLOOKUP(A149,'Données projet'!$A$139:$I$159,7,0)),0%,VLOOKUP(A149,'Données projet'!$A$139:$I$159,7,0))</f>
        <v>0</v>
      </c>
      <c r="DF149" s="162" t="str">
        <f>EXP(-LN(2)/35)*DF148+(1-EXP(-LN(2)/35))/(LN(2)/35)*DB149*DC149*VLOOKUP('Données projet'!$B$13,'Paramètres'!$A$1:$I$88,3,0)*0.475*44/12</f>
        <v>#N/A</v>
      </c>
      <c r="DG149" s="162" t="str">
        <f>EXP(-LN(2)/25)*DG148+(1-EXP(-LN(2)/25))/(LN(2)/25)*Calculateur!DB149*Calculateur!DD149*VLOOKUP('Données projet'!$B$13,'Paramètres'!$A$1:$I$88,3,0)*0.475*44/12</f>
        <v>#N/A</v>
      </c>
      <c r="DH149" s="162" t="str">
        <f>EXP(-LN(2)/2)*DH148+(1-EXP(-LN(2)/2))/(LN(2)/2)*DB149*DE149*VLOOKUP('Données projet'!$B$13,'Paramètres'!$A$1:$I$88,3,0)*0.475*44/12</f>
        <v>#N/A</v>
      </c>
      <c r="DI149" s="163" t="str">
        <f t="shared" si="16"/>
        <v>#N/A</v>
      </c>
      <c r="DJ149" s="159">
        <f>('Scénario référence'!$F$8+'Scénario référence'!$F$9+'Scénario référence'!$B$17+'Scénario référence'!$B$9+'Scénario référence'!$B$10)*70+IF((45+25*(1-EXP(-0.0175*A149)))&lt;70,'Scénario référence'!$B$16*(45+25*(1-EXP(-0.0175*A149))),70*'Scénario référence'!$B$16)+IF((32+38*(1-EXP(-0.0175*A149)))&lt;70,'Scénario référence'!$B$18*(32+38*(1-EXP(-0.0175*A149))),70*'Scénario référence'!$B$18)</f>
        <v>70</v>
      </c>
      <c r="DK149" s="151">
        <f>IF(A149&gt;30,10,('Scénario référence'!$B$16+'Scénario référence'!$B$17+'Scénario référence'!$B$18+'Scénario référence'!$B$9+'Scénario référence'!$B$10)*A149*10/30+('Scénario référence'!$F$8+'Scénario référence'!$F$9)*10)</f>
        <v>10</v>
      </c>
      <c r="DL149" s="151" t="str">
        <f>VLOOKUP(A149,'Données projet'!$A$165:$I$185,2,0)</f>
        <v>#N/A</v>
      </c>
      <c r="DM149" s="151" t="str">
        <f>VLOOKUP(A149,'Données projet'!$A$165:$I$185,9,0)</f>
        <v>#N/A</v>
      </c>
      <c r="DN149" s="151" t="str">
        <f t="array" ref="DN149">INDEX(DM:DM,MIN(IF(ISNUMBER(DM149:DM345),ROW(DM149:DM345),"")))</f>
        <v/>
      </c>
      <c r="DO149" s="151">
        <f>IF('Données projet'!$A$166&gt;35,DO148+DN149-DW148,IF(A149&lt;'Données projet'!$A$166,$DL$205^A149,IF(A149='Données projet'!$A$166,'Données projet'!$B$166,DO148+DN149-DW148)))</f>
        <v>0</v>
      </c>
      <c r="DP149" s="158" t="str">
        <f>DO149*VLOOKUP('Données projet'!$B$14,'Paramètres'!$A$1:$I$88,3,0)*VLOOKUP('Données projet'!$B$14,'Paramètres'!$A$1:$I$88,5,0)</f>
        <v>#N/A</v>
      </c>
      <c r="DQ149" s="150" t="str">
        <f t="shared" si="44"/>
        <v>#N/A</v>
      </c>
      <c r="DR149" s="161" t="str">
        <f t="shared" si="17"/>
        <v>#N/A</v>
      </c>
      <c r="DS149" s="153" t="str">
        <f t="shared" si="18"/>
        <v>#N/A</v>
      </c>
      <c r="DT149" s="153" t="str">
        <f>AVERAGE(OFFSET($DS$3,0,0,'Données projet'!$E$14+1,1))-AVERAGE(OFFSET($H$3,0,0,'Données projet'!$E$14+1,1))</f>
        <v>#N/A</v>
      </c>
      <c r="DU149" s="153" t="str">
        <f t="shared" si="45"/>
        <v>#N/A</v>
      </c>
      <c r="DV149" s="154">
        <f>IF(ISNA(VLOOKUP(A149,'Données projet'!$A$165:$I$185,3,0)),0,VLOOKUP(A149,'Données projet'!$A$165:$I$185,3,0))</f>
        <v>0</v>
      </c>
      <c r="DW149" s="154">
        <f>IF(ISNA(VLOOKUP(A149,'Données projet'!$A$165:$I$185,4,0)),0,VLOOKUP(A149,'Données projet'!$A$165:$I$185,4,0))</f>
        <v>0</v>
      </c>
      <c r="DX149" s="155">
        <f>IF(ISNA(VLOOKUP(A149,'Données projet'!$A$165:$I$185,5,0)),0%,VLOOKUP(A149,'Données projet'!$A$165:$I$185,5,0)*VLOOKUP('Données projet'!$B$14,'Paramètres'!$A$1:$I$88,7,0))</f>
        <v>0</v>
      </c>
      <c r="DY149" s="155">
        <f>IF(ISNA(VLOOKUP(A149,'Données projet'!$A$165:$I$185,6,0)),0%,VLOOKUP(A149,'Données projet'!$A$165:$I$185,6,0)*VLOOKUP('Données projet'!$B$14,'Paramètres'!$A$1:$I$88,7,0))</f>
        <v>0</v>
      </c>
      <c r="DZ149" s="155">
        <f>IF(ISNA(VLOOKUP(A149,'Données projet'!$A$165:$I$185,7,0)),0%,VLOOKUP(A149,'Données projet'!$A$165:$I$185,7,0))</f>
        <v>0</v>
      </c>
      <c r="EA149" s="162" t="str">
        <f>EXP(-LN(2)/35)*EA148+(1-EXP(-LN(2)/35))/(LN(2)/35)*DW149*DX149*VLOOKUP('Données projet'!$B$14,'Paramètres'!$A$1:$I$88,3,0)*0.475*44/12</f>
        <v>#N/A</v>
      </c>
      <c r="EB149" s="162" t="str">
        <f>EXP(-LN(2)/25)*EB148+(1-EXP(-LN(2)/25))/(LN(2)/25)*Calculateur!DW149*Calculateur!DY149*VLOOKUP('Données projet'!$B$14,'Paramètres'!$A$1:$I$88,3,0)*0.475*44/12</f>
        <v>#N/A</v>
      </c>
      <c r="EC149" s="162" t="str">
        <f>EXP(-LN(2)/2)*EC148+(1-EXP(-LN(2)/2))/(LN(2)/2)*DW149*DZ149*VLOOKUP('Données projet'!$B$14,'Paramètres'!$A$1:$I$88,3,0)*0.475*44/12</f>
        <v>#N/A</v>
      </c>
      <c r="ED149" s="163" t="str">
        <f t="shared" si="19"/>
        <v>#N/A</v>
      </c>
      <c r="EE149" s="159">
        <f>('Scénario référence'!$F$8+'Scénario référence'!$F$9+'Scénario référence'!$B$17+'Scénario référence'!$B$9+'Scénario référence'!$B$10)*70+IF((45+25*(1-EXP(-0.0175*A149)))&lt;70,'Scénario référence'!$B$16*(45+25*(1-EXP(-0.0175*A149))),70*'Scénario référence'!$B$16)+IF((32+38*(1-EXP(-0.0175*A149)))&lt;70,'Scénario référence'!$B$18*(32+38*(1-EXP(-0.0175*A149))),70*'Scénario référence'!$B$18)</f>
        <v>70</v>
      </c>
      <c r="EF149" s="151">
        <f>IF(A149&gt;30,10,('Scénario référence'!$B$16+'Scénario référence'!$B$17+'Scénario référence'!$B$18+'Scénario référence'!$B$9+'Scénario référence'!$B$10)*A149*10/30+('Scénario référence'!$F$8+'Scénario référence'!$F$9)*10)</f>
        <v>10</v>
      </c>
      <c r="EG149" s="151" t="str">
        <f>VLOOKUP(A149,'Données projet'!$A$191:$I$211,2,0)</f>
        <v>#N/A</v>
      </c>
      <c r="EH149" s="151" t="str">
        <f>VLOOKUP(A149,'Données projet'!$A$191:$I$211,9,0)</f>
        <v>#N/A</v>
      </c>
      <c r="EI149" s="151" t="str">
        <f t="array" ref="EI149">INDEX(EH:EH,MIN(IF(ISNUMBER(EH149:EH345),ROW(EH149:EH345),"")))</f>
        <v/>
      </c>
      <c r="EJ149" s="151">
        <f>IF('Données projet'!$A$192&gt;35,EJ148+EI149-ER148,IF(A149&lt;'Données projet'!$A$192,$EG$205^A149,IF(A149='Données projet'!$A$192,'Données projet'!$B$192,EJ148+EI149-ER148)))</f>
        <v>0</v>
      </c>
      <c r="EK149" s="158" t="str">
        <f>EJ149*VLOOKUP('Données projet'!$B$15,'Paramètres'!$A$1:$I$88,3,0)*VLOOKUP('Données projet'!$B$15,'Paramètres'!$A$1:$I$88,5,0)</f>
        <v>#N/A</v>
      </c>
      <c r="EL149" s="150" t="str">
        <f t="shared" si="46"/>
        <v>#N/A</v>
      </c>
      <c r="EM149" s="161" t="str">
        <f t="shared" si="20"/>
        <v>#N/A</v>
      </c>
      <c r="EN149" s="153" t="str">
        <f t="shared" si="21"/>
        <v>#N/A</v>
      </c>
      <c r="EO149" s="153" t="str">
        <f>AVERAGE(OFFSET($EN$3,0,0,'Données projet'!$E$15+1,1))-AVERAGE(OFFSET($H$3,0,0,'Données projet'!$E$15+1,1))</f>
        <v>#N/A</v>
      </c>
      <c r="EP149" s="153" t="str">
        <f t="shared" si="47"/>
        <v>#N/A</v>
      </c>
      <c r="EQ149" s="154">
        <f>IF(ISNA(VLOOKUP(A149,'Données projet'!$A$191:$I$211,3,0)),0,VLOOKUP(A149,'Données projet'!$A$191:$I$211,3,0))</f>
        <v>0</v>
      </c>
      <c r="ER149" s="154">
        <f>IF(ISNA(VLOOKUP(A149,'Données projet'!$A$191:$I$211,4,0)),0,VLOOKUP(A149,'Données projet'!$A$191:$I$211,4,0))</f>
        <v>0</v>
      </c>
      <c r="ES149" s="155">
        <f>IF(ISNA(VLOOKUP(A149,'Données projet'!$A$191:$I$211,5,0)),0%,VLOOKUP(A149,'Données projet'!$A$191:$I$211,5,0)*VLOOKUP('Données projet'!$B$15,'Paramètres'!$A$1:$I$88,7,0))</f>
        <v>0</v>
      </c>
      <c r="ET149" s="155">
        <f>IF(ISNA(VLOOKUP(A149,'Données projet'!$A$191:$I$211,6,0)),0%,VLOOKUP(A149,'Données projet'!$A$191:$I$211,6,0)*VLOOKUP('Données projet'!$B$15,'Paramètres'!$A$1:$I$88,7,0))</f>
        <v>0</v>
      </c>
      <c r="EU149" s="155">
        <f>IF(ISNA(VLOOKUP(A149,'Données projet'!$A$191:$I$211,7,0)),0%,VLOOKUP(A149,'Données projet'!$A$191:$I$211,7,0))</f>
        <v>0</v>
      </c>
      <c r="EV149" s="162" t="str">
        <f>EXP(-LN(2)/35)*EV148+(1-EXP(-LN(2)/35))/(LN(2)/35)*ER149*ES149*VLOOKUP('Données projet'!$B$15,'Paramètres'!$A$1:$I$88,3,0)*0.475*44/12</f>
        <v>#N/A</v>
      </c>
      <c r="EW149" s="162" t="str">
        <f>EXP(-LN(2)/25)*EW148+(1-EXP(-LN(2)/25))/(LN(2)/25)*Calculateur!ER149*Calculateur!ET149*VLOOKUP('Données projet'!$B$15,'Paramètres'!$A$1:$I$88,3,0)*0.475*44/12</f>
        <v>#N/A</v>
      </c>
      <c r="EX149" s="162" t="str">
        <f>EXP(-LN(2)/2)*EX148+(1-EXP(-LN(2)/2))/(LN(2)/2)*ER149*EU149*VLOOKUP('Données projet'!$B$15,'Paramètres'!$A$1:$I$88,3,0)*0.475*44/12</f>
        <v>#N/A</v>
      </c>
      <c r="EY149" s="163" t="str">
        <f t="shared" si="22"/>
        <v>#N/A</v>
      </c>
      <c r="EZ149" s="159">
        <f>('Scénario référence'!$F$8+'Scénario référence'!$F$9+'Scénario référence'!$B$17+'Scénario référence'!$B$9+'Scénario référence'!$B$10)*70+IF((45+25*(1-EXP(-0.0175*A149)))&lt;70,'Scénario référence'!$B$16*(45+25*(1-EXP(-0.0175*A149))),70*'Scénario référence'!$B$16)+IF((32+38*(1-EXP(-0.0175*A149)))&lt;70,'Scénario référence'!$B$18*(32+38*(1-EXP(-0.0175*A149))),70*'Scénario référence'!$B$18)</f>
        <v>70</v>
      </c>
      <c r="FA149" s="151">
        <f>IF(A149&gt;30,10,('Scénario référence'!$B$16+'Scénario référence'!$B$17+'Scénario référence'!$B$18+'Scénario référence'!$B$9+'Scénario référence'!$B$10)*A149*10/30+('Scénario référence'!$F$8+'Scénario référence'!$F$9)*10)</f>
        <v>10</v>
      </c>
      <c r="FB149" s="151" t="str">
        <f>VLOOKUP(A149,'Données projet'!$A$217:$I$237,2,0)</f>
        <v>#N/A</v>
      </c>
      <c r="FC149" s="151" t="str">
        <f>VLOOKUP(A149,'Données projet'!$A$217:$I$237,9,0)</f>
        <v>#N/A</v>
      </c>
      <c r="FD149" s="151" t="str">
        <f t="array" ref="FD149">INDEX(FC:FC,MIN(IF(ISNUMBER(FC149:FC345),ROW(FC149:FC345),"")))</f>
        <v/>
      </c>
      <c r="FE149" s="151">
        <f>IF('Données projet'!$A$218&gt;35,FE148+FD149-FM148,IF(A149&lt;'Données projet'!$A$218,$FB$205^A149,IF(A149='Données projet'!$A$218,'Données projet'!$B$218,FE148+FD149-FM148)))</f>
        <v>0</v>
      </c>
      <c r="FF149" s="158" t="str">
        <f>FE149*VLOOKUP('Données projet'!$B$16,'Paramètres'!$A$1:$I$88,3,0)*VLOOKUP('Données projet'!$B$16,'Paramètres'!$A$1:$I$88,5,0)</f>
        <v>#N/A</v>
      </c>
      <c r="FG149" s="150" t="str">
        <f t="shared" si="48"/>
        <v>#N/A</v>
      </c>
      <c r="FH149" s="161" t="str">
        <f t="shared" si="23"/>
        <v>#N/A</v>
      </c>
      <c r="FI149" s="153" t="str">
        <f t="shared" si="24"/>
        <v>#N/A</v>
      </c>
      <c r="FJ149" s="153" t="str">
        <f>AVERAGE(OFFSET($FI$3,0,0,'Données projet'!$E$16+1,1))-AVERAGE(OFFSET($H$3,0,0,'Données projet'!$E$16+1,1))</f>
        <v>#N/A</v>
      </c>
      <c r="FK149" s="153" t="str">
        <f t="shared" si="49"/>
        <v>#N/A</v>
      </c>
      <c r="FL149" s="154">
        <f>IF(ISNA(VLOOKUP(A149,'Données projet'!$A$217:$I$237,3,0)),0,VLOOKUP(A149,'Données projet'!$A$217:$I$237,3,0))</f>
        <v>0</v>
      </c>
      <c r="FM149" s="154">
        <f>IF(ISNA(VLOOKUP(A149,'Données projet'!$A$217:$I$237,4,0)),0,VLOOKUP(A149,'Données projet'!$A$217:$I$237,4,0))</f>
        <v>0</v>
      </c>
      <c r="FN149" s="155">
        <f>IF(ISNA(VLOOKUP(A149,'Données projet'!$A$217:$I$237,5,0)),0%,VLOOKUP(A149,'Données projet'!$A$217:$I$237,5,0)*VLOOKUP('Données projet'!$B$16,'Paramètres'!$A$1:$I$88,7,0))</f>
        <v>0</v>
      </c>
      <c r="FO149" s="155">
        <f>IF(ISNA(VLOOKUP(A149,'Données projet'!$A$217:$I$237,6,0)),0%,VLOOKUP(A149,'Données projet'!$A$217:$I$237,6,0)*VLOOKUP('Données projet'!$B$16,'Paramètres'!$A$1:$I$88,7,0))</f>
        <v>0</v>
      </c>
      <c r="FP149" s="155">
        <f>IF(ISNA(VLOOKUP(A149,'Données projet'!$A$217:$I$237,7,0)),0%,VLOOKUP(A149,'Données projet'!$A$217:$I$237,7,0))</f>
        <v>0</v>
      </c>
      <c r="FQ149" s="162" t="str">
        <f>EXP(-LN(2)/35)*FQ148+(1-EXP(-LN(2)/35))/(LN(2)/35)*FM149*FN149*VLOOKUP('Données projet'!$B$16,'Paramètres'!$A$1:$I$88,3,0)*0.475*44/12</f>
        <v>#N/A</v>
      </c>
      <c r="FR149" s="162" t="str">
        <f>EXP(-LN(2)/25)*FR148+(1-EXP(-LN(2)/25))/(LN(2)/25)*Calculateur!FM149*Calculateur!FO149*VLOOKUP('Données projet'!$B$16,'Paramètres'!$A$1:$I$88,3,0)*0.475*44/12</f>
        <v>#N/A</v>
      </c>
      <c r="FS149" s="162" t="str">
        <f>EXP(-LN(2)/2)*FS148+(1-EXP(-LN(2)/2))/(LN(2)/2)*FM149*FP149*VLOOKUP('Données projet'!$B$16,'Paramètres'!$A$1:$I$88,3,0)*0.475*44/12</f>
        <v>#N/A</v>
      </c>
      <c r="FT149" s="163" t="str">
        <f t="shared" si="25"/>
        <v>#N/A</v>
      </c>
      <c r="FU149" s="159">
        <f>('Scénario référence'!$F$8+'Scénario référence'!$F$9+'Scénario référence'!$B$17+'Scénario référence'!$B$9+'Scénario référence'!$B$10)*70+IF((45+25*(1-EXP(-0.0175*A149)))&lt;70,'Scénario référence'!$B$16*(45+25*(1-EXP(-0.0175*A149))),70*'Scénario référence'!$B$16)+IF((32+38*(1-EXP(-0.0175*A149)))&lt;70,'Scénario référence'!$B$18*(32+38*(1-EXP(-0.0175*A149))),70*'Scénario référence'!$B$18)</f>
        <v>70</v>
      </c>
      <c r="FV149" s="151">
        <f>IF(A149&gt;30,10,('Scénario référence'!$B$16+'Scénario référence'!$B$17+'Scénario référence'!$B$18+'Scénario référence'!$B$9+'Scénario référence'!$B$10)*A149*10/30+('Scénario référence'!$F$8+'Scénario référence'!$F$9)*10)</f>
        <v>10</v>
      </c>
      <c r="FW149" s="151" t="str">
        <f>VLOOKUP(A149,'Données projet'!$A$243:$I$263,2,0)</f>
        <v>#N/A</v>
      </c>
      <c r="FX149" s="151" t="str">
        <f>VLOOKUP(A149,'Données projet'!$A$243:$I$263,9,0)</f>
        <v>#N/A</v>
      </c>
      <c r="FY149" s="151" t="str">
        <f t="array" ref="FY149">INDEX(FX:FX,MIN(IF(ISNUMBER(FX149:FX345),ROW(FX149:FX345),"")))</f>
        <v/>
      </c>
      <c r="FZ149" s="151">
        <f>IF('Données projet'!$A$244&gt;35,FZ148+FY149-GH148,IF(A149&lt;'Données projet'!$A$244,$FW$205^A149,IF(A149='Données projet'!$A$244,'Données projet'!$B$244,FZ148+FY149-GH148)))</f>
        <v>0</v>
      </c>
      <c r="GA149" s="158" t="str">
        <f>FZ149*VLOOKUP('Données projet'!$B$17,'Paramètres'!$A$1:$I$88,3,0)*VLOOKUP('Données projet'!$B$17,'Paramètres'!$A$1:$I$88,5,0)</f>
        <v>#N/A</v>
      </c>
      <c r="GB149" s="150" t="str">
        <f t="shared" si="50"/>
        <v>#N/A</v>
      </c>
      <c r="GC149" s="161" t="str">
        <f t="shared" si="26"/>
        <v>#N/A</v>
      </c>
      <c r="GD149" s="153" t="str">
        <f t="shared" si="27"/>
        <v>#N/A</v>
      </c>
      <c r="GE149" s="153" t="str">
        <f>AVERAGE(OFFSET($GD$3,0,0,'Données projet'!$E$17+1,1))-AVERAGE(OFFSET($H$3,0,0,'Données projet'!$E$17+1,1))</f>
        <v>#N/A</v>
      </c>
      <c r="GF149" s="153" t="str">
        <f t="shared" si="51"/>
        <v>#N/A</v>
      </c>
      <c r="GG149" s="154">
        <f>IF(ISNA(VLOOKUP(A149,'Données projet'!$A$243:$I$263,3,0)),0,VLOOKUP(A149,'Données projet'!$A$243:$I$263,3,0))</f>
        <v>0</v>
      </c>
      <c r="GH149" s="154">
        <f>IF(ISNA(VLOOKUP(A149,'Données projet'!$A$243:$I$263,4,0)),0,VLOOKUP(A149,'Données projet'!$A$243:$I$263,4,0))</f>
        <v>0</v>
      </c>
      <c r="GI149" s="155">
        <f>IF(ISNA(VLOOKUP(A149,'Données projet'!$A$243:$I$263,5,0)),0%,VLOOKUP(A149,'Données projet'!$A$243:$I$263,5,0)*VLOOKUP('Données projet'!$B$17,'Paramètres'!$A$1:$I$88,7,0))</f>
        <v>0</v>
      </c>
      <c r="GJ149" s="155">
        <f>IF(ISNA(VLOOKUP(A149,'Données projet'!$A$243:$I$263,6,0)),0%,VLOOKUP(A149,'Données projet'!$A$243:$I$263,6,0)*VLOOKUP('Données projet'!$B$17,'Paramètres'!$A$1:$I$88,7,0))</f>
        <v>0</v>
      </c>
      <c r="GK149" s="155">
        <f>IF(ISNA(VLOOKUP(A149,'Données projet'!$A$243:$I$263,7,0)),0%,VLOOKUP(A149,'Données projet'!$A$243:$I$263,7,0))</f>
        <v>0</v>
      </c>
      <c r="GL149" s="162" t="str">
        <f>EXP(-LN(2)/35)*GL148+(1-EXP(-LN(2)/35))/(LN(2)/35)*GH149*GI149*VLOOKUP('Données projet'!$B$17,'Paramètres'!$A$1:$I$88,3,0)*0.475*44/12</f>
        <v>#N/A</v>
      </c>
      <c r="GM149" s="162" t="str">
        <f>EXP(-LN(2)/25)*GM148+(1-EXP(-LN(2)/25))/(LN(2)/25)*Calculateur!GH149*Calculateur!GJ149*VLOOKUP('Données projet'!$B$17,'Paramètres'!$A$1:$I$88,3,0)*0.475*44/12</f>
        <v>#N/A</v>
      </c>
      <c r="GN149" s="162" t="str">
        <f>EXP(-LN(2)/2)*GN148+(1-EXP(-LN(2)/2))/(LN(2)/2)*GH149*GK149*VLOOKUP('Données projet'!$B$17,'Paramètres'!$A$1:$I$88,3,0)*0.475*44/12</f>
        <v>#N/A</v>
      </c>
      <c r="GO149" s="162" t="str">
        <f t="shared" si="28"/>
        <v>#N/A</v>
      </c>
      <c r="GP149" s="159">
        <f>('Scénario référence'!$F$8+'Scénario référence'!$F$9+'Scénario référence'!$B$17+'Scénario référence'!$B$9+'Scénario référence'!$B$10)*70+IF((45+25*(1-EXP(-0.0175*A149)))&lt;70,'Scénario référence'!$B$16*(45+25*(1-EXP(-0.0175*A149))),70*'Scénario référence'!$B$16)+IF((32+38*(1-EXP(-0.0175*A149)))&lt;70,'Scénario référence'!$B$18*(32+38*(1-EXP(-0.0175*A149))),70*'Scénario référence'!$B$18)</f>
        <v>70</v>
      </c>
      <c r="GQ149" s="151">
        <f>IF(A149&gt;30,10,('Scénario référence'!$B$16+'Scénario référence'!$B$17+'Scénario référence'!$B$18+'Scénario référence'!$B$9+'Scénario référence'!$B$10)*A149*10/30+('Scénario référence'!$F$8+'Scénario référence'!$F$9)*10)</f>
        <v>10</v>
      </c>
      <c r="GR149" s="151" t="str">
        <f>VLOOKUP(A149,'Données projet'!$A$269:$I$289,2,0)</f>
        <v>#N/A</v>
      </c>
      <c r="GS149" s="151" t="str">
        <f>VLOOKUP(A149,'Données projet'!$A$269:$I$289,9,0)</f>
        <v>#N/A</v>
      </c>
      <c r="GT149" s="151" t="str">
        <f t="array" ref="GT149">INDEX(GS:GS,MIN(IF(ISNUMBER(GS149:GS345),ROW(GS149:GS345),"")))</f>
        <v/>
      </c>
      <c r="GU149" s="151">
        <f>IF('Données projet'!$A$270&gt;35,GU148+GT149-HC148,IF(A149&lt;'Données projet'!$A$270,$GR$205^A149,IF(A149='Données projet'!$A$270,'Données projet'!$B$270,GU148+GT149-HC148)))</f>
        <v>0</v>
      </c>
      <c r="GV149" s="158" t="str">
        <f>GU149*VLOOKUP('Données projet'!$B$18,'Paramètres'!$A$1:$I$88,3,0)*VLOOKUP('Données projet'!$B$18,'Paramètres'!$A$1:$I$88,5,0)</f>
        <v>#N/A</v>
      </c>
      <c r="GW149" s="150" t="str">
        <f t="shared" si="52"/>
        <v>#N/A</v>
      </c>
      <c r="GX149" s="161" t="str">
        <f t="shared" si="29"/>
        <v>#N/A</v>
      </c>
      <c r="GY149" s="153" t="str">
        <f t="shared" si="30"/>
        <v>#N/A</v>
      </c>
      <c r="GZ149" s="153" t="str">
        <f>AVERAGE(OFFSET($GY$3,0,0,'Données projet'!$E$18+1,1))-AVERAGE(OFFSET($H$3,0,0,'Données projet'!$E$18+1,1))</f>
        <v>#N/A</v>
      </c>
      <c r="HA149" s="153" t="str">
        <f t="shared" si="53"/>
        <v>#N/A</v>
      </c>
      <c r="HB149" s="154">
        <f>IF(ISNA(VLOOKUP(A149,'Données projet'!$A$269:$I$289,3,0)),0,VLOOKUP(A149,'Données projet'!$A$269:$I$289,3,0))</f>
        <v>0</v>
      </c>
      <c r="HC149" s="154">
        <f>IF(ISNA(VLOOKUP(A149,'Données projet'!$A$269:$I$289,4,0)),0,VLOOKUP(A149,'Données projet'!$A$269:$I$289,4,0))</f>
        <v>0</v>
      </c>
      <c r="HD149" s="155">
        <f>IF(ISNA(VLOOKUP(A149,'Données projet'!$A$269:$I$289,5,0)),0%,VLOOKUP(A149,'Données projet'!$A$269:$I$289,5,0)*VLOOKUP('Données projet'!$B$18,'Paramètres'!$A$1:$I$88,7,0))</f>
        <v>0</v>
      </c>
      <c r="HE149" s="155">
        <f>IF(ISNA(VLOOKUP(A149,'Données projet'!$A$269:$I$289,6,0)),0%,VLOOKUP(A149,'Données projet'!$A$269:$I$289,6,0)*VLOOKUP('Données projet'!$B$18,'Paramètres'!$A$1:$I$88,7,0))</f>
        <v>0</v>
      </c>
      <c r="HF149" s="155">
        <f>IF(ISNA(VLOOKUP(A149,'Données projet'!$A$269:$I$289,7,0)),0%,VLOOKUP(A149,'Données projet'!$A$269:$I$289,7,0))</f>
        <v>0</v>
      </c>
      <c r="HG149" s="162" t="str">
        <f>EXP(-LN(2)/35)*HG148+(1-EXP(-LN(2)/35))/(LN(2)/35)*HC149*HD149*VLOOKUP('Données projet'!$B$18,'Paramètres'!$A$1:$I$88,3,0)*0.475*44/12</f>
        <v>#N/A</v>
      </c>
      <c r="HH149" s="162" t="str">
        <f>EXP(-LN(2)/25)*HH148+(1-EXP(-LN(2)/25))/(LN(2)/25)*Calculateur!HC149*Calculateur!HE149*VLOOKUP('Données projet'!$B$18,'Paramètres'!$A$1:$I$88,3,0)*0.475*44/12</f>
        <v>#N/A</v>
      </c>
      <c r="HI149" s="162" t="str">
        <f>EXP(-LN(2)/2)*HI148+(1-EXP(-LN(2)/2))/(LN(2)/2)*HC149*HF149*VLOOKUP('Données projet'!$B$18,'Paramètres'!$A$1:$I$88,3,0)*0.475*44/12</f>
        <v>#N/A</v>
      </c>
      <c r="HJ149" s="163" t="str">
        <f t="shared" si="31"/>
        <v>#N/A</v>
      </c>
    </row>
    <row r="150" ht="15.75" customHeight="1">
      <c r="A150" s="145">
        <f t="shared" si="32"/>
        <v>147</v>
      </c>
      <c r="B150" s="146">
        <f>'Scénario référence'!$B$16*5+'Scénario référence'!$B$17*0+'Scénario référence'!$B$18*5</f>
        <v>0</v>
      </c>
      <c r="C150" s="160">
        <f>Calculateur!C149+'Scénario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50" s="147">
        <f t="shared" si="33"/>
        <v>0</v>
      </c>
      <c r="E150" s="147">
        <f>'Scénario référence'!$B$16*45+('Scénario référence'!$B$17+'Scénario référence'!$F$8+'Scénario référence'!$F$9+'Scénario référence'!$B$10+'Scénario référence'!$B$9)*70+'Scénario référence'!$B$18*32</f>
        <v>70</v>
      </c>
      <c r="F150" s="147">
        <f>IF(OR('Scénario référence'!$F$8&gt;0,'Scénario référence'!$F$9&gt;0),('Scénario référence'!$F$8+'Scénario référence'!$F$9)*10,0)</f>
        <v>0</v>
      </c>
      <c r="G150" s="147">
        <f>'Scénario référence'!$B$8*B150*44/12+'Scénario référence'!$B$9*(C150+D150)/0.475*44/12+'Scénario référence'!$B$10*(C150+D150)/0.475*44/12+'Scénario référence'!$F$8*(C150+D150)/0.475*44/12+'Scénario référence'!$F$9*(C150+D150)/0.475*44/12</f>
        <v>0</v>
      </c>
      <c r="H150" s="148">
        <f t="shared" si="1"/>
        <v>256.6666667</v>
      </c>
      <c r="I150" s="149">
        <f>('Scénario référence'!$F$8+'Scénario référence'!$F$9+'Scénario référence'!$B$17+'Scénario référence'!$B$9+'Scénario référence'!$B$10)*70+IF((45+25*(1-EXP(-0.0175*A150)))&lt;70,'Scénario référence'!$B$16*(45+25*(1-EXP(-0.0175*A150))),70*'Scénario référence'!$B$16)+IF((32+38*(1-EXP(-0.0175*A150)))&lt;70,'Scénario référence'!$B$18*(32+38*(1-EXP(-0.0175*A150))),70*'Scénario référence'!$B$18)</f>
        <v>70</v>
      </c>
      <c r="J150" s="150">
        <f>IF(A150&gt;30,10,('Scénario référence'!$B$16+'Scénario référence'!$B$17+'Scénario référence'!$B$18+'Scénario référence'!$B$9+'Scénario référence'!$B$10)*A150*10/30+('Scénario référence'!$F$8+'Scénario référence'!$F$9)*10)</f>
        <v>10</v>
      </c>
      <c r="K150" s="151" t="str">
        <f>VLOOKUP(A150,'Données projet'!$A$35:$I$55,2,0)</f>
        <v>#N/A</v>
      </c>
      <c r="L150" s="151" t="str">
        <f>VLOOKUP(A150,'Données projet'!$A$35:$I$55,9,0)</f>
        <v>#N/A</v>
      </c>
      <c r="M150" s="151" t="str">
        <f t="array" ref="M150">INDEX(L:L,MIN(IF(ISNUMBER(L150:L346),ROW(L150:L346),"")))</f>
        <v/>
      </c>
      <c r="N150" s="150">
        <f>IF('Données projet'!$A$36&gt;35,N149+M150-V149,IF(A150&lt;'Données projet'!$A$36,$K$205^A150,IF(A150='Données projet'!$A$36,'Données projet'!$B$36,N149+M150-V149)))</f>
        <v>307</v>
      </c>
      <c r="O150" s="150">
        <f>N150*VLOOKUP('Données projet'!$B$9,'Paramètres'!$A$1:$I$88,3,0)*VLOOKUP('Données projet'!$B$9,'Paramètres'!$A$1:$I$88,5,0)</f>
        <v>277.7736</v>
      </c>
      <c r="P150" s="150">
        <f t="shared" si="34"/>
        <v>66.49628818</v>
      </c>
      <c r="Q150" s="161">
        <f t="shared" si="2"/>
        <v>599.6033886</v>
      </c>
      <c r="R150" s="153">
        <f t="shared" si="3"/>
        <v>892.9367219</v>
      </c>
      <c r="S150" s="153">
        <f>AVERAGE(OFFSET($R$3,0,0,'Données projet'!$E$9+1,1))-AVERAGE(OFFSET($H$3,0,0,'Données projet'!$E$9+1,1))</f>
        <v>439.1985427</v>
      </c>
      <c r="T150" s="153">
        <f t="shared" si="35"/>
        <v>278.2174123</v>
      </c>
      <c r="U150" s="154">
        <f>IF(ISNA(VLOOKUP(A150,'Données projet'!$A$35:$I$55,3,0)),0,VLOOKUP(A150,'Données projet'!$A$35:$I$55,3,0))</f>
        <v>0</v>
      </c>
      <c r="V150" s="154">
        <f>IF(ISNA(VLOOKUP(A150,'Données projet'!$A$35:$I$55,4,0)),0,VLOOKUP(A150,'Données projet'!$A$35:$I$55,4,0))</f>
        <v>0</v>
      </c>
      <c r="W150" s="155">
        <f>IF(ISNA(VLOOKUP(A150,'Données projet'!$A$35:$I$55,5,0)),0%,VLOOKUP(A150,'Données projet'!$A$35:$I$55,5,0)*VLOOKUP('Données projet'!$B$9,'Paramètres'!$A$1:$I$88,7,0))</f>
        <v>0</v>
      </c>
      <c r="X150" s="155">
        <f>IF(ISNA(VLOOKUP(A150,'Données projet'!$A$35:$I$55,6,0)),0%,VLOOKUP(A150,'Données projet'!$A$35:$I$55,6,0)*VLOOKUP('Données projet'!$B$9,'Paramètres'!$A$1:$I$88,7,0))</f>
        <v>0</v>
      </c>
      <c r="Y150" s="155">
        <f>IF(ISNA(VLOOKUP(A150,'Données projet'!$A$35:$I$55,7,0)),0%,VLOOKUP(A150,'Données projet'!$A$35:$I$55,7,0))</f>
        <v>0</v>
      </c>
      <c r="Z150" s="162">
        <f>EXP(-LN(2)/35)*Z149+(1-EXP(-LN(2)/35))/(LN(2)/35)*V150*W150*VLOOKUP('Données projet'!$B$9,'Paramètres'!$A$1:$I$88,3,0)*0.475*44/12</f>
        <v>0</v>
      </c>
      <c r="AA150" s="162">
        <f>EXP(-LN(2)/25)*AA149+(1-EXP(-LN(2)/25))/(LN(2)/25)*Calculateur!V150*Calculateur!X150*VLOOKUP('Données projet'!$B$9,'Paramètres'!$A$1:$I$88,3,0)*0.475*44/12</f>
        <v>0.1750620054</v>
      </c>
      <c r="AB150" s="162">
        <f>EXP(-LN(2)/2)*AB149+(1-EXP(-LN(2)/2))/(LN(2)/2)*V150*Y150*VLOOKUP('Données projet'!$B$9,'Paramètres'!$A$1:$I$88,3,0)*0.475*44/12</f>
        <v>0</v>
      </c>
      <c r="AC150" s="163">
        <f t="shared" si="4"/>
        <v>0.1750620054</v>
      </c>
      <c r="AD150" s="150">
        <f>('Scénario référence'!$F$8+'Scénario référence'!$F$9+'Scénario référence'!$B$17+'Scénario référence'!$B$9+'Scénario référence'!$B$10)*70+IF((45+25*(1-EXP(-0.0175*A150)))&lt;70,'Scénario référence'!$B$16*(45+25*(1-EXP(-0.0175*A150))),70*'Scénario référence'!$B$16)+IF((32+38*(1-EXP(-0.0175*A150)))&lt;70,'Scénario référence'!$B$18*(32+38*(1-EXP(-0.0175*A150))),70*'Scénario référence'!$B$18)</f>
        <v>70</v>
      </c>
      <c r="AE150" s="150">
        <f>IF(A150&gt;30,10,('Scénario référence'!$B$16+'Scénario référence'!$B$17+'Scénario référence'!$B$18+'Scénario référence'!$B$9+'Scénario référence'!$B$10)*A150*10/30+('Scénario référence'!$F$8+'Scénario référence'!$F$9)*10)</f>
        <v>10</v>
      </c>
      <c r="AF150" s="151" t="str">
        <f>VLOOKUP(A150,'Données projet'!$A$61:$I$81,2,0)</f>
        <v>#N/A</v>
      </c>
      <c r="AG150" s="151" t="str">
        <f>VLOOKUP(A150,'Données projet'!$A$61:$I$81,9,0)</f>
        <v>#N/A</v>
      </c>
      <c r="AH150" s="151" t="str">
        <f t="array" ref="AH150">INDEX(AG:AG,MIN(IF(ISNUMBER(AG150:AG346),ROW(AG150:AG346),"")))</f>
        <v/>
      </c>
      <c r="AI150" s="150">
        <f>IF('Données projet'!$A$62&gt;35,AI149+AH150-AQ149,IF(A150&lt;'Données projet'!$A$62,$AF$205^A150,IF(A150='Données projet'!$A$62,'Données projet'!$B$62,AI149+AH150-AQ149)))</f>
        <v>369</v>
      </c>
      <c r="AJ150" s="150">
        <f>AI150*VLOOKUP('Données projet'!$B$10,'Paramètres'!$A$1:$I$88,3,0)*VLOOKUP('Données projet'!$B$10,'Paramètres'!$A$1:$I$88,5,0)</f>
        <v>293.5764</v>
      </c>
      <c r="AK150" s="150">
        <f t="shared" si="36"/>
        <v>69.82813851</v>
      </c>
      <c r="AL150" s="161">
        <f t="shared" si="5"/>
        <v>632.9295712</v>
      </c>
      <c r="AM150" s="153">
        <f t="shared" si="6"/>
        <v>926.2629046</v>
      </c>
      <c r="AN150" s="153">
        <f>AVERAGE(OFFSET($AM$3,0,0,'Données projet'!$E$10+1,1))-AVERAGE(OFFSET($H$3,0,0,'Données projet'!$E$10+1,1))</f>
        <v>405.6113614</v>
      </c>
      <c r="AO150" s="153">
        <f t="shared" si="37"/>
        <v>393.0787141</v>
      </c>
      <c r="AP150" s="154">
        <f>IF(ISNA(VLOOKUP(A150,'Données projet'!$A$61:$I$81,3,0)),0,VLOOKUP(A150,'Données projet'!$A$61:$I$81,3,0))</f>
        <v>0</v>
      </c>
      <c r="AQ150" s="154">
        <f>IF(ISNA(VLOOKUP(A150,'Données projet'!$A$61:$I$81,4,0)),0,VLOOKUP(A150,'Données projet'!$A$61:$I$81,4,0))</f>
        <v>0</v>
      </c>
      <c r="AR150" s="155">
        <f>IF(ISNA(VLOOKUP(A150,'Données projet'!$A$61:$I$81,5,0)),0%,VLOOKUP(A150,'Données projet'!$A$61:$I$81,5,0)*VLOOKUP('Données projet'!$B$10,'Paramètres'!$A$1:$I$88,7,0))</f>
        <v>0</v>
      </c>
      <c r="AS150" s="155">
        <f>IF(ISNA(VLOOKUP(A150,'Données projet'!$A$61:$I$81,6,0)),0%,VLOOKUP(A150,'Données projet'!$A$61:$I$81,6,0)*VLOOKUP('Données projet'!$B$10,'Paramètres'!$A$1:$I$88,7,0))</f>
        <v>0</v>
      </c>
      <c r="AT150" s="155">
        <f>IF(ISNA(VLOOKUP(A150,'Données projet'!$A$61:$I$81,7,0)),0%,VLOOKUP(A150,'Données projet'!$A$61:$I$81,7,0))</f>
        <v>0</v>
      </c>
      <c r="AU150" s="162">
        <f>EXP(-LN(2)/35)*AU149+(1-EXP(-LN(2)/35))/(LN(2)/35)*AQ150*AR150*VLOOKUP('Données projet'!$B$10,'Paramètres'!$A$1:$I$88,3,0)*0.475*44/12</f>
        <v>0</v>
      </c>
      <c r="AV150" s="162">
        <f>EXP(-LN(2)/25)*AV149+(1-EXP(-LN(2)/25))/(LN(2)/25)*Calculateur!AQ150*Calculateur!AS150*VLOOKUP('Données projet'!$B$10,'Paramètres'!$A$1:$I$88,3,0)*0.475*44/12</f>
        <v>0.7114964926</v>
      </c>
      <c r="AW150" s="162">
        <f>EXP(-LN(2)/2)*AW149+(1-EXP(-LN(2)/2))/(LN(2)/2)*AQ150*AT150*VLOOKUP('Données projet'!$B$10,'Paramètres'!$A$1:$I$88,3,0)*0.475*44/12</f>
        <v>0</v>
      </c>
      <c r="AX150" s="162">
        <f t="shared" si="7"/>
        <v>0.7114964926</v>
      </c>
      <c r="AY150" s="157">
        <f>('Scénario référence'!$F$8+'Scénario référence'!$F$9+'Scénario référence'!$B$17+'Scénario référence'!$B$9+'Scénario référence'!$B$10)*70+IF((45+25*(1-EXP(-0.0175*A150)))&lt;70,'Scénario référence'!$B$16*(45+25*(1-EXP(-0.0175*A150))),70*'Scénario référence'!$B$16)+IF((32+38*(1-EXP(-0.0175*A150)))&lt;70,'Scénario référence'!$B$18*(32+38*(1-EXP(-0.0175*A150))),70*'Scénario référence'!$B$18)</f>
        <v>70</v>
      </c>
      <c r="AZ150" s="151">
        <f>IF(A150&gt;30,10,('Scénario référence'!$B$16+'Scénario référence'!$B$17+'Scénario référence'!$B$18+'Scénario référence'!$B$9+'Scénario référence'!$B$10)*A150*10/30+('Scénario référence'!$F$8+'Scénario référence'!$F$9)*10)</f>
        <v>10</v>
      </c>
      <c r="BA150" s="151" t="str">
        <f>VLOOKUP(A150,'Données projet'!$A$87:$I$107,2,0)</f>
        <v>#N/A</v>
      </c>
      <c r="BB150" s="151" t="str">
        <f>VLOOKUP(A150,'Données projet'!$A$87:$I$107,9,0)</f>
        <v>#N/A</v>
      </c>
      <c r="BC150" s="151" t="str">
        <f t="array" ref="BC150">INDEX(BB:BB,MIN(IF(ISNUMBER(BB150:BB346),ROW(BB150:BB346),"")))</f>
        <v/>
      </c>
      <c r="BD150" s="150">
        <f>IF('Données projet'!$A$88&gt;35,BD149+BC150-BL149,IF(A150&lt;'Données projet'!$A$88,$BA$205^A150,IF(A150='Données projet'!$A$88,'Données projet'!$B$88,BD149+BC150-BL149)))</f>
        <v>0</v>
      </c>
      <c r="BE150" s="150">
        <f>BD150*VLOOKUP('Données projet'!$B$11,'Paramètres'!$A$1:$I$88,3,0)*VLOOKUP('Données projet'!$B$11,'Paramètres'!$A$1:$I$88,5,0)</f>
        <v>0</v>
      </c>
      <c r="BF150" s="150" t="str">
        <f t="shared" si="38"/>
        <v>#NUM!</v>
      </c>
      <c r="BG150" s="161" t="str">
        <f t="shared" si="8"/>
        <v>#NUM!</v>
      </c>
      <c r="BH150" s="153" t="str">
        <f t="shared" si="9"/>
        <v>#NUM!</v>
      </c>
      <c r="BI150" s="153">
        <f>AVERAGE(OFFSET($BH$3,0,0,'Données projet'!$E$11+1,1))-AVERAGE(OFFSET($H$3,0,0,'Données projet'!$E$11+1,1))</f>
        <v>0</v>
      </c>
      <c r="BJ150" s="153">
        <f t="shared" si="39"/>
        <v>0</v>
      </c>
      <c r="BK150" s="154">
        <f>IF(ISNA(VLOOKUP(A150,'Données projet'!$A$87:$I$107,3,0)),0,VLOOKUP(A150,'Données projet'!$A$87:$I$107,3,0))</f>
        <v>0</v>
      </c>
      <c r="BL150" s="154">
        <f>IF(ISNA(VLOOKUP(A150,'Données projet'!$A$87:$I$107,4,0)),0,VLOOKUP(A150,'Données projet'!$A$87:$I$107,4,0))</f>
        <v>0</v>
      </c>
      <c r="BM150" s="155">
        <f>IF(ISNA(VLOOKUP(A150,'Données projet'!$A$87:$I$107,5,0)),0%,VLOOKUP(A150,'Données projet'!$A$87:$I$107,5,0)*VLOOKUP('Données projet'!$B$11,'Paramètres'!$A$1:$I$88,7,0))</f>
        <v>0</v>
      </c>
      <c r="BN150" s="155">
        <f>IF(ISNA(VLOOKUP(A150,'Données projet'!$A$87:$I$107,6,0)),0%,VLOOKUP(A150,'Données projet'!$A$87:$I$107,6,0)*VLOOKUP('Données projet'!$B$11,'Paramètres'!$A$1:$I$88,7,0))</f>
        <v>0</v>
      </c>
      <c r="BO150" s="155">
        <f>IF(ISNA(VLOOKUP(A150,'Données projet'!$A$87:$I$107,7,0)),0%,VLOOKUP(A150,'Données projet'!$A$87:$I$107,7,0))</f>
        <v>0</v>
      </c>
      <c r="BP150" s="162">
        <f>EXP(-LN(2)/35)*BP149+(1-EXP(-LN(2)/35))/(LN(2)/35)*BL150*BM150*VLOOKUP('Données projet'!$B$11,'Paramètres'!$A$1:$I$88,3,0)*0.475*44/12</f>
        <v>0</v>
      </c>
      <c r="BQ150" s="162">
        <f>EXP(-LN(2)/25)*BQ149+(1-EXP(-LN(2)/25))/(LN(2)/25)*Calculateur!BL150*Calculateur!BN150*VLOOKUP('Données projet'!$B$11,'Paramètres'!$A$1:$I$88,3,0)*0.475*44/12</f>
        <v>0</v>
      </c>
      <c r="BR150" s="162">
        <f>EXP(-LN(2)/2)*BR149+(1-EXP(-LN(2)/2))/(LN(2)/2)*BL150*BO150*VLOOKUP('Données projet'!$B$11,'Paramètres'!$A$1:$I$88,3,0)*0.475*44/12</f>
        <v>0</v>
      </c>
      <c r="BS150" s="163">
        <f t="shared" si="10"/>
        <v>0</v>
      </c>
      <c r="BT150" s="159">
        <f>('Scénario référence'!$F$8+'Scénario référence'!$F$9+'Scénario référence'!$B$17+'Scénario référence'!$B$9+'Scénario référence'!$B$10)*70+IF((45+25*(1-EXP(-0.0175*A150)))&lt;70,'Scénario référence'!$B$16*(45+25*(1-EXP(-0.0175*A150))),70*'Scénario référence'!$B$16)+IF((32+38*(1-EXP(-0.0175*A150)))&lt;70,'Scénario référence'!$B$18*(32+38*(1-EXP(-0.0175*A150))),70*'Scénario référence'!$B$18)</f>
        <v>70</v>
      </c>
      <c r="BU150" s="151">
        <f>IF(A150&gt;30,10,('Scénario référence'!$B$16+'Scénario référence'!$B$17+'Scénario référence'!$B$18+'Scénario référence'!$B$9+'Scénario référence'!$B$10)*A150*10/30+('Scénario référence'!$F$8+'Scénario référence'!$F$9)*10)</f>
        <v>10</v>
      </c>
      <c r="BV150" s="151" t="str">
        <f>VLOOKUP(A150,'Données projet'!$A$113:$I$133,2,0)</f>
        <v>#N/A</v>
      </c>
      <c r="BW150" s="151" t="str">
        <f>VLOOKUP(A150,'Données projet'!$A$113:$I$133,9,0)</f>
        <v>#N/A</v>
      </c>
      <c r="BX150" s="151" t="str">
        <f t="array" ref="BX150">INDEX(BW:BW,MIN(IF(ISNUMBER(BW150:BW346),ROW(BW150:BW346),"")))</f>
        <v/>
      </c>
      <c r="BY150" s="150">
        <f>IF('Données projet'!$A$114&gt;35,BY149+BX150-CG149,IF(A150&lt;'Données projet'!$A$114,$BV$205^A150,IF(A150='Données projet'!$A$114,'Données projet'!$B$114,BY149+BX150-CG149)))</f>
        <v>0</v>
      </c>
      <c r="BZ150" s="150" t="str">
        <f>BY150*VLOOKUP('Données projet'!$B$12,'Paramètres'!$A$1:$I$88,3,0)*VLOOKUP('Données projet'!$B$12,'Paramètres'!$A$1:$I$88,5,0)</f>
        <v>#N/A</v>
      </c>
      <c r="CA150" s="150" t="str">
        <f t="shared" si="40"/>
        <v>#N/A</v>
      </c>
      <c r="CB150" s="161" t="str">
        <f t="shared" si="11"/>
        <v>#N/A</v>
      </c>
      <c r="CC150" s="153" t="str">
        <f t="shared" si="12"/>
        <v>#N/A</v>
      </c>
      <c r="CD150" s="153" t="str">
        <f>AVERAGE(OFFSET($CC$3,0,0,'Données projet'!$E$12+1,1))-AVERAGE(OFFSET($H$3,0,0,'Données projet'!$E$12+1,1))</f>
        <v>#N/A</v>
      </c>
      <c r="CE150" s="153" t="str">
        <f t="shared" si="41"/>
        <v>#N/A</v>
      </c>
      <c r="CF150" s="154">
        <f>IF(ISNA(VLOOKUP(A150,'Données projet'!$A$113:$I$133,3,0)),0,VLOOKUP(A150,'Données projet'!$A$113:$I$133,3,0))</f>
        <v>0</v>
      </c>
      <c r="CG150" s="154">
        <f>IF(ISNA(VLOOKUP(A150,'Données projet'!$A$113:$I$133,4,0)),0,VLOOKUP(A150,'Données projet'!$A$113:$I$133,4,0))</f>
        <v>0</v>
      </c>
      <c r="CH150" s="155">
        <f>IF(ISNA(VLOOKUP(A150,'Données projet'!$A$113:$I$133,5,0)),0%,VLOOKUP(A150,'Données projet'!$A$113:$I$133,5,0)*VLOOKUP('Données projet'!$B$12,'Paramètres'!$A$1:$I$88,7,0))</f>
        <v>0</v>
      </c>
      <c r="CI150" s="155">
        <f>IF(ISNA(VLOOKUP(A150,'Données projet'!$A$113:$I$133,6,0)),0%,VLOOKUP(A150,'Données projet'!$A$113:$I$133,6,0)*VLOOKUP('Données projet'!$B$12,'Paramètres'!$A$1:$I$88,7,0))</f>
        <v>0</v>
      </c>
      <c r="CJ150" s="155">
        <f>IF(ISNA(VLOOKUP(A150,'Données projet'!$A$113:$I$133,7,0)),0%,VLOOKUP(A150,'Données projet'!$A$113:$I$133,7,0))</f>
        <v>0</v>
      </c>
      <c r="CK150" s="162" t="str">
        <f>EXP(-LN(2)/35)*CK149+(1-EXP(-LN(2)/35))/(LN(2)/35)*CG150*CH150*VLOOKUP('Données projet'!$B$12,'Paramètres'!$A$1:$I$88,3,0)*0.475*44/12</f>
        <v>#N/A</v>
      </c>
      <c r="CL150" s="162" t="str">
        <f>EXP(-LN(2)/25)*CL149+(1-EXP(-LN(2)/25))/(LN(2)/25)*Calculateur!CG150*Calculateur!CI150*VLOOKUP('Données projet'!$B$12,'Paramètres'!$A$1:$I$88,3,0)*0.475*44/12</f>
        <v>#N/A</v>
      </c>
      <c r="CM150" s="162" t="str">
        <f>EXP(-LN(2)/2)*CM149+(1-EXP(-LN(2)/2))/(LN(2)/2)*CG150*CJ150*VLOOKUP('Données projet'!$B$12,'Paramètres'!$A$1:$I$88,3,0)*0.475*44/12</f>
        <v>#N/A</v>
      </c>
      <c r="CN150" s="163" t="str">
        <f t="shared" si="13"/>
        <v>#N/A</v>
      </c>
      <c r="CO150" s="159">
        <f>('Scénario référence'!$F$8+'Scénario référence'!$F$9+'Scénario référence'!$B$17+'Scénario référence'!$B$9+'Scénario référence'!$B$10)*70+IF((45+25*(1-EXP(-0.0175*A150)))&lt;70,'Scénario référence'!$B$16*(45+25*(1-EXP(-0.0175*A150))),70*'Scénario référence'!$B$16)+IF((32+38*(1-EXP(-0.0175*A150)))&lt;70,'Scénario référence'!$B$18*(32+38*(1-EXP(-0.0175*A150))),70*'Scénario référence'!$B$18)</f>
        <v>70</v>
      </c>
      <c r="CP150" s="151">
        <f>IF(A150&gt;30,10,('Scénario référence'!$B$16+'Scénario référence'!$B$17+'Scénario référence'!$B$18+'Scénario référence'!$B$9+'Scénario référence'!$B$10)*A150*10/30+('Scénario référence'!$F$8+'Scénario référence'!$F$9)*10)</f>
        <v>10</v>
      </c>
      <c r="CQ150" s="151" t="str">
        <f>VLOOKUP(A150,'Données projet'!$A$139:$I$159,2,0)</f>
        <v>#N/A</v>
      </c>
      <c r="CR150" s="151" t="str">
        <f>VLOOKUP(A150,'Données projet'!$A$139:$I$159,9,0)</f>
        <v>#N/A</v>
      </c>
      <c r="CS150" s="151" t="str">
        <f t="array" ref="CS150">INDEX(CR:CR,MIN(IF(ISNUMBER(CR150:CR346),ROW(CR150:CR346),"")))</f>
        <v/>
      </c>
      <c r="CT150" s="151">
        <f>IF('Données projet'!$A$140&gt;35,CT149+CS150-DB149,IF(A150&lt;'Données projet'!$A$140,$CQ$205^A150,IF(A150='Données projet'!$A$140,'Données projet'!$B$140,CT149+CS150-DB149)))</f>
        <v>0</v>
      </c>
      <c r="CU150" s="158" t="str">
        <f>CT150*VLOOKUP('Données projet'!$B$13,'Paramètres'!$A$1:$I$88,3,0)*VLOOKUP('Données projet'!$B$13,'Paramètres'!$A$1:$I$88,5,0)</f>
        <v>#N/A</v>
      </c>
      <c r="CV150" s="150" t="str">
        <f t="shared" si="42"/>
        <v>#N/A</v>
      </c>
      <c r="CW150" s="161" t="str">
        <f t="shared" si="14"/>
        <v>#N/A</v>
      </c>
      <c r="CX150" s="153" t="str">
        <f t="shared" si="15"/>
        <v>#N/A</v>
      </c>
      <c r="CY150" s="153" t="str">
        <f>AVERAGE(OFFSET($CX$3,0,0,'Données projet'!$E$13+1,1))-AVERAGE(OFFSET($H$3,0,0,'Données projet'!$E$13+1,1))</f>
        <v>#N/A</v>
      </c>
      <c r="CZ150" s="153" t="str">
        <f t="shared" si="43"/>
        <v>#N/A</v>
      </c>
      <c r="DA150" s="154">
        <f>IF(ISNA(VLOOKUP(A150,'Données projet'!$A$139:$I$159,3,0)),0,VLOOKUP(A150,'Données projet'!$A$139:$I$159,3,0))</f>
        <v>0</v>
      </c>
      <c r="DB150" s="154">
        <f>IF(ISNA(VLOOKUP(A150,'Données projet'!$A$139:$I$159,4,0)),0,VLOOKUP(A150,'Données projet'!$A$139:$I$159,4,0))</f>
        <v>0</v>
      </c>
      <c r="DC150" s="155">
        <f>IF(ISNA(VLOOKUP(A150,'Données projet'!$A$139:$I$159,5,0)),0%,VLOOKUP(A150,'Données projet'!$A$139:$I$159,5,0)*VLOOKUP('Données projet'!$B$13,'Paramètres'!$A$1:$I$88,7,0))</f>
        <v>0</v>
      </c>
      <c r="DD150" s="155">
        <f>IF(ISNA(VLOOKUP(A150,'Données projet'!$A$139:$I$159,6,0)),0%,VLOOKUP(A150,'Données projet'!$A$139:$I$159,6,0)*VLOOKUP('Données projet'!$B$13,'Paramètres'!$A$1:$I$88,7,0))</f>
        <v>0</v>
      </c>
      <c r="DE150" s="155">
        <f>IF(ISNA(VLOOKUP(A150,'Données projet'!$A$139:$I$159,7,0)),0%,VLOOKUP(A150,'Données projet'!$A$139:$I$159,7,0))</f>
        <v>0</v>
      </c>
      <c r="DF150" s="162" t="str">
        <f>EXP(-LN(2)/35)*DF149+(1-EXP(-LN(2)/35))/(LN(2)/35)*DB150*DC150*VLOOKUP('Données projet'!$B$13,'Paramètres'!$A$1:$I$88,3,0)*0.475*44/12</f>
        <v>#N/A</v>
      </c>
      <c r="DG150" s="162" t="str">
        <f>EXP(-LN(2)/25)*DG149+(1-EXP(-LN(2)/25))/(LN(2)/25)*Calculateur!DB150*Calculateur!DD150*VLOOKUP('Données projet'!$B$13,'Paramètres'!$A$1:$I$88,3,0)*0.475*44/12</f>
        <v>#N/A</v>
      </c>
      <c r="DH150" s="162" t="str">
        <f>EXP(-LN(2)/2)*DH149+(1-EXP(-LN(2)/2))/(LN(2)/2)*DB150*DE150*VLOOKUP('Données projet'!$B$13,'Paramètres'!$A$1:$I$88,3,0)*0.475*44/12</f>
        <v>#N/A</v>
      </c>
      <c r="DI150" s="163" t="str">
        <f t="shared" si="16"/>
        <v>#N/A</v>
      </c>
      <c r="DJ150" s="159">
        <f>('Scénario référence'!$F$8+'Scénario référence'!$F$9+'Scénario référence'!$B$17+'Scénario référence'!$B$9+'Scénario référence'!$B$10)*70+IF((45+25*(1-EXP(-0.0175*A150)))&lt;70,'Scénario référence'!$B$16*(45+25*(1-EXP(-0.0175*A150))),70*'Scénario référence'!$B$16)+IF((32+38*(1-EXP(-0.0175*A150)))&lt;70,'Scénario référence'!$B$18*(32+38*(1-EXP(-0.0175*A150))),70*'Scénario référence'!$B$18)</f>
        <v>70</v>
      </c>
      <c r="DK150" s="151">
        <f>IF(A150&gt;30,10,('Scénario référence'!$B$16+'Scénario référence'!$B$17+'Scénario référence'!$B$18+'Scénario référence'!$B$9+'Scénario référence'!$B$10)*A150*10/30+('Scénario référence'!$F$8+'Scénario référence'!$F$9)*10)</f>
        <v>10</v>
      </c>
      <c r="DL150" s="151" t="str">
        <f>VLOOKUP(A150,'Données projet'!$A$165:$I$185,2,0)</f>
        <v>#N/A</v>
      </c>
      <c r="DM150" s="151" t="str">
        <f>VLOOKUP(A150,'Données projet'!$A$165:$I$185,9,0)</f>
        <v>#N/A</v>
      </c>
      <c r="DN150" s="151" t="str">
        <f t="array" ref="DN150">INDEX(DM:DM,MIN(IF(ISNUMBER(DM150:DM346),ROW(DM150:DM346),"")))</f>
        <v/>
      </c>
      <c r="DO150" s="151">
        <f>IF('Données projet'!$A$166&gt;35,DO149+DN150-DW149,IF(A150&lt;'Données projet'!$A$166,$DL$205^A150,IF(A150='Données projet'!$A$166,'Données projet'!$B$166,DO149+DN150-DW149)))</f>
        <v>0</v>
      </c>
      <c r="DP150" s="158" t="str">
        <f>DO150*VLOOKUP('Données projet'!$B$14,'Paramètres'!$A$1:$I$88,3,0)*VLOOKUP('Données projet'!$B$14,'Paramètres'!$A$1:$I$88,5,0)</f>
        <v>#N/A</v>
      </c>
      <c r="DQ150" s="150" t="str">
        <f t="shared" si="44"/>
        <v>#N/A</v>
      </c>
      <c r="DR150" s="161" t="str">
        <f t="shared" si="17"/>
        <v>#N/A</v>
      </c>
      <c r="DS150" s="153" t="str">
        <f t="shared" si="18"/>
        <v>#N/A</v>
      </c>
      <c r="DT150" s="153" t="str">
        <f>AVERAGE(OFFSET($DS$3,0,0,'Données projet'!$E$14+1,1))-AVERAGE(OFFSET($H$3,0,0,'Données projet'!$E$14+1,1))</f>
        <v>#N/A</v>
      </c>
      <c r="DU150" s="153" t="str">
        <f t="shared" si="45"/>
        <v>#N/A</v>
      </c>
      <c r="DV150" s="154">
        <f>IF(ISNA(VLOOKUP(A150,'Données projet'!$A$165:$I$185,3,0)),0,VLOOKUP(A150,'Données projet'!$A$165:$I$185,3,0))</f>
        <v>0</v>
      </c>
      <c r="DW150" s="154">
        <f>IF(ISNA(VLOOKUP(A150,'Données projet'!$A$165:$I$185,4,0)),0,VLOOKUP(A150,'Données projet'!$A$165:$I$185,4,0))</f>
        <v>0</v>
      </c>
      <c r="DX150" s="155">
        <f>IF(ISNA(VLOOKUP(A150,'Données projet'!$A$165:$I$185,5,0)),0%,VLOOKUP(A150,'Données projet'!$A$165:$I$185,5,0)*VLOOKUP('Données projet'!$B$14,'Paramètres'!$A$1:$I$88,7,0))</f>
        <v>0</v>
      </c>
      <c r="DY150" s="155">
        <f>IF(ISNA(VLOOKUP(A150,'Données projet'!$A$165:$I$185,6,0)),0%,VLOOKUP(A150,'Données projet'!$A$165:$I$185,6,0)*VLOOKUP('Données projet'!$B$14,'Paramètres'!$A$1:$I$88,7,0))</f>
        <v>0</v>
      </c>
      <c r="DZ150" s="155">
        <f>IF(ISNA(VLOOKUP(A150,'Données projet'!$A$165:$I$185,7,0)),0%,VLOOKUP(A150,'Données projet'!$A$165:$I$185,7,0))</f>
        <v>0</v>
      </c>
      <c r="EA150" s="162" t="str">
        <f>EXP(-LN(2)/35)*EA149+(1-EXP(-LN(2)/35))/(LN(2)/35)*DW150*DX150*VLOOKUP('Données projet'!$B$14,'Paramètres'!$A$1:$I$88,3,0)*0.475*44/12</f>
        <v>#N/A</v>
      </c>
      <c r="EB150" s="162" t="str">
        <f>EXP(-LN(2)/25)*EB149+(1-EXP(-LN(2)/25))/(LN(2)/25)*Calculateur!DW150*Calculateur!DY150*VLOOKUP('Données projet'!$B$14,'Paramètres'!$A$1:$I$88,3,0)*0.475*44/12</f>
        <v>#N/A</v>
      </c>
      <c r="EC150" s="162" t="str">
        <f>EXP(-LN(2)/2)*EC149+(1-EXP(-LN(2)/2))/(LN(2)/2)*DW150*DZ150*VLOOKUP('Données projet'!$B$14,'Paramètres'!$A$1:$I$88,3,0)*0.475*44/12</f>
        <v>#N/A</v>
      </c>
      <c r="ED150" s="163" t="str">
        <f t="shared" si="19"/>
        <v>#N/A</v>
      </c>
      <c r="EE150" s="159">
        <f>('Scénario référence'!$F$8+'Scénario référence'!$F$9+'Scénario référence'!$B$17+'Scénario référence'!$B$9+'Scénario référence'!$B$10)*70+IF((45+25*(1-EXP(-0.0175*A150)))&lt;70,'Scénario référence'!$B$16*(45+25*(1-EXP(-0.0175*A150))),70*'Scénario référence'!$B$16)+IF((32+38*(1-EXP(-0.0175*A150)))&lt;70,'Scénario référence'!$B$18*(32+38*(1-EXP(-0.0175*A150))),70*'Scénario référence'!$B$18)</f>
        <v>70</v>
      </c>
      <c r="EF150" s="151">
        <f>IF(A150&gt;30,10,('Scénario référence'!$B$16+'Scénario référence'!$B$17+'Scénario référence'!$B$18+'Scénario référence'!$B$9+'Scénario référence'!$B$10)*A150*10/30+('Scénario référence'!$F$8+'Scénario référence'!$F$9)*10)</f>
        <v>10</v>
      </c>
      <c r="EG150" s="151" t="str">
        <f>VLOOKUP(A150,'Données projet'!$A$191:$I$211,2,0)</f>
        <v>#N/A</v>
      </c>
      <c r="EH150" s="151" t="str">
        <f>VLOOKUP(A150,'Données projet'!$A$191:$I$211,9,0)</f>
        <v>#N/A</v>
      </c>
      <c r="EI150" s="151" t="str">
        <f t="array" ref="EI150">INDEX(EH:EH,MIN(IF(ISNUMBER(EH150:EH346),ROW(EH150:EH346),"")))</f>
        <v/>
      </c>
      <c r="EJ150" s="151">
        <f>IF('Données projet'!$A$192&gt;35,EJ149+EI150-ER149,IF(A150&lt;'Données projet'!$A$192,$EG$205^A150,IF(A150='Données projet'!$A$192,'Données projet'!$B$192,EJ149+EI150-ER149)))</f>
        <v>0</v>
      </c>
      <c r="EK150" s="158" t="str">
        <f>EJ150*VLOOKUP('Données projet'!$B$15,'Paramètres'!$A$1:$I$88,3,0)*VLOOKUP('Données projet'!$B$15,'Paramètres'!$A$1:$I$88,5,0)</f>
        <v>#N/A</v>
      </c>
      <c r="EL150" s="150" t="str">
        <f t="shared" si="46"/>
        <v>#N/A</v>
      </c>
      <c r="EM150" s="161" t="str">
        <f t="shared" si="20"/>
        <v>#N/A</v>
      </c>
      <c r="EN150" s="153" t="str">
        <f t="shared" si="21"/>
        <v>#N/A</v>
      </c>
      <c r="EO150" s="153" t="str">
        <f>AVERAGE(OFFSET($EN$3,0,0,'Données projet'!$E$15+1,1))-AVERAGE(OFFSET($H$3,0,0,'Données projet'!$E$15+1,1))</f>
        <v>#N/A</v>
      </c>
      <c r="EP150" s="153" t="str">
        <f t="shared" si="47"/>
        <v>#N/A</v>
      </c>
      <c r="EQ150" s="154">
        <f>IF(ISNA(VLOOKUP(A150,'Données projet'!$A$191:$I$211,3,0)),0,VLOOKUP(A150,'Données projet'!$A$191:$I$211,3,0))</f>
        <v>0</v>
      </c>
      <c r="ER150" s="154">
        <f>IF(ISNA(VLOOKUP(A150,'Données projet'!$A$191:$I$211,4,0)),0,VLOOKUP(A150,'Données projet'!$A$191:$I$211,4,0))</f>
        <v>0</v>
      </c>
      <c r="ES150" s="155">
        <f>IF(ISNA(VLOOKUP(A150,'Données projet'!$A$191:$I$211,5,0)),0%,VLOOKUP(A150,'Données projet'!$A$191:$I$211,5,0)*VLOOKUP('Données projet'!$B$15,'Paramètres'!$A$1:$I$88,7,0))</f>
        <v>0</v>
      </c>
      <c r="ET150" s="155">
        <f>IF(ISNA(VLOOKUP(A150,'Données projet'!$A$191:$I$211,6,0)),0%,VLOOKUP(A150,'Données projet'!$A$191:$I$211,6,0)*VLOOKUP('Données projet'!$B$15,'Paramètres'!$A$1:$I$88,7,0))</f>
        <v>0</v>
      </c>
      <c r="EU150" s="155">
        <f>IF(ISNA(VLOOKUP(A150,'Données projet'!$A$191:$I$211,7,0)),0%,VLOOKUP(A150,'Données projet'!$A$191:$I$211,7,0))</f>
        <v>0</v>
      </c>
      <c r="EV150" s="162" t="str">
        <f>EXP(-LN(2)/35)*EV149+(1-EXP(-LN(2)/35))/(LN(2)/35)*ER150*ES150*VLOOKUP('Données projet'!$B$15,'Paramètres'!$A$1:$I$88,3,0)*0.475*44/12</f>
        <v>#N/A</v>
      </c>
      <c r="EW150" s="162" t="str">
        <f>EXP(-LN(2)/25)*EW149+(1-EXP(-LN(2)/25))/(LN(2)/25)*Calculateur!ER150*Calculateur!ET150*VLOOKUP('Données projet'!$B$15,'Paramètres'!$A$1:$I$88,3,0)*0.475*44/12</f>
        <v>#N/A</v>
      </c>
      <c r="EX150" s="162" t="str">
        <f>EXP(-LN(2)/2)*EX149+(1-EXP(-LN(2)/2))/(LN(2)/2)*ER150*EU150*VLOOKUP('Données projet'!$B$15,'Paramètres'!$A$1:$I$88,3,0)*0.475*44/12</f>
        <v>#N/A</v>
      </c>
      <c r="EY150" s="163" t="str">
        <f t="shared" si="22"/>
        <v>#N/A</v>
      </c>
      <c r="EZ150" s="159">
        <f>('Scénario référence'!$F$8+'Scénario référence'!$F$9+'Scénario référence'!$B$17+'Scénario référence'!$B$9+'Scénario référence'!$B$10)*70+IF((45+25*(1-EXP(-0.0175*A150)))&lt;70,'Scénario référence'!$B$16*(45+25*(1-EXP(-0.0175*A150))),70*'Scénario référence'!$B$16)+IF((32+38*(1-EXP(-0.0175*A150)))&lt;70,'Scénario référence'!$B$18*(32+38*(1-EXP(-0.0175*A150))),70*'Scénario référence'!$B$18)</f>
        <v>70</v>
      </c>
      <c r="FA150" s="151">
        <f>IF(A150&gt;30,10,('Scénario référence'!$B$16+'Scénario référence'!$B$17+'Scénario référence'!$B$18+'Scénario référence'!$B$9+'Scénario référence'!$B$10)*A150*10/30+('Scénario référence'!$F$8+'Scénario référence'!$F$9)*10)</f>
        <v>10</v>
      </c>
      <c r="FB150" s="151" t="str">
        <f>VLOOKUP(A150,'Données projet'!$A$217:$I$237,2,0)</f>
        <v>#N/A</v>
      </c>
      <c r="FC150" s="151" t="str">
        <f>VLOOKUP(A150,'Données projet'!$A$217:$I$237,9,0)</f>
        <v>#N/A</v>
      </c>
      <c r="FD150" s="151" t="str">
        <f t="array" ref="FD150">INDEX(FC:FC,MIN(IF(ISNUMBER(FC150:FC346),ROW(FC150:FC346),"")))</f>
        <v/>
      </c>
      <c r="FE150" s="151">
        <f>IF('Données projet'!$A$218&gt;35,FE149+FD150-FM149,IF(A150&lt;'Données projet'!$A$218,$FB$205^A150,IF(A150='Données projet'!$A$218,'Données projet'!$B$218,FE149+FD150-FM149)))</f>
        <v>0</v>
      </c>
      <c r="FF150" s="158" t="str">
        <f>FE150*VLOOKUP('Données projet'!$B$16,'Paramètres'!$A$1:$I$88,3,0)*VLOOKUP('Données projet'!$B$16,'Paramètres'!$A$1:$I$88,5,0)</f>
        <v>#N/A</v>
      </c>
      <c r="FG150" s="150" t="str">
        <f t="shared" si="48"/>
        <v>#N/A</v>
      </c>
      <c r="FH150" s="161" t="str">
        <f t="shared" si="23"/>
        <v>#N/A</v>
      </c>
      <c r="FI150" s="153" t="str">
        <f t="shared" si="24"/>
        <v>#N/A</v>
      </c>
      <c r="FJ150" s="153" t="str">
        <f>AVERAGE(OFFSET($FI$3,0,0,'Données projet'!$E$16+1,1))-AVERAGE(OFFSET($H$3,0,0,'Données projet'!$E$16+1,1))</f>
        <v>#N/A</v>
      </c>
      <c r="FK150" s="153" t="str">
        <f t="shared" si="49"/>
        <v>#N/A</v>
      </c>
      <c r="FL150" s="154">
        <f>IF(ISNA(VLOOKUP(A150,'Données projet'!$A$217:$I$237,3,0)),0,VLOOKUP(A150,'Données projet'!$A$217:$I$237,3,0))</f>
        <v>0</v>
      </c>
      <c r="FM150" s="154">
        <f>IF(ISNA(VLOOKUP(A150,'Données projet'!$A$217:$I$237,4,0)),0,VLOOKUP(A150,'Données projet'!$A$217:$I$237,4,0))</f>
        <v>0</v>
      </c>
      <c r="FN150" s="155">
        <f>IF(ISNA(VLOOKUP(A150,'Données projet'!$A$217:$I$237,5,0)),0%,VLOOKUP(A150,'Données projet'!$A$217:$I$237,5,0)*VLOOKUP('Données projet'!$B$16,'Paramètres'!$A$1:$I$88,7,0))</f>
        <v>0</v>
      </c>
      <c r="FO150" s="155">
        <f>IF(ISNA(VLOOKUP(A150,'Données projet'!$A$217:$I$237,6,0)),0%,VLOOKUP(A150,'Données projet'!$A$217:$I$237,6,0)*VLOOKUP('Données projet'!$B$16,'Paramètres'!$A$1:$I$88,7,0))</f>
        <v>0</v>
      </c>
      <c r="FP150" s="155">
        <f>IF(ISNA(VLOOKUP(A150,'Données projet'!$A$217:$I$237,7,0)),0%,VLOOKUP(A150,'Données projet'!$A$217:$I$237,7,0))</f>
        <v>0</v>
      </c>
      <c r="FQ150" s="162" t="str">
        <f>EXP(-LN(2)/35)*FQ149+(1-EXP(-LN(2)/35))/(LN(2)/35)*FM150*FN150*VLOOKUP('Données projet'!$B$16,'Paramètres'!$A$1:$I$88,3,0)*0.475*44/12</f>
        <v>#N/A</v>
      </c>
      <c r="FR150" s="162" t="str">
        <f>EXP(-LN(2)/25)*FR149+(1-EXP(-LN(2)/25))/(LN(2)/25)*Calculateur!FM150*Calculateur!FO150*VLOOKUP('Données projet'!$B$16,'Paramètres'!$A$1:$I$88,3,0)*0.475*44/12</f>
        <v>#N/A</v>
      </c>
      <c r="FS150" s="162" t="str">
        <f>EXP(-LN(2)/2)*FS149+(1-EXP(-LN(2)/2))/(LN(2)/2)*FM150*FP150*VLOOKUP('Données projet'!$B$16,'Paramètres'!$A$1:$I$88,3,0)*0.475*44/12</f>
        <v>#N/A</v>
      </c>
      <c r="FT150" s="163" t="str">
        <f t="shared" si="25"/>
        <v>#N/A</v>
      </c>
      <c r="FU150" s="159">
        <f>('Scénario référence'!$F$8+'Scénario référence'!$F$9+'Scénario référence'!$B$17+'Scénario référence'!$B$9+'Scénario référence'!$B$10)*70+IF((45+25*(1-EXP(-0.0175*A150)))&lt;70,'Scénario référence'!$B$16*(45+25*(1-EXP(-0.0175*A150))),70*'Scénario référence'!$B$16)+IF((32+38*(1-EXP(-0.0175*A150)))&lt;70,'Scénario référence'!$B$18*(32+38*(1-EXP(-0.0175*A150))),70*'Scénario référence'!$B$18)</f>
        <v>70</v>
      </c>
      <c r="FV150" s="151">
        <f>IF(A150&gt;30,10,('Scénario référence'!$B$16+'Scénario référence'!$B$17+'Scénario référence'!$B$18+'Scénario référence'!$B$9+'Scénario référence'!$B$10)*A150*10/30+('Scénario référence'!$F$8+'Scénario référence'!$F$9)*10)</f>
        <v>10</v>
      </c>
      <c r="FW150" s="151" t="str">
        <f>VLOOKUP(A150,'Données projet'!$A$243:$I$263,2,0)</f>
        <v>#N/A</v>
      </c>
      <c r="FX150" s="151" t="str">
        <f>VLOOKUP(A150,'Données projet'!$A$243:$I$263,9,0)</f>
        <v>#N/A</v>
      </c>
      <c r="FY150" s="151" t="str">
        <f t="array" ref="FY150">INDEX(FX:FX,MIN(IF(ISNUMBER(FX150:FX346),ROW(FX150:FX346),"")))</f>
        <v/>
      </c>
      <c r="FZ150" s="151">
        <f>IF('Données projet'!$A$244&gt;35,FZ149+FY150-GH149,IF(A150&lt;'Données projet'!$A$244,$FW$205^A150,IF(A150='Données projet'!$A$244,'Données projet'!$B$244,FZ149+FY150-GH149)))</f>
        <v>0</v>
      </c>
      <c r="GA150" s="158" t="str">
        <f>FZ150*VLOOKUP('Données projet'!$B$17,'Paramètres'!$A$1:$I$88,3,0)*VLOOKUP('Données projet'!$B$17,'Paramètres'!$A$1:$I$88,5,0)</f>
        <v>#N/A</v>
      </c>
      <c r="GB150" s="150" t="str">
        <f t="shared" si="50"/>
        <v>#N/A</v>
      </c>
      <c r="GC150" s="161" t="str">
        <f t="shared" si="26"/>
        <v>#N/A</v>
      </c>
      <c r="GD150" s="153" t="str">
        <f t="shared" si="27"/>
        <v>#N/A</v>
      </c>
      <c r="GE150" s="153" t="str">
        <f>AVERAGE(OFFSET($GD$3,0,0,'Données projet'!$E$17+1,1))-AVERAGE(OFFSET($H$3,0,0,'Données projet'!$E$17+1,1))</f>
        <v>#N/A</v>
      </c>
      <c r="GF150" s="153" t="str">
        <f t="shared" si="51"/>
        <v>#N/A</v>
      </c>
      <c r="GG150" s="154">
        <f>IF(ISNA(VLOOKUP(A150,'Données projet'!$A$243:$I$263,3,0)),0,VLOOKUP(A150,'Données projet'!$A$243:$I$263,3,0))</f>
        <v>0</v>
      </c>
      <c r="GH150" s="154">
        <f>IF(ISNA(VLOOKUP(A150,'Données projet'!$A$243:$I$263,4,0)),0,VLOOKUP(A150,'Données projet'!$A$243:$I$263,4,0))</f>
        <v>0</v>
      </c>
      <c r="GI150" s="155">
        <f>IF(ISNA(VLOOKUP(A150,'Données projet'!$A$243:$I$263,5,0)),0%,VLOOKUP(A150,'Données projet'!$A$243:$I$263,5,0)*VLOOKUP('Données projet'!$B$17,'Paramètres'!$A$1:$I$88,7,0))</f>
        <v>0</v>
      </c>
      <c r="GJ150" s="155">
        <f>IF(ISNA(VLOOKUP(A150,'Données projet'!$A$243:$I$263,6,0)),0%,VLOOKUP(A150,'Données projet'!$A$243:$I$263,6,0)*VLOOKUP('Données projet'!$B$17,'Paramètres'!$A$1:$I$88,7,0))</f>
        <v>0</v>
      </c>
      <c r="GK150" s="155">
        <f>IF(ISNA(VLOOKUP(A150,'Données projet'!$A$243:$I$263,7,0)),0%,VLOOKUP(A150,'Données projet'!$A$243:$I$263,7,0))</f>
        <v>0</v>
      </c>
      <c r="GL150" s="162" t="str">
        <f>EXP(-LN(2)/35)*GL149+(1-EXP(-LN(2)/35))/(LN(2)/35)*GH150*GI150*VLOOKUP('Données projet'!$B$17,'Paramètres'!$A$1:$I$88,3,0)*0.475*44/12</f>
        <v>#N/A</v>
      </c>
      <c r="GM150" s="162" t="str">
        <f>EXP(-LN(2)/25)*GM149+(1-EXP(-LN(2)/25))/(LN(2)/25)*Calculateur!GH150*Calculateur!GJ150*VLOOKUP('Données projet'!$B$17,'Paramètres'!$A$1:$I$88,3,0)*0.475*44/12</f>
        <v>#N/A</v>
      </c>
      <c r="GN150" s="162" t="str">
        <f>EXP(-LN(2)/2)*GN149+(1-EXP(-LN(2)/2))/(LN(2)/2)*GH150*GK150*VLOOKUP('Données projet'!$B$17,'Paramètres'!$A$1:$I$88,3,0)*0.475*44/12</f>
        <v>#N/A</v>
      </c>
      <c r="GO150" s="162" t="str">
        <f t="shared" si="28"/>
        <v>#N/A</v>
      </c>
      <c r="GP150" s="159">
        <f>('Scénario référence'!$F$8+'Scénario référence'!$F$9+'Scénario référence'!$B$17+'Scénario référence'!$B$9+'Scénario référence'!$B$10)*70+IF((45+25*(1-EXP(-0.0175*A150)))&lt;70,'Scénario référence'!$B$16*(45+25*(1-EXP(-0.0175*A150))),70*'Scénario référence'!$B$16)+IF((32+38*(1-EXP(-0.0175*A150)))&lt;70,'Scénario référence'!$B$18*(32+38*(1-EXP(-0.0175*A150))),70*'Scénario référence'!$B$18)</f>
        <v>70</v>
      </c>
      <c r="GQ150" s="151">
        <f>IF(A150&gt;30,10,('Scénario référence'!$B$16+'Scénario référence'!$B$17+'Scénario référence'!$B$18+'Scénario référence'!$B$9+'Scénario référence'!$B$10)*A150*10/30+('Scénario référence'!$F$8+'Scénario référence'!$F$9)*10)</f>
        <v>10</v>
      </c>
      <c r="GR150" s="151" t="str">
        <f>VLOOKUP(A150,'Données projet'!$A$269:$I$289,2,0)</f>
        <v>#N/A</v>
      </c>
      <c r="GS150" s="151" t="str">
        <f>VLOOKUP(A150,'Données projet'!$A$269:$I$289,9,0)</f>
        <v>#N/A</v>
      </c>
      <c r="GT150" s="151" t="str">
        <f t="array" ref="GT150">INDEX(GS:GS,MIN(IF(ISNUMBER(GS150:GS346),ROW(GS150:GS346),"")))</f>
        <v/>
      </c>
      <c r="GU150" s="151">
        <f>IF('Données projet'!$A$270&gt;35,GU149+GT150-HC149,IF(A150&lt;'Données projet'!$A$270,$GR$205^A150,IF(A150='Données projet'!$A$270,'Données projet'!$B$270,GU149+GT150-HC149)))</f>
        <v>0</v>
      </c>
      <c r="GV150" s="158" t="str">
        <f>GU150*VLOOKUP('Données projet'!$B$18,'Paramètres'!$A$1:$I$88,3,0)*VLOOKUP('Données projet'!$B$18,'Paramètres'!$A$1:$I$88,5,0)</f>
        <v>#N/A</v>
      </c>
      <c r="GW150" s="150" t="str">
        <f t="shared" si="52"/>
        <v>#N/A</v>
      </c>
      <c r="GX150" s="161" t="str">
        <f t="shared" si="29"/>
        <v>#N/A</v>
      </c>
      <c r="GY150" s="153" t="str">
        <f t="shared" si="30"/>
        <v>#N/A</v>
      </c>
      <c r="GZ150" s="153" t="str">
        <f>AVERAGE(OFFSET($GY$3,0,0,'Données projet'!$E$18+1,1))-AVERAGE(OFFSET($H$3,0,0,'Données projet'!$E$18+1,1))</f>
        <v>#N/A</v>
      </c>
      <c r="HA150" s="153" t="str">
        <f t="shared" si="53"/>
        <v>#N/A</v>
      </c>
      <c r="HB150" s="154">
        <f>IF(ISNA(VLOOKUP(A150,'Données projet'!$A$269:$I$289,3,0)),0,VLOOKUP(A150,'Données projet'!$A$269:$I$289,3,0))</f>
        <v>0</v>
      </c>
      <c r="HC150" s="154">
        <f>IF(ISNA(VLOOKUP(A150,'Données projet'!$A$269:$I$289,4,0)),0,VLOOKUP(A150,'Données projet'!$A$269:$I$289,4,0))</f>
        <v>0</v>
      </c>
      <c r="HD150" s="155">
        <f>IF(ISNA(VLOOKUP(A150,'Données projet'!$A$269:$I$289,5,0)),0%,VLOOKUP(A150,'Données projet'!$A$269:$I$289,5,0)*VLOOKUP('Données projet'!$B$18,'Paramètres'!$A$1:$I$88,7,0))</f>
        <v>0</v>
      </c>
      <c r="HE150" s="155">
        <f>IF(ISNA(VLOOKUP(A150,'Données projet'!$A$269:$I$289,6,0)),0%,VLOOKUP(A150,'Données projet'!$A$269:$I$289,6,0)*VLOOKUP('Données projet'!$B$18,'Paramètres'!$A$1:$I$88,7,0))</f>
        <v>0</v>
      </c>
      <c r="HF150" s="155">
        <f>IF(ISNA(VLOOKUP(A150,'Données projet'!$A$269:$I$289,7,0)),0%,VLOOKUP(A150,'Données projet'!$A$269:$I$289,7,0))</f>
        <v>0</v>
      </c>
      <c r="HG150" s="162" t="str">
        <f>EXP(-LN(2)/35)*HG149+(1-EXP(-LN(2)/35))/(LN(2)/35)*HC150*HD150*VLOOKUP('Données projet'!$B$18,'Paramètres'!$A$1:$I$88,3,0)*0.475*44/12</f>
        <v>#N/A</v>
      </c>
      <c r="HH150" s="162" t="str">
        <f>EXP(-LN(2)/25)*HH149+(1-EXP(-LN(2)/25))/(LN(2)/25)*Calculateur!HC150*Calculateur!HE150*VLOOKUP('Données projet'!$B$18,'Paramètres'!$A$1:$I$88,3,0)*0.475*44/12</f>
        <v>#N/A</v>
      </c>
      <c r="HI150" s="162" t="str">
        <f>EXP(-LN(2)/2)*HI149+(1-EXP(-LN(2)/2))/(LN(2)/2)*HC150*HF150*VLOOKUP('Données projet'!$B$18,'Paramètres'!$A$1:$I$88,3,0)*0.475*44/12</f>
        <v>#N/A</v>
      </c>
      <c r="HJ150" s="163" t="str">
        <f t="shared" si="31"/>
        <v>#N/A</v>
      </c>
    </row>
    <row r="151" ht="15.75" customHeight="1">
      <c r="A151" s="145">
        <f t="shared" si="32"/>
        <v>148</v>
      </c>
      <c r="B151" s="146">
        <f>'Scénario référence'!$B$16*5+'Scénario référence'!$B$17*0+'Scénario référence'!$B$18*5</f>
        <v>0</v>
      </c>
      <c r="C151" s="160">
        <f>Calculateur!C150+'Scénario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51" s="147">
        <f t="shared" si="33"/>
        <v>0</v>
      </c>
      <c r="E151" s="147">
        <f>'Scénario référence'!$B$16*45+('Scénario référence'!$B$17+'Scénario référence'!$F$8+'Scénario référence'!$F$9+'Scénario référence'!$B$10+'Scénario référence'!$B$9)*70+'Scénario référence'!$B$18*32</f>
        <v>70</v>
      </c>
      <c r="F151" s="147">
        <f>IF(OR('Scénario référence'!$F$8&gt;0,'Scénario référence'!$F$9&gt;0),('Scénario référence'!$F$8+'Scénario référence'!$F$9)*10,0)</f>
        <v>0</v>
      </c>
      <c r="G151" s="147">
        <f>'Scénario référence'!$B$8*B151*44/12+'Scénario référence'!$B$9*(C151+D151)/0.475*44/12+'Scénario référence'!$B$10*(C151+D151)/0.475*44/12+'Scénario référence'!$F$8*(C151+D151)/0.475*44/12+'Scénario référence'!$F$9*(C151+D151)/0.475*44/12</f>
        <v>0</v>
      </c>
      <c r="H151" s="148">
        <f t="shared" si="1"/>
        <v>256.6666667</v>
      </c>
      <c r="I151" s="149">
        <f>('Scénario référence'!$F$8+'Scénario référence'!$F$9+'Scénario référence'!$B$17+'Scénario référence'!$B$9+'Scénario référence'!$B$10)*70+IF((45+25*(1-EXP(-0.0175*A151)))&lt;70,'Scénario référence'!$B$16*(45+25*(1-EXP(-0.0175*A151))),70*'Scénario référence'!$B$16)+IF((32+38*(1-EXP(-0.0175*A151)))&lt;70,'Scénario référence'!$B$18*(32+38*(1-EXP(-0.0175*A151))),70*'Scénario référence'!$B$18)</f>
        <v>70</v>
      </c>
      <c r="J151" s="150">
        <f>IF(A151&gt;30,10,('Scénario référence'!$B$16+'Scénario référence'!$B$17+'Scénario référence'!$B$18+'Scénario référence'!$B$9+'Scénario référence'!$B$10)*A151*10/30+('Scénario référence'!$F$8+'Scénario référence'!$F$9)*10)</f>
        <v>10</v>
      </c>
      <c r="K151" s="151" t="str">
        <f>VLOOKUP(A151,'Données projet'!$A$35:$I$55,2,0)</f>
        <v>#N/A</v>
      </c>
      <c r="L151" s="151" t="str">
        <f>VLOOKUP(A151,'Données projet'!$A$35:$I$55,9,0)</f>
        <v>#N/A</v>
      </c>
      <c r="M151" s="151" t="str">
        <f t="array" ref="M151">INDEX(L:L,MIN(IF(ISNUMBER(L151:L347),ROW(L151:L347),"")))</f>
        <v/>
      </c>
      <c r="N151" s="150">
        <f>IF('Données projet'!$A$36&gt;35,N150+M151-V150,IF(A151&lt;'Données projet'!$A$36,$K$205^A151,IF(A151='Données projet'!$A$36,'Données projet'!$B$36,N150+M151-V150)))</f>
        <v>307</v>
      </c>
      <c r="O151" s="150">
        <f>N151*VLOOKUP('Données projet'!$B$9,'Paramètres'!$A$1:$I$88,3,0)*VLOOKUP('Données projet'!$B$9,'Paramètres'!$A$1:$I$88,5,0)</f>
        <v>277.7736</v>
      </c>
      <c r="P151" s="150">
        <f t="shared" si="34"/>
        <v>66.49628818</v>
      </c>
      <c r="Q151" s="161">
        <f t="shared" si="2"/>
        <v>599.6033886</v>
      </c>
      <c r="R151" s="153">
        <f t="shared" si="3"/>
        <v>892.9367219</v>
      </c>
      <c r="S151" s="153">
        <f>AVERAGE(OFFSET($R$3,0,0,'Données projet'!$E$9+1,1))-AVERAGE(OFFSET($H$3,0,0,'Données projet'!$E$9+1,1))</f>
        <v>439.1985427</v>
      </c>
      <c r="T151" s="153">
        <f t="shared" si="35"/>
        <v>278.2174123</v>
      </c>
      <c r="U151" s="154">
        <f>IF(ISNA(VLOOKUP(A151,'Données projet'!$A$35:$I$55,3,0)),0,VLOOKUP(A151,'Données projet'!$A$35:$I$55,3,0))</f>
        <v>0</v>
      </c>
      <c r="V151" s="154">
        <f>IF(ISNA(VLOOKUP(A151,'Données projet'!$A$35:$I$55,4,0)),0,VLOOKUP(A151,'Données projet'!$A$35:$I$55,4,0))</f>
        <v>0</v>
      </c>
      <c r="W151" s="155">
        <f>IF(ISNA(VLOOKUP(A151,'Données projet'!$A$35:$I$55,5,0)),0%,VLOOKUP(A151,'Données projet'!$A$35:$I$55,5,0)*VLOOKUP('Données projet'!$B$9,'Paramètres'!$A$1:$I$88,7,0))</f>
        <v>0</v>
      </c>
      <c r="X151" s="155">
        <f>IF(ISNA(VLOOKUP(A151,'Données projet'!$A$35:$I$55,6,0)),0%,VLOOKUP(A151,'Données projet'!$A$35:$I$55,6,0)*VLOOKUP('Données projet'!$B$9,'Paramètres'!$A$1:$I$88,7,0))</f>
        <v>0</v>
      </c>
      <c r="Y151" s="155">
        <f>IF(ISNA(VLOOKUP(A151,'Données projet'!$A$35:$I$55,7,0)),0%,VLOOKUP(A151,'Données projet'!$A$35:$I$55,7,0))</f>
        <v>0</v>
      </c>
      <c r="Z151" s="162">
        <f>EXP(-LN(2)/35)*Z150+(1-EXP(-LN(2)/35))/(LN(2)/35)*V151*W151*VLOOKUP('Données projet'!$B$9,'Paramètres'!$A$1:$I$88,3,0)*0.475*44/12</f>
        <v>0</v>
      </c>
      <c r="AA151" s="162">
        <f>EXP(-LN(2)/25)*AA150+(1-EXP(-LN(2)/25))/(LN(2)/25)*Calculateur!V151*Calculateur!X151*VLOOKUP('Données projet'!$B$9,'Paramètres'!$A$1:$I$88,3,0)*0.475*44/12</f>
        <v>0.1702749257</v>
      </c>
      <c r="AB151" s="162">
        <f>EXP(-LN(2)/2)*AB150+(1-EXP(-LN(2)/2))/(LN(2)/2)*V151*Y151*VLOOKUP('Données projet'!$B$9,'Paramètres'!$A$1:$I$88,3,0)*0.475*44/12</f>
        <v>0</v>
      </c>
      <c r="AC151" s="163">
        <f t="shared" si="4"/>
        <v>0.1702749257</v>
      </c>
      <c r="AD151" s="150">
        <f>('Scénario référence'!$F$8+'Scénario référence'!$F$9+'Scénario référence'!$B$17+'Scénario référence'!$B$9+'Scénario référence'!$B$10)*70+IF((45+25*(1-EXP(-0.0175*A151)))&lt;70,'Scénario référence'!$B$16*(45+25*(1-EXP(-0.0175*A151))),70*'Scénario référence'!$B$16)+IF((32+38*(1-EXP(-0.0175*A151)))&lt;70,'Scénario référence'!$B$18*(32+38*(1-EXP(-0.0175*A151))),70*'Scénario référence'!$B$18)</f>
        <v>70</v>
      </c>
      <c r="AE151" s="150">
        <f>IF(A151&gt;30,10,('Scénario référence'!$B$16+'Scénario référence'!$B$17+'Scénario référence'!$B$18+'Scénario référence'!$B$9+'Scénario référence'!$B$10)*A151*10/30+('Scénario référence'!$F$8+'Scénario référence'!$F$9)*10)</f>
        <v>10</v>
      </c>
      <c r="AF151" s="151" t="str">
        <f>VLOOKUP(A151,'Données projet'!$A$61:$I$81,2,0)</f>
        <v>#N/A</v>
      </c>
      <c r="AG151" s="151" t="str">
        <f>VLOOKUP(A151,'Données projet'!$A$61:$I$81,9,0)</f>
        <v>#N/A</v>
      </c>
      <c r="AH151" s="151" t="str">
        <f t="array" ref="AH151">INDEX(AG:AG,MIN(IF(ISNUMBER(AG151:AG347),ROW(AG151:AG347),"")))</f>
        <v/>
      </c>
      <c r="AI151" s="150">
        <f>IF('Données projet'!$A$62&gt;35,AI150+AH151-AQ150,IF(A151&lt;'Données projet'!$A$62,$AF$205^A151,IF(A151='Données projet'!$A$62,'Données projet'!$B$62,AI150+AH151-AQ150)))</f>
        <v>369</v>
      </c>
      <c r="AJ151" s="150">
        <f>AI151*VLOOKUP('Données projet'!$B$10,'Paramètres'!$A$1:$I$88,3,0)*VLOOKUP('Données projet'!$B$10,'Paramètres'!$A$1:$I$88,5,0)</f>
        <v>293.5764</v>
      </c>
      <c r="AK151" s="150">
        <f t="shared" si="36"/>
        <v>69.82813851</v>
      </c>
      <c r="AL151" s="161">
        <f t="shared" si="5"/>
        <v>632.9295712</v>
      </c>
      <c r="AM151" s="153">
        <f t="shared" si="6"/>
        <v>926.2629046</v>
      </c>
      <c r="AN151" s="153">
        <f>AVERAGE(OFFSET($AM$3,0,0,'Données projet'!$E$10+1,1))-AVERAGE(OFFSET($H$3,0,0,'Données projet'!$E$10+1,1))</f>
        <v>405.6113614</v>
      </c>
      <c r="AO151" s="153">
        <f t="shared" si="37"/>
        <v>393.0787141</v>
      </c>
      <c r="AP151" s="154">
        <f>IF(ISNA(VLOOKUP(A151,'Données projet'!$A$61:$I$81,3,0)),0,VLOOKUP(A151,'Données projet'!$A$61:$I$81,3,0))</f>
        <v>0</v>
      </c>
      <c r="AQ151" s="154">
        <f>IF(ISNA(VLOOKUP(A151,'Données projet'!$A$61:$I$81,4,0)),0,VLOOKUP(A151,'Données projet'!$A$61:$I$81,4,0))</f>
        <v>0</v>
      </c>
      <c r="AR151" s="155">
        <f>IF(ISNA(VLOOKUP(A151,'Données projet'!$A$61:$I$81,5,0)),0%,VLOOKUP(A151,'Données projet'!$A$61:$I$81,5,0)*VLOOKUP('Données projet'!$B$10,'Paramètres'!$A$1:$I$88,7,0))</f>
        <v>0</v>
      </c>
      <c r="AS151" s="155">
        <f>IF(ISNA(VLOOKUP(A151,'Données projet'!$A$61:$I$81,6,0)),0%,VLOOKUP(A151,'Données projet'!$A$61:$I$81,6,0)*VLOOKUP('Données projet'!$B$10,'Paramètres'!$A$1:$I$88,7,0))</f>
        <v>0</v>
      </c>
      <c r="AT151" s="155">
        <f>IF(ISNA(VLOOKUP(A151,'Données projet'!$A$61:$I$81,7,0)),0%,VLOOKUP(A151,'Données projet'!$A$61:$I$81,7,0))</f>
        <v>0</v>
      </c>
      <c r="AU151" s="162">
        <f>EXP(-LN(2)/35)*AU150+(1-EXP(-LN(2)/35))/(LN(2)/35)*AQ151*AR151*VLOOKUP('Données projet'!$B$10,'Paramètres'!$A$1:$I$88,3,0)*0.475*44/12</f>
        <v>0</v>
      </c>
      <c r="AV151" s="162">
        <f>EXP(-LN(2)/25)*AV150+(1-EXP(-LN(2)/25))/(LN(2)/25)*Calculateur!AQ151*Calculateur!AS151*VLOOKUP('Données projet'!$B$10,'Paramètres'!$A$1:$I$88,3,0)*0.475*44/12</f>
        <v>0.6920405836</v>
      </c>
      <c r="AW151" s="162">
        <f>EXP(-LN(2)/2)*AW150+(1-EXP(-LN(2)/2))/(LN(2)/2)*AQ151*AT151*VLOOKUP('Données projet'!$B$10,'Paramètres'!$A$1:$I$88,3,0)*0.475*44/12</f>
        <v>0</v>
      </c>
      <c r="AX151" s="162">
        <f t="shared" si="7"/>
        <v>0.6920405836</v>
      </c>
      <c r="AY151" s="157">
        <f>('Scénario référence'!$F$8+'Scénario référence'!$F$9+'Scénario référence'!$B$17+'Scénario référence'!$B$9+'Scénario référence'!$B$10)*70+IF((45+25*(1-EXP(-0.0175*A151)))&lt;70,'Scénario référence'!$B$16*(45+25*(1-EXP(-0.0175*A151))),70*'Scénario référence'!$B$16)+IF((32+38*(1-EXP(-0.0175*A151)))&lt;70,'Scénario référence'!$B$18*(32+38*(1-EXP(-0.0175*A151))),70*'Scénario référence'!$B$18)</f>
        <v>70</v>
      </c>
      <c r="AZ151" s="151">
        <f>IF(A151&gt;30,10,('Scénario référence'!$B$16+'Scénario référence'!$B$17+'Scénario référence'!$B$18+'Scénario référence'!$B$9+'Scénario référence'!$B$10)*A151*10/30+('Scénario référence'!$F$8+'Scénario référence'!$F$9)*10)</f>
        <v>10</v>
      </c>
      <c r="BA151" s="151" t="str">
        <f>VLOOKUP(A151,'Données projet'!$A$87:$I$107,2,0)</f>
        <v>#N/A</v>
      </c>
      <c r="BB151" s="151" t="str">
        <f>VLOOKUP(A151,'Données projet'!$A$87:$I$107,9,0)</f>
        <v>#N/A</v>
      </c>
      <c r="BC151" s="151" t="str">
        <f t="array" ref="BC151">INDEX(BB:BB,MIN(IF(ISNUMBER(BB151:BB347),ROW(BB151:BB347),"")))</f>
        <v/>
      </c>
      <c r="BD151" s="150">
        <f>IF('Données projet'!$A$88&gt;35,BD150+BC151-BL150,IF(A151&lt;'Données projet'!$A$88,$BA$205^A151,IF(A151='Données projet'!$A$88,'Données projet'!$B$88,BD150+BC151-BL150)))</f>
        <v>0</v>
      </c>
      <c r="BE151" s="150">
        <f>BD151*VLOOKUP('Données projet'!$B$11,'Paramètres'!$A$1:$I$88,3,0)*VLOOKUP('Données projet'!$B$11,'Paramètres'!$A$1:$I$88,5,0)</f>
        <v>0</v>
      </c>
      <c r="BF151" s="150" t="str">
        <f t="shared" si="38"/>
        <v>#NUM!</v>
      </c>
      <c r="BG151" s="161" t="str">
        <f t="shared" si="8"/>
        <v>#NUM!</v>
      </c>
      <c r="BH151" s="153" t="str">
        <f t="shared" si="9"/>
        <v>#NUM!</v>
      </c>
      <c r="BI151" s="153">
        <f>AVERAGE(OFFSET($BH$3,0,0,'Données projet'!$E$11+1,1))-AVERAGE(OFFSET($H$3,0,0,'Données projet'!$E$11+1,1))</f>
        <v>0</v>
      </c>
      <c r="BJ151" s="153">
        <f t="shared" si="39"/>
        <v>0</v>
      </c>
      <c r="BK151" s="154">
        <f>IF(ISNA(VLOOKUP(A151,'Données projet'!$A$87:$I$107,3,0)),0,VLOOKUP(A151,'Données projet'!$A$87:$I$107,3,0))</f>
        <v>0</v>
      </c>
      <c r="BL151" s="154">
        <f>IF(ISNA(VLOOKUP(A151,'Données projet'!$A$87:$I$107,4,0)),0,VLOOKUP(A151,'Données projet'!$A$87:$I$107,4,0))</f>
        <v>0</v>
      </c>
      <c r="BM151" s="155">
        <f>IF(ISNA(VLOOKUP(A151,'Données projet'!$A$87:$I$107,5,0)),0%,VLOOKUP(A151,'Données projet'!$A$87:$I$107,5,0)*VLOOKUP('Données projet'!$B$11,'Paramètres'!$A$1:$I$88,7,0))</f>
        <v>0</v>
      </c>
      <c r="BN151" s="155">
        <f>IF(ISNA(VLOOKUP(A151,'Données projet'!$A$87:$I$107,6,0)),0%,VLOOKUP(A151,'Données projet'!$A$87:$I$107,6,0)*VLOOKUP('Données projet'!$B$11,'Paramètres'!$A$1:$I$88,7,0))</f>
        <v>0</v>
      </c>
      <c r="BO151" s="155">
        <f>IF(ISNA(VLOOKUP(A151,'Données projet'!$A$87:$I$107,7,0)),0%,VLOOKUP(A151,'Données projet'!$A$87:$I$107,7,0))</f>
        <v>0</v>
      </c>
      <c r="BP151" s="162">
        <f>EXP(-LN(2)/35)*BP150+(1-EXP(-LN(2)/35))/(LN(2)/35)*BL151*BM151*VLOOKUP('Données projet'!$B$11,'Paramètres'!$A$1:$I$88,3,0)*0.475*44/12</f>
        <v>0</v>
      </c>
      <c r="BQ151" s="162">
        <f>EXP(-LN(2)/25)*BQ150+(1-EXP(-LN(2)/25))/(LN(2)/25)*Calculateur!BL151*Calculateur!BN151*VLOOKUP('Données projet'!$B$11,'Paramètres'!$A$1:$I$88,3,0)*0.475*44/12</f>
        <v>0</v>
      </c>
      <c r="BR151" s="162">
        <f>EXP(-LN(2)/2)*BR150+(1-EXP(-LN(2)/2))/(LN(2)/2)*BL151*BO151*VLOOKUP('Données projet'!$B$11,'Paramètres'!$A$1:$I$88,3,0)*0.475*44/12</f>
        <v>0</v>
      </c>
      <c r="BS151" s="163">
        <f t="shared" si="10"/>
        <v>0</v>
      </c>
      <c r="BT151" s="159">
        <f>('Scénario référence'!$F$8+'Scénario référence'!$F$9+'Scénario référence'!$B$17+'Scénario référence'!$B$9+'Scénario référence'!$B$10)*70+IF((45+25*(1-EXP(-0.0175*A151)))&lt;70,'Scénario référence'!$B$16*(45+25*(1-EXP(-0.0175*A151))),70*'Scénario référence'!$B$16)+IF((32+38*(1-EXP(-0.0175*A151)))&lt;70,'Scénario référence'!$B$18*(32+38*(1-EXP(-0.0175*A151))),70*'Scénario référence'!$B$18)</f>
        <v>70</v>
      </c>
      <c r="BU151" s="151">
        <f>IF(A151&gt;30,10,('Scénario référence'!$B$16+'Scénario référence'!$B$17+'Scénario référence'!$B$18+'Scénario référence'!$B$9+'Scénario référence'!$B$10)*A151*10/30+('Scénario référence'!$F$8+'Scénario référence'!$F$9)*10)</f>
        <v>10</v>
      </c>
      <c r="BV151" s="151" t="str">
        <f>VLOOKUP(A151,'Données projet'!$A$113:$I$133,2,0)</f>
        <v>#N/A</v>
      </c>
      <c r="BW151" s="151" t="str">
        <f>VLOOKUP(A151,'Données projet'!$A$113:$I$133,9,0)</f>
        <v>#N/A</v>
      </c>
      <c r="BX151" s="151" t="str">
        <f t="array" ref="BX151">INDEX(BW:BW,MIN(IF(ISNUMBER(BW151:BW347),ROW(BW151:BW347),"")))</f>
        <v/>
      </c>
      <c r="BY151" s="150">
        <f>IF('Données projet'!$A$114&gt;35,BY150+BX151-CG150,IF(A151&lt;'Données projet'!$A$114,$BV$205^A151,IF(A151='Données projet'!$A$114,'Données projet'!$B$114,BY150+BX151-CG150)))</f>
        <v>0</v>
      </c>
      <c r="BZ151" s="150" t="str">
        <f>BY151*VLOOKUP('Données projet'!$B$12,'Paramètres'!$A$1:$I$88,3,0)*VLOOKUP('Données projet'!$B$12,'Paramètres'!$A$1:$I$88,5,0)</f>
        <v>#N/A</v>
      </c>
      <c r="CA151" s="150" t="str">
        <f t="shared" si="40"/>
        <v>#N/A</v>
      </c>
      <c r="CB151" s="161" t="str">
        <f t="shared" si="11"/>
        <v>#N/A</v>
      </c>
      <c r="CC151" s="153" t="str">
        <f t="shared" si="12"/>
        <v>#N/A</v>
      </c>
      <c r="CD151" s="153" t="str">
        <f>AVERAGE(OFFSET($CC$3,0,0,'Données projet'!$E$12+1,1))-AVERAGE(OFFSET($H$3,0,0,'Données projet'!$E$12+1,1))</f>
        <v>#N/A</v>
      </c>
      <c r="CE151" s="153" t="str">
        <f t="shared" si="41"/>
        <v>#N/A</v>
      </c>
      <c r="CF151" s="154">
        <f>IF(ISNA(VLOOKUP(A151,'Données projet'!$A$113:$I$133,3,0)),0,VLOOKUP(A151,'Données projet'!$A$113:$I$133,3,0))</f>
        <v>0</v>
      </c>
      <c r="CG151" s="154">
        <f>IF(ISNA(VLOOKUP(A151,'Données projet'!$A$113:$I$133,4,0)),0,VLOOKUP(A151,'Données projet'!$A$113:$I$133,4,0))</f>
        <v>0</v>
      </c>
      <c r="CH151" s="155">
        <f>IF(ISNA(VLOOKUP(A151,'Données projet'!$A$113:$I$133,5,0)),0%,VLOOKUP(A151,'Données projet'!$A$113:$I$133,5,0)*VLOOKUP('Données projet'!$B$12,'Paramètres'!$A$1:$I$88,7,0))</f>
        <v>0</v>
      </c>
      <c r="CI151" s="155">
        <f>IF(ISNA(VLOOKUP(A151,'Données projet'!$A$113:$I$133,6,0)),0%,VLOOKUP(A151,'Données projet'!$A$113:$I$133,6,0)*VLOOKUP('Données projet'!$B$12,'Paramètres'!$A$1:$I$88,7,0))</f>
        <v>0</v>
      </c>
      <c r="CJ151" s="155">
        <f>IF(ISNA(VLOOKUP(A151,'Données projet'!$A$113:$I$133,7,0)),0%,VLOOKUP(A151,'Données projet'!$A$113:$I$133,7,0))</f>
        <v>0</v>
      </c>
      <c r="CK151" s="162" t="str">
        <f>EXP(-LN(2)/35)*CK150+(1-EXP(-LN(2)/35))/(LN(2)/35)*CG151*CH151*VLOOKUP('Données projet'!$B$12,'Paramètres'!$A$1:$I$88,3,0)*0.475*44/12</f>
        <v>#N/A</v>
      </c>
      <c r="CL151" s="162" t="str">
        <f>EXP(-LN(2)/25)*CL150+(1-EXP(-LN(2)/25))/(LN(2)/25)*Calculateur!CG151*Calculateur!CI151*VLOOKUP('Données projet'!$B$12,'Paramètres'!$A$1:$I$88,3,0)*0.475*44/12</f>
        <v>#N/A</v>
      </c>
      <c r="CM151" s="162" t="str">
        <f>EXP(-LN(2)/2)*CM150+(1-EXP(-LN(2)/2))/(LN(2)/2)*CG151*CJ151*VLOOKUP('Données projet'!$B$12,'Paramètres'!$A$1:$I$88,3,0)*0.475*44/12</f>
        <v>#N/A</v>
      </c>
      <c r="CN151" s="163" t="str">
        <f t="shared" si="13"/>
        <v>#N/A</v>
      </c>
      <c r="CO151" s="159">
        <f>('Scénario référence'!$F$8+'Scénario référence'!$F$9+'Scénario référence'!$B$17+'Scénario référence'!$B$9+'Scénario référence'!$B$10)*70+IF((45+25*(1-EXP(-0.0175*A151)))&lt;70,'Scénario référence'!$B$16*(45+25*(1-EXP(-0.0175*A151))),70*'Scénario référence'!$B$16)+IF((32+38*(1-EXP(-0.0175*A151)))&lt;70,'Scénario référence'!$B$18*(32+38*(1-EXP(-0.0175*A151))),70*'Scénario référence'!$B$18)</f>
        <v>70</v>
      </c>
      <c r="CP151" s="151">
        <f>IF(A151&gt;30,10,('Scénario référence'!$B$16+'Scénario référence'!$B$17+'Scénario référence'!$B$18+'Scénario référence'!$B$9+'Scénario référence'!$B$10)*A151*10/30+('Scénario référence'!$F$8+'Scénario référence'!$F$9)*10)</f>
        <v>10</v>
      </c>
      <c r="CQ151" s="151" t="str">
        <f>VLOOKUP(A151,'Données projet'!$A$139:$I$159,2,0)</f>
        <v>#N/A</v>
      </c>
      <c r="CR151" s="151" t="str">
        <f>VLOOKUP(A151,'Données projet'!$A$139:$I$159,9,0)</f>
        <v>#N/A</v>
      </c>
      <c r="CS151" s="151" t="str">
        <f t="array" ref="CS151">INDEX(CR:CR,MIN(IF(ISNUMBER(CR151:CR347),ROW(CR151:CR347),"")))</f>
        <v/>
      </c>
      <c r="CT151" s="151">
        <f>IF('Données projet'!$A$140&gt;35,CT150+CS151-DB150,IF(A151&lt;'Données projet'!$A$140,$CQ$205^A151,IF(A151='Données projet'!$A$140,'Données projet'!$B$140,CT150+CS151-DB150)))</f>
        <v>0</v>
      </c>
      <c r="CU151" s="158" t="str">
        <f>CT151*VLOOKUP('Données projet'!$B$13,'Paramètres'!$A$1:$I$88,3,0)*VLOOKUP('Données projet'!$B$13,'Paramètres'!$A$1:$I$88,5,0)</f>
        <v>#N/A</v>
      </c>
      <c r="CV151" s="150" t="str">
        <f t="shared" si="42"/>
        <v>#N/A</v>
      </c>
      <c r="CW151" s="161" t="str">
        <f t="shared" si="14"/>
        <v>#N/A</v>
      </c>
      <c r="CX151" s="153" t="str">
        <f t="shared" si="15"/>
        <v>#N/A</v>
      </c>
      <c r="CY151" s="153" t="str">
        <f>AVERAGE(OFFSET($CX$3,0,0,'Données projet'!$E$13+1,1))-AVERAGE(OFFSET($H$3,0,0,'Données projet'!$E$13+1,1))</f>
        <v>#N/A</v>
      </c>
      <c r="CZ151" s="153" t="str">
        <f t="shared" si="43"/>
        <v>#N/A</v>
      </c>
      <c r="DA151" s="154">
        <f>IF(ISNA(VLOOKUP(A151,'Données projet'!$A$139:$I$159,3,0)),0,VLOOKUP(A151,'Données projet'!$A$139:$I$159,3,0))</f>
        <v>0</v>
      </c>
      <c r="DB151" s="154">
        <f>IF(ISNA(VLOOKUP(A151,'Données projet'!$A$139:$I$159,4,0)),0,VLOOKUP(A151,'Données projet'!$A$139:$I$159,4,0))</f>
        <v>0</v>
      </c>
      <c r="DC151" s="155">
        <f>IF(ISNA(VLOOKUP(A151,'Données projet'!$A$139:$I$159,5,0)),0%,VLOOKUP(A151,'Données projet'!$A$139:$I$159,5,0)*VLOOKUP('Données projet'!$B$13,'Paramètres'!$A$1:$I$88,7,0))</f>
        <v>0</v>
      </c>
      <c r="DD151" s="155">
        <f>IF(ISNA(VLOOKUP(A151,'Données projet'!$A$139:$I$159,6,0)),0%,VLOOKUP(A151,'Données projet'!$A$139:$I$159,6,0)*VLOOKUP('Données projet'!$B$13,'Paramètres'!$A$1:$I$88,7,0))</f>
        <v>0</v>
      </c>
      <c r="DE151" s="155">
        <f>IF(ISNA(VLOOKUP(A151,'Données projet'!$A$139:$I$159,7,0)),0%,VLOOKUP(A151,'Données projet'!$A$139:$I$159,7,0))</f>
        <v>0</v>
      </c>
      <c r="DF151" s="162" t="str">
        <f>EXP(-LN(2)/35)*DF150+(1-EXP(-LN(2)/35))/(LN(2)/35)*DB151*DC151*VLOOKUP('Données projet'!$B$13,'Paramètres'!$A$1:$I$88,3,0)*0.475*44/12</f>
        <v>#N/A</v>
      </c>
      <c r="DG151" s="162" t="str">
        <f>EXP(-LN(2)/25)*DG150+(1-EXP(-LN(2)/25))/(LN(2)/25)*Calculateur!DB151*Calculateur!DD151*VLOOKUP('Données projet'!$B$13,'Paramètres'!$A$1:$I$88,3,0)*0.475*44/12</f>
        <v>#N/A</v>
      </c>
      <c r="DH151" s="162" t="str">
        <f>EXP(-LN(2)/2)*DH150+(1-EXP(-LN(2)/2))/(LN(2)/2)*DB151*DE151*VLOOKUP('Données projet'!$B$13,'Paramètres'!$A$1:$I$88,3,0)*0.475*44/12</f>
        <v>#N/A</v>
      </c>
      <c r="DI151" s="163" t="str">
        <f t="shared" si="16"/>
        <v>#N/A</v>
      </c>
      <c r="DJ151" s="159">
        <f>('Scénario référence'!$F$8+'Scénario référence'!$F$9+'Scénario référence'!$B$17+'Scénario référence'!$B$9+'Scénario référence'!$B$10)*70+IF((45+25*(1-EXP(-0.0175*A151)))&lt;70,'Scénario référence'!$B$16*(45+25*(1-EXP(-0.0175*A151))),70*'Scénario référence'!$B$16)+IF((32+38*(1-EXP(-0.0175*A151)))&lt;70,'Scénario référence'!$B$18*(32+38*(1-EXP(-0.0175*A151))),70*'Scénario référence'!$B$18)</f>
        <v>70</v>
      </c>
      <c r="DK151" s="151">
        <f>IF(A151&gt;30,10,('Scénario référence'!$B$16+'Scénario référence'!$B$17+'Scénario référence'!$B$18+'Scénario référence'!$B$9+'Scénario référence'!$B$10)*A151*10/30+('Scénario référence'!$F$8+'Scénario référence'!$F$9)*10)</f>
        <v>10</v>
      </c>
      <c r="DL151" s="151" t="str">
        <f>VLOOKUP(A151,'Données projet'!$A$165:$I$185,2,0)</f>
        <v>#N/A</v>
      </c>
      <c r="DM151" s="151" t="str">
        <f>VLOOKUP(A151,'Données projet'!$A$165:$I$185,9,0)</f>
        <v>#N/A</v>
      </c>
      <c r="DN151" s="151" t="str">
        <f t="array" ref="DN151">INDEX(DM:DM,MIN(IF(ISNUMBER(DM151:DM347),ROW(DM151:DM347),"")))</f>
        <v/>
      </c>
      <c r="DO151" s="151">
        <f>IF('Données projet'!$A$166&gt;35,DO150+DN151-DW150,IF(A151&lt;'Données projet'!$A$166,$DL$205^A151,IF(A151='Données projet'!$A$166,'Données projet'!$B$166,DO150+DN151-DW150)))</f>
        <v>0</v>
      </c>
      <c r="DP151" s="158" t="str">
        <f>DO151*VLOOKUP('Données projet'!$B$14,'Paramètres'!$A$1:$I$88,3,0)*VLOOKUP('Données projet'!$B$14,'Paramètres'!$A$1:$I$88,5,0)</f>
        <v>#N/A</v>
      </c>
      <c r="DQ151" s="150" t="str">
        <f t="shared" si="44"/>
        <v>#N/A</v>
      </c>
      <c r="DR151" s="161" t="str">
        <f t="shared" si="17"/>
        <v>#N/A</v>
      </c>
      <c r="DS151" s="153" t="str">
        <f t="shared" si="18"/>
        <v>#N/A</v>
      </c>
      <c r="DT151" s="153" t="str">
        <f>AVERAGE(OFFSET($DS$3,0,0,'Données projet'!$E$14+1,1))-AVERAGE(OFFSET($H$3,0,0,'Données projet'!$E$14+1,1))</f>
        <v>#N/A</v>
      </c>
      <c r="DU151" s="153" t="str">
        <f t="shared" si="45"/>
        <v>#N/A</v>
      </c>
      <c r="DV151" s="154">
        <f>IF(ISNA(VLOOKUP(A151,'Données projet'!$A$165:$I$185,3,0)),0,VLOOKUP(A151,'Données projet'!$A$165:$I$185,3,0))</f>
        <v>0</v>
      </c>
      <c r="DW151" s="154">
        <f>IF(ISNA(VLOOKUP(A151,'Données projet'!$A$165:$I$185,4,0)),0,VLOOKUP(A151,'Données projet'!$A$165:$I$185,4,0))</f>
        <v>0</v>
      </c>
      <c r="DX151" s="155">
        <f>IF(ISNA(VLOOKUP(A151,'Données projet'!$A$165:$I$185,5,0)),0%,VLOOKUP(A151,'Données projet'!$A$165:$I$185,5,0)*VLOOKUP('Données projet'!$B$14,'Paramètres'!$A$1:$I$88,7,0))</f>
        <v>0</v>
      </c>
      <c r="DY151" s="155">
        <f>IF(ISNA(VLOOKUP(A151,'Données projet'!$A$165:$I$185,6,0)),0%,VLOOKUP(A151,'Données projet'!$A$165:$I$185,6,0)*VLOOKUP('Données projet'!$B$14,'Paramètres'!$A$1:$I$88,7,0))</f>
        <v>0</v>
      </c>
      <c r="DZ151" s="155">
        <f>IF(ISNA(VLOOKUP(A151,'Données projet'!$A$165:$I$185,7,0)),0%,VLOOKUP(A151,'Données projet'!$A$165:$I$185,7,0))</f>
        <v>0</v>
      </c>
      <c r="EA151" s="162" t="str">
        <f>EXP(-LN(2)/35)*EA150+(1-EXP(-LN(2)/35))/(LN(2)/35)*DW151*DX151*VLOOKUP('Données projet'!$B$14,'Paramètres'!$A$1:$I$88,3,0)*0.475*44/12</f>
        <v>#N/A</v>
      </c>
      <c r="EB151" s="162" t="str">
        <f>EXP(-LN(2)/25)*EB150+(1-EXP(-LN(2)/25))/(LN(2)/25)*Calculateur!DW151*Calculateur!DY151*VLOOKUP('Données projet'!$B$14,'Paramètres'!$A$1:$I$88,3,0)*0.475*44/12</f>
        <v>#N/A</v>
      </c>
      <c r="EC151" s="162" t="str">
        <f>EXP(-LN(2)/2)*EC150+(1-EXP(-LN(2)/2))/(LN(2)/2)*DW151*DZ151*VLOOKUP('Données projet'!$B$14,'Paramètres'!$A$1:$I$88,3,0)*0.475*44/12</f>
        <v>#N/A</v>
      </c>
      <c r="ED151" s="163" t="str">
        <f t="shared" si="19"/>
        <v>#N/A</v>
      </c>
      <c r="EE151" s="159">
        <f>('Scénario référence'!$F$8+'Scénario référence'!$F$9+'Scénario référence'!$B$17+'Scénario référence'!$B$9+'Scénario référence'!$B$10)*70+IF((45+25*(1-EXP(-0.0175*A151)))&lt;70,'Scénario référence'!$B$16*(45+25*(1-EXP(-0.0175*A151))),70*'Scénario référence'!$B$16)+IF((32+38*(1-EXP(-0.0175*A151)))&lt;70,'Scénario référence'!$B$18*(32+38*(1-EXP(-0.0175*A151))),70*'Scénario référence'!$B$18)</f>
        <v>70</v>
      </c>
      <c r="EF151" s="151">
        <f>IF(A151&gt;30,10,('Scénario référence'!$B$16+'Scénario référence'!$B$17+'Scénario référence'!$B$18+'Scénario référence'!$B$9+'Scénario référence'!$B$10)*A151*10/30+('Scénario référence'!$F$8+'Scénario référence'!$F$9)*10)</f>
        <v>10</v>
      </c>
      <c r="EG151" s="151" t="str">
        <f>VLOOKUP(A151,'Données projet'!$A$191:$I$211,2,0)</f>
        <v>#N/A</v>
      </c>
      <c r="EH151" s="151" t="str">
        <f>VLOOKUP(A151,'Données projet'!$A$191:$I$211,9,0)</f>
        <v>#N/A</v>
      </c>
      <c r="EI151" s="151" t="str">
        <f t="array" ref="EI151">INDEX(EH:EH,MIN(IF(ISNUMBER(EH151:EH347),ROW(EH151:EH347),"")))</f>
        <v/>
      </c>
      <c r="EJ151" s="151">
        <f>IF('Données projet'!$A$192&gt;35,EJ150+EI151-ER150,IF(A151&lt;'Données projet'!$A$192,$EG$205^A151,IF(A151='Données projet'!$A$192,'Données projet'!$B$192,EJ150+EI151-ER150)))</f>
        <v>0</v>
      </c>
      <c r="EK151" s="158" t="str">
        <f>EJ151*VLOOKUP('Données projet'!$B$15,'Paramètres'!$A$1:$I$88,3,0)*VLOOKUP('Données projet'!$B$15,'Paramètres'!$A$1:$I$88,5,0)</f>
        <v>#N/A</v>
      </c>
      <c r="EL151" s="150" t="str">
        <f t="shared" si="46"/>
        <v>#N/A</v>
      </c>
      <c r="EM151" s="161" t="str">
        <f t="shared" si="20"/>
        <v>#N/A</v>
      </c>
      <c r="EN151" s="153" t="str">
        <f t="shared" si="21"/>
        <v>#N/A</v>
      </c>
      <c r="EO151" s="153" t="str">
        <f>AVERAGE(OFFSET($EN$3,0,0,'Données projet'!$E$15+1,1))-AVERAGE(OFFSET($H$3,0,0,'Données projet'!$E$15+1,1))</f>
        <v>#N/A</v>
      </c>
      <c r="EP151" s="153" t="str">
        <f t="shared" si="47"/>
        <v>#N/A</v>
      </c>
      <c r="EQ151" s="154">
        <f>IF(ISNA(VLOOKUP(A151,'Données projet'!$A$191:$I$211,3,0)),0,VLOOKUP(A151,'Données projet'!$A$191:$I$211,3,0))</f>
        <v>0</v>
      </c>
      <c r="ER151" s="154">
        <f>IF(ISNA(VLOOKUP(A151,'Données projet'!$A$191:$I$211,4,0)),0,VLOOKUP(A151,'Données projet'!$A$191:$I$211,4,0))</f>
        <v>0</v>
      </c>
      <c r="ES151" s="155">
        <f>IF(ISNA(VLOOKUP(A151,'Données projet'!$A$191:$I$211,5,0)),0%,VLOOKUP(A151,'Données projet'!$A$191:$I$211,5,0)*VLOOKUP('Données projet'!$B$15,'Paramètres'!$A$1:$I$88,7,0))</f>
        <v>0</v>
      </c>
      <c r="ET151" s="155">
        <f>IF(ISNA(VLOOKUP(A151,'Données projet'!$A$191:$I$211,6,0)),0%,VLOOKUP(A151,'Données projet'!$A$191:$I$211,6,0)*VLOOKUP('Données projet'!$B$15,'Paramètres'!$A$1:$I$88,7,0))</f>
        <v>0</v>
      </c>
      <c r="EU151" s="155">
        <f>IF(ISNA(VLOOKUP(A151,'Données projet'!$A$191:$I$211,7,0)),0%,VLOOKUP(A151,'Données projet'!$A$191:$I$211,7,0))</f>
        <v>0</v>
      </c>
      <c r="EV151" s="162" t="str">
        <f>EXP(-LN(2)/35)*EV150+(1-EXP(-LN(2)/35))/(LN(2)/35)*ER151*ES151*VLOOKUP('Données projet'!$B$15,'Paramètres'!$A$1:$I$88,3,0)*0.475*44/12</f>
        <v>#N/A</v>
      </c>
      <c r="EW151" s="162" t="str">
        <f>EXP(-LN(2)/25)*EW150+(1-EXP(-LN(2)/25))/(LN(2)/25)*Calculateur!ER151*Calculateur!ET151*VLOOKUP('Données projet'!$B$15,'Paramètres'!$A$1:$I$88,3,0)*0.475*44/12</f>
        <v>#N/A</v>
      </c>
      <c r="EX151" s="162" t="str">
        <f>EXP(-LN(2)/2)*EX150+(1-EXP(-LN(2)/2))/(LN(2)/2)*ER151*EU151*VLOOKUP('Données projet'!$B$15,'Paramètres'!$A$1:$I$88,3,0)*0.475*44/12</f>
        <v>#N/A</v>
      </c>
      <c r="EY151" s="163" t="str">
        <f t="shared" si="22"/>
        <v>#N/A</v>
      </c>
      <c r="EZ151" s="159">
        <f>('Scénario référence'!$F$8+'Scénario référence'!$F$9+'Scénario référence'!$B$17+'Scénario référence'!$B$9+'Scénario référence'!$B$10)*70+IF((45+25*(1-EXP(-0.0175*A151)))&lt;70,'Scénario référence'!$B$16*(45+25*(1-EXP(-0.0175*A151))),70*'Scénario référence'!$B$16)+IF((32+38*(1-EXP(-0.0175*A151)))&lt;70,'Scénario référence'!$B$18*(32+38*(1-EXP(-0.0175*A151))),70*'Scénario référence'!$B$18)</f>
        <v>70</v>
      </c>
      <c r="FA151" s="151">
        <f>IF(A151&gt;30,10,('Scénario référence'!$B$16+'Scénario référence'!$B$17+'Scénario référence'!$B$18+'Scénario référence'!$B$9+'Scénario référence'!$B$10)*A151*10/30+('Scénario référence'!$F$8+'Scénario référence'!$F$9)*10)</f>
        <v>10</v>
      </c>
      <c r="FB151" s="151" t="str">
        <f>VLOOKUP(A151,'Données projet'!$A$217:$I$237,2,0)</f>
        <v>#N/A</v>
      </c>
      <c r="FC151" s="151" t="str">
        <f>VLOOKUP(A151,'Données projet'!$A$217:$I$237,9,0)</f>
        <v>#N/A</v>
      </c>
      <c r="FD151" s="151" t="str">
        <f t="array" ref="FD151">INDEX(FC:FC,MIN(IF(ISNUMBER(FC151:FC347),ROW(FC151:FC347),"")))</f>
        <v/>
      </c>
      <c r="FE151" s="151">
        <f>IF('Données projet'!$A$218&gt;35,FE150+FD151-FM150,IF(A151&lt;'Données projet'!$A$218,$FB$205^A151,IF(A151='Données projet'!$A$218,'Données projet'!$B$218,FE150+FD151-FM150)))</f>
        <v>0</v>
      </c>
      <c r="FF151" s="158" t="str">
        <f>FE151*VLOOKUP('Données projet'!$B$16,'Paramètres'!$A$1:$I$88,3,0)*VLOOKUP('Données projet'!$B$16,'Paramètres'!$A$1:$I$88,5,0)</f>
        <v>#N/A</v>
      </c>
      <c r="FG151" s="150" t="str">
        <f t="shared" si="48"/>
        <v>#N/A</v>
      </c>
      <c r="FH151" s="161" t="str">
        <f t="shared" si="23"/>
        <v>#N/A</v>
      </c>
      <c r="FI151" s="153" t="str">
        <f t="shared" si="24"/>
        <v>#N/A</v>
      </c>
      <c r="FJ151" s="153" t="str">
        <f>AVERAGE(OFFSET($FI$3,0,0,'Données projet'!$E$16+1,1))-AVERAGE(OFFSET($H$3,0,0,'Données projet'!$E$16+1,1))</f>
        <v>#N/A</v>
      </c>
      <c r="FK151" s="153" t="str">
        <f t="shared" si="49"/>
        <v>#N/A</v>
      </c>
      <c r="FL151" s="154">
        <f>IF(ISNA(VLOOKUP(A151,'Données projet'!$A$217:$I$237,3,0)),0,VLOOKUP(A151,'Données projet'!$A$217:$I$237,3,0))</f>
        <v>0</v>
      </c>
      <c r="FM151" s="154">
        <f>IF(ISNA(VLOOKUP(A151,'Données projet'!$A$217:$I$237,4,0)),0,VLOOKUP(A151,'Données projet'!$A$217:$I$237,4,0))</f>
        <v>0</v>
      </c>
      <c r="FN151" s="155">
        <f>IF(ISNA(VLOOKUP(A151,'Données projet'!$A$217:$I$237,5,0)),0%,VLOOKUP(A151,'Données projet'!$A$217:$I$237,5,0)*VLOOKUP('Données projet'!$B$16,'Paramètres'!$A$1:$I$88,7,0))</f>
        <v>0</v>
      </c>
      <c r="FO151" s="155">
        <f>IF(ISNA(VLOOKUP(A151,'Données projet'!$A$217:$I$237,6,0)),0%,VLOOKUP(A151,'Données projet'!$A$217:$I$237,6,0)*VLOOKUP('Données projet'!$B$16,'Paramètres'!$A$1:$I$88,7,0))</f>
        <v>0</v>
      </c>
      <c r="FP151" s="155">
        <f>IF(ISNA(VLOOKUP(A151,'Données projet'!$A$217:$I$237,7,0)),0%,VLOOKUP(A151,'Données projet'!$A$217:$I$237,7,0))</f>
        <v>0</v>
      </c>
      <c r="FQ151" s="162" t="str">
        <f>EXP(-LN(2)/35)*FQ150+(1-EXP(-LN(2)/35))/(LN(2)/35)*FM151*FN151*VLOOKUP('Données projet'!$B$16,'Paramètres'!$A$1:$I$88,3,0)*0.475*44/12</f>
        <v>#N/A</v>
      </c>
      <c r="FR151" s="162" t="str">
        <f>EXP(-LN(2)/25)*FR150+(1-EXP(-LN(2)/25))/(LN(2)/25)*Calculateur!FM151*Calculateur!FO151*VLOOKUP('Données projet'!$B$16,'Paramètres'!$A$1:$I$88,3,0)*0.475*44/12</f>
        <v>#N/A</v>
      </c>
      <c r="FS151" s="162" t="str">
        <f>EXP(-LN(2)/2)*FS150+(1-EXP(-LN(2)/2))/(LN(2)/2)*FM151*FP151*VLOOKUP('Données projet'!$B$16,'Paramètres'!$A$1:$I$88,3,0)*0.475*44/12</f>
        <v>#N/A</v>
      </c>
      <c r="FT151" s="163" t="str">
        <f t="shared" si="25"/>
        <v>#N/A</v>
      </c>
      <c r="FU151" s="159">
        <f>('Scénario référence'!$F$8+'Scénario référence'!$F$9+'Scénario référence'!$B$17+'Scénario référence'!$B$9+'Scénario référence'!$B$10)*70+IF((45+25*(1-EXP(-0.0175*A151)))&lt;70,'Scénario référence'!$B$16*(45+25*(1-EXP(-0.0175*A151))),70*'Scénario référence'!$B$16)+IF((32+38*(1-EXP(-0.0175*A151)))&lt;70,'Scénario référence'!$B$18*(32+38*(1-EXP(-0.0175*A151))),70*'Scénario référence'!$B$18)</f>
        <v>70</v>
      </c>
      <c r="FV151" s="151">
        <f>IF(A151&gt;30,10,('Scénario référence'!$B$16+'Scénario référence'!$B$17+'Scénario référence'!$B$18+'Scénario référence'!$B$9+'Scénario référence'!$B$10)*A151*10/30+('Scénario référence'!$F$8+'Scénario référence'!$F$9)*10)</f>
        <v>10</v>
      </c>
      <c r="FW151" s="151" t="str">
        <f>VLOOKUP(A151,'Données projet'!$A$243:$I$263,2,0)</f>
        <v>#N/A</v>
      </c>
      <c r="FX151" s="151" t="str">
        <f>VLOOKUP(A151,'Données projet'!$A$243:$I$263,9,0)</f>
        <v>#N/A</v>
      </c>
      <c r="FY151" s="151" t="str">
        <f t="array" ref="FY151">INDEX(FX:FX,MIN(IF(ISNUMBER(FX151:FX347),ROW(FX151:FX347),"")))</f>
        <v/>
      </c>
      <c r="FZ151" s="151">
        <f>IF('Données projet'!$A$244&gt;35,FZ150+FY151-GH150,IF(A151&lt;'Données projet'!$A$244,$FW$205^A151,IF(A151='Données projet'!$A$244,'Données projet'!$B$244,FZ150+FY151-GH150)))</f>
        <v>0</v>
      </c>
      <c r="GA151" s="158" t="str">
        <f>FZ151*VLOOKUP('Données projet'!$B$17,'Paramètres'!$A$1:$I$88,3,0)*VLOOKUP('Données projet'!$B$17,'Paramètres'!$A$1:$I$88,5,0)</f>
        <v>#N/A</v>
      </c>
      <c r="GB151" s="150" t="str">
        <f t="shared" si="50"/>
        <v>#N/A</v>
      </c>
      <c r="GC151" s="161" t="str">
        <f t="shared" si="26"/>
        <v>#N/A</v>
      </c>
      <c r="GD151" s="153" t="str">
        <f t="shared" si="27"/>
        <v>#N/A</v>
      </c>
      <c r="GE151" s="153" t="str">
        <f>AVERAGE(OFFSET($GD$3,0,0,'Données projet'!$E$17+1,1))-AVERAGE(OFFSET($H$3,0,0,'Données projet'!$E$17+1,1))</f>
        <v>#N/A</v>
      </c>
      <c r="GF151" s="153" t="str">
        <f t="shared" si="51"/>
        <v>#N/A</v>
      </c>
      <c r="GG151" s="154">
        <f>IF(ISNA(VLOOKUP(A151,'Données projet'!$A$243:$I$263,3,0)),0,VLOOKUP(A151,'Données projet'!$A$243:$I$263,3,0))</f>
        <v>0</v>
      </c>
      <c r="GH151" s="154">
        <f>IF(ISNA(VLOOKUP(A151,'Données projet'!$A$243:$I$263,4,0)),0,VLOOKUP(A151,'Données projet'!$A$243:$I$263,4,0))</f>
        <v>0</v>
      </c>
      <c r="GI151" s="155">
        <f>IF(ISNA(VLOOKUP(A151,'Données projet'!$A$243:$I$263,5,0)),0%,VLOOKUP(A151,'Données projet'!$A$243:$I$263,5,0)*VLOOKUP('Données projet'!$B$17,'Paramètres'!$A$1:$I$88,7,0))</f>
        <v>0</v>
      </c>
      <c r="GJ151" s="155">
        <f>IF(ISNA(VLOOKUP(A151,'Données projet'!$A$243:$I$263,6,0)),0%,VLOOKUP(A151,'Données projet'!$A$243:$I$263,6,0)*VLOOKUP('Données projet'!$B$17,'Paramètres'!$A$1:$I$88,7,0))</f>
        <v>0</v>
      </c>
      <c r="GK151" s="155">
        <f>IF(ISNA(VLOOKUP(A151,'Données projet'!$A$243:$I$263,7,0)),0%,VLOOKUP(A151,'Données projet'!$A$243:$I$263,7,0))</f>
        <v>0</v>
      </c>
      <c r="GL151" s="162" t="str">
        <f>EXP(-LN(2)/35)*GL150+(1-EXP(-LN(2)/35))/(LN(2)/35)*GH151*GI151*VLOOKUP('Données projet'!$B$17,'Paramètres'!$A$1:$I$88,3,0)*0.475*44/12</f>
        <v>#N/A</v>
      </c>
      <c r="GM151" s="162" t="str">
        <f>EXP(-LN(2)/25)*GM150+(1-EXP(-LN(2)/25))/(LN(2)/25)*Calculateur!GH151*Calculateur!GJ151*VLOOKUP('Données projet'!$B$17,'Paramètres'!$A$1:$I$88,3,0)*0.475*44/12</f>
        <v>#N/A</v>
      </c>
      <c r="GN151" s="162" t="str">
        <f>EXP(-LN(2)/2)*GN150+(1-EXP(-LN(2)/2))/(LN(2)/2)*GH151*GK151*VLOOKUP('Données projet'!$B$17,'Paramètres'!$A$1:$I$88,3,0)*0.475*44/12</f>
        <v>#N/A</v>
      </c>
      <c r="GO151" s="162" t="str">
        <f t="shared" si="28"/>
        <v>#N/A</v>
      </c>
      <c r="GP151" s="159">
        <f>('Scénario référence'!$F$8+'Scénario référence'!$F$9+'Scénario référence'!$B$17+'Scénario référence'!$B$9+'Scénario référence'!$B$10)*70+IF((45+25*(1-EXP(-0.0175*A151)))&lt;70,'Scénario référence'!$B$16*(45+25*(1-EXP(-0.0175*A151))),70*'Scénario référence'!$B$16)+IF((32+38*(1-EXP(-0.0175*A151)))&lt;70,'Scénario référence'!$B$18*(32+38*(1-EXP(-0.0175*A151))),70*'Scénario référence'!$B$18)</f>
        <v>70</v>
      </c>
      <c r="GQ151" s="151">
        <f>IF(A151&gt;30,10,('Scénario référence'!$B$16+'Scénario référence'!$B$17+'Scénario référence'!$B$18+'Scénario référence'!$B$9+'Scénario référence'!$B$10)*A151*10/30+('Scénario référence'!$F$8+'Scénario référence'!$F$9)*10)</f>
        <v>10</v>
      </c>
      <c r="GR151" s="151" t="str">
        <f>VLOOKUP(A151,'Données projet'!$A$269:$I$289,2,0)</f>
        <v>#N/A</v>
      </c>
      <c r="GS151" s="151" t="str">
        <f>VLOOKUP(A151,'Données projet'!$A$269:$I$289,9,0)</f>
        <v>#N/A</v>
      </c>
      <c r="GT151" s="151" t="str">
        <f t="array" ref="GT151">INDEX(GS:GS,MIN(IF(ISNUMBER(GS151:GS347),ROW(GS151:GS347),"")))</f>
        <v/>
      </c>
      <c r="GU151" s="151">
        <f>IF('Données projet'!$A$270&gt;35,GU150+GT151-HC150,IF(A151&lt;'Données projet'!$A$270,$GR$205^A151,IF(A151='Données projet'!$A$270,'Données projet'!$B$270,GU150+GT151-HC150)))</f>
        <v>0</v>
      </c>
      <c r="GV151" s="158" t="str">
        <f>GU151*VLOOKUP('Données projet'!$B$18,'Paramètres'!$A$1:$I$88,3,0)*VLOOKUP('Données projet'!$B$18,'Paramètres'!$A$1:$I$88,5,0)</f>
        <v>#N/A</v>
      </c>
      <c r="GW151" s="150" t="str">
        <f t="shared" si="52"/>
        <v>#N/A</v>
      </c>
      <c r="GX151" s="161" t="str">
        <f t="shared" si="29"/>
        <v>#N/A</v>
      </c>
      <c r="GY151" s="153" t="str">
        <f t="shared" si="30"/>
        <v>#N/A</v>
      </c>
      <c r="GZ151" s="153" t="str">
        <f>AVERAGE(OFFSET($GY$3,0,0,'Données projet'!$E$18+1,1))-AVERAGE(OFFSET($H$3,0,0,'Données projet'!$E$18+1,1))</f>
        <v>#N/A</v>
      </c>
      <c r="HA151" s="153" t="str">
        <f t="shared" si="53"/>
        <v>#N/A</v>
      </c>
      <c r="HB151" s="154">
        <f>IF(ISNA(VLOOKUP(A151,'Données projet'!$A$269:$I$289,3,0)),0,VLOOKUP(A151,'Données projet'!$A$269:$I$289,3,0))</f>
        <v>0</v>
      </c>
      <c r="HC151" s="154">
        <f>IF(ISNA(VLOOKUP(A151,'Données projet'!$A$269:$I$289,4,0)),0,VLOOKUP(A151,'Données projet'!$A$269:$I$289,4,0))</f>
        <v>0</v>
      </c>
      <c r="HD151" s="155">
        <f>IF(ISNA(VLOOKUP(A151,'Données projet'!$A$269:$I$289,5,0)),0%,VLOOKUP(A151,'Données projet'!$A$269:$I$289,5,0)*VLOOKUP('Données projet'!$B$18,'Paramètres'!$A$1:$I$88,7,0))</f>
        <v>0</v>
      </c>
      <c r="HE151" s="155">
        <f>IF(ISNA(VLOOKUP(A151,'Données projet'!$A$269:$I$289,6,0)),0%,VLOOKUP(A151,'Données projet'!$A$269:$I$289,6,0)*VLOOKUP('Données projet'!$B$18,'Paramètres'!$A$1:$I$88,7,0))</f>
        <v>0</v>
      </c>
      <c r="HF151" s="155">
        <f>IF(ISNA(VLOOKUP(A151,'Données projet'!$A$269:$I$289,7,0)),0%,VLOOKUP(A151,'Données projet'!$A$269:$I$289,7,0))</f>
        <v>0</v>
      </c>
      <c r="HG151" s="162" t="str">
        <f>EXP(-LN(2)/35)*HG150+(1-EXP(-LN(2)/35))/(LN(2)/35)*HC151*HD151*VLOOKUP('Données projet'!$B$18,'Paramètres'!$A$1:$I$88,3,0)*0.475*44/12</f>
        <v>#N/A</v>
      </c>
      <c r="HH151" s="162" t="str">
        <f>EXP(-LN(2)/25)*HH150+(1-EXP(-LN(2)/25))/(LN(2)/25)*Calculateur!HC151*Calculateur!HE151*VLOOKUP('Données projet'!$B$18,'Paramètres'!$A$1:$I$88,3,0)*0.475*44/12</f>
        <v>#N/A</v>
      </c>
      <c r="HI151" s="162" t="str">
        <f>EXP(-LN(2)/2)*HI150+(1-EXP(-LN(2)/2))/(LN(2)/2)*HC151*HF151*VLOOKUP('Données projet'!$B$18,'Paramètres'!$A$1:$I$88,3,0)*0.475*44/12</f>
        <v>#N/A</v>
      </c>
      <c r="HJ151" s="163" t="str">
        <f t="shared" si="31"/>
        <v>#N/A</v>
      </c>
    </row>
    <row r="152" ht="15.75" customHeight="1">
      <c r="A152" s="145">
        <f t="shared" si="32"/>
        <v>149</v>
      </c>
      <c r="B152" s="146">
        <f>'Scénario référence'!$B$16*5+'Scénario référence'!$B$17*0+'Scénario référence'!$B$18*5</f>
        <v>0</v>
      </c>
      <c r="C152" s="160">
        <f>Calculateur!C151+'Scénario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52" s="147">
        <f t="shared" si="33"/>
        <v>0</v>
      </c>
      <c r="E152" s="147">
        <f>'Scénario référence'!$B$16*45+('Scénario référence'!$B$17+'Scénario référence'!$F$8+'Scénario référence'!$F$9+'Scénario référence'!$B$10+'Scénario référence'!$B$9)*70+'Scénario référence'!$B$18*32</f>
        <v>70</v>
      </c>
      <c r="F152" s="147">
        <f>IF(OR('Scénario référence'!$F$8&gt;0,'Scénario référence'!$F$9&gt;0),('Scénario référence'!$F$8+'Scénario référence'!$F$9)*10,0)</f>
        <v>0</v>
      </c>
      <c r="G152" s="147">
        <f>'Scénario référence'!$B$8*B152*44/12+'Scénario référence'!$B$9*(C152+D152)/0.475*44/12+'Scénario référence'!$B$10*(C152+D152)/0.475*44/12+'Scénario référence'!$F$8*(C152+D152)/0.475*44/12+'Scénario référence'!$F$9*(C152+D152)/0.475*44/12</f>
        <v>0</v>
      </c>
      <c r="H152" s="148">
        <f t="shared" si="1"/>
        <v>256.6666667</v>
      </c>
      <c r="I152" s="149">
        <f>('Scénario référence'!$F$8+'Scénario référence'!$F$9+'Scénario référence'!$B$17+'Scénario référence'!$B$9+'Scénario référence'!$B$10)*70+IF((45+25*(1-EXP(-0.0175*A152)))&lt;70,'Scénario référence'!$B$16*(45+25*(1-EXP(-0.0175*A152))),70*'Scénario référence'!$B$16)+IF((32+38*(1-EXP(-0.0175*A152)))&lt;70,'Scénario référence'!$B$18*(32+38*(1-EXP(-0.0175*A152))),70*'Scénario référence'!$B$18)</f>
        <v>70</v>
      </c>
      <c r="J152" s="150">
        <f>IF(A152&gt;30,10,('Scénario référence'!$B$16+'Scénario référence'!$B$17+'Scénario référence'!$B$18+'Scénario référence'!$B$9+'Scénario référence'!$B$10)*A152*10/30+('Scénario référence'!$F$8+'Scénario référence'!$F$9)*10)</f>
        <v>10</v>
      </c>
      <c r="K152" s="151" t="str">
        <f>VLOOKUP(A152,'Données projet'!$A$35:$I$55,2,0)</f>
        <v>#N/A</v>
      </c>
      <c r="L152" s="151" t="str">
        <f>VLOOKUP(A152,'Données projet'!$A$35:$I$55,9,0)</f>
        <v>#N/A</v>
      </c>
      <c r="M152" s="151" t="str">
        <f t="array" ref="M152">INDEX(L:L,MIN(IF(ISNUMBER(L152:L348),ROW(L152:L348),"")))</f>
        <v/>
      </c>
      <c r="N152" s="150">
        <f>IF('Données projet'!$A$36&gt;35,N151+M152-V151,IF(A152&lt;'Données projet'!$A$36,$K$205^A152,IF(A152='Données projet'!$A$36,'Données projet'!$B$36,N151+M152-V151)))</f>
        <v>307</v>
      </c>
      <c r="O152" s="150">
        <f>N152*VLOOKUP('Données projet'!$B$9,'Paramètres'!$A$1:$I$88,3,0)*VLOOKUP('Données projet'!$B$9,'Paramètres'!$A$1:$I$88,5,0)</f>
        <v>277.7736</v>
      </c>
      <c r="P152" s="150">
        <f t="shared" si="34"/>
        <v>66.49628818</v>
      </c>
      <c r="Q152" s="161">
        <f t="shared" si="2"/>
        <v>599.6033886</v>
      </c>
      <c r="R152" s="153">
        <f t="shared" si="3"/>
        <v>892.9367219</v>
      </c>
      <c r="S152" s="153">
        <f>AVERAGE(OFFSET($R$3,0,0,'Données projet'!$E$9+1,1))-AVERAGE(OFFSET($H$3,0,0,'Données projet'!$E$9+1,1))</f>
        <v>439.1985427</v>
      </c>
      <c r="T152" s="153">
        <f t="shared" si="35"/>
        <v>278.2174123</v>
      </c>
      <c r="U152" s="154">
        <f>IF(ISNA(VLOOKUP(A152,'Données projet'!$A$35:$I$55,3,0)),0,VLOOKUP(A152,'Données projet'!$A$35:$I$55,3,0))</f>
        <v>0</v>
      </c>
      <c r="V152" s="154">
        <f>IF(ISNA(VLOOKUP(A152,'Données projet'!$A$35:$I$55,4,0)),0,VLOOKUP(A152,'Données projet'!$A$35:$I$55,4,0))</f>
        <v>0</v>
      </c>
      <c r="W152" s="155">
        <f>IF(ISNA(VLOOKUP(A152,'Données projet'!$A$35:$I$55,5,0)),0%,VLOOKUP(A152,'Données projet'!$A$35:$I$55,5,0)*VLOOKUP('Données projet'!$B$9,'Paramètres'!$A$1:$I$88,7,0))</f>
        <v>0</v>
      </c>
      <c r="X152" s="155">
        <f>IF(ISNA(VLOOKUP(A152,'Données projet'!$A$35:$I$55,6,0)),0%,VLOOKUP(A152,'Données projet'!$A$35:$I$55,6,0)*VLOOKUP('Données projet'!$B$9,'Paramètres'!$A$1:$I$88,7,0))</f>
        <v>0</v>
      </c>
      <c r="Y152" s="155">
        <f>IF(ISNA(VLOOKUP(A152,'Données projet'!$A$35:$I$55,7,0)),0%,VLOOKUP(A152,'Données projet'!$A$35:$I$55,7,0))</f>
        <v>0</v>
      </c>
      <c r="Z152" s="162">
        <f>EXP(-LN(2)/35)*Z151+(1-EXP(-LN(2)/35))/(LN(2)/35)*V152*W152*VLOOKUP('Données projet'!$B$9,'Paramètres'!$A$1:$I$88,3,0)*0.475*44/12</f>
        <v>0</v>
      </c>
      <c r="AA152" s="162">
        <f>EXP(-LN(2)/25)*AA151+(1-EXP(-LN(2)/25))/(LN(2)/25)*Calculateur!V152*Calculateur!X152*VLOOKUP('Données projet'!$B$9,'Paramètres'!$A$1:$I$88,3,0)*0.475*44/12</f>
        <v>0.1656187489</v>
      </c>
      <c r="AB152" s="162">
        <f>EXP(-LN(2)/2)*AB151+(1-EXP(-LN(2)/2))/(LN(2)/2)*V152*Y152*VLOOKUP('Données projet'!$B$9,'Paramètres'!$A$1:$I$88,3,0)*0.475*44/12</f>
        <v>0</v>
      </c>
      <c r="AC152" s="163">
        <f t="shared" si="4"/>
        <v>0.1656187489</v>
      </c>
      <c r="AD152" s="150">
        <f>('Scénario référence'!$F$8+'Scénario référence'!$F$9+'Scénario référence'!$B$17+'Scénario référence'!$B$9+'Scénario référence'!$B$10)*70+IF((45+25*(1-EXP(-0.0175*A152)))&lt;70,'Scénario référence'!$B$16*(45+25*(1-EXP(-0.0175*A152))),70*'Scénario référence'!$B$16)+IF((32+38*(1-EXP(-0.0175*A152)))&lt;70,'Scénario référence'!$B$18*(32+38*(1-EXP(-0.0175*A152))),70*'Scénario référence'!$B$18)</f>
        <v>70</v>
      </c>
      <c r="AE152" s="150">
        <f>IF(A152&gt;30,10,('Scénario référence'!$B$16+'Scénario référence'!$B$17+'Scénario référence'!$B$18+'Scénario référence'!$B$9+'Scénario référence'!$B$10)*A152*10/30+('Scénario référence'!$F$8+'Scénario référence'!$F$9)*10)</f>
        <v>10</v>
      </c>
      <c r="AF152" s="151" t="str">
        <f>VLOOKUP(A152,'Données projet'!$A$61:$I$81,2,0)</f>
        <v>#N/A</v>
      </c>
      <c r="AG152" s="151" t="str">
        <f>VLOOKUP(A152,'Données projet'!$A$61:$I$81,9,0)</f>
        <v>#N/A</v>
      </c>
      <c r="AH152" s="151" t="str">
        <f t="array" ref="AH152">INDEX(AG:AG,MIN(IF(ISNUMBER(AG152:AG348),ROW(AG152:AG348),"")))</f>
        <v/>
      </c>
      <c r="AI152" s="150">
        <f>IF('Données projet'!$A$62&gt;35,AI151+AH152-AQ151,IF(A152&lt;'Données projet'!$A$62,$AF$205^A152,IF(A152='Données projet'!$A$62,'Données projet'!$B$62,AI151+AH152-AQ151)))</f>
        <v>369</v>
      </c>
      <c r="AJ152" s="150">
        <f>AI152*VLOOKUP('Données projet'!$B$10,'Paramètres'!$A$1:$I$88,3,0)*VLOOKUP('Données projet'!$B$10,'Paramètres'!$A$1:$I$88,5,0)</f>
        <v>293.5764</v>
      </c>
      <c r="AK152" s="150">
        <f t="shared" si="36"/>
        <v>69.82813851</v>
      </c>
      <c r="AL152" s="161">
        <f t="shared" si="5"/>
        <v>632.9295712</v>
      </c>
      <c r="AM152" s="153">
        <f t="shared" si="6"/>
        <v>926.2629046</v>
      </c>
      <c r="AN152" s="153">
        <f>AVERAGE(OFFSET($AM$3,0,0,'Données projet'!$E$10+1,1))-AVERAGE(OFFSET($H$3,0,0,'Données projet'!$E$10+1,1))</f>
        <v>405.6113614</v>
      </c>
      <c r="AO152" s="153">
        <f t="shared" si="37"/>
        <v>393.0787141</v>
      </c>
      <c r="AP152" s="154">
        <f>IF(ISNA(VLOOKUP(A152,'Données projet'!$A$61:$I$81,3,0)),0,VLOOKUP(A152,'Données projet'!$A$61:$I$81,3,0))</f>
        <v>0</v>
      </c>
      <c r="AQ152" s="154">
        <f>IF(ISNA(VLOOKUP(A152,'Données projet'!$A$61:$I$81,4,0)),0,VLOOKUP(A152,'Données projet'!$A$61:$I$81,4,0))</f>
        <v>0</v>
      </c>
      <c r="AR152" s="155">
        <f>IF(ISNA(VLOOKUP(A152,'Données projet'!$A$61:$I$81,5,0)),0%,VLOOKUP(A152,'Données projet'!$A$61:$I$81,5,0)*VLOOKUP('Données projet'!$B$10,'Paramètres'!$A$1:$I$88,7,0))</f>
        <v>0</v>
      </c>
      <c r="AS152" s="155">
        <f>IF(ISNA(VLOOKUP(A152,'Données projet'!$A$61:$I$81,6,0)),0%,VLOOKUP(A152,'Données projet'!$A$61:$I$81,6,0)*VLOOKUP('Données projet'!$B$10,'Paramètres'!$A$1:$I$88,7,0))</f>
        <v>0</v>
      </c>
      <c r="AT152" s="155">
        <f>IF(ISNA(VLOOKUP(A152,'Données projet'!$A$61:$I$81,7,0)),0%,VLOOKUP(A152,'Données projet'!$A$61:$I$81,7,0))</f>
        <v>0</v>
      </c>
      <c r="AU152" s="162">
        <f>EXP(-LN(2)/35)*AU151+(1-EXP(-LN(2)/35))/(LN(2)/35)*AQ152*AR152*VLOOKUP('Données projet'!$B$10,'Paramètres'!$A$1:$I$88,3,0)*0.475*44/12</f>
        <v>0</v>
      </c>
      <c r="AV152" s="162">
        <f>EXP(-LN(2)/25)*AV151+(1-EXP(-LN(2)/25))/(LN(2)/25)*Calculateur!AQ152*Calculateur!AS152*VLOOKUP('Données projet'!$B$10,'Paramètres'!$A$1:$I$88,3,0)*0.475*44/12</f>
        <v>0.6731166975</v>
      </c>
      <c r="AW152" s="162">
        <f>EXP(-LN(2)/2)*AW151+(1-EXP(-LN(2)/2))/(LN(2)/2)*AQ152*AT152*VLOOKUP('Données projet'!$B$10,'Paramètres'!$A$1:$I$88,3,0)*0.475*44/12</f>
        <v>0</v>
      </c>
      <c r="AX152" s="162">
        <f t="shared" si="7"/>
        <v>0.6731166975</v>
      </c>
      <c r="AY152" s="157">
        <f>('Scénario référence'!$F$8+'Scénario référence'!$F$9+'Scénario référence'!$B$17+'Scénario référence'!$B$9+'Scénario référence'!$B$10)*70+IF((45+25*(1-EXP(-0.0175*A152)))&lt;70,'Scénario référence'!$B$16*(45+25*(1-EXP(-0.0175*A152))),70*'Scénario référence'!$B$16)+IF((32+38*(1-EXP(-0.0175*A152)))&lt;70,'Scénario référence'!$B$18*(32+38*(1-EXP(-0.0175*A152))),70*'Scénario référence'!$B$18)</f>
        <v>70</v>
      </c>
      <c r="AZ152" s="151">
        <f>IF(A152&gt;30,10,('Scénario référence'!$B$16+'Scénario référence'!$B$17+'Scénario référence'!$B$18+'Scénario référence'!$B$9+'Scénario référence'!$B$10)*A152*10/30+('Scénario référence'!$F$8+'Scénario référence'!$F$9)*10)</f>
        <v>10</v>
      </c>
      <c r="BA152" s="151" t="str">
        <f>VLOOKUP(A152,'Données projet'!$A$87:$I$107,2,0)</f>
        <v>#N/A</v>
      </c>
      <c r="BB152" s="151" t="str">
        <f>VLOOKUP(A152,'Données projet'!$A$87:$I$107,9,0)</f>
        <v>#N/A</v>
      </c>
      <c r="BC152" s="151" t="str">
        <f t="array" ref="BC152">INDEX(BB:BB,MIN(IF(ISNUMBER(BB152:BB348),ROW(BB152:BB348),"")))</f>
        <v/>
      </c>
      <c r="BD152" s="150">
        <f>IF('Données projet'!$A$88&gt;35,BD151+BC152-BL151,IF(A152&lt;'Données projet'!$A$88,$BA$205^A152,IF(A152='Données projet'!$A$88,'Données projet'!$B$88,BD151+BC152-BL151)))</f>
        <v>0</v>
      </c>
      <c r="BE152" s="150">
        <f>BD152*VLOOKUP('Données projet'!$B$11,'Paramètres'!$A$1:$I$88,3,0)*VLOOKUP('Données projet'!$B$11,'Paramètres'!$A$1:$I$88,5,0)</f>
        <v>0</v>
      </c>
      <c r="BF152" s="150" t="str">
        <f t="shared" si="38"/>
        <v>#NUM!</v>
      </c>
      <c r="BG152" s="161" t="str">
        <f t="shared" si="8"/>
        <v>#NUM!</v>
      </c>
      <c r="BH152" s="153" t="str">
        <f t="shared" si="9"/>
        <v>#NUM!</v>
      </c>
      <c r="BI152" s="153">
        <f>AVERAGE(OFFSET($BH$3,0,0,'Données projet'!$E$11+1,1))-AVERAGE(OFFSET($H$3,0,0,'Données projet'!$E$11+1,1))</f>
        <v>0</v>
      </c>
      <c r="BJ152" s="153">
        <f t="shared" si="39"/>
        <v>0</v>
      </c>
      <c r="BK152" s="154">
        <f>IF(ISNA(VLOOKUP(A152,'Données projet'!$A$87:$I$107,3,0)),0,VLOOKUP(A152,'Données projet'!$A$87:$I$107,3,0))</f>
        <v>0</v>
      </c>
      <c r="BL152" s="154">
        <f>IF(ISNA(VLOOKUP(A152,'Données projet'!$A$87:$I$107,4,0)),0,VLOOKUP(A152,'Données projet'!$A$87:$I$107,4,0))</f>
        <v>0</v>
      </c>
      <c r="BM152" s="155">
        <f>IF(ISNA(VLOOKUP(A152,'Données projet'!$A$87:$I$107,5,0)),0%,VLOOKUP(A152,'Données projet'!$A$87:$I$107,5,0)*VLOOKUP('Données projet'!$B$11,'Paramètres'!$A$1:$I$88,7,0))</f>
        <v>0</v>
      </c>
      <c r="BN152" s="155">
        <f>IF(ISNA(VLOOKUP(A152,'Données projet'!$A$87:$I$107,6,0)),0%,VLOOKUP(A152,'Données projet'!$A$87:$I$107,6,0)*VLOOKUP('Données projet'!$B$11,'Paramètres'!$A$1:$I$88,7,0))</f>
        <v>0</v>
      </c>
      <c r="BO152" s="155">
        <f>IF(ISNA(VLOOKUP(A152,'Données projet'!$A$87:$I$107,7,0)),0%,VLOOKUP(A152,'Données projet'!$A$87:$I$107,7,0))</f>
        <v>0</v>
      </c>
      <c r="BP152" s="162">
        <f>EXP(-LN(2)/35)*BP151+(1-EXP(-LN(2)/35))/(LN(2)/35)*BL152*BM152*VLOOKUP('Données projet'!$B$11,'Paramètres'!$A$1:$I$88,3,0)*0.475*44/12</f>
        <v>0</v>
      </c>
      <c r="BQ152" s="162">
        <f>EXP(-LN(2)/25)*BQ151+(1-EXP(-LN(2)/25))/(LN(2)/25)*Calculateur!BL152*Calculateur!BN152*VLOOKUP('Données projet'!$B$11,'Paramètres'!$A$1:$I$88,3,0)*0.475*44/12</f>
        <v>0</v>
      </c>
      <c r="BR152" s="162">
        <f>EXP(-LN(2)/2)*BR151+(1-EXP(-LN(2)/2))/(LN(2)/2)*BL152*BO152*VLOOKUP('Données projet'!$B$11,'Paramètres'!$A$1:$I$88,3,0)*0.475*44/12</f>
        <v>0</v>
      </c>
      <c r="BS152" s="163">
        <f t="shared" si="10"/>
        <v>0</v>
      </c>
      <c r="BT152" s="159">
        <f>('Scénario référence'!$F$8+'Scénario référence'!$F$9+'Scénario référence'!$B$17+'Scénario référence'!$B$9+'Scénario référence'!$B$10)*70+IF((45+25*(1-EXP(-0.0175*A152)))&lt;70,'Scénario référence'!$B$16*(45+25*(1-EXP(-0.0175*A152))),70*'Scénario référence'!$B$16)+IF((32+38*(1-EXP(-0.0175*A152)))&lt;70,'Scénario référence'!$B$18*(32+38*(1-EXP(-0.0175*A152))),70*'Scénario référence'!$B$18)</f>
        <v>70</v>
      </c>
      <c r="BU152" s="151">
        <f>IF(A152&gt;30,10,('Scénario référence'!$B$16+'Scénario référence'!$B$17+'Scénario référence'!$B$18+'Scénario référence'!$B$9+'Scénario référence'!$B$10)*A152*10/30+('Scénario référence'!$F$8+'Scénario référence'!$F$9)*10)</f>
        <v>10</v>
      </c>
      <c r="BV152" s="151" t="str">
        <f>VLOOKUP(A152,'Données projet'!$A$113:$I$133,2,0)</f>
        <v>#N/A</v>
      </c>
      <c r="BW152" s="151" t="str">
        <f>VLOOKUP(A152,'Données projet'!$A$113:$I$133,9,0)</f>
        <v>#N/A</v>
      </c>
      <c r="BX152" s="151" t="str">
        <f t="array" ref="BX152">INDEX(BW:BW,MIN(IF(ISNUMBER(BW152:BW348),ROW(BW152:BW348),"")))</f>
        <v/>
      </c>
      <c r="BY152" s="150">
        <f>IF('Données projet'!$A$114&gt;35,BY151+BX152-CG151,IF(A152&lt;'Données projet'!$A$114,$BV$205^A152,IF(A152='Données projet'!$A$114,'Données projet'!$B$114,BY151+BX152-CG151)))</f>
        <v>0</v>
      </c>
      <c r="BZ152" s="150" t="str">
        <f>BY152*VLOOKUP('Données projet'!$B$12,'Paramètres'!$A$1:$I$88,3,0)*VLOOKUP('Données projet'!$B$12,'Paramètres'!$A$1:$I$88,5,0)</f>
        <v>#N/A</v>
      </c>
      <c r="CA152" s="150" t="str">
        <f t="shared" si="40"/>
        <v>#N/A</v>
      </c>
      <c r="CB152" s="161" t="str">
        <f t="shared" si="11"/>
        <v>#N/A</v>
      </c>
      <c r="CC152" s="153" t="str">
        <f t="shared" si="12"/>
        <v>#N/A</v>
      </c>
      <c r="CD152" s="153" t="str">
        <f>AVERAGE(OFFSET($CC$3,0,0,'Données projet'!$E$12+1,1))-AVERAGE(OFFSET($H$3,0,0,'Données projet'!$E$12+1,1))</f>
        <v>#N/A</v>
      </c>
      <c r="CE152" s="153" t="str">
        <f t="shared" si="41"/>
        <v>#N/A</v>
      </c>
      <c r="CF152" s="154">
        <f>IF(ISNA(VLOOKUP(A152,'Données projet'!$A$113:$I$133,3,0)),0,VLOOKUP(A152,'Données projet'!$A$113:$I$133,3,0))</f>
        <v>0</v>
      </c>
      <c r="CG152" s="154">
        <f>IF(ISNA(VLOOKUP(A152,'Données projet'!$A$113:$I$133,4,0)),0,VLOOKUP(A152,'Données projet'!$A$113:$I$133,4,0))</f>
        <v>0</v>
      </c>
      <c r="CH152" s="155">
        <f>IF(ISNA(VLOOKUP(A152,'Données projet'!$A$113:$I$133,5,0)),0%,VLOOKUP(A152,'Données projet'!$A$113:$I$133,5,0)*VLOOKUP('Données projet'!$B$12,'Paramètres'!$A$1:$I$88,7,0))</f>
        <v>0</v>
      </c>
      <c r="CI152" s="155">
        <f>IF(ISNA(VLOOKUP(A152,'Données projet'!$A$113:$I$133,6,0)),0%,VLOOKUP(A152,'Données projet'!$A$113:$I$133,6,0)*VLOOKUP('Données projet'!$B$12,'Paramètres'!$A$1:$I$88,7,0))</f>
        <v>0</v>
      </c>
      <c r="CJ152" s="155">
        <f>IF(ISNA(VLOOKUP(A152,'Données projet'!$A$113:$I$133,7,0)),0%,VLOOKUP(A152,'Données projet'!$A$113:$I$133,7,0))</f>
        <v>0</v>
      </c>
      <c r="CK152" s="162" t="str">
        <f>EXP(-LN(2)/35)*CK151+(1-EXP(-LN(2)/35))/(LN(2)/35)*CG152*CH152*VLOOKUP('Données projet'!$B$12,'Paramètres'!$A$1:$I$88,3,0)*0.475*44/12</f>
        <v>#N/A</v>
      </c>
      <c r="CL152" s="162" t="str">
        <f>EXP(-LN(2)/25)*CL151+(1-EXP(-LN(2)/25))/(LN(2)/25)*Calculateur!CG152*Calculateur!CI152*VLOOKUP('Données projet'!$B$12,'Paramètres'!$A$1:$I$88,3,0)*0.475*44/12</f>
        <v>#N/A</v>
      </c>
      <c r="CM152" s="162" t="str">
        <f>EXP(-LN(2)/2)*CM151+(1-EXP(-LN(2)/2))/(LN(2)/2)*CG152*CJ152*VLOOKUP('Données projet'!$B$12,'Paramètres'!$A$1:$I$88,3,0)*0.475*44/12</f>
        <v>#N/A</v>
      </c>
      <c r="CN152" s="163" t="str">
        <f t="shared" si="13"/>
        <v>#N/A</v>
      </c>
      <c r="CO152" s="159">
        <f>('Scénario référence'!$F$8+'Scénario référence'!$F$9+'Scénario référence'!$B$17+'Scénario référence'!$B$9+'Scénario référence'!$B$10)*70+IF((45+25*(1-EXP(-0.0175*A152)))&lt;70,'Scénario référence'!$B$16*(45+25*(1-EXP(-0.0175*A152))),70*'Scénario référence'!$B$16)+IF((32+38*(1-EXP(-0.0175*A152)))&lt;70,'Scénario référence'!$B$18*(32+38*(1-EXP(-0.0175*A152))),70*'Scénario référence'!$B$18)</f>
        <v>70</v>
      </c>
      <c r="CP152" s="151">
        <f>IF(A152&gt;30,10,('Scénario référence'!$B$16+'Scénario référence'!$B$17+'Scénario référence'!$B$18+'Scénario référence'!$B$9+'Scénario référence'!$B$10)*A152*10/30+('Scénario référence'!$F$8+'Scénario référence'!$F$9)*10)</f>
        <v>10</v>
      </c>
      <c r="CQ152" s="151" t="str">
        <f>VLOOKUP(A152,'Données projet'!$A$139:$I$159,2,0)</f>
        <v>#N/A</v>
      </c>
      <c r="CR152" s="151" t="str">
        <f>VLOOKUP(A152,'Données projet'!$A$139:$I$159,9,0)</f>
        <v>#N/A</v>
      </c>
      <c r="CS152" s="151" t="str">
        <f t="array" ref="CS152">INDEX(CR:CR,MIN(IF(ISNUMBER(CR152:CR348),ROW(CR152:CR348),"")))</f>
        <v/>
      </c>
      <c r="CT152" s="151">
        <f>IF('Données projet'!$A$140&gt;35,CT151+CS152-DB151,IF(A152&lt;'Données projet'!$A$140,$CQ$205^A152,IF(A152='Données projet'!$A$140,'Données projet'!$B$140,CT151+CS152-DB151)))</f>
        <v>0</v>
      </c>
      <c r="CU152" s="158" t="str">
        <f>CT152*VLOOKUP('Données projet'!$B$13,'Paramètres'!$A$1:$I$88,3,0)*VLOOKUP('Données projet'!$B$13,'Paramètres'!$A$1:$I$88,5,0)</f>
        <v>#N/A</v>
      </c>
      <c r="CV152" s="150" t="str">
        <f t="shared" si="42"/>
        <v>#N/A</v>
      </c>
      <c r="CW152" s="161" t="str">
        <f t="shared" si="14"/>
        <v>#N/A</v>
      </c>
      <c r="CX152" s="153" t="str">
        <f t="shared" si="15"/>
        <v>#N/A</v>
      </c>
      <c r="CY152" s="153" t="str">
        <f>AVERAGE(OFFSET($CX$3,0,0,'Données projet'!$E$13+1,1))-AVERAGE(OFFSET($H$3,0,0,'Données projet'!$E$13+1,1))</f>
        <v>#N/A</v>
      </c>
      <c r="CZ152" s="153" t="str">
        <f t="shared" si="43"/>
        <v>#N/A</v>
      </c>
      <c r="DA152" s="154">
        <f>IF(ISNA(VLOOKUP(A152,'Données projet'!$A$139:$I$159,3,0)),0,VLOOKUP(A152,'Données projet'!$A$139:$I$159,3,0))</f>
        <v>0</v>
      </c>
      <c r="DB152" s="154">
        <f>IF(ISNA(VLOOKUP(A152,'Données projet'!$A$139:$I$159,4,0)),0,VLOOKUP(A152,'Données projet'!$A$139:$I$159,4,0))</f>
        <v>0</v>
      </c>
      <c r="DC152" s="155">
        <f>IF(ISNA(VLOOKUP(A152,'Données projet'!$A$139:$I$159,5,0)),0%,VLOOKUP(A152,'Données projet'!$A$139:$I$159,5,0)*VLOOKUP('Données projet'!$B$13,'Paramètres'!$A$1:$I$88,7,0))</f>
        <v>0</v>
      </c>
      <c r="DD152" s="155">
        <f>IF(ISNA(VLOOKUP(A152,'Données projet'!$A$139:$I$159,6,0)),0%,VLOOKUP(A152,'Données projet'!$A$139:$I$159,6,0)*VLOOKUP('Données projet'!$B$13,'Paramètres'!$A$1:$I$88,7,0))</f>
        <v>0</v>
      </c>
      <c r="DE152" s="155">
        <f>IF(ISNA(VLOOKUP(A152,'Données projet'!$A$139:$I$159,7,0)),0%,VLOOKUP(A152,'Données projet'!$A$139:$I$159,7,0))</f>
        <v>0</v>
      </c>
      <c r="DF152" s="162" t="str">
        <f>EXP(-LN(2)/35)*DF151+(1-EXP(-LN(2)/35))/(LN(2)/35)*DB152*DC152*VLOOKUP('Données projet'!$B$13,'Paramètres'!$A$1:$I$88,3,0)*0.475*44/12</f>
        <v>#N/A</v>
      </c>
      <c r="DG152" s="162" t="str">
        <f>EXP(-LN(2)/25)*DG151+(1-EXP(-LN(2)/25))/(LN(2)/25)*Calculateur!DB152*Calculateur!DD152*VLOOKUP('Données projet'!$B$13,'Paramètres'!$A$1:$I$88,3,0)*0.475*44/12</f>
        <v>#N/A</v>
      </c>
      <c r="DH152" s="162" t="str">
        <f>EXP(-LN(2)/2)*DH151+(1-EXP(-LN(2)/2))/(LN(2)/2)*DB152*DE152*VLOOKUP('Données projet'!$B$13,'Paramètres'!$A$1:$I$88,3,0)*0.475*44/12</f>
        <v>#N/A</v>
      </c>
      <c r="DI152" s="163" t="str">
        <f t="shared" si="16"/>
        <v>#N/A</v>
      </c>
      <c r="DJ152" s="159">
        <f>('Scénario référence'!$F$8+'Scénario référence'!$F$9+'Scénario référence'!$B$17+'Scénario référence'!$B$9+'Scénario référence'!$B$10)*70+IF((45+25*(1-EXP(-0.0175*A152)))&lt;70,'Scénario référence'!$B$16*(45+25*(1-EXP(-0.0175*A152))),70*'Scénario référence'!$B$16)+IF((32+38*(1-EXP(-0.0175*A152)))&lt;70,'Scénario référence'!$B$18*(32+38*(1-EXP(-0.0175*A152))),70*'Scénario référence'!$B$18)</f>
        <v>70</v>
      </c>
      <c r="DK152" s="151">
        <f>IF(A152&gt;30,10,('Scénario référence'!$B$16+'Scénario référence'!$B$17+'Scénario référence'!$B$18+'Scénario référence'!$B$9+'Scénario référence'!$B$10)*A152*10/30+('Scénario référence'!$F$8+'Scénario référence'!$F$9)*10)</f>
        <v>10</v>
      </c>
      <c r="DL152" s="151" t="str">
        <f>VLOOKUP(A152,'Données projet'!$A$165:$I$185,2,0)</f>
        <v>#N/A</v>
      </c>
      <c r="DM152" s="151" t="str">
        <f>VLOOKUP(A152,'Données projet'!$A$165:$I$185,9,0)</f>
        <v>#N/A</v>
      </c>
      <c r="DN152" s="151" t="str">
        <f t="array" ref="DN152">INDEX(DM:DM,MIN(IF(ISNUMBER(DM152:DM348),ROW(DM152:DM348),"")))</f>
        <v/>
      </c>
      <c r="DO152" s="151">
        <f>IF('Données projet'!$A$166&gt;35,DO151+DN152-DW151,IF(A152&lt;'Données projet'!$A$166,$DL$205^A152,IF(A152='Données projet'!$A$166,'Données projet'!$B$166,DO151+DN152-DW151)))</f>
        <v>0</v>
      </c>
      <c r="DP152" s="158" t="str">
        <f>DO152*VLOOKUP('Données projet'!$B$14,'Paramètres'!$A$1:$I$88,3,0)*VLOOKUP('Données projet'!$B$14,'Paramètres'!$A$1:$I$88,5,0)</f>
        <v>#N/A</v>
      </c>
      <c r="DQ152" s="150" t="str">
        <f t="shared" si="44"/>
        <v>#N/A</v>
      </c>
      <c r="DR152" s="161" t="str">
        <f t="shared" si="17"/>
        <v>#N/A</v>
      </c>
      <c r="DS152" s="153" t="str">
        <f t="shared" si="18"/>
        <v>#N/A</v>
      </c>
      <c r="DT152" s="153" t="str">
        <f>AVERAGE(OFFSET($DS$3,0,0,'Données projet'!$E$14+1,1))-AVERAGE(OFFSET($H$3,0,0,'Données projet'!$E$14+1,1))</f>
        <v>#N/A</v>
      </c>
      <c r="DU152" s="153" t="str">
        <f t="shared" si="45"/>
        <v>#N/A</v>
      </c>
      <c r="DV152" s="154">
        <f>IF(ISNA(VLOOKUP(A152,'Données projet'!$A$165:$I$185,3,0)),0,VLOOKUP(A152,'Données projet'!$A$165:$I$185,3,0))</f>
        <v>0</v>
      </c>
      <c r="DW152" s="154">
        <f>IF(ISNA(VLOOKUP(A152,'Données projet'!$A$165:$I$185,4,0)),0,VLOOKUP(A152,'Données projet'!$A$165:$I$185,4,0))</f>
        <v>0</v>
      </c>
      <c r="DX152" s="155">
        <f>IF(ISNA(VLOOKUP(A152,'Données projet'!$A$165:$I$185,5,0)),0%,VLOOKUP(A152,'Données projet'!$A$165:$I$185,5,0)*VLOOKUP('Données projet'!$B$14,'Paramètres'!$A$1:$I$88,7,0))</f>
        <v>0</v>
      </c>
      <c r="DY152" s="155">
        <f>IF(ISNA(VLOOKUP(A152,'Données projet'!$A$165:$I$185,6,0)),0%,VLOOKUP(A152,'Données projet'!$A$165:$I$185,6,0)*VLOOKUP('Données projet'!$B$14,'Paramètres'!$A$1:$I$88,7,0))</f>
        <v>0</v>
      </c>
      <c r="DZ152" s="155">
        <f>IF(ISNA(VLOOKUP(A152,'Données projet'!$A$165:$I$185,7,0)),0%,VLOOKUP(A152,'Données projet'!$A$165:$I$185,7,0))</f>
        <v>0</v>
      </c>
      <c r="EA152" s="162" t="str">
        <f>EXP(-LN(2)/35)*EA151+(1-EXP(-LN(2)/35))/(LN(2)/35)*DW152*DX152*VLOOKUP('Données projet'!$B$14,'Paramètres'!$A$1:$I$88,3,0)*0.475*44/12</f>
        <v>#N/A</v>
      </c>
      <c r="EB152" s="162" t="str">
        <f>EXP(-LN(2)/25)*EB151+(1-EXP(-LN(2)/25))/(LN(2)/25)*Calculateur!DW152*Calculateur!DY152*VLOOKUP('Données projet'!$B$14,'Paramètres'!$A$1:$I$88,3,0)*0.475*44/12</f>
        <v>#N/A</v>
      </c>
      <c r="EC152" s="162" t="str">
        <f>EXP(-LN(2)/2)*EC151+(1-EXP(-LN(2)/2))/(LN(2)/2)*DW152*DZ152*VLOOKUP('Données projet'!$B$14,'Paramètres'!$A$1:$I$88,3,0)*0.475*44/12</f>
        <v>#N/A</v>
      </c>
      <c r="ED152" s="163" t="str">
        <f t="shared" si="19"/>
        <v>#N/A</v>
      </c>
      <c r="EE152" s="159">
        <f>('Scénario référence'!$F$8+'Scénario référence'!$F$9+'Scénario référence'!$B$17+'Scénario référence'!$B$9+'Scénario référence'!$B$10)*70+IF((45+25*(1-EXP(-0.0175*A152)))&lt;70,'Scénario référence'!$B$16*(45+25*(1-EXP(-0.0175*A152))),70*'Scénario référence'!$B$16)+IF((32+38*(1-EXP(-0.0175*A152)))&lt;70,'Scénario référence'!$B$18*(32+38*(1-EXP(-0.0175*A152))),70*'Scénario référence'!$B$18)</f>
        <v>70</v>
      </c>
      <c r="EF152" s="151">
        <f>IF(A152&gt;30,10,('Scénario référence'!$B$16+'Scénario référence'!$B$17+'Scénario référence'!$B$18+'Scénario référence'!$B$9+'Scénario référence'!$B$10)*A152*10/30+('Scénario référence'!$F$8+'Scénario référence'!$F$9)*10)</f>
        <v>10</v>
      </c>
      <c r="EG152" s="151" t="str">
        <f>VLOOKUP(A152,'Données projet'!$A$191:$I$211,2,0)</f>
        <v>#N/A</v>
      </c>
      <c r="EH152" s="151" t="str">
        <f>VLOOKUP(A152,'Données projet'!$A$191:$I$211,9,0)</f>
        <v>#N/A</v>
      </c>
      <c r="EI152" s="151" t="str">
        <f t="array" ref="EI152">INDEX(EH:EH,MIN(IF(ISNUMBER(EH152:EH348),ROW(EH152:EH348),"")))</f>
        <v/>
      </c>
      <c r="EJ152" s="151">
        <f>IF('Données projet'!$A$192&gt;35,EJ151+EI152-ER151,IF(A152&lt;'Données projet'!$A$192,$EG$205^A152,IF(A152='Données projet'!$A$192,'Données projet'!$B$192,EJ151+EI152-ER151)))</f>
        <v>0</v>
      </c>
      <c r="EK152" s="158" t="str">
        <f>EJ152*VLOOKUP('Données projet'!$B$15,'Paramètres'!$A$1:$I$88,3,0)*VLOOKUP('Données projet'!$B$15,'Paramètres'!$A$1:$I$88,5,0)</f>
        <v>#N/A</v>
      </c>
      <c r="EL152" s="150" t="str">
        <f t="shared" si="46"/>
        <v>#N/A</v>
      </c>
      <c r="EM152" s="161" t="str">
        <f t="shared" si="20"/>
        <v>#N/A</v>
      </c>
      <c r="EN152" s="153" t="str">
        <f t="shared" si="21"/>
        <v>#N/A</v>
      </c>
      <c r="EO152" s="153" t="str">
        <f>AVERAGE(OFFSET($EN$3,0,0,'Données projet'!$E$15+1,1))-AVERAGE(OFFSET($H$3,0,0,'Données projet'!$E$15+1,1))</f>
        <v>#N/A</v>
      </c>
      <c r="EP152" s="153" t="str">
        <f t="shared" si="47"/>
        <v>#N/A</v>
      </c>
      <c r="EQ152" s="154">
        <f>IF(ISNA(VLOOKUP(A152,'Données projet'!$A$191:$I$211,3,0)),0,VLOOKUP(A152,'Données projet'!$A$191:$I$211,3,0))</f>
        <v>0</v>
      </c>
      <c r="ER152" s="154">
        <f>IF(ISNA(VLOOKUP(A152,'Données projet'!$A$191:$I$211,4,0)),0,VLOOKUP(A152,'Données projet'!$A$191:$I$211,4,0))</f>
        <v>0</v>
      </c>
      <c r="ES152" s="155">
        <f>IF(ISNA(VLOOKUP(A152,'Données projet'!$A$191:$I$211,5,0)),0%,VLOOKUP(A152,'Données projet'!$A$191:$I$211,5,0)*VLOOKUP('Données projet'!$B$15,'Paramètres'!$A$1:$I$88,7,0))</f>
        <v>0</v>
      </c>
      <c r="ET152" s="155">
        <f>IF(ISNA(VLOOKUP(A152,'Données projet'!$A$191:$I$211,6,0)),0%,VLOOKUP(A152,'Données projet'!$A$191:$I$211,6,0)*VLOOKUP('Données projet'!$B$15,'Paramètres'!$A$1:$I$88,7,0))</f>
        <v>0</v>
      </c>
      <c r="EU152" s="155">
        <f>IF(ISNA(VLOOKUP(A152,'Données projet'!$A$191:$I$211,7,0)),0%,VLOOKUP(A152,'Données projet'!$A$191:$I$211,7,0))</f>
        <v>0</v>
      </c>
      <c r="EV152" s="162" t="str">
        <f>EXP(-LN(2)/35)*EV151+(1-EXP(-LN(2)/35))/(LN(2)/35)*ER152*ES152*VLOOKUP('Données projet'!$B$15,'Paramètres'!$A$1:$I$88,3,0)*0.475*44/12</f>
        <v>#N/A</v>
      </c>
      <c r="EW152" s="162" t="str">
        <f>EXP(-LN(2)/25)*EW151+(1-EXP(-LN(2)/25))/(LN(2)/25)*Calculateur!ER152*Calculateur!ET152*VLOOKUP('Données projet'!$B$15,'Paramètres'!$A$1:$I$88,3,0)*0.475*44/12</f>
        <v>#N/A</v>
      </c>
      <c r="EX152" s="162" t="str">
        <f>EXP(-LN(2)/2)*EX151+(1-EXP(-LN(2)/2))/(LN(2)/2)*ER152*EU152*VLOOKUP('Données projet'!$B$15,'Paramètres'!$A$1:$I$88,3,0)*0.475*44/12</f>
        <v>#N/A</v>
      </c>
      <c r="EY152" s="163" t="str">
        <f t="shared" si="22"/>
        <v>#N/A</v>
      </c>
      <c r="EZ152" s="159">
        <f>('Scénario référence'!$F$8+'Scénario référence'!$F$9+'Scénario référence'!$B$17+'Scénario référence'!$B$9+'Scénario référence'!$B$10)*70+IF((45+25*(1-EXP(-0.0175*A152)))&lt;70,'Scénario référence'!$B$16*(45+25*(1-EXP(-0.0175*A152))),70*'Scénario référence'!$B$16)+IF((32+38*(1-EXP(-0.0175*A152)))&lt;70,'Scénario référence'!$B$18*(32+38*(1-EXP(-0.0175*A152))),70*'Scénario référence'!$B$18)</f>
        <v>70</v>
      </c>
      <c r="FA152" s="151">
        <f>IF(A152&gt;30,10,('Scénario référence'!$B$16+'Scénario référence'!$B$17+'Scénario référence'!$B$18+'Scénario référence'!$B$9+'Scénario référence'!$B$10)*A152*10/30+('Scénario référence'!$F$8+'Scénario référence'!$F$9)*10)</f>
        <v>10</v>
      </c>
      <c r="FB152" s="151" t="str">
        <f>VLOOKUP(A152,'Données projet'!$A$217:$I$237,2,0)</f>
        <v>#N/A</v>
      </c>
      <c r="FC152" s="151" t="str">
        <f>VLOOKUP(A152,'Données projet'!$A$217:$I$237,9,0)</f>
        <v>#N/A</v>
      </c>
      <c r="FD152" s="151" t="str">
        <f t="array" ref="FD152">INDEX(FC:FC,MIN(IF(ISNUMBER(FC152:FC348),ROW(FC152:FC348),"")))</f>
        <v/>
      </c>
      <c r="FE152" s="151">
        <f>IF('Données projet'!$A$218&gt;35,FE151+FD152-FM151,IF(A152&lt;'Données projet'!$A$218,$FB$205^A152,IF(A152='Données projet'!$A$218,'Données projet'!$B$218,FE151+FD152-FM151)))</f>
        <v>0</v>
      </c>
      <c r="FF152" s="158" t="str">
        <f>FE152*VLOOKUP('Données projet'!$B$16,'Paramètres'!$A$1:$I$88,3,0)*VLOOKUP('Données projet'!$B$16,'Paramètres'!$A$1:$I$88,5,0)</f>
        <v>#N/A</v>
      </c>
      <c r="FG152" s="150" t="str">
        <f t="shared" si="48"/>
        <v>#N/A</v>
      </c>
      <c r="FH152" s="161" t="str">
        <f t="shared" si="23"/>
        <v>#N/A</v>
      </c>
      <c r="FI152" s="153" t="str">
        <f t="shared" si="24"/>
        <v>#N/A</v>
      </c>
      <c r="FJ152" s="153" t="str">
        <f>AVERAGE(OFFSET($FI$3,0,0,'Données projet'!$E$16+1,1))-AVERAGE(OFFSET($H$3,0,0,'Données projet'!$E$16+1,1))</f>
        <v>#N/A</v>
      </c>
      <c r="FK152" s="153" t="str">
        <f t="shared" si="49"/>
        <v>#N/A</v>
      </c>
      <c r="FL152" s="154">
        <f>IF(ISNA(VLOOKUP(A152,'Données projet'!$A$217:$I$237,3,0)),0,VLOOKUP(A152,'Données projet'!$A$217:$I$237,3,0))</f>
        <v>0</v>
      </c>
      <c r="FM152" s="154">
        <f>IF(ISNA(VLOOKUP(A152,'Données projet'!$A$217:$I$237,4,0)),0,VLOOKUP(A152,'Données projet'!$A$217:$I$237,4,0))</f>
        <v>0</v>
      </c>
      <c r="FN152" s="155">
        <f>IF(ISNA(VLOOKUP(A152,'Données projet'!$A$217:$I$237,5,0)),0%,VLOOKUP(A152,'Données projet'!$A$217:$I$237,5,0)*VLOOKUP('Données projet'!$B$16,'Paramètres'!$A$1:$I$88,7,0))</f>
        <v>0</v>
      </c>
      <c r="FO152" s="155">
        <f>IF(ISNA(VLOOKUP(A152,'Données projet'!$A$217:$I$237,6,0)),0%,VLOOKUP(A152,'Données projet'!$A$217:$I$237,6,0)*VLOOKUP('Données projet'!$B$16,'Paramètres'!$A$1:$I$88,7,0))</f>
        <v>0</v>
      </c>
      <c r="FP152" s="155">
        <f>IF(ISNA(VLOOKUP(A152,'Données projet'!$A$217:$I$237,7,0)),0%,VLOOKUP(A152,'Données projet'!$A$217:$I$237,7,0))</f>
        <v>0</v>
      </c>
      <c r="FQ152" s="162" t="str">
        <f>EXP(-LN(2)/35)*FQ151+(1-EXP(-LN(2)/35))/(LN(2)/35)*FM152*FN152*VLOOKUP('Données projet'!$B$16,'Paramètres'!$A$1:$I$88,3,0)*0.475*44/12</f>
        <v>#N/A</v>
      </c>
      <c r="FR152" s="162" t="str">
        <f>EXP(-LN(2)/25)*FR151+(1-EXP(-LN(2)/25))/(LN(2)/25)*Calculateur!FM152*Calculateur!FO152*VLOOKUP('Données projet'!$B$16,'Paramètres'!$A$1:$I$88,3,0)*0.475*44/12</f>
        <v>#N/A</v>
      </c>
      <c r="FS152" s="162" t="str">
        <f>EXP(-LN(2)/2)*FS151+(1-EXP(-LN(2)/2))/(LN(2)/2)*FM152*FP152*VLOOKUP('Données projet'!$B$16,'Paramètres'!$A$1:$I$88,3,0)*0.475*44/12</f>
        <v>#N/A</v>
      </c>
      <c r="FT152" s="163" t="str">
        <f t="shared" si="25"/>
        <v>#N/A</v>
      </c>
      <c r="FU152" s="159">
        <f>('Scénario référence'!$F$8+'Scénario référence'!$F$9+'Scénario référence'!$B$17+'Scénario référence'!$B$9+'Scénario référence'!$B$10)*70+IF((45+25*(1-EXP(-0.0175*A152)))&lt;70,'Scénario référence'!$B$16*(45+25*(1-EXP(-0.0175*A152))),70*'Scénario référence'!$B$16)+IF((32+38*(1-EXP(-0.0175*A152)))&lt;70,'Scénario référence'!$B$18*(32+38*(1-EXP(-0.0175*A152))),70*'Scénario référence'!$B$18)</f>
        <v>70</v>
      </c>
      <c r="FV152" s="151">
        <f>IF(A152&gt;30,10,('Scénario référence'!$B$16+'Scénario référence'!$B$17+'Scénario référence'!$B$18+'Scénario référence'!$B$9+'Scénario référence'!$B$10)*A152*10/30+('Scénario référence'!$F$8+'Scénario référence'!$F$9)*10)</f>
        <v>10</v>
      </c>
      <c r="FW152" s="151" t="str">
        <f>VLOOKUP(A152,'Données projet'!$A$243:$I$263,2,0)</f>
        <v>#N/A</v>
      </c>
      <c r="FX152" s="151" t="str">
        <f>VLOOKUP(A152,'Données projet'!$A$243:$I$263,9,0)</f>
        <v>#N/A</v>
      </c>
      <c r="FY152" s="151" t="str">
        <f t="array" ref="FY152">INDEX(FX:FX,MIN(IF(ISNUMBER(FX152:FX348),ROW(FX152:FX348),"")))</f>
        <v/>
      </c>
      <c r="FZ152" s="151">
        <f>IF('Données projet'!$A$244&gt;35,FZ151+FY152-GH151,IF(A152&lt;'Données projet'!$A$244,$FW$205^A152,IF(A152='Données projet'!$A$244,'Données projet'!$B$244,FZ151+FY152-GH151)))</f>
        <v>0</v>
      </c>
      <c r="GA152" s="158" t="str">
        <f>FZ152*VLOOKUP('Données projet'!$B$17,'Paramètres'!$A$1:$I$88,3,0)*VLOOKUP('Données projet'!$B$17,'Paramètres'!$A$1:$I$88,5,0)</f>
        <v>#N/A</v>
      </c>
      <c r="GB152" s="150" t="str">
        <f t="shared" si="50"/>
        <v>#N/A</v>
      </c>
      <c r="GC152" s="161" t="str">
        <f t="shared" si="26"/>
        <v>#N/A</v>
      </c>
      <c r="GD152" s="153" t="str">
        <f t="shared" si="27"/>
        <v>#N/A</v>
      </c>
      <c r="GE152" s="153" t="str">
        <f>AVERAGE(OFFSET($GD$3,0,0,'Données projet'!$E$17+1,1))-AVERAGE(OFFSET($H$3,0,0,'Données projet'!$E$17+1,1))</f>
        <v>#N/A</v>
      </c>
      <c r="GF152" s="153" t="str">
        <f t="shared" si="51"/>
        <v>#N/A</v>
      </c>
      <c r="GG152" s="154">
        <f>IF(ISNA(VLOOKUP(A152,'Données projet'!$A$243:$I$263,3,0)),0,VLOOKUP(A152,'Données projet'!$A$243:$I$263,3,0))</f>
        <v>0</v>
      </c>
      <c r="GH152" s="154">
        <f>IF(ISNA(VLOOKUP(A152,'Données projet'!$A$243:$I$263,4,0)),0,VLOOKUP(A152,'Données projet'!$A$243:$I$263,4,0))</f>
        <v>0</v>
      </c>
      <c r="GI152" s="155">
        <f>IF(ISNA(VLOOKUP(A152,'Données projet'!$A$243:$I$263,5,0)),0%,VLOOKUP(A152,'Données projet'!$A$243:$I$263,5,0)*VLOOKUP('Données projet'!$B$17,'Paramètres'!$A$1:$I$88,7,0))</f>
        <v>0</v>
      </c>
      <c r="GJ152" s="155">
        <f>IF(ISNA(VLOOKUP(A152,'Données projet'!$A$243:$I$263,6,0)),0%,VLOOKUP(A152,'Données projet'!$A$243:$I$263,6,0)*VLOOKUP('Données projet'!$B$17,'Paramètres'!$A$1:$I$88,7,0))</f>
        <v>0</v>
      </c>
      <c r="GK152" s="155">
        <f>IF(ISNA(VLOOKUP(A152,'Données projet'!$A$243:$I$263,7,0)),0%,VLOOKUP(A152,'Données projet'!$A$243:$I$263,7,0))</f>
        <v>0</v>
      </c>
      <c r="GL152" s="162" t="str">
        <f>EXP(-LN(2)/35)*GL151+(1-EXP(-LN(2)/35))/(LN(2)/35)*GH152*GI152*VLOOKUP('Données projet'!$B$17,'Paramètres'!$A$1:$I$88,3,0)*0.475*44/12</f>
        <v>#N/A</v>
      </c>
      <c r="GM152" s="162" t="str">
        <f>EXP(-LN(2)/25)*GM151+(1-EXP(-LN(2)/25))/(LN(2)/25)*Calculateur!GH152*Calculateur!GJ152*VLOOKUP('Données projet'!$B$17,'Paramètres'!$A$1:$I$88,3,0)*0.475*44/12</f>
        <v>#N/A</v>
      </c>
      <c r="GN152" s="162" t="str">
        <f>EXP(-LN(2)/2)*GN151+(1-EXP(-LN(2)/2))/(LN(2)/2)*GH152*GK152*VLOOKUP('Données projet'!$B$17,'Paramètres'!$A$1:$I$88,3,0)*0.475*44/12</f>
        <v>#N/A</v>
      </c>
      <c r="GO152" s="162" t="str">
        <f t="shared" si="28"/>
        <v>#N/A</v>
      </c>
      <c r="GP152" s="159">
        <f>('Scénario référence'!$F$8+'Scénario référence'!$F$9+'Scénario référence'!$B$17+'Scénario référence'!$B$9+'Scénario référence'!$B$10)*70+IF((45+25*(1-EXP(-0.0175*A152)))&lt;70,'Scénario référence'!$B$16*(45+25*(1-EXP(-0.0175*A152))),70*'Scénario référence'!$B$16)+IF((32+38*(1-EXP(-0.0175*A152)))&lt;70,'Scénario référence'!$B$18*(32+38*(1-EXP(-0.0175*A152))),70*'Scénario référence'!$B$18)</f>
        <v>70</v>
      </c>
      <c r="GQ152" s="151">
        <f>IF(A152&gt;30,10,('Scénario référence'!$B$16+'Scénario référence'!$B$17+'Scénario référence'!$B$18+'Scénario référence'!$B$9+'Scénario référence'!$B$10)*A152*10/30+('Scénario référence'!$F$8+'Scénario référence'!$F$9)*10)</f>
        <v>10</v>
      </c>
      <c r="GR152" s="151" t="str">
        <f>VLOOKUP(A152,'Données projet'!$A$269:$I$289,2,0)</f>
        <v>#N/A</v>
      </c>
      <c r="GS152" s="151" t="str">
        <f>VLOOKUP(A152,'Données projet'!$A$269:$I$289,9,0)</f>
        <v>#N/A</v>
      </c>
      <c r="GT152" s="151" t="str">
        <f t="array" ref="GT152">INDEX(GS:GS,MIN(IF(ISNUMBER(GS152:GS348),ROW(GS152:GS348),"")))</f>
        <v/>
      </c>
      <c r="GU152" s="151">
        <f>IF('Données projet'!$A$270&gt;35,GU151+GT152-HC151,IF(A152&lt;'Données projet'!$A$270,$GR$205^A152,IF(A152='Données projet'!$A$270,'Données projet'!$B$270,GU151+GT152-HC151)))</f>
        <v>0</v>
      </c>
      <c r="GV152" s="158" t="str">
        <f>GU152*VLOOKUP('Données projet'!$B$18,'Paramètres'!$A$1:$I$88,3,0)*VLOOKUP('Données projet'!$B$18,'Paramètres'!$A$1:$I$88,5,0)</f>
        <v>#N/A</v>
      </c>
      <c r="GW152" s="150" t="str">
        <f t="shared" si="52"/>
        <v>#N/A</v>
      </c>
      <c r="GX152" s="161" t="str">
        <f t="shared" si="29"/>
        <v>#N/A</v>
      </c>
      <c r="GY152" s="153" t="str">
        <f t="shared" si="30"/>
        <v>#N/A</v>
      </c>
      <c r="GZ152" s="153" t="str">
        <f>AVERAGE(OFFSET($GY$3,0,0,'Données projet'!$E$18+1,1))-AVERAGE(OFFSET($H$3,0,0,'Données projet'!$E$18+1,1))</f>
        <v>#N/A</v>
      </c>
      <c r="HA152" s="153" t="str">
        <f t="shared" si="53"/>
        <v>#N/A</v>
      </c>
      <c r="HB152" s="154">
        <f>IF(ISNA(VLOOKUP(A152,'Données projet'!$A$269:$I$289,3,0)),0,VLOOKUP(A152,'Données projet'!$A$269:$I$289,3,0))</f>
        <v>0</v>
      </c>
      <c r="HC152" s="154">
        <f>IF(ISNA(VLOOKUP(A152,'Données projet'!$A$269:$I$289,4,0)),0,VLOOKUP(A152,'Données projet'!$A$269:$I$289,4,0))</f>
        <v>0</v>
      </c>
      <c r="HD152" s="155">
        <f>IF(ISNA(VLOOKUP(A152,'Données projet'!$A$269:$I$289,5,0)),0%,VLOOKUP(A152,'Données projet'!$A$269:$I$289,5,0)*VLOOKUP('Données projet'!$B$18,'Paramètres'!$A$1:$I$88,7,0))</f>
        <v>0</v>
      </c>
      <c r="HE152" s="155">
        <f>IF(ISNA(VLOOKUP(A152,'Données projet'!$A$269:$I$289,6,0)),0%,VLOOKUP(A152,'Données projet'!$A$269:$I$289,6,0)*VLOOKUP('Données projet'!$B$18,'Paramètres'!$A$1:$I$88,7,0))</f>
        <v>0</v>
      </c>
      <c r="HF152" s="155">
        <f>IF(ISNA(VLOOKUP(A152,'Données projet'!$A$269:$I$289,7,0)),0%,VLOOKUP(A152,'Données projet'!$A$269:$I$289,7,0))</f>
        <v>0</v>
      </c>
      <c r="HG152" s="162" t="str">
        <f>EXP(-LN(2)/35)*HG151+(1-EXP(-LN(2)/35))/(LN(2)/35)*HC152*HD152*VLOOKUP('Données projet'!$B$18,'Paramètres'!$A$1:$I$88,3,0)*0.475*44/12</f>
        <v>#N/A</v>
      </c>
      <c r="HH152" s="162" t="str">
        <f>EXP(-LN(2)/25)*HH151+(1-EXP(-LN(2)/25))/(LN(2)/25)*Calculateur!HC152*Calculateur!HE152*VLOOKUP('Données projet'!$B$18,'Paramètres'!$A$1:$I$88,3,0)*0.475*44/12</f>
        <v>#N/A</v>
      </c>
      <c r="HI152" s="162" t="str">
        <f>EXP(-LN(2)/2)*HI151+(1-EXP(-LN(2)/2))/(LN(2)/2)*HC152*HF152*VLOOKUP('Données projet'!$B$18,'Paramètres'!$A$1:$I$88,3,0)*0.475*44/12</f>
        <v>#N/A</v>
      </c>
      <c r="HJ152" s="163" t="str">
        <f t="shared" si="31"/>
        <v>#N/A</v>
      </c>
    </row>
    <row r="153" ht="15.75" customHeight="1">
      <c r="A153" s="145">
        <f t="shared" si="32"/>
        <v>150</v>
      </c>
      <c r="B153" s="146">
        <f>'Scénario référence'!$B$16*5+'Scénario référence'!$B$17*0+'Scénario référence'!$B$18*5</f>
        <v>0</v>
      </c>
      <c r="C153" s="160">
        <f>Calculateur!C152+'Scénario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53" s="147">
        <f t="shared" si="33"/>
        <v>0</v>
      </c>
      <c r="E153" s="147">
        <f>'Scénario référence'!$B$16*45+('Scénario référence'!$B$17+'Scénario référence'!$F$8+'Scénario référence'!$F$9+'Scénario référence'!$B$10+'Scénario référence'!$B$9)*70+'Scénario référence'!$B$18*32</f>
        <v>70</v>
      </c>
      <c r="F153" s="147">
        <f>IF(OR('Scénario référence'!$F$8&gt;0,'Scénario référence'!$F$9&gt;0),('Scénario référence'!$F$8+'Scénario référence'!$F$9)*10,0)</f>
        <v>0</v>
      </c>
      <c r="G153" s="147">
        <f>'Scénario référence'!$B$8*B153*44/12+'Scénario référence'!$B$9*(C153+D153)/0.475*44/12+'Scénario référence'!$B$10*(C153+D153)/0.475*44/12+'Scénario référence'!$F$8*(C153+D153)/0.475*44/12+'Scénario référence'!$F$9*(C153+D153)/0.475*44/12</f>
        <v>0</v>
      </c>
      <c r="H153" s="148">
        <f t="shared" si="1"/>
        <v>256.6666667</v>
      </c>
      <c r="I153" s="149">
        <f>('Scénario référence'!$F$8+'Scénario référence'!$F$9+'Scénario référence'!$B$17+'Scénario référence'!$B$9+'Scénario référence'!$B$10)*70+IF((45+25*(1-EXP(-0.0175*A153)))&lt;70,'Scénario référence'!$B$16*(45+25*(1-EXP(-0.0175*A153))),70*'Scénario référence'!$B$16)+IF((32+38*(1-EXP(-0.0175*A153)))&lt;70,'Scénario référence'!$B$18*(32+38*(1-EXP(-0.0175*A153))),70*'Scénario référence'!$B$18)</f>
        <v>70</v>
      </c>
      <c r="J153" s="150">
        <f>IF(A153&gt;30,10,('Scénario référence'!$B$16+'Scénario référence'!$B$17+'Scénario référence'!$B$18+'Scénario référence'!$B$9+'Scénario référence'!$B$10)*A153*10/30+('Scénario référence'!$F$8+'Scénario référence'!$F$9)*10)</f>
        <v>10</v>
      </c>
      <c r="K153" s="151" t="str">
        <f>VLOOKUP(A153,'Données projet'!$A$35:$I$55,2,0)</f>
        <v>#N/A</v>
      </c>
      <c r="L153" s="151" t="str">
        <f>VLOOKUP(A153,'Données projet'!$A$35:$I$55,9,0)</f>
        <v>#N/A</v>
      </c>
      <c r="M153" s="151" t="str">
        <f t="array" ref="M153">INDEX(L:L,MIN(IF(ISNUMBER(L153:L349),ROW(L153:L349),"")))</f>
        <v/>
      </c>
      <c r="N153" s="150">
        <f>IF('Données projet'!$A$36&gt;35,N152+M153-V152,IF(A153&lt;'Données projet'!$A$36,$K$205^A153,IF(A153='Données projet'!$A$36,'Données projet'!$B$36,N152+M153-V152)))</f>
        <v>307</v>
      </c>
      <c r="O153" s="150">
        <f>N153*VLOOKUP('Données projet'!$B$9,'Paramètres'!$A$1:$I$88,3,0)*VLOOKUP('Données projet'!$B$9,'Paramètres'!$A$1:$I$88,5,0)</f>
        <v>277.7736</v>
      </c>
      <c r="P153" s="150">
        <f t="shared" si="34"/>
        <v>66.49628818</v>
      </c>
      <c r="Q153" s="161">
        <f t="shared" si="2"/>
        <v>599.6033886</v>
      </c>
      <c r="R153" s="153">
        <f t="shared" si="3"/>
        <v>892.9367219</v>
      </c>
      <c r="S153" s="153">
        <f>AVERAGE(OFFSET($R$3,0,0,'Données projet'!$E$9+1,1))-AVERAGE(OFFSET($H$3,0,0,'Données projet'!$E$9+1,1))</f>
        <v>439.1985427</v>
      </c>
      <c r="T153" s="153">
        <f t="shared" si="35"/>
        <v>278.2174123</v>
      </c>
      <c r="U153" s="154">
        <f>IF(ISNA(VLOOKUP(A153,'Données projet'!$A$35:$I$55,3,0)),0,VLOOKUP(A153,'Données projet'!$A$35:$I$55,3,0))</f>
        <v>0</v>
      </c>
      <c r="V153" s="154">
        <f>IF(ISNA(VLOOKUP(A153,'Données projet'!$A$35:$I$55,4,0)),0,VLOOKUP(A153,'Données projet'!$A$35:$I$55,4,0))</f>
        <v>0</v>
      </c>
      <c r="W153" s="155">
        <f>IF(ISNA(VLOOKUP(A153,'Données projet'!$A$35:$I$55,5,0)),0%,VLOOKUP(A153,'Données projet'!$A$35:$I$55,5,0)*VLOOKUP('Données projet'!$B$9,'Paramètres'!$A$1:$I$88,7,0))</f>
        <v>0</v>
      </c>
      <c r="X153" s="155">
        <f>IF(ISNA(VLOOKUP(A153,'Données projet'!$A$35:$I$55,6,0)),0%,VLOOKUP(A153,'Données projet'!$A$35:$I$55,6,0)*VLOOKUP('Données projet'!$B$9,'Paramètres'!$A$1:$I$88,7,0))</f>
        <v>0</v>
      </c>
      <c r="Y153" s="155">
        <f>IF(ISNA(VLOOKUP(A153,'Données projet'!$A$35:$I$55,7,0)),0%,VLOOKUP(A153,'Données projet'!$A$35:$I$55,7,0))</f>
        <v>0</v>
      </c>
      <c r="Z153" s="162">
        <f>EXP(-LN(2)/35)*Z152+(1-EXP(-LN(2)/35))/(LN(2)/35)*V153*W153*VLOOKUP('Données projet'!$B$9,'Paramètres'!$A$1:$I$88,3,0)*0.475*44/12</f>
        <v>0</v>
      </c>
      <c r="AA153" s="162">
        <f>EXP(-LN(2)/25)*AA152+(1-EXP(-LN(2)/25))/(LN(2)/25)*Calculateur!V153*Calculateur!X153*VLOOKUP('Données projet'!$B$9,'Paramètres'!$A$1:$I$88,3,0)*0.475*44/12</f>
        <v>0.1610898955</v>
      </c>
      <c r="AB153" s="162">
        <f>EXP(-LN(2)/2)*AB152+(1-EXP(-LN(2)/2))/(LN(2)/2)*V153*Y153*VLOOKUP('Données projet'!$B$9,'Paramètres'!$A$1:$I$88,3,0)*0.475*44/12</f>
        <v>0</v>
      </c>
      <c r="AC153" s="163">
        <f t="shared" si="4"/>
        <v>0.1610898955</v>
      </c>
      <c r="AD153" s="150">
        <f>('Scénario référence'!$F$8+'Scénario référence'!$F$9+'Scénario référence'!$B$17+'Scénario référence'!$B$9+'Scénario référence'!$B$10)*70+IF((45+25*(1-EXP(-0.0175*A153)))&lt;70,'Scénario référence'!$B$16*(45+25*(1-EXP(-0.0175*A153))),70*'Scénario référence'!$B$16)+IF((32+38*(1-EXP(-0.0175*A153)))&lt;70,'Scénario référence'!$B$18*(32+38*(1-EXP(-0.0175*A153))),70*'Scénario référence'!$B$18)</f>
        <v>70</v>
      </c>
      <c r="AE153" s="150">
        <f>IF(A153&gt;30,10,('Scénario référence'!$B$16+'Scénario référence'!$B$17+'Scénario référence'!$B$18+'Scénario référence'!$B$9+'Scénario référence'!$B$10)*A153*10/30+('Scénario référence'!$F$8+'Scénario référence'!$F$9)*10)</f>
        <v>10</v>
      </c>
      <c r="AF153" s="151" t="str">
        <f>VLOOKUP(A153,'Données projet'!$A$61:$I$81,2,0)</f>
        <v>#N/A</v>
      </c>
      <c r="AG153" s="151" t="str">
        <f>VLOOKUP(A153,'Données projet'!$A$61:$I$81,9,0)</f>
        <v>#N/A</v>
      </c>
      <c r="AH153" s="151" t="str">
        <f t="array" ref="AH153">INDEX(AG:AG,MIN(IF(ISNUMBER(AG153:AG349),ROW(AG153:AG349),"")))</f>
        <v/>
      </c>
      <c r="AI153" s="150">
        <f>IF('Données projet'!$A$62&gt;35,AI152+AH153-AQ152,IF(A153&lt;'Données projet'!$A$62,$AF$205^A153,IF(A153='Données projet'!$A$62,'Données projet'!$B$62,AI152+AH153-AQ152)))</f>
        <v>369</v>
      </c>
      <c r="AJ153" s="150">
        <f>AI153*VLOOKUP('Données projet'!$B$10,'Paramètres'!$A$1:$I$88,3,0)*VLOOKUP('Données projet'!$B$10,'Paramètres'!$A$1:$I$88,5,0)</f>
        <v>293.5764</v>
      </c>
      <c r="AK153" s="150">
        <f t="shared" si="36"/>
        <v>69.82813851</v>
      </c>
      <c r="AL153" s="161">
        <f t="shared" si="5"/>
        <v>632.9295712</v>
      </c>
      <c r="AM153" s="153">
        <f t="shared" si="6"/>
        <v>926.2629046</v>
      </c>
      <c r="AN153" s="153">
        <f>AVERAGE(OFFSET($AM$3,0,0,'Données projet'!$E$10+1,1))-AVERAGE(OFFSET($H$3,0,0,'Données projet'!$E$10+1,1))</f>
        <v>405.6113614</v>
      </c>
      <c r="AO153" s="153">
        <f t="shared" si="37"/>
        <v>393.0787141</v>
      </c>
      <c r="AP153" s="154">
        <f>IF(ISNA(VLOOKUP(A153,'Données projet'!$A$61:$I$81,3,0)),0,VLOOKUP(A153,'Données projet'!$A$61:$I$81,3,0))</f>
        <v>0</v>
      </c>
      <c r="AQ153" s="154">
        <f>IF(ISNA(VLOOKUP(A153,'Données projet'!$A$61:$I$81,4,0)),0,VLOOKUP(A153,'Données projet'!$A$61:$I$81,4,0))</f>
        <v>0</v>
      </c>
      <c r="AR153" s="155">
        <f>IF(ISNA(VLOOKUP(A153,'Données projet'!$A$61:$I$81,5,0)),0%,VLOOKUP(A153,'Données projet'!$A$61:$I$81,5,0)*VLOOKUP('Données projet'!$B$10,'Paramètres'!$A$1:$I$88,7,0))</f>
        <v>0</v>
      </c>
      <c r="AS153" s="155">
        <f>IF(ISNA(VLOOKUP(A153,'Données projet'!$A$61:$I$81,6,0)),0%,VLOOKUP(A153,'Données projet'!$A$61:$I$81,6,0)*VLOOKUP('Données projet'!$B$10,'Paramètres'!$A$1:$I$88,7,0))</f>
        <v>0</v>
      </c>
      <c r="AT153" s="155">
        <f>IF(ISNA(VLOOKUP(A153,'Données projet'!$A$61:$I$81,7,0)),0%,VLOOKUP(A153,'Données projet'!$A$61:$I$81,7,0))</f>
        <v>0</v>
      </c>
      <c r="AU153" s="162">
        <f>EXP(-LN(2)/35)*AU152+(1-EXP(-LN(2)/35))/(LN(2)/35)*AQ153*AR153*VLOOKUP('Données projet'!$B$10,'Paramètres'!$A$1:$I$88,3,0)*0.475*44/12</f>
        <v>0</v>
      </c>
      <c r="AV153" s="162">
        <f>EXP(-LN(2)/25)*AV152+(1-EXP(-LN(2)/25))/(LN(2)/25)*Calculateur!AQ153*Calculateur!AS153*VLOOKUP('Données projet'!$B$10,'Paramètres'!$A$1:$I$88,3,0)*0.475*44/12</f>
        <v>0.654710286</v>
      </c>
      <c r="AW153" s="162">
        <f>EXP(-LN(2)/2)*AW152+(1-EXP(-LN(2)/2))/(LN(2)/2)*AQ153*AT153*VLOOKUP('Données projet'!$B$10,'Paramètres'!$A$1:$I$88,3,0)*0.475*44/12</f>
        <v>0</v>
      </c>
      <c r="AX153" s="162">
        <f t="shared" si="7"/>
        <v>0.654710286</v>
      </c>
      <c r="AY153" s="157">
        <f>('Scénario référence'!$F$8+'Scénario référence'!$F$9+'Scénario référence'!$B$17+'Scénario référence'!$B$9+'Scénario référence'!$B$10)*70+IF((45+25*(1-EXP(-0.0175*A153)))&lt;70,'Scénario référence'!$B$16*(45+25*(1-EXP(-0.0175*A153))),70*'Scénario référence'!$B$16)+IF((32+38*(1-EXP(-0.0175*A153)))&lt;70,'Scénario référence'!$B$18*(32+38*(1-EXP(-0.0175*A153))),70*'Scénario référence'!$B$18)</f>
        <v>70</v>
      </c>
      <c r="AZ153" s="151">
        <f>IF(A153&gt;30,10,('Scénario référence'!$B$16+'Scénario référence'!$B$17+'Scénario référence'!$B$18+'Scénario référence'!$B$9+'Scénario référence'!$B$10)*A153*10/30+('Scénario référence'!$F$8+'Scénario référence'!$F$9)*10)</f>
        <v>10</v>
      </c>
      <c r="BA153" s="151" t="str">
        <f>VLOOKUP(A153,'Données projet'!$A$87:$I$107,2,0)</f>
        <v>#N/A</v>
      </c>
      <c r="BB153" s="151" t="str">
        <f>VLOOKUP(A153,'Données projet'!$A$87:$I$107,9,0)</f>
        <v>#N/A</v>
      </c>
      <c r="BC153" s="151" t="str">
        <f t="array" ref="BC153">INDEX(BB:BB,MIN(IF(ISNUMBER(BB153:BB349),ROW(BB153:BB349),"")))</f>
        <v/>
      </c>
      <c r="BD153" s="150">
        <f>IF('Données projet'!$A$88&gt;35,BD152+BC153-BL152,IF(A153&lt;'Données projet'!$A$88,$BA$205^A153,IF(A153='Données projet'!$A$88,'Données projet'!$B$88,BD152+BC153-BL152)))</f>
        <v>0</v>
      </c>
      <c r="BE153" s="150">
        <f>BD153*VLOOKUP('Données projet'!$B$11,'Paramètres'!$A$1:$I$88,3,0)*VLOOKUP('Données projet'!$B$11,'Paramètres'!$A$1:$I$88,5,0)</f>
        <v>0</v>
      </c>
      <c r="BF153" s="150" t="str">
        <f t="shared" si="38"/>
        <v>#NUM!</v>
      </c>
      <c r="BG153" s="161" t="str">
        <f t="shared" si="8"/>
        <v>#NUM!</v>
      </c>
      <c r="BH153" s="153" t="str">
        <f t="shared" si="9"/>
        <v>#NUM!</v>
      </c>
      <c r="BI153" s="153">
        <f>AVERAGE(OFFSET($BH$3,0,0,'Données projet'!$E$11+1,1))-AVERAGE(OFFSET($H$3,0,0,'Données projet'!$E$11+1,1))</f>
        <v>0</v>
      </c>
      <c r="BJ153" s="153">
        <f t="shared" si="39"/>
        <v>0</v>
      </c>
      <c r="BK153" s="154">
        <f>IF(ISNA(VLOOKUP(A153,'Données projet'!$A$87:$I$107,3,0)),0,VLOOKUP(A153,'Données projet'!$A$87:$I$107,3,0))</f>
        <v>0</v>
      </c>
      <c r="BL153" s="154">
        <f>IF(ISNA(VLOOKUP(A153,'Données projet'!$A$87:$I$107,4,0)),0,VLOOKUP(A153,'Données projet'!$A$87:$I$107,4,0))</f>
        <v>0</v>
      </c>
      <c r="BM153" s="155">
        <f>IF(ISNA(VLOOKUP(A153,'Données projet'!$A$87:$I$107,5,0)),0%,VLOOKUP(A153,'Données projet'!$A$87:$I$107,5,0)*VLOOKUP('Données projet'!$B$11,'Paramètres'!$A$1:$I$88,7,0))</f>
        <v>0</v>
      </c>
      <c r="BN153" s="155">
        <f>IF(ISNA(VLOOKUP(A153,'Données projet'!$A$87:$I$107,6,0)),0%,VLOOKUP(A153,'Données projet'!$A$87:$I$107,6,0)*VLOOKUP('Données projet'!$B$11,'Paramètres'!$A$1:$I$88,7,0))</f>
        <v>0</v>
      </c>
      <c r="BO153" s="155">
        <f>IF(ISNA(VLOOKUP(A153,'Données projet'!$A$87:$I$107,7,0)),0%,VLOOKUP(A153,'Données projet'!$A$87:$I$107,7,0))</f>
        <v>0</v>
      </c>
      <c r="BP153" s="162">
        <f>EXP(-LN(2)/35)*BP152+(1-EXP(-LN(2)/35))/(LN(2)/35)*BL153*BM153*VLOOKUP('Données projet'!$B$11,'Paramètres'!$A$1:$I$88,3,0)*0.475*44/12</f>
        <v>0</v>
      </c>
      <c r="BQ153" s="162">
        <f>EXP(-LN(2)/25)*BQ152+(1-EXP(-LN(2)/25))/(LN(2)/25)*Calculateur!BL153*Calculateur!BN153*VLOOKUP('Données projet'!$B$11,'Paramètres'!$A$1:$I$88,3,0)*0.475*44/12</f>
        <v>0</v>
      </c>
      <c r="BR153" s="162">
        <f>EXP(-LN(2)/2)*BR152+(1-EXP(-LN(2)/2))/(LN(2)/2)*BL153*BO153*VLOOKUP('Données projet'!$B$11,'Paramètres'!$A$1:$I$88,3,0)*0.475*44/12</f>
        <v>0</v>
      </c>
      <c r="BS153" s="163">
        <f t="shared" si="10"/>
        <v>0</v>
      </c>
      <c r="BT153" s="159">
        <f>('Scénario référence'!$F$8+'Scénario référence'!$F$9+'Scénario référence'!$B$17+'Scénario référence'!$B$9+'Scénario référence'!$B$10)*70+IF((45+25*(1-EXP(-0.0175*A153)))&lt;70,'Scénario référence'!$B$16*(45+25*(1-EXP(-0.0175*A153))),70*'Scénario référence'!$B$16)+IF((32+38*(1-EXP(-0.0175*A153)))&lt;70,'Scénario référence'!$B$18*(32+38*(1-EXP(-0.0175*A153))),70*'Scénario référence'!$B$18)</f>
        <v>70</v>
      </c>
      <c r="BU153" s="151">
        <f>IF(A153&gt;30,10,('Scénario référence'!$B$16+'Scénario référence'!$B$17+'Scénario référence'!$B$18+'Scénario référence'!$B$9+'Scénario référence'!$B$10)*A153*10/30+('Scénario référence'!$F$8+'Scénario référence'!$F$9)*10)</f>
        <v>10</v>
      </c>
      <c r="BV153" s="151" t="str">
        <f>VLOOKUP(A153,'Données projet'!$A$113:$I$133,2,0)</f>
        <v>#N/A</v>
      </c>
      <c r="BW153" s="151" t="str">
        <f>VLOOKUP(A153,'Données projet'!$A$113:$I$133,9,0)</f>
        <v>#N/A</v>
      </c>
      <c r="BX153" s="151" t="str">
        <f t="array" ref="BX153">INDEX(BW:BW,MIN(IF(ISNUMBER(BW153:BW349),ROW(BW153:BW349),"")))</f>
        <v/>
      </c>
      <c r="BY153" s="150">
        <f>IF('Données projet'!$A$114&gt;35,BY152+BX153-CG152,IF(A153&lt;'Données projet'!$A$114,$BV$205^A153,IF(A153='Données projet'!$A$114,'Données projet'!$B$114,BY152+BX153-CG152)))</f>
        <v>0</v>
      </c>
      <c r="BZ153" s="150" t="str">
        <f>BY153*VLOOKUP('Données projet'!$B$12,'Paramètres'!$A$1:$I$88,3,0)*VLOOKUP('Données projet'!$B$12,'Paramètres'!$A$1:$I$88,5,0)</f>
        <v>#N/A</v>
      </c>
      <c r="CA153" s="150" t="str">
        <f t="shared" si="40"/>
        <v>#N/A</v>
      </c>
      <c r="CB153" s="161" t="str">
        <f t="shared" si="11"/>
        <v>#N/A</v>
      </c>
      <c r="CC153" s="153" t="str">
        <f t="shared" si="12"/>
        <v>#N/A</v>
      </c>
      <c r="CD153" s="153" t="str">
        <f>AVERAGE(OFFSET($CC$3,0,0,'Données projet'!$E$12+1,1))-AVERAGE(OFFSET($H$3,0,0,'Données projet'!$E$12+1,1))</f>
        <v>#N/A</v>
      </c>
      <c r="CE153" s="153" t="str">
        <f t="shared" si="41"/>
        <v>#N/A</v>
      </c>
      <c r="CF153" s="154">
        <f>IF(ISNA(VLOOKUP(A153,'Données projet'!$A$113:$I$133,3,0)),0,VLOOKUP(A153,'Données projet'!$A$113:$I$133,3,0))</f>
        <v>0</v>
      </c>
      <c r="CG153" s="154">
        <f>IF(ISNA(VLOOKUP(A153,'Données projet'!$A$113:$I$133,4,0)),0,VLOOKUP(A153,'Données projet'!$A$113:$I$133,4,0))</f>
        <v>0</v>
      </c>
      <c r="CH153" s="155">
        <f>IF(ISNA(VLOOKUP(A153,'Données projet'!$A$113:$I$133,5,0)),0%,VLOOKUP(A153,'Données projet'!$A$113:$I$133,5,0)*VLOOKUP('Données projet'!$B$12,'Paramètres'!$A$1:$I$88,7,0))</f>
        <v>0</v>
      </c>
      <c r="CI153" s="155">
        <f>IF(ISNA(VLOOKUP(A153,'Données projet'!$A$113:$I$133,6,0)),0%,VLOOKUP(A153,'Données projet'!$A$113:$I$133,6,0)*VLOOKUP('Données projet'!$B$12,'Paramètres'!$A$1:$I$88,7,0))</f>
        <v>0</v>
      </c>
      <c r="CJ153" s="155">
        <f>IF(ISNA(VLOOKUP(A153,'Données projet'!$A$113:$I$133,7,0)),0%,VLOOKUP(A153,'Données projet'!$A$113:$I$133,7,0))</f>
        <v>0</v>
      </c>
      <c r="CK153" s="162" t="str">
        <f>EXP(-LN(2)/35)*CK152+(1-EXP(-LN(2)/35))/(LN(2)/35)*CG153*CH153*VLOOKUP('Données projet'!$B$12,'Paramètres'!$A$1:$I$88,3,0)*0.475*44/12</f>
        <v>#N/A</v>
      </c>
      <c r="CL153" s="162" t="str">
        <f>EXP(-LN(2)/25)*CL152+(1-EXP(-LN(2)/25))/(LN(2)/25)*Calculateur!CG153*Calculateur!CI153*VLOOKUP('Données projet'!$B$12,'Paramètres'!$A$1:$I$88,3,0)*0.475*44/12</f>
        <v>#N/A</v>
      </c>
      <c r="CM153" s="162" t="str">
        <f>EXP(-LN(2)/2)*CM152+(1-EXP(-LN(2)/2))/(LN(2)/2)*CG153*CJ153*VLOOKUP('Données projet'!$B$12,'Paramètres'!$A$1:$I$88,3,0)*0.475*44/12</f>
        <v>#N/A</v>
      </c>
      <c r="CN153" s="163" t="str">
        <f t="shared" si="13"/>
        <v>#N/A</v>
      </c>
      <c r="CO153" s="159">
        <f>('Scénario référence'!$F$8+'Scénario référence'!$F$9+'Scénario référence'!$B$17+'Scénario référence'!$B$9+'Scénario référence'!$B$10)*70+IF((45+25*(1-EXP(-0.0175*A153)))&lt;70,'Scénario référence'!$B$16*(45+25*(1-EXP(-0.0175*A153))),70*'Scénario référence'!$B$16)+IF((32+38*(1-EXP(-0.0175*A153)))&lt;70,'Scénario référence'!$B$18*(32+38*(1-EXP(-0.0175*A153))),70*'Scénario référence'!$B$18)</f>
        <v>70</v>
      </c>
      <c r="CP153" s="151">
        <f>IF(A153&gt;30,10,('Scénario référence'!$B$16+'Scénario référence'!$B$17+'Scénario référence'!$B$18+'Scénario référence'!$B$9+'Scénario référence'!$B$10)*A153*10/30+('Scénario référence'!$F$8+'Scénario référence'!$F$9)*10)</f>
        <v>10</v>
      </c>
      <c r="CQ153" s="151" t="str">
        <f>VLOOKUP(A153,'Données projet'!$A$139:$I$159,2,0)</f>
        <v>#N/A</v>
      </c>
      <c r="CR153" s="151" t="str">
        <f>VLOOKUP(A153,'Données projet'!$A$139:$I$159,9,0)</f>
        <v>#N/A</v>
      </c>
      <c r="CS153" s="151" t="str">
        <f t="array" ref="CS153">INDEX(CR:CR,MIN(IF(ISNUMBER(CR153:CR349),ROW(CR153:CR349),"")))</f>
        <v/>
      </c>
      <c r="CT153" s="151">
        <f>IF('Données projet'!$A$140&gt;35,CT152+CS153-DB152,IF(A153&lt;'Données projet'!$A$140,$CQ$205^A153,IF(A153='Données projet'!$A$140,'Données projet'!$B$140,CT152+CS153-DB152)))</f>
        <v>0</v>
      </c>
      <c r="CU153" s="158" t="str">
        <f>CT153*VLOOKUP('Données projet'!$B$13,'Paramètres'!$A$1:$I$88,3,0)*VLOOKUP('Données projet'!$B$13,'Paramètres'!$A$1:$I$88,5,0)</f>
        <v>#N/A</v>
      </c>
      <c r="CV153" s="150" t="str">
        <f t="shared" si="42"/>
        <v>#N/A</v>
      </c>
      <c r="CW153" s="161" t="str">
        <f t="shared" si="14"/>
        <v>#N/A</v>
      </c>
      <c r="CX153" s="153" t="str">
        <f t="shared" si="15"/>
        <v>#N/A</v>
      </c>
      <c r="CY153" s="153" t="str">
        <f>AVERAGE(OFFSET($CX$3,0,0,'Données projet'!$E$13+1,1))-AVERAGE(OFFSET($H$3,0,0,'Données projet'!$E$13+1,1))</f>
        <v>#N/A</v>
      </c>
      <c r="CZ153" s="153" t="str">
        <f t="shared" si="43"/>
        <v>#N/A</v>
      </c>
      <c r="DA153" s="154">
        <f>IF(ISNA(VLOOKUP(A153,'Données projet'!$A$139:$I$159,3,0)),0,VLOOKUP(A153,'Données projet'!$A$139:$I$159,3,0))</f>
        <v>0</v>
      </c>
      <c r="DB153" s="154">
        <f>IF(ISNA(VLOOKUP(A153,'Données projet'!$A$139:$I$159,4,0)),0,VLOOKUP(A153,'Données projet'!$A$139:$I$159,4,0))</f>
        <v>0</v>
      </c>
      <c r="DC153" s="155">
        <f>IF(ISNA(VLOOKUP(A153,'Données projet'!$A$139:$I$159,5,0)),0%,VLOOKUP(A153,'Données projet'!$A$139:$I$159,5,0)*VLOOKUP('Données projet'!$B$13,'Paramètres'!$A$1:$I$88,7,0))</f>
        <v>0</v>
      </c>
      <c r="DD153" s="155">
        <f>IF(ISNA(VLOOKUP(A153,'Données projet'!$A$139:$I$159,6,0)),0%,VLOOKUP(A153,'Données projet'!$A$139:$I$159,6,0)*VLOOKUP('Données projet'!$B$13,'Paramètres'!$A$1:$I$88,7,0))</f>
        <v>0</v>
      </c>
      <c r="DE153" s="155">
        <f>IF(ISNA(VLOOKUP(A153,'Données projet'!$A$139:$I$159,7,0)),0%,VLOOKUP(A153,'Données projet'!$A$139:$I$159,7,0))</f>
        <v>0</v>
      </c>
      <c r="DF153" s="162" t="str">
        <f>EXP(-LN(2)/35)*DF152+(1-EXP(-LN(2)/35))/(LN(2)/35)*DB153*DC153*VLOOKUP('Données projet'!$B$13,'Paramètres'!$A$1:$I$88,3,0)*0.475*44/12</f>
        <v>#N/A</v>
      </c>
      <c r="DG153" s="162" t="str">
        <f>EXP(-LN(2)/25)*DG152+(1-EXP(-LN(2)/25))/(LN(2)/25)*Calculateur!DB153*Calculateur!DD153*VLOOKUP('Données projet'!$B$13,'Paramètres'!$A$1:$I$88,3,0)*0.475*44/12</f>
        <v>#N/A</v>
      </c>
      <c r="DH153" s="162" t="str">
        <f>EXP(-LN(2)/2)*DH152+(1-EXP(-LN(2)/2))/(LN(2)/2)*DB153*DE153*VLOOKUP('Données projet'!$B$13,'Paramètres'!$A$1:$I$88,3,0)*0.475*44/12</f>
        <v>#N/A</v>
      </c>
      <c r="DI153" s="163" t="str">
        <f t="shared" si="16"/>
        <v>#N/A</v>
      </c>
      <c r="DJ153" s="159">
        <f>('Scénario référence'!$F$8+'Scénario référence'!$F$9+'Scénario référence'!$B$17+'Scénario référence'!$B$9+'Scénario référence'!$B$10)*70+IF((45+25*(1-EXP(-0.0175*A153)))&lt;70,'Scénario référence'!$B$16*(45+25*(1-EXP(-0.0175*A153))),70*'Scénario référence'!$B$16)+IF((32+38*(1-EXP(-0.0175*A153)))&lt;70,'Scénario référence'!$B$18*(32+38*(1-EXP(-0.0175*A153))),70*'Scénario référence'!$B$18)</f>
        <v>70</v>
      </c>
      <c r="DK153" s="151">
        <f>IF(A153&gt;30,10,('Scénario référence'!$B$16+'Scénario référence'!$B$17+'Scénario référence'!$B$18+'Scénario référence'!$B$9+'Scénario référence'!$B$10)*A153*10/30+('Scénario référence'!$F$8+'Scénario référence'!$F$9)*10)</f>
        <v>10</v>
      </c>
      <c r="DL153" s="151" t="str">
        <f>VLOOKUP(A153,'Données projet'!$A$165:$I$185,2,0)</f>
        <v>#N/A</v>
      </c>
      <c r="DM153" s="151" t="str">
        <f>VLOOKUP(A153,'Données projet'!$A$165:$I$185,9,0)</f>
        <v>#N/A</v>
      </c>
      <c r="DN153" s="151" t="str">
        <f t="array" ref="DN153">INDEX(DM:DM,MIN(IF(ISNUMBER(DM153:DM349),ROW(DM153:DM349),"")))</f>
        <v/>
      </c>
      <c r="DO153" s="151">
        <f>IF('Données projet'!$A$166&gt;35,DO152+DN153-DW152,IF(A153&lt;'Données projet'!$A$166,$DL$205^A153,IF(A153='Données projet'!$A$166,'Données projet'!$B$166,DO152+DN153-DW152)))</f>
        <v>0</v>
      </c>
      <c r="DP153" s="158" t="str">
        <f>DO153*VLOOKUP('Données projet'!$B$14,'Paramètres'!$A$1:$I$88,3,0)*VLOOKUP('Données projet'!$B$14,'Paramètres'!$A$1:$I$88,5,0)</f>
        <v>#N/A</v>
      </c>
      <c r="DQ153" s="150" t="str">
        <f t="shared" si="44"/>
        <v>#N/A</v>
      </c>
      <c r="DR153" s="161" t="str">
        <f t="shared" si="17"/>
        <v>#N/A</v>
      </c>
      <c r="DS153" s="153" t="str">
        <f t="shared" si="18"/>
        <v>#N/A</v>
      </c>
      <c r="DT153" s="153" t="str">
        <f>AVERAGE(OFFSET($DS$3,0,0,'Données projet'!$E$14+1,1))-AVERAGE(OFFSET($H$3,0,0,'Données projet'!$E$14+1,1))</f>
        <v>#N/A</v>
      </c>
      <c r="DU153" s="153" t="str">
        <f t="shared" si="45"/>
        <v>#N/A</v>
      </c>
      <c r="DV153" s="154">
        <f>IF(ISNA(VLOOKUP(A153,'Données projet'!$A$165:$I$185,3,0)),0,VLOOKUP(A153,'Données projet'!$A$165:$I$185,3,0))</f>
        <v>0</v>
      </c>
      <c r="DW153" s="154">
        <f>IF(ISNA(VLOOKUP(A153,'Données projet'!$A$165:$I$185,4,0)),0,VLOOKUP(A153,'Données projet'!$A$165:$I$185,4,0))</f>
        <v>0</v>
      </c>
      <c r="DX153" s="155">
        <f>IF(ISNA(VLOOKUP(A153,'Données projet'!$A$165:$I$185,5,0)),0%,VLOOKUP(A153,'Données projet'!$A$165:$I$185,5,0)*VLOOKUP('Données projet'!$B$14,'Paramètres'!$A$1:$I$88,7,0))</f>
        <v>0</v>
      </c>
      <c r="DY153" s="155">
        <f>IF(ISNA(VLOOKUP(A153,'Données projet'!$A$165:$I$185,6,0)),0%,VLOOKUP(A153,'Données projet'!$A$165:$I$185,6,0)*VLOOKUP('Données projet'!$B$14,'Paramètres'!$A$1:$I$88,7,0))</f>
        <v>0</v>
      </c>
      <c r="DZ153" s="155">
        <f>IF(ISNA(VLOOKUP(A153,'Données projet'!$A$165:$I$185,7,0)),0%,VLOOKUP(A153,'Données projet'!$A$165:$I$185,7,0))</f>
        <v>0</v>
      </c>
      <c r="EA153" s="162" t="str">
        <f>EXP(-LN(2)/35)*EA152+(1-EXP(-LN(2)/35))/(LN(2)/35)*DW153*DX153*VLOOKUP('Données projet'!$B$14,'Paramètres'!$A$1:$I$88,3,0)*0.475*44/12</f>
        <v>#N/A</v>
      </c>
      <c r="EB153" s="162" t="str">
        <f>EXP(-LN(2)/25)*EB152+(1-EXP(-LN(2)/25))/(LN(2)/25)*Calculateur!DW153*Calculateur!DY153*VLOOKUP('Données projet'!$B$14,'Paramètres'!$A$1:$I$88,3,0)*0.475*44/12</f>
        <v>#N/A</v>
      </c>
      <c r="EC153" s="162" t="str">
        <f>EXP(-LN(2)/2)*EC152+(1-EXP(-LN(2)/2))/(LN(2)/2)*DW153*DZ153*VLOOKUP('Données projet'!$B$14,'Paramètres'!$A$1:$I$88,3,0)*0.475*44/12</f>
        <v>#N/A</v>
      </c>
      <c r="ED153" s="163" t="str">
        <f t="shared" si="19"/>
        <v>#N/A</v>
      </c>
      <c r="EE153" s="159">
        <f>('Scénario référence'!$F$8+'Scénario référence'!$F$9+'Scénario référence'!$B$17+'Scénario référence'!$B$9+'Scénario référence'!$B$10)*70+IF((45+25*(1-EXP(-0.0175*A153)))&lt;70,'Scénario référence'!$B$16*(45+25*(1-EXP(-0.0175*A153))),70*'Scénario référence'!$B$16)+IF((32+38*(1-EXP(-0.0175*A153)))&lt;70,'Scénario référence'!$B$18*(32+38*(1-EXP(-0.0175*A153))),70*'Scénario référence'!$B$18)</f>
        <v>70</v>
      </c>
      <c r="EF153" s="151">
        <f>IF(A153&gt;30,10,('Scénario référence'!$B$16+'Scénario référence'!$B$17+'Scénario référence'!$B$18+'Scénario référence'!$B$9+'Scénario référence'!$B$10)*A153*10/30+('Scénario référence'!$F$8+'Scénario référence'!$F$9)*10)</f>
        <v>10</v>
      </c>
      <c r="EG153" s="151" t="str">
        <f>VLOOKUP(A153,'Données projet'!$A$191:$I$211,2,0)</f>
        <v>#N/A</v>
      </c>
      <c r="EH153" s="151" t="str">
        <f>VLOOKUP(A153,'Données projet'!$A$191:$I$211,9,0)</f>
        <v>#N/A</v>
      </c>
      <c r="EI153" s="151" t="str">
        <f t="array" ref="EI153">INDEX(EH:EH,MIN(IF(ISNUMBER(EH153:EH349),ROW(EH153:EH349),"")))</f>
        <v/>
      </c>
      <c r="EJ153" s="151">
        <f>IF('Données projet'!$A$192&gt;35,EJ152+EI153-ER152,IF(A153&lt;'Données projet'!$A$192,$EG$205^A153,IF(A153='Données projet'!$A$192,'Données projet'!$B$192,EJ152+EI153-ER152)))</f>
        <v>0</v>
      </c>
      <c r="EK153" s="158" t="str">
        <f>EJ153*VLOOKUP('Données projet'!$B$15,'Paramètres'!$A$1:$I$88,3,0)*VLOOKUP('Données projet'!$B$15,'Paramètres'!$A$1:$I$88,5,0)</f>
        <v>#N/A</v>
      </c>
      <c r="EL153" s="150" t="str">
        <f t="shared" si="46"/>
        <v>#N/A</v>
      </c>
      <c r="EM153" s="161" t="str">
        <f t="shared" si="20"/>
        <v>#N/A</v>
      </c>
      <c r="EN153" s="153" t="str">
        <f t="shared" si="21"/>
        <v>#N/A</v>
      </c>
      <c r="EO153" s="153" t="str">
        <f>AVERAGE(OFFSET($EN$3,0,0,'Données projet'!$E$15+1,1))-AVERAGE(OFFSET($H$3,0,0,'Données projet'!$E$15+1,1))</f>
        <v>#N/A</v>
      </c>
      <c r="EP153" s="153" t="str">
        <f t="shared" si="47"/>
        <v>#N/A</v>
      </c>
      <c r="EQ153" s="154">
        <f>IF(ISNA(VLOOKUP(A153,'Données projet'!$A$191:$I$211,3,0)),0,VLOOKUP(A153,'Données projet'!$A$191:$I$211,3,0))</f>
        <v>0</v>
      </c>
      <c r="ER153" s="154">
        <f>IF(ISNA(VLOOKUP(A153,'Données projet'!$A$191:$I$211,4,0)),0,VLOOKUP(A153,'Données projet'!$A$191:$I$211,4,0))</f>
        <v>0</v>
      </c>
      <c r="ES153" s="155">
        <f>IF(ISNA(VLOOKUP(A153,'Données projet'!$A$191:$I$211,5,0)),0%,VLOOKUP(A153,'Données projet'!$A$191:$I$211,5,0)*VLOOKUP('Données projet'!$B$15,'Paramètres'!$A$1:$I$88,7,0))</f>
        <v>0</v>
      </c>
      <c r="ET153" s="155">
        <f>IF(ISNA(VLOOKUP(A153,'Données projet'!$A$191:$I$211,6,0)),0%,VLOOKUP(A153,'Données projet'!$A$191:$I$211,6,0)*VLOOKUP('Données projet'!$B$15,'Paramètres'!$A$1:$I$88,7,0))</f>
        <v>0</v>
      </c>
      <c r="EU153" s="155">
        <f>IF(ISNA(VLOOKUP(A153,'Données projet'!$A$191:$I$211,7,0)),0%,VLOOKUP(A153,'Données projet'!$A$191:$I$211,7,0))</f>
        <v>0</v>
      </c>
      <c r="EV153" s="162" t="str">
        <f>EXP(-LN(2)/35)*EV152+(1-EXP(-LN(2)/35))/(LN(2)/35)*ER153*ES153*VLOOKUP('Données projet'!$B$15,'Paramètres'!$A$1:$I$88,3,0)*0.475*44/12</f>
        <v>#N/A</v>
      </c>
      <c r="EW153" s="162" t="str">
        <f>EXP(-LN(2)/25)*EW152+(1-EXP(-LN(2)/25))/(LN(2)/25)*Calculateur!ER153*Calculateur!ET153*VLOOKUP('Données projet'!$B$15,'Paramètres'!$A$1:$I$88,3,0)*0.475*44/12</f>
        <v>#N/A</v>
      </c>
      <c r="EX153" s="162" t="str">
        <f>EXP(-LN(2)/2)*EX152+(1-EXP(-LN(2)/2))/(LN(2)/2)*ER153*EU153*VLOOKUP('Données projet'!$B$15,'Paramètres'!$A$1:$I$88,3,0)*0.475*44/12</f>
        <v>#N/A</v>
      </c>
      <c r="EY153" s="163" t="str">
        <f t="shared" si="22"/>
        <v>#N/A</v>
      </c>
      <c r="EZ153" s="159">
        <f>('Scénario référence'!$F$8+'Scénario référence'!$F$9+'Scénario référence'!$B$17+'Scénario référence'!$B$9+'Scénario référence'!$B$10)*70+IF((45+25*(1-EXP(-0.0175*A153)))&lt;70,'Scénario référence'!$B$16*(45+25*(1-EXP(-0.0175*A153))),70*'Scénario référence'!$B$16)+IF((32+38*(1-EXP(-0.0175*A153)))&lt;70,'Scénario référence'!$B$18*(32+38*(1-EXP(-0.0175*A153))),70*'Scénario référence'!$B$18)</f>
        <v>70</v>
      </c>
      <c r="FA153" s="151">
        <f>IF(A153&gt;30,10,('Scénario référence'!$B$16+'Scénario référence'!$B$17+'Scénario référence'!$B$18+'Scénario référence'!$B$9+'Scénario référence'!$B$10)*A153*10/30+('Scénario référence'!$F$8+'Scénario référence'!$F$9)*10)</f>
        <v>10</v>
      </c>
      <c r="FB153" s="151" t="str">
        <f>VLOOKUP(A153,'Données projet'!$A$217:$I$237,2,0)</f>
        <v>#N/A</v>
      </c>
      <c r="FC153" s="151" t="str">
        <f>VLOOKUP(A153,'Données projet'!$A$217:$I$237,9,0)</f>
        <v>#N/A</v>
      </c>
      <c r="FD153" s="151" t="str">
        <f t="array" ref="FD153">INDEX(FC:FC,MIN(IF(ISNUMBER(FC153:FC349),ROW(FC153:FC349),"")))</f>
        <v/>
      </c>
      <c r="FE153" s="151">
        <f>IF('Données projet'!$A$218&gt;35,FE152+FD153-FM152,IF(A153&lt;'Données projet'!$A$218,$FB$205^A153,IF(A153='Données projet'!$A$218,'Données projet'!$B$218,FE152+FD153-FM152)))</f>
        <v>0</v>
      </c>
      <c r="FF153" s="158" t="str">
        <f>FE153*VLOOKUP('Données projet'!$B$16,'Paramètres'!$A$1:$I$88,3,0)*VLOOKUP('Données projet'!$B$16,'Paramètres'!$A$1:$I$88,5,0)</f>
        <v>#N/A</v>
      </c>
      <c r="FG153" s="150" t="str">
        <f t="shared" si="48"/>
        <v>#N/A</v>
      </c>
      <c r="FH153" s="161" t="str">
        <f t="shared" si="23"/>
        <v>#N/A</v>
      </c>
      <c r="FI153" s="153" t="str">
        <f t="shared" si="24"/>
        <v>#N/A</v>
      </c>
      <c r="FJ153" s="153" t="str">
        <f>AVERAGE(OFFSET($FI$3,0,0,'Données projet'!$E$16+1,1))-AVERAGE(OFFSET($H$3,0,0,'Données projet'!$E$16+1,1))</f>
        <v>#N/A</v>
      </c>
      <c r="FK153" s="153" t="str">
        <f t="shared" si="49"/>
        <v>#N/A</v>
      </c>
      <c r="FL153" s="154">
        <f>IF(ISNA(VLOOKUP(A153,'Données projet'!$A$217:$I$237,3,0)),0,VLOOKUP(A153,'Données projet'!$A$217:$I$237,3,0))</f>
        <v>0</v>
      </c>
      <c r="FM153" s="154">
        <f>IF(ISNA(VLOOKUP(A153,'Données projet'!$A$217:$I$237,4,0)),0,VLOOKUP(A153,'Données projet'!$A$217:$I$237,4,0))</f>
        <v>0</v>
      </c>
      <c r="FN153" s="155">
        <f>IF(ISNA(VLOOKUP(A153,'Données projet'!$A$217:$I$237,5,0)),0%,VLOOKUP(A153,'Données projet'!$A$217:$I$237,5,0)*VLOOKUP('Données projet'!$B$16,'Paramètres'!$A$1:$I$88,7,0))</f>
        <v>0</v>
      </c>
      <c r="FO153" s="155">
        <f>IF(ISNA(VLOOKUP(A153,'Données projet'!$A$217:$I$237,6,0)),0%,VLOOKUP(A153,'Données projet'!$A$217:$I$237,6,0)*VLOOKUP('Données projet'!$B$16,'Paramètres'!$A$1:$I$88,7,0))</f>
        <v>0</v>
      </c>
      <c r="FP153" s="155">
        <f>IF(ISNA(VLOOKUP(A153,'Données projet'!$A$217:$I$237,7,0)),0%,VLOOKUP(A153,'Données projet'!$A$217:$I$237,7,0))</f>
        <v>0</v>
      </c>
      <c r="FQ153" s="162" t="str">
        <f>EXP(-LN(2)/35)*FQ152+(1-EXP(-LN(2)/35))/(LN(2)/35)*FM153*FN153*VLOOKUP('Données projet'!$B$16,'Paramètres'!$A$1:$I$88,3,0)*0.475*44/12</f>
        <v>#N/A</v>
      </c>
      <c r="FR153" s="162" t="str">
        <f>EXP(-LN(2)/25)*FR152+(1-EXP(-LN(2)/25))/(LN(2)/25)*Calculateur!FM153*Calculateur!FO153*VLOOKUP('Données projet'!$B$16,'Paramètres'!$A$1:$I$88,3,0)*0.475*44/12</f>
        <v>#N/A</v>
      </c>
      <c r="FS153" s="162" t="str">
        <f>EXP(-LN(2)/2)*FS152+(1-EXP(-LN(2)/2))/(LN(2)/2)*FM153*FP153*VLOOKUP('Données projet'!$B$16,'Paramètres'!$A$1:$I$88,3,0)*0.475*44/12</f>
        <v>#N/A</v>
      </c>
      <c r="FT153" s="163" t="str">
        <f t="shared" si="25"/>
        <v>#N/A</v>
      </c>
      <c r="FU153" s="159">
        <f>('Scénario référence'!$F$8+'Scénario référence'!$F$9+'Scénario référence'!$B$17+'Scénario référence'!$B$9+'Scénario référence'!$B$10)*70+IF((45+25*(1-EXP(-0.0175*A153)))&lt;70,'Scénario référence'!$B$16*(45+25*(1-EXP(-0.0175*A153))),70*'Scénario référence'!$B$16)+IF((32+38*(1-EXP(-0.0175*A153)))&lt;70,'Scénario référence'!$B$18*(32+38*(1-EXP(-0.0175*A153))),70*'Scénario référence'!$B$18)</f>
        <v>70</v>
      </c>
      <c r="FV153" s="151">
        <f>IF(A153&gt;30,10,('Scénario référence'!$B$16+'Scénario référence'!$B$17+'Scénario référence'!$B$18+'Scénario référence'!$B$9+'Scénario référence'!$B$10)*A153*10/30+('Scénario référence'!$F$8+'Scénario référence'!$F$9)*10)</f>
        <v>10</v>
      </c>
      <c r="FW153" s="151" t="str">
        <f>VLOOKUP(A153,'Données projet'!$A$243:$I$263,2,0)</f>
        <v>#N/A</v>
      </c>
      <c r="FX153" s="151" t="str">
        <f>VLOOKUP(A153,'Données projet'!$A$243:$I$263,9,0)</f>
        <v>#N/A</v>
      </c>
      <c r="FY153" s="151" t="str">
        <f t="array" ref="FY153">INDEX(FX:FX,MIN(IF(ISNUMBER(FX153:FX349),ROW(FX153:FX349),"")))</f>
        <v/>
      </c>
      <c r="FZ153" s="151">
        <f>IF('Données projet'!$A$244&gt;35,FZ152+FY153-GH152,IF(A153&lt;'Données projet'!$A$244,$FW$205^A153,IF(A153='Données projet'!$A$244,'Données projet'!$B$244,FZ152+FY153-GH152)))</f>
        <v>0</v>
      </c>
      <c r="GA153" s="158" t="str">
        <f>FZ153*VLOOKUP('Données projet'!$B$17,'Paramètres'!$A$1:$I$88,3,0)*VLOOKUP('Données projet'!$B$17,'Paramètres'!$A$1:$I$88,5,0)</f>
        <v>#N/A</v>
      </c>
      <c r="GB153" s="150" t="str">
        <f t="shared" si="50"/>
        <v>#N/A</v>
      </c>
      <c r="GC153" s="161" t="str">
        <f t="shared" si="26"/>
        <v>#N/A</v>
      </c>
      <c r="GD153" s="153" t="str">
        <f t="shared" si="27"/>
        <v>#N/A</v>
      </c>
      <c r="GE153" s="153" t="str">
        <f>AVERAGE(OFFSET($GD$3,0,0,'Données projet'!$E$17+1,1))-AVERAGE(OFFSET($H$3,0,0,'Données projet'!$E$17+1,1))</f>
        <v>#N/A</v>
      </c>
      <c r="GF153" s="153" t="str">
        <f t="shared" si="51"/>
        <v>#N/A</v>
      </c>
      <c r="GG153" s="154">
        <f>IF(ISNA(VLOOKUP(A153,'Données projet'!$A$243:$I$263,3,0)),0,VLOOKUP(A153,'Données projet'!$A$243:$I$263,3,0))</f>
        <v>0</v>
      </c>
      <c r="GH153" s="154">
        <f>IF(ISNA(VLOOKUP(A153,'Données projet'!$A$243:$I$263,4,0)),0,VLOOKUP(A153,'Données projet'!$A$243:$I$263,4,0))</f>
        <v>0</v>
      </c>
      <c r="GI153" s="155">
        <f>IF(ISNA(VLOOKUP(A153,'Données projet'!$A$243:$I$263,5,0)),0%,VLOOKUP(A153,'Données projet'!$A$243:$I$263,5,0)*VLOOKUP('Données projet'!$B$17,'Paramètres'!$A$1:$I$88,7,0))</f>
        <v>0</v>
      </c>
      <c r="GJ153" s="155">
        <f>IF(ISNA(VLOOKUP(A153,'Données projet'!$A$243:$I$263,6,0)),0%,VLOOKUP(A153,'Données projet'!$A$243:$I$263,6,0)*VLOOKUP('Données projet'!$B$17,'Paramètres'!$A$1:$I$88,7,0))</f>
        <v>0</v>
      </c>
      <c r="GK153" s="155">
        <f>IF(ISNA(VLOOKUP(A153,'Données projet'!$A$243:$I$263,7,0)),0%,VLOOKUP(A153,'Données projet'!$A$243:$I$263,7,0))</f>
        <v>0</v>
      </c>
      <c r="GL153" s="162" t="str">
        <f>EXP(-LN(2)/35)*GL152+(1-EXP(-LN(2)/35))/(LN(2)/35)*GH153*GI153*VLOOKUP('Données projet'!$B$17,'Paramètres'!$A$1:$I$88,3,0)*0.475*44/12</f>
        <v>#N/A</v>
      </c>
      <c r="GM153" s="162" t="str">
        <f>EXP(-LN(2)/25)*GM152+(1-EXP(-LN(2)/25))/(LN(2)/25)*Calculateur!GH153*Calculateur!GJ153*VLOOKUP('Données projet'!$B$17,'Paramètres'!$A$1:$I$88,3,0)*0.475*44/12</f>
        <v>#N/A</v>
      </c>
      <c r="GN153" s="162" t="str">
        <f>EXP(-LN(2)/2)*GN152+(1-EXP(-LN(2)/2))/(LN(2)/2)*GH153*GK153*VLOOKUP('Données projet'!$B$17,'Paramètres'!$A$1:$I$88,3,0)*0.475*44/12</f>
        <v>#N/A</v>
      </c>
      <c r="GO153" s="162" t="str">
        <f t="shared" si="28"/>
        <v>#N/A</v>
      </c>
      <c r="GP153" s="159">
        <f>('Scénario référence'!$F$8+'Scénario référence'!$F$9+'Scénario référence'!$B$17+'Scénario référence'!$B$9+'Scénario référence'!$B$10)*70+IF((45+25*(1-EXP(-0.0175*A153)))&lt;70,'Scénario référence'!$B$16*(45+25*(1-EXP(-0.0175*A153))),70*'Scénario référence'!$B$16)+IF((32+38*(1-EXP(-0.0175*A153)))&lt;70,'Scénario référence'!$B$18*(32+38*(1-EXP(-0.0175*A153))),70*'Scénario référence'!$B$18)</f>
        <v>70</v>
      </c>
      <c r="GQ153" s="151">
        <f>IF(A153&gt;30,10,('Scénario référence'!$B$16+'Scénario référence'!$B$17+'Scénario référence'!$B$18+'Scénario référence'!$B$9+'Scénario référence'!$B$10)*A153*10/30+('Scénario référence'!$F$8+'Scénario référence'!$F$9)*10)</f>
        <v>10</v>
      </c>
      <c r="GR153" s="151" t="str">
        <f>VLOOKUP(A153,'Données projet'!$A$269:$I$289,2,0)</f>
        <v>#N/A</v>
      </c>
      <c r="GS153" s="151" t="str">
        <f>VLOOKUP(A153,'Données projet'!$A$269:$I$289,9,0)</f>
        <v>#N/A</v>
      </c>
      <c r="GT153" s="151" t="str">
        <f t="array" ref="GT153">INDEX(GS:GS,MIN(IF(ISNUMBER(GS153:GS349),ROW(GS153:GS349),"")))</f>
        <v/>
      </c>
      <c r="GU153" s="151">
        <f>IF('Données projet'!$A$270&gt;35,GU152+GT153-HC152,IF(A153&lt;'Données projet'!$A$270,$GR$205^A153,IF(A153='Données projet'!$A$270,'Données projet'!$B$270,GU152+GT153-HC152)))</f>
        <v>0</v>
      </c>
      <c r="GV153" s="158" t="str">
        <f>GU153*VLOOKUP('Données projet'!$B$18,'Paramètres'!$A$1:$I$88,3,0)*VLOOKUP('Données projet'!$B$18,'Paramètres'!$A$1:$I$88,5,0)</f>
        <v>#N/A</v>
      </c>
      <c r="GW153" s="150" t="str">
        <f t="shared" si="52"/>
        <v>#N/A</v>
      </c>
      <c r="GX153" s="161" t="str">
        <f t="shared" si="29"/>
        <v>#N/A</v>
      </c>
      <c r="GY153" s="153" t="str">
        <f t="shared" si="30"/>
        <v>#N/A</v>
      </c>
      <c r="GZ153" s="153" t="str">
        <f>AVERAGE(OFFSET($GY$3,0,0,'Données projet'!$E$18+1,1))-AVERAGE(OFFSET($H$3,0,0,'Données projet'!$E$18+1,1))</f>
        <v>#N/A</v>
      </c>
      <c r="HA153" s="153" t="str">
        <f t="shared" si="53"/>
        <v>#N/A</v>
      </c>
      <c r="HB153" s="154">
        <f>IF(ISNA(VLOOKUP(A153,'Données projet'!$A$269:$I$289,3,0)),0,VLOOKUP(A153,'Données projet'!$A$269:$I$289,3,0))</f>
        <v>0</v>
      </c>
      <c r="HC153" s="154">
        <f>IF(ISNA(VLOOKUP(A153,'Données projet'!$A$269:$I$289,4,0)),0,VLOOKUP(A153,'Données projet'!$A$269:$I$289,4,0))</f>
        <v>0</v>
      </c>
      <c r="HD153" s="155">
        <f>IF(ISNA(VLOOKUP(A153,'Données projet'!$A$269:$I$289,5,0)),0%,VLOOKUP(A153,'Données projet'!$A$269:$I$289,5,0)*VLOOKUP('Données projet'!$B$18,'Paramètres'!$A$1:$I$88,7,0))</f>
        <v>0</v>
      </c>
      <c r="HE153" s="155">
        <f>IF(ISNA(VLOOKUP(A153,'Données projet'!$A$269:$I$289,6,0)),0%,VLOOKUP(A153,'Données projet'!$A$269:$I$289,6,0)*VLOOKUP('Données projet'!$B$18,'Paramètres'!$A$1:$I$88,7,0))</f>
        <v>0</v>
      </c>
      <c r="HF153" s="155">
        <f>IF(ISNA(VLOOKUP(A153,'Données projet'!$A$269:$I$289,7,0)),0%,VLOOKUP(A153,'Données projet'!$A$269:$I$289,7,0))</f>
        <v>0</v>
      </c>
      <c r="HG153" s="162" t="str">
        <f>EXP(-LN(2)/35)*HG152+(1-EXP(-LN(2)/35))/(LN(2)/35)*HC153*HD153*VLOOKUP('Données projet'!$B$18,'Paramètres'!$A$1:$I$88,3,0)*0.475*44/12</f>
        <v>#N/A</v>
      </c>
      <c r="HH153" s="162" t="str">
        <f>EXP(-LN(2)/25)*HH152+(1-EXP(-LN(2)/25))/(LN(2)/25)*Calculateur!HC153*Calculateur!HE153*VLOOKUP('Données projet'!$B$18,'Paramètres'!$A$1:$I$88,3,0)*0.475*44/12</f>
        <v>#N/A</v>
      </c>
      <c r="HI153" s="162" t="str">
        <f>EXP(-LN(2)/2)*HI152+(1-EXP(-LN(2)/2))/(LN(2)/2)*HC153*HF153*VLOOKUP('Données projet'!$B$18,'Paramètres'!$A$1:$I$88,3,0)*0.475*44/12</f>
        <v>#N/A</v>
      </c>
      <c r="HJ153" s="163" t="str">
        <f t="shared" si="31"/>
        <v>#N/A</v>
      </c>
    </row>
    <row r="154" ht="15.75" customHeight="1">
      <c r="A154" s="145">
        <f t="shared" si="32"/>
        <v>151</v>
      </c>
      <c r="B154" s="146">
        <f>'Scénario référence'!$B$16*5+'Scénario référence'!$B$17*0+'Scénario référence'!$B$18*5</f>
        <v>0</v>
      </c>
      <c r="C154" s="160">
        <f>Calculateur!C153+'Scénario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54" s="147">
        <f t="shared" si="33"/>
        <v>0</v>
      </c>
      <c r="E154" s="147">
        <f>'Scénario référence'!$B$16*45+('Scénario référence'!$B$17+'Scénario référence'!$F$8+'Scénario référence'!$F$9+'Scénario référence'!$B$10+'Scénario référence'!$B$9)*70+'Scénario référence'!$B$18*32</f>
        <v>70</v>
      </c>
      <c r="F154" s="147">
        <f>IF(OR('Scénario référence'!$F$8&gt;0,'Scénario référence'!$F$9&gt;0),('Scénario référence'!$F$8+'Scénario référence'!$F$9)*10,0)</f>
        <v>0</v>
      </c>
      <c r="G154" s="147">
        <f>'Scénario référence'!$B$8*B154*44/12+'Scénario référence'!$B$9*(C154+D154)/0.475*44/12+'Scénario référence'!$B$10*(C154+D154)/0.475*44/12+'Scénario référence'!$F$8*(C154+D154)/0.475*44/12+'Scénario référence'!$F$9*(C154+D154)/0.475*44/12</f>
        <v>0</v>
      </c>
      <c r="H154" s="148">
        <f t="shared" si="1"/>
        <v>256.6666667</v>
      </c>
      <c r="I154" s="149">
        <f>('Scénario référence'!$F$8+'Scénario référence'!$F$9+'Scénario référence'!$B$17+'Scénario référence'!$B$9+'Scénario référence'!$B$10)*70+IF((45+25*(1-EXP(-0.0175*A154)))&lt;70,'Scénario référence'!$B$16*(45+25*(1-EXP(-0.0175*A154))),70*'Scénario référence'!$B$16)+IF((32+38*(1-EXP(-0.0175*A154)))&lt;70,'Scénario référence'!$B$18*(32+38*(1-EXP(-0.0175*A154))),70*'Scénario référence'!$B$18)</f>
        <v>70</v>
      </c>
      <c r="J154" s="150">
        <f>IF(A154&gt;30,10,('Scénario référence'!$B$16+'Scénario référence'!$B$17+'Scénario référence'!$B$18+'Scénario référence'!$B$9+'Scénario référence'!$B$10)*A154*10/30+('Scénario référence'!$F$8+'Scénario référence'!$F$9)*10)</f>
        <v>10</v>
      </c>
      <c r="K154" s="151" t="str">
        <f>VLOOKUP(A154,'Données projet'!$A$35:$I$55,2,0)</f>
        <v>#N/A</v>
      </c>
      <c r="L154" s="151" t="str">
        <f>VLOOKUP(A154,'Données projet'!$A$35:$I$55,9,0)</f>
        <v>#N/A</v>
      </c>
      <c r="M154" s="151" t="str">
        <f t="array" ref="M154">INDEX(L:L,MIN(IF(ISNUMBER(L154:L350),ROW(L154:L350),"")))</f>
        <v/>
      </c>
      <c r="N154" s="150">
        <f>IF('Données projet'!$A$36&gt;35,N153+M154-V153,IF(A154&lt;'Données projet'!$A$36,$K$205^A154,IF(A154='Données projet'!$A$36,'Données projet'!$B$36,N153+M154-V153)))</f>
        <v>307</v>
      </c>
      <c r="O154" s="150">
        <f>N154*VLOOKUP('Données projet'!$B$9,'Paramètres'!$A$1:$I$88,3,0)*VLOOKUP('Données projet'!$B$9,'Paramètres'!$A$1:$I$88,5,0)</f>
        <v>277.7736</v>
      </c>
      <c r="P154" s="150">
        <f t="shared" si="34"/>
        <v>66.49628818</v>
      </c>
      <c r="Q154" s="161">
        <f t="shared" si="2"/>
        <v>599.6033886</v>
      </c>
      <c r="R154" s="153">
        <f t="shared" si="3"/>
        <v>892.9367219</v>
      </c>
      <c r="S154" s="153">
        <f>AVERAGE(OFFSET($R$3,0,0,'Données projet'!$E$9+1,1))-AVERAGE(OFFSET($H$3,0,0,'Données projet'!$E$9+1,1))</f>
        <v>439.1985427</v>
      </c>
      <c r="T154" s="153">
        <f t="shared" si="35"/>
        <v>278.2174123</v>
      </c>
      <c r="U154" s="154">
        <f>IF(ISNA(VLOOKUP(A154,'Données projet'!$A$35:$I$55,3,0)),0,VLOOKUP(A154,'Données projet'!$A$35:$I$55,3,0))</f>
        <v>0</v>
      </c>
      <c r="V154" s="154">
        <f>IF(ISNA(VLOOKUP(A154,'Données projet'!$A$35:$I$55,4,0)),0,VLOOKUP(A154,'Données projet'!$A$35:$I$55,4,0))</f>
        <v>0</v>
      </c>
      <c r="W154" s="155">
        <f>IF(ISNA(VLOOKUP(A154,'Données projet'!$A$35:$I$55,5,0)),0%,VLOOKUP(A154,'Données projet'!$A$35:$I$55,5,0)*VLOOKUP('Données projet'!$B$9,'Paramètres'!$A$1:$I$88,7,0))</f>
        <v>0</v>
      </c>
      <c r="X154" s="155">
        <f>IF(ISNA(VLOOKUP(A154,'Données projet'!$A$35:$I$55,6,0)),0%,VLOOKUP(A154,'Données projet'!$A$35:$I$55,6,0)*VLOOKUP('Données projet'!$B$9,'Paramètres'!$A$1:$I$88,7,0))</f>
        <v>0</v>
      </c>
      <c r="Y154" s="155">
        <f>IF(ISNA(VLOOKUP(A154,'Données projet'!$A$35:$I$55,7,0)),0%,VLOOKUP(A154,'Données projet'!$A$35:$I$55,7,0))</f>
        <v>0</v>
      </c>
      <c r="Z154" s="162">
        <f>EXP(-LN(2)/35)*Z153+(1-EXP(-LN(2)/35))/(LN(2)/35)*V154*W154*VLOOKUP('Données projet'!$B$9,'Paramètres'!$A$1:$I$88,3,0)*0.475*44/12</f>
        <v>0</v>
      </c>
      <c r="AA154" s="162">
        <f>EXP(-LN(2)/25)*AA153+(1-EXP(-LN(2)/25))/(LN(2)/25)*Calculateur!V154*Calculateur!X154*VLOOKUP('Données projet'!$B$9,'Paramètres'!$A$1:$I$88,3,0)*0.475*44/12</f>
        <v>0.1566848838</v>
      </c>
      <c r="AB154" s="162">
        <f>EXP(-LN(2)/2)*AB153+(1-EXP(-LN(2)/2))/(LN(2)/2)*V154*Y154*VLOOKUP('Données projet'!$B$9,'Paramètres'!$A$1:$I$88,3,0)*0.475*44/12</f>
        <v>0</v>
      </c>
      <c r="AC154" s="163">
        <f t="shared" si="4"/>
        <v>0.1566848838</v>
      </c>
      <c r="AD154" s="150">
        <f>('Scénario référence'!$F$8+'Scénario référence'!$F$9+'Scénario référence'!$B$17+'Scénario référence'!$B$9+'Scénario référence'!$B$10)*70+IF((45+25*(1-EXP(-0.0175*A154)))&lt;70,'Scénario référence'!$B$16*(45+25*(1-EXP(-0.0175*A154))),70*'Scénario référence'!$B$16)+IF((32+38*(1-EXP(-0.0175*A154)))&lt;70,'Scénario référence'!$B$18*(32+38*(1-EXP(-0.0175*A154))),70*'Scénario référence'!$B$18)</f>
        <v>70</v>
      </c>
      <c r="AE154" s="150">
        <f>IF(A154&gt;30,10,('Scénario référence'!$B$16+'Scénario référence'!$B$17+'Scénario référence'!$B$18+'Scénario référence'!$B$9+'Scénario référence'!$B$10)*A154*10/30+('Scénario référence'!$F$8+'Scénario référence'!$F$9)*10)</f>
        <v>10</v>
      </c>
      <c r="AF154" s="151" t="str">
        <f>VLOOKUP(A154,'Données projet'!$A$61:$I$81,2,0)</f>
        <v>#N/A</v>
      </c>
      <c r="AG154" s="151" t="str">
        <f>VLOOKUP(A154,'Données projet'!$A$61:$I$81,9,0)</f>
        <v>#N/A</v>
      </c>
      <c r="AH154" s="151" t="str">
        <f t="array" ref="AH154">INDEX(AG:AG,MIN(IF(ISNUMBER(AG154:AG350),ROW(AG154:AG350),"")))</f>
        <v/>
      </c>
      <c r="AI154" s="150">
        <f>IF('Données projet'!$A$62&gt;35,AI153+AH154-AQ153,IF(A154&lt;'Données projet'!$A$62,$AF$205^A154,IF(A154='Données projet'!$A$62,'Données projet'!$B$62,AI153+AH154-AQ153)))</f>
        <v>369</v>
      </c>
      <c r="AJ154" s="150">
        <f>AI154*VLOOKUP('Données projet'!$B$10,'Paramètres'!$A$1:$I$88,3,0)*VLOOKUP('Données projet'!$B$10,'Paramètres'!$A$1:$I$88,5,0)</f>
        <v>293.5764</v>
      </c>
      <c r="AK154" s="150">
        <f t="shared" si="36"/>
        <v>69.82813851</v>
      </c>
      <c r="AL154" s="161">
        <f t="shared" si="5"/>
        <v>632.9295712</v>
      </c>
      <c r="AM154" s="153">
        <f t="shared" si="6"/>
        <v>926.2629046</v>
      </c>
      <c r="AN154" s="153">
        <f>AVERAGE(OFFSET($AM$3,0,0,'Données projet'!$E$10+1,1))-AVERAGE(OFFSET($H$3,0,0,'Données projet'!$E$10+1,1))</f>
        <v>405.6113614</v>
      </c>
      <c r="AO154" s="153">
        <f t="shared" si="37"/>
        <v>393.0787141</v>
      </c>
      <c r="AP154" s="154">
        <f>IF(ISNA(VLOOKUP(A154,'Données projet'!$A$61:$I$81,3,0)),0,VLOOKUP(A154,'Données projet'!$A$61:$I$81,3,0))</f>
        <v>0</v>
      </c>
      <c r="AQ154" s="154">
        <f>IF(ISNA(VLOOKUP(A154,'Données projet'!$A$61:$I$81,4,0)),0,VLOOKUP(A154,'Données projet'!$A$61:$I$81,4,0))</f>
        <v>0</v>
      </c>
      <c r="AR154" s="155">
        <f>IF(ISNA(VLOOKUP(A154,'Données projet'!$A$61:$I$81,5,0)),0%,VLOOKUP(A154,'Données projet'!$A$61:$I$81,5,0)*VLOOKUP('Données projet'!$B$10,'Paramètres'!$A$1:$I$88,7,0))</f>
        <v>0</v>
      </c>
      <c r="AS154" s="155">
        <f>IF(ISNA(VLOOKUP(A154,'Données projet'!$A$61:$I$81,6,0)),0%,VLOOKUP(A154,'Données projet'!$A$61:$I$81,6,0)*VLOOKUP('Données projet'!$B$10,'Paramètres'!$A$1:$I$88,7,0))</f>
        <v>0</v>
      </c>
      <c r="AT154" s="155">
        <f>IF(ISNA(VLOOKUP(A154,'Données projet'!$A$61:$I$81,7,0)),0%,VLOOKUP(A154,'Données projet'!$A$61:$I$81,7,0))</f>
        <v>0</v>
      </c>
      <c r="AU154" s="162">
        <f>EXP(-LN(2)/35)*AU153+(1-EXP(-LN(2)/35))/(LN(2)/35)*AQ154*AR154*VLOOKUP('Données projet'!$B$10,'Paramètres'!$A$1:$I$88,3,0)*0.475*44/12</f>
        <v>0</v>
      </c>
      <c r="AV154" s="162">
        <f>EXP(-LN(2)/25)*AV153+(1-EXP(-LN(2)/25))/(LN(2)/25)*Calculateur!AQ154*Calculateur!AS154*VLOOKUP('Données projet'!$B$10,'Paramètres'!$A$1:$I$88,3,0)*0.475*44/12</f>
        <v>0.6368071988</v>
      </c>
      <c r="AW154" s="162">
        <f>EXP(-LN(2)/2)*AW153+(1-EXP(-LN(2)/2))/(LN(2)/2)*AQ154*AT154*VLOOKUP('Données projet'!$B$10,'Paramètres'!$A$1:$I$88,3,0)*0.475*44/12</f>
        <v>0</v>
      </c>
      <c r="AX154" s="162">
        <f t="shared" si="7"/>
        <v>0.6368071988</v>
      </c>
      <c r="AY154" s="157">
        <f>('Scénario référence'!$F$8+'Scénario référence'!$F$9+'Scénario référence'!$B$17+'Scénario référence'!$B$9+'Scénario référence'!$B$10)*70+IF((45+25*(1-EXP(-0.0175*A154)))&lt;70,'Scénario référence'!$B$16*(45+25*(1-EXP(-0.0175*A154))),70*'Scénario référence'!$B$16)+IF((32+38*(1-EXP(-0.0175*A154)))&lt;70,'Scénario référence'!$B$18*(32+38*(1-EXP(-0.0175*A154))),70*'Scénario référence'!$B$18)</f>
        <v>70</v>
      </c>
      <c r="AZ154" s="151">
        <f>IF(A154&gt;30,10,('Scénario référence'!$B$16+'Scénario référence'!$B$17+'Scénario référence'!$B$18+'Scénario référence'!$B$9+'Scénario référence'!$B$10)*A154*10/30+('Scénario référence'!$F$8+'Scénario référence'!$F$9)*10)</f>
        <v>10</v>
      </c>
      <c r="BA154" s="151" t="str">
        <f>VLOOKUP(A154,'Données projet'!$A$87:$I$107,2,0)</f>
        <v>#N/A</v>
      </c>
      <c r="BB154" s="151" t="str">
        <f>VLOOKUP(A154,'Données projet'!$A$87:$I$107,9,0)</f>
        <v>#N/A</v>
      </c>
      <c r="BC154" s="151" t="str">
        <f t="array" ref="BC154">INDEX(BB:BB,MIN(IF(ISNUMBER(BB154:BB350),ROW(BB154:BB350),"")))</f>
        <v/>
      </c>
      <c r="BD154" s="150">
        <f>IF('Données projet'!$A$88&gt;35,BD153+BC154-BL153,IF(A154&lt;'Données projet'!$A$88,$BA$205^A154,IF(A154='Données projet'!$A$88,'Données projet'!$B$88,BD153+BC154-BL153)))</f>
        <v>0</v>
      </c>
      <c r="BE154" s="150">
        <f>BD154*VLOOKUP('Données projet'!$B$11,'Paramètres'!$A$1:$I$88,3,0)*VLOOKUP('Données projet'!$B$11,'Paramètres'!$A$1:$I$88,5,0)</f>
        <v>0</v>
      </c>
      <c r="BF154" s="150" t="str">
        <f t="shared" si="38"/>
        <v>#NUM!</v>
      </c>
      <c r="BG154" s="161" t="str">
        <f t="shared" si="8"/>
        <v>#NUM!</v>
      </c>
      <c r="BH154" s="153" t="str">
        <f t="shared" si="9"/>
        <v>#NUM!</v>
      </c>
      <c r="BI154" s="153">
        <f>AVERAGE(OFFSET($BH$3,0,0,'Données projet'!$E$11+1,1))-AVERAGE(OFFSET($H$3,0,0,'Données projet'!$E$11+1,1))</f>
        <v>0</v>
      </c>
      <c r="BJ154" s="153">
        <f t="shared" si="39"/>
        <v>0</v>
      </c>
      <c r="BK154" s="154">
        <f>IF(ISNA(VLOOKUP(A154,'Données projet'!$A$87:$I$107,3,0)),0,VLOOKUP(A154,'Données projet'!$A$87:$I$107,3,0))</f>
        <v>0</v>
      </c>
      <c r="BL154" s="154">
        <f>IF(ISNA(VLOOKUP(A154,'Données projet'!$A$87:$I$107,4,0)),0,VLOOKUP(A154,'Données projet'!$A$87:$I$107,4,0))</f>
        <v>0</v>
      </c>
      <c r="BM154" s="155">
        <f>IF(ISNA(VLOOKUP(A154,'Données projet'!$A$87:$I$107,5,0)),0%,VLOOKUP(A154,'Données projet'!$A$87:$I$107,5,0)*VLOOKUP('Données projet'!$B$11,'Paramètres'!$A$1:$I$88,7,0))</f>
        <v>0</v>
      </c>
      <c r="BN154" s="155">
        <f>IF(ISNA(VLOOKUP(A154,'Données projet'!$A$87:$I$107,6,0)),0%,VLOOKUP(A154,'Données projet'!$A$87:$I$107,6,0)*VLOOKUP('Données projet'!$B$11,'Paramètres'!$A$1:$I$88,7,0))</f>
        <v>0</v>
      </c>
      <c r="BO154" s="155">
        <f>IF(ISNA(VLOOKUP(A154,'Données projet'!$A$87:$I$107,7,0)),0%,VLOOKUP(A154,'Données projet'!$A$87:$I$107,7,0))</f>
        <v>0</v>
      </c>
      <c r="BP154" s="162">
        <f>EXP(-LN(2)/35)*BP153+(1-EXP(-LN(2)/35))/(LN(2)/35)*BL154*BM154*VLOOKUP('Données projet'!$B$11,'Paramètres'!$A$1:$I$88,3,0)*0.475*44/12</f>
        <v>0</v>
      </c>
      <c r="BQ154" s="162">
        <f>EXP(-LN(2)/25)*BQ153+(1-EXP(-LN(2)/25))/(LN(2)/25)*Calculateur!BL154*Calculateur!BN154*VLOOKUP('Données projet'!$B$11,'Paramètres'!$A$1:$I$88,3,0)*0.475*44/12</f>
        <v>0</v>
      </c>
      <c r="BR154" s="162">
        <f>EXP(-LN(2)/2)*BR153+(1-EXP(-LN(2)/2))/(LN(2)/2)*BL154*BO154*VLOOKUP('Données projet'!$B$11,'Paramètres'!$A$1:$I$88,3,0)*0.475*44/12</f>
        <v>0</v>
      </c>
      <c r="BS154" s="163">
        <f t="shared" si="10"/>
        <v>0</v>
      </c>
      <c r="BT154" s="159">
        <f>('Scénario référence'!$F$8+'Scénario référence'!$F$9+'Scénario référence'!$B$17+'Scénario référence'!$B$9+'Scénario référence'!$B$10)*70+IF((45+25*(1-EXP(-0.0175*A154)))&lt;70,'Scénario référence'!$B$16*(45+25*(1-EXP(-0.0175*A154))),70*'Scénario référence'!$B$16)+IF((32+38*(1-EXP(-0.0175*A154)))&lt;70,'Scénario référence'!$B$18*(32+38*(1-EXP(-0.0175*A154))),70*'Scénario référence'!$B$18)</f>
        <v>70</v>
      </c>
      <c r="BU154" s="151">
        <f>IF(A154&gt;30,10,('Scénario référence'!$B$16+'Scénario référence'!$B$17+'Scénario référence'!$B$18+'Scénario référence'!$B$9+'Scénario référence'!$B$10)*A154*10/30+('Scénario référence'!$F$8+'Scénario référence'!$F$9)*10)</f>
        <v>10</v>
      </c>
      <c r="BV154" s="151" t="str">
        <f>VLOOKUP(A154,'Données projet'!$A$113:$I$133,2,0)</f>
        <v>#N/A</v>
      </c>
      <c r="BW154" s="151" t="str">
        <f>VLOOKUP(A154,'Données projet'!$A$113:$I$133,9,0)</f>
        <v>#N/A</v>
      </c>
      <c r="BX154" s="151" t="str">
        <f t="array" ref="BX154">INDEX(BW:BW,MIN(IF(ISNUMBER(BW154:BW350),ROW(BW154:BW350),"")))</f>
        <v/>
      </c>
      <c r="BY154" s="150">
        <f>IF('Données projet'!$A$114&gt;35,BY153+BX154-CG153,IF(A154&lt;'Données projet'!$A$114,$BV$205^A154,IF(A154='Données projet'!$A$114,'Données projet'!$B$114,BY153+BX154-CG153)))</f>
        <v>0</v>
      </c>
      <c r="BZ154" s="150" t="str">
        <f>BY154*VLOOKUP('Données projet'!$B$12,'Paramètres'!$A$1:$I$88,3,0)*VLOOKUP('Données projet'!$B$12,'Paramètres'!$A$1:$I$88,5,0)</f>
        <v>#N/A</v>
      </c>
      <c r="CA154" s="150" t="str">
        <f t="shared" si="40"/>
        <v>#N/A</v>
      </c>
      <c r="CB154" s="161" t="str">
        <f t="shared" si="11"/>
        <v>#N/A</v>
      </c>
      <c r="CC154" s="153" t="str">
        <f t="shared" si="12"/>
        <v>#N/A</v>
      </c>
      <c r="CD154" s="153" t="str">
        <f>AVERAGE(OFFSET($CC$3,0,0,'Données projet'!$E$12+1,1))-AVERAGE(OFFSET($H$3,0,0,'Données projet'!$E$12+1,1))</f>
        <v>#N/A</v>
      </c>
      <c r="CE154" s="153" t="str">
        <f t="shared" si="41"/>
        <v>#N/A</v>
      </c>
      <c r="CF154" s="154">
        <f>IF(ISNA(VLOOKUP(A154,'Données projet'!$A$113:$I$133,3,0)),0,VLOOKUP(A154,'Données projet'!$A$113:$I$133,3,0))</f>
        <v>0</v>
      </c>
      <c r="CG154" s="154">
        <f>IF(ISNA(VLOOKUP(A154,'Données projet'!$A$113:$I$133,4,0)),0,VLOOKUP(A154,'Données projet'!$A$113:$I$133,4,0))</f>
        <v>0</v>
      </c>
      <c r="CH154" s="155">
        <f>IF(ISNA(VLOOKUP(A154,'Données projet'!$A$113:$I$133,5,0)),0%,VLOOKUP(A154,'Données projet'!$A$113:$I$133,5,0)*VLOOKUP('Données projet'!$B$12,'Paramètres'!$A$1:$I$88,7,0))</f>
        <v>0</v>
      </c>
      <c r="CI154" s="155">
        <f>IF(ISNA(VLOOKUP(A154,'Données projet'!$A$113:$I$133,6,0)),0%,VLOOKUP(A154,'Données projet'!$A$113:$I$133,6,0)*VLOOKUP('Données projet'!$B$12,'Paramètres'!$A$1:$I$88,7,0))</f>
        <v>0</v>
      </c>
      <c r="CJ154" s="155">
        <f>IF(ISNA(VLOOKUP(A154,'Données projet'!$A$113:$I$133,7,0)),0%,VLOOKUP(A154,'Données projet'!$A$113:$I$133,7,0))</f>
        <v>0</v>
      </c>
      <c r="CK154" s="162" t="str">
        <f>EXP(-LN(2)/35)*CK153+(1-EXP(-LN(2)/35))/(LN(2)/35)*CG154*CH154*VLOOKUP('Données projet'!$B$12,'Paramètres'!$A$1:$I$88,3,0)*0.475*44/12</f>
        <v>#N/A</v>
      </c>
      <c r="CL154" s="162" t="str">
        <f>EXP(-LN(2)/25)*CL153+(1-EXP(-LN(2)/25))/(LN(2)/25)*Calculateur!CG154*Calculateur!CI154*VLOOKUP('Données projet'!$B$12,'Paramètres'!$A$1:$I$88,3,0)*0.475*44/12</f>
        <v>#N/A</v>
      </c>
      <c r="CM154" s="162" t="str">
        <f>EXP(-LN(2)/2)*CM153+(1-EXP(-LN(2)/2))/(LN(2)/2)*CG154*CJ154*VLOOKUP('Données projet'!$B$12,'Paramètres'!$A$1:$I$88,3,0)*0.475*44/12</f>
        <v>#N/A</v>
      </c>
      <c r="CN154" s="163" t="str">
        <f t="shared" si="13"/>
        <v>#N/A</v>
      </c>
      <c r="CO154" s="159">
        <f>('Scénario référence'!$F$8+'Scénario référence'!$F$9+'Scénario référence'!$B$17+'Scénario référence'!$B$9+'Scénario référence'!$B$10)*70+IF((45+25*(1-EXP(-0.0175*A154)))&lt;70,'Scénario référence'!$B$16*(45+25*(1-EXP(-0.0175*A154))),70*'Scénario référence'!$B$16)+IF((32+38*(1-EXP(-0.0175*A154)))&lt;70,'Scénario référence'!$B$18*(32+38*(1-EXP(-0.0175*A154))),70*'Scénario référence'!$B$18)</f>
        <v>70</v>
      </c>
      <c r="CP154" s="151">
        <f>IF(A154&gt;30,10,('Scénario référence'!$B$16+'Scénario référence'!$B$17+'Scénario référence'!$B$18+'Scénario référence'!$B$9+'Scénario référence'!$B$10)*A154*10/30+('Scénario référence'!$F$8+'Scénario référence'!$F$9)*10)</f>
        <v>10</v>
      </c>
      <c r="CQ154" s="151" t="str">
        <f>VLOOKUP(A154,'Données projet'!$A$139:$I$159,2,0)</f>
        <v>#N/A</v>
      </c>
      <c r="CR154" s="151" t="str">
        <f>VLOOKUP(A154,'Données projet'!$A$139:$I$159,9,0)</f>
        <v>#N/A</v>
      </c>
      <c r="CS154" s="151" t="str">
        <f t="array" ref="CS154">INDEX(CR:CR,MIN(IF(ISNUMBER(CR154:CR350),ROW(CR154:CR350),"")))</f>
        <v/>
      </c>
      <c r="CT154" s="151">
        <f>IF('Données projet'!$A$140&gt;35,CT153+CS154-DB153,IF(A154&lt;'Données projet'!$A$140,$CQ$205^A154,IF(A154='Données projet'!$A$140,'Données projet'!$B$140,CT153+CS154-DB153)))</f>
        <v>0</v>
      </c>
      <c r="CU154" s="158" t="str">
        <f>CT154*VLOOKUP('Données projet'!$B$13,'Paramètres'!$A$1:$I$88,3,0)*VLOOKUP('Données projet'!$B$13,'Paramètres'!$A$1:$I$88,5,0)</f>
        <v>#N/A</v>
      </c>
      <c r="CV154" s="150" t="str">
        <f t="shared" si="42"/>
        <v>#N/A</v>
      </c>
      <c r="CW154" s="161" t="str">
        <f t="shared" si="14"/>
        <v>#N/A</v>
      </c>
      <c r="CX154" s="153" t="str">
        <f t="shared" si="15"/>
        <v>#N/A</v>
      </c>
      <c r="CY154" s="153" t="str">
        <f>AVERAGE(OFFSET($CX$3,0,0,'Données projet'!$E$13+1,1))-AVERAGE(OFFSET($H$3,0,0,'Données projet'!$E$13+1,1))</f>
        <v>#N/A</v>
      </c>
      <c r="CZ154" s="153" t="str">
        <f t="shared" si="43"/>
        <v>#N/A</v>
      </c>
      <c r="DA154" s="154">
        <f>IF(ISNA(VLOOKUP(A154,'Données projet'!$A$139:$I$159,3,0)),0,VLOOKUP(A154,'Données projet'!$A$139:$I$159,3,0))</f>
        <v>0</v>
      </c>
      <c r="DB154" s="154">
        <f>IF(ISNA(VLOOKUP(A154,'Données projet'!$A$139:$I$159,4,0)),0,VLOOKUP(A154,'Données projet'!$A$139:$I$159,4,0))</f>
        <v>0</v>
      </c>
      <c r="DC154" s="155">
        <f>IF(ISNA(VLOOKUP(A154,'Données projet'!$A$139:$I$159,5,0)),0%,VLOOKUP(A154,'Données projet'!$A$139:$I$159,5,0)*VLOOKUP('Données projet'!$B$13,'Paramètres'!$A$1:$I$88,7,0))</f>
        <v>0</v>
      </c>
      <c r="DD154" s="155">
        <f>IF(ISNA(VLOOKUP(A154,'Données projet'!$A$139:$I$159,6,0)),0%,VLOOKUP(A154,'Données projet'!$A$139:$I$159,6,0)*VLOOKUP('Données projet'!$B$13,'Paramètres'!$A$1:$I$88,7,0))</f>
        <v>0</v>
      </c>
      <c r="DE154" s="155">
        <f>IF(ISNA(VLOOKUP(A154,'Données projet'!$A$139:$I$159,7,0)),0%,VLOOKUP(A154,'Données projet'!$A$139:$I$159,7,0))</f>
        <v>0</v>
      </c>
      <c r="DF154" s="162" t="str">
        <f>EXP(-LN(2)/35)*DF153+(1-EXP(-LN(2)/35))/(LN(2)/35)*DB154*DC154*VLOOKUP('Données projet'!$B$13,'Paramètres'!$A$1:$I$88,3,0)*0.475*44/12</f>
        <v>#N/A</v>
      </c>
      <c r="DG154" s="162" t="str">
        <f>EXP(-LN(2)/25)*DG153+(1-EXP(-LN(2)/25))/(LN(2)/25)*Calculateur!DB154*Calculateur!DD154*VLOOKUP('Données projet'!$B$13,'Paramètres'!$A$1:$I$88,3,0)*0.475*44/12</f>
        <v>#N/A</v>
      </c>
      <c r="DH154" s="162" t="str">
        <f>EXP(-LN(2)/2)*DH153+(1-EXP(-LN(2)/2))/(LN(2)/2)*DB154*DE154*VLOOKUP('Données projet'!$B$13,'Paramètres'!$A$1:$I$88,3,0)*0.475*44/12</f>
        <v>#N/A</v>
      </c>
      <c r="DI154" s="163" t="str">
        <f t="shared" si="16"/>
        <v>#N/A</v>
      </c>
      <c r="DJ154" s="159">
        <f>('Scénario référence'!$F$8+'Scénario référence'!$F$9+'Scénario référence'!$B$17+'Scénario référence'!$B$9+'Scénario référence'!$B$10)*70+IF((45+25*(1-EXP(-0.0175*A154)))&lt;70,'Scénario référence'!$B$16*(45+25*(1-EXP(-0.0175*A154))),70*'Scénario référence'!$B$16)+IF((32+38*(1-EXP(-0.0175*A154)))&lt;70,'Scénario référence'!$B$18*(32+38*(1-EXP(-0.0175*A154))),70*'Scénario référence'!$B$18)</f>
        <v>70</v>
      </c>
      <c r="DK154" s="151">
        <f>IF(A154&gt;30,10,('Scénario référence'!$B$16+'Scénario référence'!$B$17+'Scénario référence'!$B$18+'Scénario référence'!$B$9+'Scénario référence'!$B$10)*A154*10/30+('Scénario référence'!$F$8+'Scénario référence'!$F$9)*10)</f>
        <v>10</v>
      </c>
      <c r="DL154" s="151" t="str">
        <f>VLOOKUP(A154,'Données projet'!$A$165:$I$185,2,0)</f>
        <v>#N/A</v>
      </c>
      <c r="DM154" s="151" t="str">
        <f>VLOOKUP(A154,'Données projet'!$A$165:$I$185,9,0)</f>
        <v>#N/A</v>
      </c>
      <c r="DN154" s="151" t="str">
        <f t="array" ref="DN154">INDEX(DM:DM,MIN(IF(ISNUMBER(DM154:DM350),ROW(DM154:DM350),"")))</f>
        <v/>
      </c>
      <c r="DO154" s="151">
        <f>IF('Données projet'!$A$166&gt;35,DO153+DN154-DW153,IF(A154&lt;'Données projet'!$A$166,$DL$205^A154,IF(A154='Données projet'!$A$166,'Données projet'!$B$166,DO153+DN154-DW153)))</f>
        <v>0</v>
      </c>
      <c r="DP154" s="158" t="str">
        <f>DO154*VLOOKUP('Données projet'!$B$14,'Paramètres'!$A$1:$I$88,3,0)*VLOOKUP('Données projet'!$B$14,'Paramètres'!$A$1:$I$88,5,0)</f>
        <v>#N/A</v>
      </c>
      <c r="DQ154" s="150" t="str">
        <f t="shared" si="44"/>
        <v>#N/A</v>
      </c>
      <c r="DR154" s="161" t="str">
        <f t="shared" si="17"/>
        <v>#N/A</v>
      </c>
      <c r="DS154" s="153" t="str">
        <f t="shared" si="18"/>
        <v>#N/A</v>
      </c>
      <c r="DT154" s="153" t="str">
        <f>AVERAGE(OFFSET($DS$3,0,0,'Données projet'!$E$14+1,1))-AVERAGE(OFFSET($H$3,0,0,'Données projet'!$E$14+1,1))</f>
        <v>#N/A</v>
      </c>
      <c r="DU154" s="153" t="str">
        <f t="shared" si="45"/>
        <v>#N/A</v>
      </c>
      <c r="DV154" s="154">
        <f>IF(ISNA(VLOOKUP(A154,'Données projet'!$A$165:$I$185,3,0)),0,VLOOKUP(A154,'Données projet'!$A$165:$I$185,3,0))</f>
        <v>0</v>
      </c>
      <c r="DW154" s="154">
        <f>IF(ISNA(VLOOKUP(A154,'Données projet'!$A$165:$I$185,4,0)),0,VLOOKUP(A154,'Données projet'!$A$165:$I$185,4,0))</f>
        <v>0</v>
      </c>
      <c r="DX154" s="155">
        <f>IF(ISNA(VLOOKUP(A154,'Données projet'!$A$165:$I$185,5,0)),0%,VLOOKUP(A154,'Données projet'!$A$165:$I$185,5,0)*VLOOKUP('Données projet'!$B$14,'Paramètres'!$A$1:$I$88,7,0))</f>
        <v>0</v>
      </c>
      <c r="DY154" s="155">
        <f>IF(ISNA(VLOOKUP(A154,'Données projet'!$A$165:$I$185,6,0)),0%,VLOOKUP(A154,'Données projet'!$A$165:$I$185,6,0)*VLOOKUP('Données projet'!$B$14,'Paramètres'!$A$1:$I$88,7,0))</f>
        <v>0</v>
      </c>
      <c r="DZ154" s="155">
        <f>IF(ISNA(VLOOKUP(A154,'Données projet'!$A$165:$I$185,7,0)),0%,VLOOKUP(A154,'Données projet'!$A$165:$I$185,7,0))</f>
        <v>0</v>
      </c>
      <c r="EA154" s="162" t="str">
        <f>EXP(-LN(2)/35)*EA153+(1-EXP(-LN(2)/35))/(LN(2)/35)*DW154*DX154*VLOOKUP('Données projet'!$B$14,'Paramètres'!$A$1:$I$88,3,0)*0.475*44/12</f>
        <v>#N/A</v>
      </c>
      <c r="EB154" s="162" t="str">
        <f>EXP(-LN(2)/25)*EB153+(1-EXP(-LN(2)/25))/(LN(2)/25)*Calculateur!DW154*Calculateur!DY154*VLOOKUP('Données projet'!$B$14,'Paramètres'!$A$1:$I$88,3,0)*0.475*44/12</f>
        <v>#N/A</v>
      </c>
      <c r="EC154" s="162" t="str">
        <f>EXP(-LN(2)/2)*EC153+(1-EXP(-LN(2)/2))/(LN(2)/2)*DW154*DZ154*VLOOKUP('Données projet'!$B$14,'Paramètres'!$A$1:$I$88,3,0)*0.475*44/12</f>
        <v>#N/A</v>
      </c>
      <c r="ED154" s="163" t="str">
        <f t="shared" si="19"/>
        <v>#N/A</v>
      </c>
      <c r="EE154" s="159">
        <f>('Scénario référence'!$F$8+'Scénario référence'!$F$9+'Scénario référence'!$B$17+'Scénario référence'!$B$9+'Scénario référence'!$B$10)*70+IF((45+25*(1-EXP(-0.0175*A154)))&lt;70,'Scénario référence'!$B$16*(45+25*(1-EXP(-0.0175*A154))),70*'Scénario référence'!$B$16)+IF((32+38*(1-EXP(-0.0175*A154)))&lt;70,'Scénario référence'!$B$18*(32+38*(1-EXP(-0.0175*A154))),70*'Scénario référence'!$B$18)</f>
        <v>70</v>
      </c>
      <c r="EF154" s="151">
        <f>IF(A154&gt;30,10,('Scénario référence'!$B$16+'Scénario référence'!$B$17+'Scénario référence'!$B$18+'Scénario référence'!$B$9+'Scénario référence'!$B$10)*A154*10/30+('Scénario référence'!$F$8+'Scénario référence'!$F$9)*10)</f>
        <v>10</v>
      </c>
      <c r="EG154" s="151" t="str">
        <f>VLOOKUP(A154,'Données projet'!$A$191:$I$211,2,0)</f>
        <v>#N/A</v>
      </c>
      <c r="EH154" s="151" t="str">
        <f>VLOOKUP(A154,'Données projet'!$A$191:$I$211,9,0)</f>
        <v>#N/A</v>
      </c>
      <c r="EI154" s="151" t="str">
        <f t="array" ref="EI154">INDEX(EH:EH,MIN(IF(ISNUMBER(EH154:EH350),ROW(EH154:EH350),"")))</f>
        <v/>
      </c>
      <c r="EJ154" s="151">
        <f>IF('Données projet'!$A$192&gt;35,EJ153+EI154-ER153,IF(A154&lt;'Données projet'!$A$192,$EG$205^A154,IF(A154='Données projet'!$A$192,'Données projet'!$B$192,EJ153+EI154-ER153)))</f>
        <v>0</v>
      </c>
      <c r="EK154" s="158" t="str">
        <f>EJ154*VLOOKUP('Données projet'!$B$15,'Paramètres'!$A$1:$I$88,3,0)*VLOOKUP('Données projet'!$B$15,'Paramètres'!$A$1:$I$88,5,0)</f>
        <v>#N/A</v>
      </c>
      <c r="EL154" s="150" t="str">
        <f t="shared" si="46"/>
        <v>#N/A</v>
      </c>
      <c r="EM154" s="161" t="str">
        <f t="shared" si="20"/>
        <v>#N/A</v>
      </c>
      <c r="EN154" s="153" t="str">
        <f t="shared" si="21"/>
        <v>#N/A</v>
      </c>
      <c r="EO154" s="153" t="str">
        <f>AVERAGE(OFFSET($EN$3,0,0,'Données projet'!$E$15+1,1))-AVERAGE(OFFSET($H$3,0,0,'Données projet'!$E$15+1,1))</f>
        <v>#N/A</v>
      </c>
      <c r="EP154" s="153" t="str">
        <f t="shared" si="47"/>
        <v>#N/A</v>
      </c>
      <c r="EQ154" s="154">
        <f>IF(ISNA(VLOOKUP(A154,'Données projet'!$A$191:$I$211,3,0)),0,VLOOKUP(A154,'Données projet'!$A$191:$I$211,3,0))</f>
        <v>0</v>
      </c>
      <c r="ER154" s="154">
        <f>IF(ISNA(VLOOKUP(A154,'Données projet'!$A$191:$I$211,4,0)),0,VLOOKUP(A154,'Données projet'!$A$191:$I$211,4,0))</f>
        <v>0</v>
      </c>
      <c r="ES154" s="155">
        <f>IF(ISNA(VLOOKUP(A154,'Données projet'!$A$191:$I$211,5,0)),0%,VLOOKUP(A154,'Données projet'!$A$191:$I$211,5,0)*VLOOKUP('Données projet'!$B$15,'Paramètres'!$A$1:$I$88,7,0))</f>
        <v>0</v>
      </c>
      <c r="ET154" s="155">
        <f>IF(ISNA(VLOOKUP(A154,'Données projet'!$A$191:$I$211,6,0)),0%,VLOOKUP(A154,'Données projet'!$A$191:$I$211,6,0)*VLOOKUP('Données projet'!$B$15,'Paramètres'!$A$1:$I$88,7,0))</f>
        <v>0</v>
      </c>
      <c r="EU154" s="155">
        <f>IF(ISNA(VLOOKUP(A154,'Données projet'!$A$191:$I$211,7,0)),0%,VLOOKUP(A154,'Données projet'!$A$191:$I$211,7,0))</f>
        <v>0</v>
      </c>
      <c r="EV154" s="162" t="str">
        <f>EXP(-LN(2)/35)*EV153+(1-EXP(-LN(2)/35))/(LN(2)/35)*ER154*ES154*VLOOKUP('Données projet'!$B$15,'Paramètres'!$A$1:$I$88,3,0)*0.475*44/12</f>
        <v>#N/A</v>
      </c>
      <c r="EW154" s="162" t="str">
        <f>EXP(-LN(2)/25)*EW153+(1-EXP(-LN(2)/25))/(LN(2)/25)*Calculateur!ER154*Calculateur!ET154*VLOOKUP('Données projet'!$B$15,'Paramètres'!$A$1:$I$88,3,0)*0.475*44/12</f>
        <v>#N/A</v>
      </c>
      <c r="EX154" s="162" t="str">
        <f>EXP(-LN(2)/2)*EX153+(1-EXP(-LN(2)/2))/(LN(2)/2)*ER154*EU154*VLOOKUP('Données projet'!$B$15,'Paramètres'!$A$1:$I$88,3,0)*0.475*44/12</f>
        <v>#N/A</v>
      </c>
      <c r="EY154" s="163" t="str">
        <f t="shared" si="22"/>
        <v>#N/A</v>
      </c>
      <c r="EZ154" s="159">
        <f>('Scénario référence'!$F$8+'Scénario référence'!$F$9+'Scénario référence'!$B$17+'Scénario référence'!$B$9+'Scénario référence'!$B$10)*70+IF((45+25*(1-EXP(-0.0175*A154)))&lt;70,'Scénario référence'!$B$16*(45+25*(1-EXP(-0.0175*A154))),70*'Scénario référence'!$B$16)+IF((32+38*(1-EXP(-0.0175*A154)))&lt;70,'Scénario référence'!$B$18*(32+38*(1-EXP(-0.0175*A154))),70*'Scénario référence'!$B$18)</f>
        <v>70</v>
      </c>
      <c r="FA154" s="151">
        <f>IF(A154&gt;30,10,('Scénario référence'!$B$16+'Scénario référence'!$B$17+'Scénario référence'!$B$18+'Scénario référence'!$B$9+'Scénario référence'!$B$10)*A154*10/30+('Scénario référence'!$F$8+'Scénario référence'!$F$9)*10)</f>
        <v>10</v>
      </c>
      <c r="FB154" s="151" t="str">
        <f>VLOOKUP(A154,'Données projet'!$A$217:$I$237,2,0)</f>
        <v>#N/A</v>
      </c>
      <c r="FC154" s="151" t="str">
        <f>VLOOKUP(A154,'Données projet'!$A$217:$I$237,9,0)</f>
        <v>#N/A</v>
      </c>
      <c r="FD154" s="151" t="str">
        <f t="array" ref="FD154">INDEX(FC:FC,MIN(IF(ISNUMBER(FC154:FC350),ROW(FC154:FC350),"")))</f>
        <v/>
      </c>
      <c r="FE154" s="151">
        <f>IF('Données projet'!$A$218&gt;35,FE153+FD154-FM153,IF(A154&lt;'Données projet'!$A$218,$FB$205^A154,IF(A154='Données projet'!$A$218,'Données projet'!$B$218,FE153+FD154-FM153)))</f>
        <v>0</v>
      </c>
      <c r="FF154" s="158" t="str">
        <f>FE154*VLOOKUP('Données projet'!$B$16,'Paramètres'!$A$1:$I$88,3,0)*VLOOKUP('Données projet'!$B$16,'Paramètres'!$A$1:$I$88,5,0)</f>
        <v>#N/A</v>
      </c>
      <c r="FG154" s="150" t="str">
        <f t="shared" si="48"/>
        <v>#N/A</v>
      </c>
      <c r="FH154" s="161" t="str">
        <f t="shared" si="23"/>
        <v>#N/A</v>
      </c>
      <c r="FI154" s="153" t="str">
        <f t="shared" si="24"/>
        <v>#N/A</v>
      </c>
      <c r="FJ154" s="153" t="str">
        <f>AVERAGE(OFFSET($FI$3,0,0,'Données projet'!$E$16+1,1))-AVERAGE(OFFSET($H$3,0,0,'Données projet'!$E$16+1,1))</f>
        <v>#N/A</v>
      </c>
      <c r="FK154" s="153" t="str">
        <f t="shared" si="49"/>
        <v>#N/A</v>
      </c>
      <c r="FL154" s="154">
        <f>IF(ISNA(VLOOKUP(A154,'Données projet'!$A$217:$I$237,3,0)),0,VLOOKUP(A154,'Données projet'!$A$217:$I$237,3,0))</f>
        <v>0</v>
      </c>
      <c r="FM154" s="154">
        <f>IF(ISNA(VLOOKUP(A154,'Données projet'!$A$217:$I$237,4,0)),0,VLOOKUP(A154,'Données projet'!$A$217:$I$237,4,0))</f>
        <v>0</v>
      </c>
      <c r="FN154" s="155">
        <f>IF(ISNA(VLOOKUP(A154,'Données projet'!$A$217:$I$237,5,0)),0%,VLOOKUP(A154,'Données projet'!$A$217:$I$237,5,0)*VLOOKUP('Données projet'!$B$16,'Paramètres'!$A$1:$I$88,7,0))</f>
        <v>0</v>
      </c>
      <c r="FO154" s="155">
        <f>IF(ISNA(VLOOKUP(A154,'Données projet'!$A$217:$I$237,6,0)),0%,VLOOKUP(A154,'Données projet'!$A$217:$I$237,6,0)*VLOOKUP('Données projet'!$B$16,'Paramètres'!$A$1:$I$88,7,0))</f>
        <v>0</v>
      </c>
      <c r="FP154" s="155">
        <f>IF(ISNA(VLOOKUP(A154,'Données projet'!$A$217:$I$237,7,0)),0%,VLOOKUP(A154,'Données projet'!$A$217:$I$237,7,0))</f>
        <v>0</v>
      </c>
      <c r="FQ154" s="162" t="str">
        <f>EXP(-LN(2)/35)*FQ153+(1-EXP(-LN(2)/35))/(LN(2)/35)*FM154*FN154*VLOOKUP('Données projet'!$B$16,'Paramètres'!$A$1:$I$88,3,0)*0.475*44/12</f>
        <v>#N/A</v>
      </c>
      <c r="FR154" s="162" t="str">
        <f>EXP(-LN(2)/25)*FR153+(1-EXP(-LN(2)/25))/(LN(2)/25)*Calculateur!FM154*Calculateur!FO154*VLOOKUP('Données projet'!$B$16,'Paramètres'!$A$1:$I$88,3,0)*0.475*44/12</f>
        <v>#N/A</v>
      </c>
      <c r="FS154" s="162" t="str">
        <f>EXP(-LN(2)/2)*FS153+(1-EXP(-LN(2)/2))/(LN(2)/2)*FM154*FP154*VLOOKUP('Données projet'!$B$16,'Paramètres'!$A$1:$I$88,3,0)*0.475*44/12</f>
        <v>#N/A</v>
      </c>
      <c r="FT154" s="163" t="str">
        <f t="shared" si="25"/>
        <v>#N/A</v>
      </c>
      <c r="FU154" s="159">
        <f>('Scénario référence'!$F$8+'Scénario référence'!$F$9+'Scénario référence'!$B$17+'Scénario référence'!$B$9+'Scénario référence'!$B$10)*70+IF((45+25*(1-EXP(-0.0175*A154)))&lt;70,'Scénario référence'!$B$16*(45+25*(1-EXP(-0.0175*A154))),70*'Scénario référence'!$B$16)+IF((32+38*(1-EXP(-0.0175*A154)))&lt;70,'Scénario référence'!$B$18*(32+38*(1-EXP(-0.0175*A154))),70*'Scénario référence'!$B$18)</f>
        <v>70</v>
      </c>
      <c r="FV154" s="151">
        <f>IF(A154&gt;30,10,('Scénario référence'!$B$16+'Scénario référence'!$B$17+'Scénario référence'!$B$18+'Scénario référence'!$B$9+'Scénario référence'!$B$10)*A154*10/30+('Scénario référence'!$F$8+'Scénario référence'!$F$9)*10)</f>
        <v>10</v>
      </c>
      <c r="FW154" s="151" t="str">
        <f>VLOOKUP(A154,'Données projet'!$A$243:$I$263,2,0)</f>
        <v>#N/A</v>
      </c>
      <c r="FX154" s="151" t="str">
        <f>VLOOKUP(A154,'Données projet'!$A$243:$I$263,9,0)</f>
        <v>#N/A</v>
      </c>
      <c r="FY154" s="151" t="str">
        <f t="array" ref="FY154">INDEX(FX:FX,MIN(IF(ISNUMBER(FX154:FX350),ROW(FX154:FX350),"")))</f>
        <v/>
      </c>
      <c r="FZ154" s="151">
        <f>IF('Données projet'!$A$244&gt;35,FZ153+FY154-GH153,IF(A154&lt;'Données projet'!$A$244,$FW$205^A154,IF(A154='Données projet'!$A$244,'Données projet'!$B$244,FZ153+FY154-GH153)))</f>
        <v>0</v>
      </c>
      <c r="GA154" s="158" t="str">
        <f>FZ154*VLOOKUP('Données projet'!$B$17,'Paramètres'!$A$1:$I$88,3,0)*VLOOKUP('Données projet'!$B$17,'Paramètres'!$A$1:$I$88,5,0)</f>
        <v>#N/A</v>
      </c>
      <c r="GB154" s="150" t="str">
        <f t="shared" si="50"/>
        <v>#N/A</v>
      </c>
      <c r="GC154" s="161" t="str">
        <f t="shared" si="26"/>
        <v>#N/A</v>
      </c>
      <c r="GD154" s="153" t="str">
        <f t="shared" si="27"/>
        <v>#N/A</v>
      </c>
      <c r="GE154" s="153" t="str">
        <f>AVERAGE(OFFSET($GD$3,0,0,'Données projet'!$E$17+1,1))-AVERAGE(OFFSET($H$3,0,0,'Données projet'!$E$17+1,1))</f>
        <v>#N/A</v>
      </c>
      <c r="GF154" s="153" t="str">
        <f t="shared" si="51"/>
        <v>#N/A</v>
      </c>
      <c r="GG154" s="154">
        <f>IF(ISNA(VLOOKUP(A154,'Données projet'!$A$243:$I$263,3,0)),0,VLOOKUP(A154,'Données projet'!$A$243:$I$263,3,0))</f>
        <v>0</v>
      </c>
      <c r="GH154" s="154">
        <f>IF(ISNA(VLOOKUP(A154,'Données projet'!$A$243:$I$263,4,0)),0,VLOOKUP(A154,'Données projet'!$A$243:$I$263,4,0))</f>
        <v>0</v>
      </c>
      <c r="GI154" s="155">
        <f>IF(ISNA(VLOOKUP(A154,'Données projet'!$A$243:$I$263,5,0)),0%,VLOOKUP(A154,'Données projet'!$A$243:$I$263,5,0)*VLOOKUP('Données projet'!$B$17,'Paramètres'!$A$1:$I$88,7,0))</f>
        <v>0</v>
      </c>
      <c r="GJ154" s="155">
        <f>IF(ISNA(VLOOKUP(A154,'Données projet'!$A$243:$I$263,6,0)),0%,VLOOKUP(A154,'Données projet'!$A$243:$I$263,6,0)*VLOOKUP('Données projet'!$B$17,'Paramètres'!$A$1:$I$88,7,0))</f>
        <v>0</v>
      </c>
      <c r="GK154" s="155">
        <f>IF(ISNA(VLOOKUP(A154,'Données projet'!$A$243:$I$263,7,0)),0%,VLOOKUP(A154,'Données projet'!$A$243:$I$263,7,0))</f>
        <v>0</v>
      </c>
      <c r="GL154" s="162" t="str">
        <f>EXP(-LN(2)/35)*GL153+(1-EXP(-LN(2)/35))/(LN(2)/35)*GH154*GI154*VLOOKUP('Données projet'!$B$17,'Paramètres'!$A$1:$I$88,3,0)*0.475*44/12</f>
        <v>#N/A</v>
      </c>
      <c r="GM154" s="162" t="str">
        <f>EXP(-LN(2)/25)*GM153+(1-EXP(-LN(2)/25))/(LN(2)/25)*Calculateur!GH154*Calculateur!GJ154*VLOOKUP('Données projet'!$B$17,'Paramètres'!$A$1:$I$88,3,0)*0.475*44/12</f>
        <v>#N/A</v>
      </c>
      <c r="GN154" s="162" t="str">
        <f>EXP(-LN(2)/2)*GN153+(1-EXP(-LN(2)/2))/(LN(2)/2)*GH154*GK154*VLOOKUP('Données projet'!$B$17,'Paramètres'!$A$1:$I$88,3,0)*0.475*44/12</f>
        <v>#N/A</v>
      </c>
      <c r="GO154" s="162" t="str">
        <f t="shared" si="28"/>
        <v>#N/A</v>
      </c>
      <c r="GP154" s="159">
        <f>('Scénario référence'!$F$8+'Scénario référence'!$F$9+'Scénario référence'!$B$17+'Scénario référence'!$B$9+'Scénario référence'!$B$10)*70+IF((45+25*(1-EXP(-0.0175*A154)))&lt;70,'Scénario référence'!$B$16*(45+25*(1-EXP(-0.0175*A154))),70*'Scénario référence'!$B$16)+IF((32+38*(1-EXP(-0.0175*A154)))&lt;70,'Scénario référence'!$B$18*(32+38*(1-EXP(-0.0175*A154))),70*'Scénario référence'!$B$18)</f>
        <v>70</v>
      </c>
      <c r="GQ154" s="151">
        <f>IF(A154&gt;30,10,('Scénario référence'!$B$16+'Scénario référence'!$B$17+'Scénario référence'!$B$18+'Scénario référence'!$B$9+'Scénario référence'!$B$10)*A154*10/30+('Scénario référence'!$F$8+'Scénario référence'!$F$9)*10)</f>
        <v>10</v>
      </c>
      <c r="GR154" s="151" t="str">
        <f>VLOOKUP(A154,'Données projet'!$A$269:$I$289,2,0)</f>
        <v>#N/A</v>
      </c>
      <c r="GS154" s="151" t="str">
        <f>VLOOKUP(A154,'Données projet'!$A$269:$I$289,9,0)</f>
        <v>#N/A</v>
      </c>
      <c r="GT154" s="151" t="str">
        <f t="array" ref="GT154">INDEX(GS:GS,MIN(IF(ISNUMBER(GS154:GS350),ROW(GS154:GS350),"")))</f>
        <v/>
      </c>
      <c r="GU154" s="151">
        <f>IF('Données projet'!$A$270&gt;35,GU153+GT154-HC153,IF(A154&lt;'Données projet'!$A$270,$GR$205^A154,IF(A154='Données projet'!$A$270,'Données projet'!$B$270,GU153+GT154-HC153)))</f>
        <v>0</v>
      </c>
      <c r="GV154" s="158" t="str">
        <f>GU154*VLOOKUP('Données projet'!$B$18,'Paramètres'!$A$1:$I$88,3,0)*VLOOKUP('Données projet'!$B$18,'Paramètres'!$A$1:$I$88,5,0)</f>
        <v>#N/A</v>
      </c>
      <c r="GW154" s="150" t="str">
        <f t="shared" si="52"/>
        <v>#N/A</v>
      </c>
      <c r="GX154" s="161" t="str">
        <f t="shared" si="29"/>
        <v>#N/A</v>
      </c>
      <c r="GY154" s="153" t="str">
        <f t="shared" si="30"/>
        <v>#N/A</v>
      </c>
      <c r="GZ154" s="153" t="str">
        <f>AVERAGE(OFFSET($GY$3,0,0,'Données projet'!$E$18+1,1))-AVERAGE(OFFSET($H$3,0,0,'Données projet'!$E$18+1,1))</f>
        <v>#N/A</v>
      </c>
      <c r="HA154" s="153" t="str">
        <f t="shared" si="53"/>
        <v>#N/A</v>
      </c>
      <c r="HB154" s="154">
        <f>IF(ISNA(VLOOKUP(A154,'Données projet'!$A$269:$I$289,3,0)),0,VLOOKUP(A154,'Données projet'!$A$269:$I$289,3,0))</f>
        <v>0</v>
      </c>
      <c r="HC154" s="154">
        <f>IF(ISNA(VLOOKUP(A154,'Données projet'!$A$269:$I$289,4,0)),0,VLOOKUP(A154,'Données projet'!$A$269:$I$289,4,0))</f>
        <v>0</v>
      </c>
      <c r="HD154" s="155">
        <f>IF(ISNA(VLOOKUP(A154,'Données projet'!$A$269:$I$289,5,0)),0%,VLOOKUP(A154,'Données projet'!$A$269:$I$289,5,0)*VLOOKUP('Données projet'!$B$18,'Paramètres'!$A$1:$I$88,7,0))</f>
        <v>0</v>
      </c>
      <c r="HE154" s="155">
        <f>IF(ISNA(VLOOKUP(A154,'Données projet'!$A$269:$I$289,6,0)),0%,VLOOKUP(A154,'Données projet'!$A$269:$I$289,6,0)*VLOOKUP('Données projet'!$B$18,'Paramètres'!$A$1:$I$88,7,0))</f>
        <v>0</v>
      </c>
      <c r="HF154" s="155">
        <f>IF(ISNA(VLOOKUP(A154,'Données projet'!$A$269:$I$289,7,0)),0%,VLOOKUP(A154,'Données projet'!$A$269:$I$289,7,0))</f>
        <v>0</v>
      </c>
      <c r="HG154" s="162" t="str">
        <f>EXP(-LN(2)/35)*HG153+(1-EXP(-LN(2)/35))/(LN(2)/35)*HC154*HD154*VLOOKUP('Données projet'!$B$18,'Paramètres'!$A$1:$I$88,3,0)*0.475*44/12</f>
        <v>#N/A</v>
      </c>
      <c r="HH154" s="162" t="str">
        <f>EXP(-LN(2)/25)*HH153+(1-EXP(-LN(2)/25))/(LN(2)/25)*Calculateur!HC154*Calculateur!HE154*VLOOKUP('Données projet'!$B$18,'Paramètres'!$A$1:$I$88,3,0)*0.475*44/12</f>
        <v>#N/A</v>
      </c>
      <c r="HI154" s="162" t="str">
        <f>EXP(-LN(2)/2)*HI153+(1-EXP(-LN(2)/2))/(LN(2)/2)*HC154*HF154*VLOOKUP('Données projet'!$B$18,'Paramètres'!$A$1:$I$88,3,0)*0.475*44/12</f>
        <v>#N/A</v>
      </c>
      <c r="HJ154" s="163" t="str">
        <f t="shared" si="31"/>
        <v>#N/A</v>
      </c>
    </row>
    <row r="155" ht="15.75" customHeight="1">
      <c r="A155" s="145">
        <f t="shared" si="32"/>
        <v>152</v>
      </c>
      <c r="B155" s="146">
        <f>'Scénario référence'!$B$16*5+'Scénario référence'!$B$17*0+'Scénario référence'!$B$18*5</f>
        <v>0</v>
      </c>
      <c r="C155" s="160">
        <f>Calculateur!C154+'Scénario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55" s="147">
        <f t="shared" si="33"/>
        <v>0</v>
      </c>
      <c r="E155" s="147">
        <f>'Scénario référence'!$B$16*45+('Scénario référence'!$B$17+'Scénario référence'!$F$8+'Scénario référence'!$F$9+'Scénario référence'!$B$10+'Scénario référence'!$B$9)*70+'Scénario référence'!$B$18*32</f>
        <v>70</v>
      </c>
      <c r="F155" s="147">
        <f>IF(OR('Scénario référence'!$F$8&gt;0,'Scénario référence'!$F$9&gt;0),('Scénario référence'!$F$8+'Scénario référence'!$F$9)*10,0)</f>
        <v>0</v>
      </c>
      <c r="G155" s="147">
        <f>'Scénario référence'!$B$8*B155*44/12+'Scénario référence'!$B$9*(C155+D155)/0.475*44/12+'Scénario référence'!$B$10*(C155+D155)/0.475*44/12+'Scénario référence'!$F$8*(C155+D155)/0.475*44/12+'Scénario référence'!$F$9*(C155+D155)/0.475*44/12</f>
        <v>0</v>
      </c>
      <c r="H155" s="148">
        <f t="shared" si="1"/>
        <v>256.6666667</v>
      </c>
      <c r="I155" s="149">
        <f>('Scénario référence'!$F$8+'Scénario référence'!$F$9+'Scénario référence'!$B$17+'Scénario référence'!$B$9+'Scénario référence'!$B$10)*70+IF((45+25*(1-EXP(-0.0175*A155)))&lt;70,'Scénario référence'!$B$16*(45+25*(1-EXP(-0.0175*A155))),70*'Scénario référence'!$B$16)+IF((32+38*(1-EXP(-0.0175*A155)))&lt;70,'Scénario référence'!$B$18*(32+38*(1-EXP(-0.0175*A155))),70*'Scénario référence'!$B$18)</f>
        <v>70</v>
      </c>
      <c r="J155" s="150">
        <f>IF(A155&gt;30,10,('Scénario référence'!$B$16+'Scénario référence'!$B$17+'Scénario référence'!$B$18+'Scénario référence'!$B$9+'Scénario référence'!$B$10)*A155*10/30+('Scénario référence'!$F$8+'Scénario référence'!$F$9)*10)</f>
        <v>10</v>
      </c>
      <c r="K155" s="151" t="str">
        <f>VLOOKUP(A155,'Données projet'!$A$35:$I$55,2,0)</f>
        <v>#N/A</v>
      </c>
      <c r="L155" s="151" t="str">
        <f>VLOOKUP(A155,'Données projet'!$A$35:$I$55,9,0)</f>
        <v>#N/A</v>
      </c>
      <c r="M155" s="151" t="str">
        <f t="array" ref="M155">INDEX(L:L,MIN(IF(ISNUMBER(L155:L351),ROW(L155:L351),"")))</f>
        <v/>
      </c>
      <c r="N155" s="150">
        <f>IF('Données projet'!$A$36&gt;35,N154+M155-V154,IF(A155&lt;'Données projet'!$A$36,$K$205^A155,IF(A155='Données projet'!$A$36,'Données projet'!$B$36,N154+M155-V154)))</f>
        <v>307</v>
      </c>
      <c r="O155" s="150">
        <f>N155*VLOOKUP('Données projet'!$B$9,'Paramètres'!$A$1:$I$88,3,0)*VLOOKUP('Données projet'!$B$9,'Paramètres'!$A$1:$I$88,5,0)</f>
        <v>277.7736</v>
      </c>
      <c r="P155" s="150">
        <f t="shared" si="34"/>
        <v>66.49628818</v>
      </c>
      <c r="Q155" s="161">
        <f t="shared" si="2"/>
        <v>599.6033886</v>
      </c>
      <c r="R155" s="153">
        <f t="shared" si="3"/>
        <v>892.9367219</v>
      </c>
      <c r="S155" s="153">
        <f>AVERAGE(OFFSET($R$3,0,0,'Données projet'!$E$9+1,1))-AVERAGE(OFFSET($H$3,0,0,'Données projet'!$E$9+1,1))</f>
        <v>439.1985427</v>
      </c>
      <c r="T155" s="153">
        <f t="shared" si="35"/>
        <v>278.2174123</v>
      </c>
      <c r="U155" s="154">
        <f>IF(ISNA(VLOOKUP(A155,'Données projet'!$A$35:$I$55,3,0)),0,VLOOKUP(A155,'Données projet'!$A$35:$I$55,3,0))</f>
        <v>0</v>
      </c>
      <c r="V155" s="154">
        <f>IF(ISNA(VLOOKUP(A155,'Données projet'!$A$35:$I$55,4,0)),0,VLOOKUP(A155,'Données projet'!$A$35:$I$55,4,0))</f>
        <v>0</v>
      </c>
      <c r="W155" s="155">
        <f>IF(ISNA(VLOOKUP(A155,'Données projet'!$A$35:$I$55,5,0)),0%,VLOOKUP(A155,'Données projet'!$A$35:$I$55,5,0)*VLOOKUP('Données projet'!$B$9,'Paramètres'!$A$1:$I$88,7,0))</f>
        <v>0</v>
      </c>
      <c r="X155" s="155">
        <f>IF(ISNA(VLOOKUP(A155,'Données projet'!$A$35:$I$55,6,0)),0%,VLOOKUP(A155,'Données projet'!$A$35:$I$55,6,0)*VLOOKUP('Données projet'!$B$9,'Paramètres'!$A$1:$I$88,7,0))</f>
        <v>0</v>
      </c>
      <c r="Y155" s="155">
        <f>IF(ISNA(VLOOKUP(A155,'Données projet'!$A$35:$I$55,7,0)),0%,VLOOKUP(A155,'Données projet'!$A$35:$I$55,7,0))</f>
        <v>0</v>
      </c>
      <c r="Z155" s="162">
        <f>EXP(-LN(2)/35)*Z154+(1-EXP(-LN(2)/35))/(LN(2)/35)*V155*W155*VLOOKUP('Données projet'!$B$9,'Paramètres'!$A$1:$I$88,3,0)*0.475*44/12</f>
        <v>0</v>
      </c>
      <c r="AA155" s="162">
        <f>EXP(-LN(2)/25)*AA154+(1-EXP(-LN(2)/25))/(LN(2)/25)*Calculateur!V155*Calculateur!X155*VLOOKUP('Données projet'!$B$9,'Paramètres'!$A$1:$I$88,3,0)*0.475*44/12</f>
        <v>0.1524003274</v>
      </c>
      <c r="AB155" s="162">
        <f>EXP(-LN(2)/2)*AB154+(1-EXP(-LN(2)/2))/(LN(2)/2)*V155*Y155*VLOOKUP('Données projet'!$B$9,'Paramètres'!$A$1:$I$88,3,0)*0.475*44/12</f>
        <v>0</v>
      </c>
      <c r="AC155" s="163">
        <f t="shared" si="4"/>
        <v>0.1524003274</v>
      </c>
      <c r="AD155" s="150">
        <f>('Scénario référence'!$F$8+'Scénario référence'!$F$9+'Scénario référence'!$B$17+'Scénario référence'!$B$9+'Scénario référence'!$B$10)*70+IF((45+25*(1-EXP(-0.0175*A155)))&lt;70,'Scénario référence'!$B$16*(45+25*(1-EXP(-0.0175*A155))),70*'Scénario référence'!$B$16)+IF((32+38*(1-EXP(-0.0175*A155)))&lt;70,'Scénario référence'!$B$18*(32+38*(1-EXP(-0.0175*A155))),70*'Scénario référence'!$B$18)</f>
        <v>70</v>
      </c>
      <c r="AE155" s="150">
        <f>IF(A155&gt;30,10,('Scénario référence'!$B$16+'Scénario référence'!$B$17+'Scénario référence'!$B$18+'Scénario référence'!$B$9+'Scénario référence'!$B$10)*A155*10/30+('Scénario référence'!$F$8+'Scénario référence'!$F$9)*10)</f>
        <v>10</v>
      </c>
      <c r="AF155" s="151" t="str">
        <f>VLOOKUP(A155,'Données projet'!$A$61:$I$81,2,0)</f>
        <v>#N/A</v>
      </c>
      <c r="AG155" s="151" t="str">
        <f>VLOOKUP(A155,'Données projet'!$A$61:$I$81,9,0)</f>
        <v>#N/A</v>
      </c>
      <c r="AH155" s="151" t="str">
        <f t="array" ref="AH155">INDEX(AG:AG,MIN(IF(ISNUMBER(AG155:AG351),ROW(AG155:AG351),"")))</f>
        <v/>
      </c>
      <c r="AI155" s="150">
        <f>IF('Données projet'!$A$62&gt;35,AI154+AH155-AQ154,IF(A155&lt;'Données projet'!$A$62,$AF$205^A155,IF(A155='Données projet'!$A$62,'Données projet'!$B$62,AI154+AH155-AQ154)))</f>
        <v>369</v>
      </c>
      <c r="AJ155" s="150">
        <f>AI155*VLOOKUP('Données projet'!$B$10,'Paramètres'!$A$1:$I$88,3,0)*VLOOKUP('Données projet'!$B$10,'Paramètres'!$A$1:$I$88,5,0)</f>
        <v>293.5764</v>
      </c>
      <c r="AK155" s="150">
        <f t="shared" si="36"/>
        <v>69.82813851</v>
      </c>
      <c r="AL155" s="161">
        <f t="shared" si="5"/>
        <v>632.9295712</v>
      </c>
      <c r="AM155" s="153">
        <f t="shared" si="6"/>
        <v>926.2629046</v>
      </c>
      <c r="AN155" s="153">
        <f>AVERAGE(OFFSET($AM$3,0,0,'Données projet'!$E$10+1,1))-AVERAGE(OFFSET($H$3,0,0,'Données projet'!$E$10+1,1))</f>
        <v>405.6113614</v>
      </c>
      <c r="AO155" s="153">
        <f t="shared" si="37"/>
        <v>393.0787141</v>
      </c>
      <c r="AP155" s="154">
        <f>IF(ISNA(VLOOKUP(A155,'Données projet'!$A$61:$I$81,3,0)),0,VLOOKUP(A155,'Données projet'!$A$61:$I$81,3,0))</f>
        <v>0</v>
      </c>
      <c r="AQ155" s="154">
        <f>IF(ISNA(VLOOKUP(A155,'Données projet'!$A$61:$I$81,4,0)),0,VLOOKUP(A155,'Données projet'!$A$61:$I$81,4,0))</f>
        <v>0</v>
      </c>
      <c r="AR155" s="155">
        <f>IF(ISNA(VLOOKUP(A155,'Données projet'!$A$61:$I$81,5,0)),0%,VLOOKUP(A155,'Données projet'!$A$61:$I$81,5,0)*VLOOKUP('Données projet'!$B$10,'Paramètres'!$A$1:$I$88,7,0))</f>
        <v>0</v>
      </c>
      <c r="AS155" s="155">
        <f>IF(ISNA(VLOOKUP(A155,'Données projet'!$A$61:$I$81,6,0)),0%,VLOOKUP(A155,'Données projet'!$A$61:$I$81,6,0)*VLOOKUP('Données projet'!$B$10,'Paramètres'!$A$1:$I$88,7,0))</f>
        <v>0</v>
      </c>
      <c r="AT155" s="155">
        <f>IF(ISNA(VLOOKUP(A155,'Données projet'!$A$61:$I$81,7,0)),0%,VLOOKUP(A155,'Données projet'!$A$61:$I$81,7,0))</f>
        <v>0</v>
      </c>
      <c r="AU155" s="162">
        <f>EXP(-LN(2)/35)*AU154+(1-EXP(-LN(2)/35))/(LN(2)/35)*AQ155*AR155*VLOOKUP('Données projet'!$B$10,'Paramètres'!$A$1:$I$88,3,0)*0.475*44/12</f>
        <v>0</v>
      </c>
      <c r="AV155" s="162">
        <f>EXP(-LN(2)/25)*AV154+(1-EXP(-LN(2)/25))/(LN(2)/25)*Calculateur!AQ155*Calculateur!AS155*VLOOKUP('Données projet'!$B$10,'Paramètres'!$A$1:$I$88,3,0)*0.475*44/12</f>
        <v>0.6193936724</v>
      </c>
      <c r="AW155" s="162">
        <f>EXP(-LN(2)/2)*AW154+(1-EXP(-LN(2)/2))/(LN(2)/2)*AQ155*AT155*VLOOKUP('Données projet'!$B$10,'Paramètres'!$A$1:$I$88,3,0)*0.475*44/12</f>
        <v>0</v>
      </c>
      <c r="AX155" s="162">
        <f t="shared" si="7"/>
        <v>0.6193936724</v>
      </c>
      <c r="AY155" s="157">
        <f>('Scénario référence'!$F$8+'Scénario référence'!$F$9+'Scénario référence'!$B$17+'Scénario référence'!$B$9+'Scénario référence'!$B$10)*70+IF((45+25*(1-EXP(-0.0175*A155)))&lt;70,'Scénario référence'!$B$16*(45+25*(1-EXP(-0.0175*A155))),70*'Scénario référence'!$B$16)+IF((32+38*(1-EXP(-0.0175*A155)))&lt;70,'Scénario référence'!$B$18*(32+38*(1-EXP(-0.0175*A155))),70*'Scénario référence'!$B$18)</f>
        <v>70</v>
      </c>
      <c r="AZ155" s="151">
        <f>IF(A155&gt;30,10,('Scénario référence'!$B$16+'Scénario référence'!$B$17+'Scénario référence'!$B$18+'Scénario référence'!$B$9+'Scénario référence'!$B$10)*A155*10/30+('Scénario référence'!$F$8+'Scénario référence'!$F$9)*10)</f>
        <v>10</v>
      </c>
      <c r="BA155" s="151" t="str">
        <f>VLOOKUP(A155,'Données projet'!$A$87:$I$107,2,0)</f>
        <v>#N/A</v>
      </c>
      <c r="BB155" s="151" t="str">
        <f>VLOOKUP(A155,'Données projet'!$A$87:$I$107,9,0)</f>
        <v>#N/A</v>
      </c>
      <c r="BC155" s="151" t="str">
        <f t="array" ref="BC155">INDEX(BB:BB,MIN(IF(ISNUMBER(BB155:BB351),ROW(BB155:BB351),"")))</f>
        <v/>
      </c>
      <c r="BD155" s="150">
        <f>IF('Données projet'!$A$88&gt;35,BD154+BC155-BL154,IF(A155&lt;'Données projet'!$A$88,$BA$205^A155,IF(A155='Données projet'!$A$88,'Données projet'!$B$88,BD154+BC155-BL154)))</f>
        <v>0</v>
      </c>
      <c r="BE155" s="150">
        <f>BD155*VLOOKUP('Données projet'!$B$11,'Paramètres'!$A$1:$I$88,3,0)*VLOOKUP('Données projet'!$B$11,'Paramètres'!$A$1:$I$88,5,0)</f>
        <v>0</v>
      </c>
      <c r="BF155" s="150" t="str">
        <f t="shared" si="38"/>
        <v>#NUM!</v>
      </c>
      <c r="BG155" s="161" t="str">
        <f t="shared" si="8"/>
        <v>#NUM!</v>
      </c>
      <c r="BH155" s="153" t="str">
        <f t="shared" si="9"/>
        <v>#NUM!</v>
      </c>
      <c r="BI155" s="153">
        <f>AVERAGE(OFFSET($BH$3,0,0,'Données projet'!$E$11+1,1))-AVERAGE(OFFSET($H$3,0,0,'Données projet'!$E$11+1,1))</f>
        <v>0</v>
      </c>
      <c r="BJ155" s="153">
        <f t="shared" si="39"/>
        <v>0</v>
      </c>
      <c r="BK155" s="154">
        <f>IF(ISNA(VLOOKUP(A155,'Données projet'!$A$87:$I$107,3,0)),0,VLOOKUP(A155,'Données projet'!$A$87:$I$107,3,0))</f>
        <v>0</v>
      </c>
      <c r="BL155" s="154">
        <f>IF(ISNA(VLOOKUP(A155,'Données projet'!$A$87:$I$107,4,0)),0,VLOOKUP(A155,'Données projet'!$A$87:$I$107,4,0))</f>
        <v>0</v>
      </c>
      <c r="BM155" s="155">
        <f>IF(ISNA(VLOOKUP(A155,'Données projet'!$A$87:$I$107,5,0)),0%,VLOOKUP(A155,'Données projet'!$A$87:$I$107,5,0)*VLOOKUP('Données projet'!$B$11,'Paramètres'!$A$1:$I$88,7,0))</f>
        <v>0</v>
      </c>
      <c r="BN155" s="155">
        <f>IF(ISNA(VLOOKUP(A155,'Données projet'!$A$87:$I$107,6,0)),0%,VLOOKUP(A155,'Données projet'!$A$87:$I$107,6,0)*VLOOKUP('Données projet'!$B$11,'Paramètres'!$A$1:$I$88,7,0))</f>
        <v>0</v>
      </c>
      <c r="BO155" s="155">
        <f>IF(ISNA(VLOOKUP(A155,'Données projet'!$A$87:$I$107,7,0)),0%,VLOOKUP(A155,'Données projet'!$A$87:$I$107,7,0))</f>
        <v>0</v>
      </c>
      <c r="BP155" s="162">
        <f>EXP(-LN(2)/35)*BP154+(1-EXP(-LN(2)/35))/(LN(2)/35)*BL155*BM155*VLOOKUP('Données projet'!$B$11,'Paramètres'!$A$1:$I$88,3,0)*0.475*44/12</f>
        <v>0</v>
      </c>
      <c r="BQ155" s="162">
        <f>EXP(-LN(2)/25)*BQ154+(1-EXP(-LN(2)/25))/(LN(2)/25)*Calculateur!BL155*Calculateur!BN155*VLOOKUP('Données projet'!$B$11,'Paramètres'!$A$1:$I$88,3,0)*0.475*44/12</f>
        <v>0</v>
      </c>
      <c r="BR155" s="162">
        <f>EXP(-LN(2)/2)*BR154+(1-EXP(-LN(2)/2))/(LN(2)/2)*BL155*BO155*VLOOKUP('Données projet'!$B$11,'Paramètres'!$A$1:$I$88,3,0)*0.475*44/12</f>
        <v>0</v>
      </c>
      <c r="BS155" s="163">
        <f t="shared" si="10"/>
        <v>0</v>
      </c>
      <c r="BT155" s="159">
        <f>('Scénario référence'!$F$8+'Scénario référence'!$F$9+'Scénario référence'!$B$17+'Scénario référence'!$B$9+'Scénario référence'!$B$10)*70+IF((45+25*(1-EXP(-0.0175*A155)))&lt;70,'Scénario référence'!$B$16*(45+25*(1-EXP(-0.0175*A155))),70*'Scénario référence'!$B$16)+IF((32+38*(1-EXP(-0.0175*A155)))&lt;70,'Scénario référence'!$B$18*(32+38*(1-EXP(-0.0175*A155))),70*'Scénario référence'!$B$18)</f>
        <v>70</v>
      </c>
      <c r="BU155" s="151">
        <f>IF(A155&gt;30,10,('Scénario référence'!$B$16+'Scénario référence'!$B$17+'Scénario référence'!$B$18+'Scénario référence'!$B$9+'Scénario référence'!$B$10)*A155*10/30+('Scénario référence'!$F$8+'Scénario référence'!$F$9)*10)</f>
        <v>10</v>
      </c>
      <c r="BV155" s="151" t="str">
        <f>VLOOKUP(A155,'Données projet'!$A$113:$I$133,2,0)</f>
        <v>#N/A</v>
      </c>
      <c r="BW155" s="151" t="str">
        <f>VLOOKUP(A155,'Données projet'!$A$113:$I$133,9,0)</f>
        <v>#N/A</v>
      </c>
      <c r="BX155" s="151" t="str">
        <f t="array" ref="BX155">INDEX(BW:BW,MIN(IF(ISNUMBER(BW155:BW351),ROW(BW155:BW351),"")))</f>
        <v/>
      </c>
      <c r="BY155" s="150">
        <f>IF('Données projet'!$A$114&gt;35,BY154+BX155-CG154,IF(A155&lt;'Données projet'!$A$114,$BV$205^A155,IF(A155='Données projet'!$A$114,'Données projet'!$B$114,BY154+BX155-CG154)))</f>
        <v>0</v>
      </c>
      <c r="BZ155" s="150" t="str">
        <f>BY155*VLOOKUP('Données projet'!$B$12,'Paramètres'!$A$1:$I$88,3,0)*VLOOKUP('Données projet'!$B$12,'Paramètres'!$A$1:$I$88,5,0)</f>
        <v>#N/A</v>
      </c>
      <c r="CA155" s="150" t="str">
        <f t="shared" si="40"/>
        <v>#N/A</v>
      </c>
      <c r="CB155" s="161" t="str">
        <f t="shared" si="11"/>
        <v>#N/A</v>
      </c>
      <c r="CC155" s="153" t="str">
        <f t="shared" si="12"/>
        <v>#N/A</v>
      </c>
      <c r="CD155" s="153" t="str">
        <f>AVERAGE(OFFSET($CC$3,0,0,'Données projet'!$E$12+1,1))-AVERAGE(OFFSET($H$3,0,0,'Données projet'!$E$12+1,1))</f>
        <v>#N/A</v>
      </c>
      <c r="CE155" s="153" t="str">
        <f t="shared" si="41"/>
        <v>#N/A</v>
      </c>
      <c r="CF155" s="154">
        <f>IF(ISNA(VLOOKUP(A155,'Données projet'!$A$113:$I$133,3,0)),0,VLOOKUP(A155,'Données projet'!$A$113:$I$133,3,0))</f>
        <v>0</v>
      </c>
      <c r="CG155" s="154">
        <f>IF(ISNA(VLOOKUP(A155,'Données projet'!$A$113:$I$133,4,0)),0,VLOOKUP(A155,'Données projet'!$A$113:$I$133,4,0))</f>
        <v>0</v>
      </c>
      <c r="CH155" s="155">
        <f>IF(ISNA(VLOOKUP(A155,'Données projet'!$A$113:$I$133,5,0)),0%,VLOOKUP(A155,'Données projet'!$A$113:$I$133,5,0)*VLOOKUP('Données projet'!$B$12,'Paramètres'!$A$1:$I$88,7,0))</f>
        <v>0</v>
      </c>
      <c r="CI155" s="155">
        <f>IF(ISNA(VLOOKUP(A155,'Données projet'!$A$113:$I$133,6,0)),0%,VLOOKUP(A155,'Données projet'!$A$113:$I$133,6,0)*VLOOKUP('Données projet'!$B$12,'Paramètres'!$A$1:$I$88,7,0))</f>
        <v>0</v>
      </c>
      <c r="CJ155" s="155">
        <f>IF(ISNA(VLOOKUP(A155,'Données projet'!$A$113:$I$133,7,0)),0%,VLOOKUP(A155,'Données projet'!$A$113:$I$133,7,0))</f>
        <v>0</v>
      </c>
      <c r="CK155" s="162" t="str">
        <f>EXP(-LN(2)/35)*CK154+(1-EXP(-LN(2)/35))/(LN(2)/35)*CG155*CH155*VLOOKUP('Données projet'!$B$12,'Paramètres'!$A$1:$I$88,3,0)*0.475*44/12</f>
        <v>#N/A</v>
      </c>
      <c r="CL155" s="162" t="str">
        <f>EXP(-LN(2)/25)*CL154+(1-EXP(-LN(2)/25))/(LN(2)/25)*Calculateur!CG155*Calculateur!CI155*VLOOKUP('Données projet'!$B$12,'Paramètres'!$A$1:$I$88,3,0)*0.475*44/12</f>
        <v>#N/A</v>
      </c>
      <c r="CM155" s="162" t="str">
        <f>EXP(-LN(2)/2)*CM154+(1-EXP(-LN(2)/2))/(LN(2)/2)*CG155*CJ155*VLOOKUP('Données projet'!$B$12,'Paramètres'!$A$1:$I$88,3,0)*0.475*44/12</f>
        <v>#N/A</v>
      </c>
      <c r="CN155" s="163" t="str">
        <f t="shared" si="13"/>
        <v>#N/A</v>
      </c>
      <c r="CO155" s="159">
        <f>('Scénario référence'!$F$8+'Scénario référence'!$F$9+'Scénario référence'!$B$17+'Scénario référence'!$B$9+'Scénario référence'!$B$10)*70+IF((45+25*(1-EXP(-0.0175*A155)))&lt;70,'Scénario référence'!$B$16*(45+25*(1-EXP(-0.0175*A155))),70*'Scénario référence'!$B$16)+IF((32+38*(1-EXP(-0.0175*A155)))&lt;70,'Scénario référence'!$B$18*(32+38*(1-EXP(-0.0175*A155))),70*'Scénario référence'!$B$18)</f>
        <v>70</v>
      </c>
      <c r="CP155" s="151">
        <f>IF(A155&gt;30,10,('Scénario référence'!$B$16+'Scénario référence'!$B$17+'Scénario référence'!$B$18+'Scénario référence'!$B$9+'Scénario référence'!$B$10)*A155*10/30+('Scénario référence'!$F$8+'Scénario référence'!$F$9)*10)</f>
        <v>10</v>
      </c>
      <c r="CQ155" s="151" t="str">
        <f>VLOOKUP(A155,'Données projet'!$A$139:$I$159,2,0)</f>
        <v>#N/A</v>
      </c>
      <c r="CR155" s="151" t="str">
        <f>VLOOKUP(A155,'Données projet'!$A$139:$I$159,9,0)</f>
        <v>#N/A</v>
      </c>
      <c r="CS155" s="151" t="str">
        <f t="array" ref="CS155">INDEX(CR:CR,MIN(IF(ISNUMBER(CR155:CR351),ROW(CR155:CR351),"")))</f>
        <v/>
      </c>
      <c r="CT155" s="151">
        <f>IF('Données projet'!$A$140&gt;35,CT154+CS155-DB154,IF(A155&lt;'Données projet'!$A$140,$CQ$205^A155,IF(A155='Données projet'!$A$140,'Données projet'!$B$140,CT154+CS155-DB154)))</f>
        <v>0</v>
      </c>
      <c r="CU155" s="158" t="str">
        <f>CT155*VLOOKUP('Données projet'!$B$13,'Paramètres'!$A$1:$I$88,3,0)*VLOOKUP('Données projet'!$B$13,'Paramètres'!$A$1:$I$88,5,0)</f>
        <v>#N/A</v>
      </c>
      <c r="CV155" s="150" t="str">
        <f t="shared" si="42"/>
        <v>#N/A</v>
      </c>
      <c r="CW155" s="161" t="str">
        <f t="shared" si="14"/>
        <v>#N/A</v>
      </c>
      <c r="CX155" s="153" t="str">
        <f t="shared" si="15"/>
        <v>#N/A</v>
      </c>
      <c r="CY155" s="153" t="str">
        <f>AVERAGE(OFFSET($CX$3,0,0,'Données projet'!$E$13+1,1))-AVERAGE(OFFSET($H$3,0,0,'Données projet'!$E$13+1,1))</f>
        <v>#N/A</v>
      </c>
      <c r="CZ155" s="153" t="str">
        <f t="shared" si="43"/>
        <v>#N/A</v>
      </c>
      <c r="DA155" s="154">
        <f>IF(ISNA(VLOOKUP(A155,'Données projet'!$A$139:$I$159,3,0)),0,VLOOKUP(A155,'Données projet'!$A$139:$I$159,3,0))</f>
        <v>0</v>
      </c>
      <c r="DB155" s="154">
        <f>IF(ISNA(VLOOKUP(A155,'Données projet'!$A$139:$I$159,4,0)),0,VLOOKUP(A155,'Données projet'!$A$139:$I$159,4,0))</f>
        <v>0</v>
      </c>
      <c r="DC155" s="155">
        <f>IF(ISNA(VLOOKUP(A155,'Données projet'!$A$139:$I$159,5,0)),0%,VLOOKUP(A155,'Données projet'!$A$139:$I$159,5,0)*VLOOKUP('Données projet'!$B$13,'Paramètres'!$A$1:$I$88,7,0))</f>
        <v>0</v>
      </c>
      <c r="DD155" s="155">
        <f>IF(ISNA(VLOOKUP(A155,'Données projet'!$A$139:$I$159,6,0)),0%,VLOOKUP(A155,'Données projet'!$A$139:$I$159,6,0)*VLOOKUP('Données projet'!$B$13,'Paramètres'!$A$1:$I$88,7,0))</f>
        <v>0</v>
      </c>
      <c r="DE155" s="155">
        <f>IF(ISNA(VLOOKUP(A155,'Données projet'!$A$139:$I$159,7,0)),0%,VLOOKUP(A155,'Données projet'!$A$139:$I$159,7,0))</f>
        <v>0</v>
      </c>
      <c r="DF155" s="162" t="str">
        <f>EXP(-LN(2)/35)*DF154+(1-EXP(-LN(2)/35))/(LN(2)/35)*DB155*DC155*VLOOKUP('Données projet'!$B$13,'Paramètres'!$A$1:$I$88,3,0)*0.475*44/12</f>
        <v>#N/A</v>
      </c>
      <c r="DG155" s="162" t="str">
        <f>EXP(-LN(2)/25)*DG154+(1-EXP(-LN(2)/25))/(LN(2)/25)*Calculateur!DB155*Calculateur!DD155*VLOOKUP('Données projet'!$B$13,'Paramètres'!$A$1:$I$88,3,0)*0.475*44/12</f>
        <v>#N/A</v>
      </c>
      <c r="DH155" s="162" t="str">
        <f>EXP(-LN(2)/2)*DH154+(1-EXP(-LN(2)/2))/(LN(2)/2)*DB155*DE155*VLOOKUP('Données projet'!$B$13,'Paramètres'!$A$1:$I$88,3,0)*0.475*44/12</f>
        <v>#N/A</v>
      </c>
      <c r="DI155" s="163" t="str">
        <f t="shared" si="16"/>
        <v>#N/A</v>
      </c>
      <c r="DJ155" s="159">
        <f>('Scénario référence'!$F$8+'Scénario référence'!$F$9+'Scénario référence'!$B$17+'Scénario référence'!$B$9+'Scénario référence'!$B$10)*70+IF((45+25*(1-EXP(-0.0175*A155)))&lt;70,'Scénario référence'!$B$16*(45+25*(1-EXP(-0.0175*A155))),70*'Scénario référence'!$B$16)+IF((32+38*(1-EXP(-0.0175*A155)))&lt;70,'Scénario référence'!$B$18*(32+38*(1-EXP(-0.0175*A155))),70*'Scénario référence'!$B$18)</f>
        <v>70</v>
      </c>
      <c r="DK155" s="151">
        <f>IF(A155&gt;30,10,('Scénario référence'!$B$16+'Scénario référence'!$B$17+'Scénario référence'!$B$18+'Scénario référence'!$B$9+'Scénario référence'!$B$10)*A155*10/30+('Scénario référence'!$F$8+'Scénario référence'!$F$9)*10)</f>
        <v>10</v>
      </c>
      <c r="DL155" s="151" t="str">
        <f>VLOOKUP(A155,'Données projet'!$A$165:$I$185,2,0)</f>
        <v>#N/A</v>
      </c>
      <c r="DM155" s="151" t="str">
        <f>VLOOKUP(A155,'Données projet'!$A$165:$I$185,9,0)</f>
        <v>#N/A</v>
      </c>
      <c r="DN155" s="151" t="str">
        <f t="array" ref="DN155">INDEX(DM:DM,MIN(IF(ISNUMBER(DM155:DM351),ROW(DM155:DM351),"")))</f>
        <v/>
      </c>
      <c r="DO155" s="151">
        <f>IF('Données projet'!$A$166&gt;35,DO154+DN155-DW154,IF(A155&lt;'Données projet'!$A$166,$DL$205^A155,IF(A155='Données projet'!$A$166,'Données projet'!$B$166,DO154+DN155-DW154)))</f>
        <v>0</v>
      </c>
      <c r="DP155" s="158" t="str">
        <f>DO155*VLOOKUP('Données projet'!$B$14,'Paramètres'!$A$1:$I$88,3,0)*VLOOKUP('Données projet'!$B$14,'Paramètres'!$A$1:$I$88,5,0)</f>
        <v>#N/A</v>
      </c>
      <c r="DQ155" s="150" t="str">
        <f t="shared" si="44"/>
        <v>#N/A</v>
      </c>
      <c r="DR155" s="161" t="str">
        <f t="shared" si="17"/>
        <v>#N/A</v>
      </c>
      <c r="DS155" s="153" t="str">
        <f t="shared" si="18"/>
        <v>#N/A</v>
      </c>
      <c r="DT155" s="153" t="str">
        <f>AVERAGE(OFFSET($DS$3,0,0,'Données projet'!$E$14+1,1))-AVERAGE(OFFSET($H$3,0,0,'Données projet'!$E$14+1,1))</f>
        <v>#N/A</v>
      </c>
      <c r="DU155" s="153" t="str">
        <f t="shared" si="45"/>
        <v>#N/A</v>
      </c>
      <c r="DV155" s="154">
        <f>IF(ISNA(VLOOKUP(A155,'Données projet'!$A$165:$I$185,3,0)),0,VLOOKUP(A155,'Données projet'!$A$165:$I$185,3,0))</f>
        <v>0</v>
      </c>
      <c r="DW155" s="154">
        <f>IF(ISNA(VLOOKUP(A155,'Données projet'!$A$165:$I$185,4,0)),0,VLOOKUP(A155,'Données projet'!$A$165:$I$185,4,0))</f>
        <v>0</v>
      </c>
      <c r="DX155" s="155">
        <f>IF(ISNA(VLOOKUP(A155,'Données projet'!$A$165:$I$185,5,0)),0%,VLOOKUP(A155,'Données projet'!$A$165:$I$185,5,0)*VLOOKUP('Données projet'!$B$14,'Paramètres'!$A$1:$I$88,7,0))</f>
        <v>0</v>
      </c>
      <c r="DY155" s="155">
        <f>IF(ISNA(VLOOKUP(A155,'Données projet'!$A$165:$I$185,6,0)),0%,VLOOKUP(A155,'Données projet'!$A$165:$I$185,6,0)*VLOOKUP('Données projet'!$B$14,'Paramètres'!$A$1:$I$88,7,0))</f>
        <v>0</v>
      </c>
      <c r="DZ155" s="155">
        <f>IF(ISNA(VLOOKUP(A155,'Données projet'!$A$165:$I$185,7,0)),0%,VLOOKUP(A155,'Données projet'!$A$165:$I$185,7,0))</f>
        <v>0</v>
      </c>
      <c r="EA155" s="162" t="str">
        <f>EXP(-LN(2)/35)*EA154+(1-EXP(-LN(2)/35))/(LN(2)/35)*DW155*DX155*VLOOKUP('Données projet'!$B$14,'Paramètres'!$A$1:$I$88,3,0)*0.475*44/12</f>
        <v>#N/A</v>
      </c>
      <c r="EB155" s="162" t="str">
        <f>EXP(-LN(2)/25)*EB154+(1-EXP(-LN(2)/25))/(LN(2)/25)*Calculateur!DW155*Calculateur!DY155*VLOOKUP('Données projet'!$B$14,'Paramètres'!$A$1:$I$88,3,0)*0.475*44/12</f>
        <v>#N/A</v>
      </c>
      <c r="EC155" s="162" t="str">
        <f>EXP(-LN(2)/2)*EC154+(1-EXP(-LN(2)/2))/(LN(2)/2)*DW155*DZ155*VLOOKUP('Données projet'!$B$14,'Paramètres'!$A$1:$I$88,3,0)*0.475*44/12</f>
        <v>#N/A</v>
      </c>
      <c r="ED155" s="163" t="str">
        <f t="shared" si="19"/>
        <v>#N/A</v>
      </c>
      <c r="EE155" s="159">
        <f>('Scénario référence'!$F$8+'Scénario référence'!$F$9+'Scénario référence'!$B$17+'Scénario référence'!$B$9+'Scénario référence'!$B$10)*70+IF((45+25*(1-EXP(-0.0175*A155)))&lt;70,'Scénario référence'!$B$16*(45+25*(1-EXP(-0.0175*A155))),70*'Scénario référence'!$B$16)+IF((32+38*(1-EXP(-0.0175*A155)))&lt;70,'Scénario référence'!$B$18*(32+38*(1-EXP(-0.0175*A155))),70*'Scénario référence'!$B$18)</f>
        <v>70</v>
      </c>
      <c r="EF155" s="151">
        <f>IF(A155&gt;30,10,('Scénario référence'!$B$16+'Scénario référence'!$B$17+'Scénario référence'!$B$18+'Scénario référence'!$B$9+'Scénario référence'!$B$10)*A155*10/30+('Scénario référence'!$F$8+'Scénario référence'!$F$9)*10)</f>
        <v>10</v>
      </c>
      <c r="EG155" s="151" t="str">
        <f>VLOOKUP(A155,'Données projet'!$A$191:$I$211,2,0)</f>
        <v>#N/A</v>
      </c>
      <c r="EH155" s="151" t="str">
        <f>VLOOKUP(A155,'Données projet'!$A$191:$I$211,9,0)</f>
        <v>#N/A</v>
      </c>
      <c r="EI155" s="151" t="str">
        <f t="array" ref="EI155">INDEX(EH:EH,MIN(IF(ISNUMBER(EH155:EH351),ROW(EH155:EH351),"")))</f>
        <v/>
      </c>
      <c r="EJ155" s="151">
        <f>IF('Données projet'!$A$192&gt;35,EJ154+EI155-ER154,IF(A155&lt;'Données projet'!$A$192,$EG$205^A155,IF(A155='Données projet'!$A$192,'Données projet'!$B$192,EJ154+EI155-ER154)))</f>
        <v>0</v>
      </c>
      <c r="EK155" s="158" t="str">
        <f>EJ155*VLOOKUP('Données projet'!$B$15,'Paramètres'!$A$1:$I$88,3,0)*VLOOKUP('Données projet'!$B$15,'Paramètres'!$A$1:$I$88,5,0)</f>
        <v>#N/A</v>
      </c>
      <c r="EL155" s="150" t="str">
        <f t="shared" si="46"/>
        <v>#N/A</v>
      </c>
      <c r="EM155" s="161" t="str">
        <f t="shared" si="20"/>
        <v>#N/A</v>
      </c>
      <c r="EN155" s="153" t="str">
        <f t="shared" si="21"/>
        <v>#N/A</v>
      </c>
      <c r="EO155" s="153" t="str">
        <f>AVERAGE(OFFSET($EN$3,0,0,'Données projet'!$E$15+1,1))-AVERAGE(OFFSET($H$3,0,0,'Données projet'!$E$15+1,1))</f>
        <v>#N/A</v>
      </c>
      <c r="EP155" s="153" t="str">
        <f t="shared" si="47"/>
        <v>#N/A</v>
      </c>
      <c r="EQ155" s="154">
        <f>IF(ISNA(VLOOKUP(A155,'Données projet'!$A$191:$I$211,3,0)),0,VLOOKUP(A155,'Données projet'!$A$191:$I$211,3,0))</f>
        <v>0</v>
      </c>
      <c r="ER155" s="154">
        <f>IF(ISNA(VLOOKUP(A155,'Données projet'!$A$191:$I$211,4,0)),0,VLOOKUP(A155,'Données projet'!$A$191:$I$211,4,0))</f>
        <v>0</v>
      </c>
      <c r="ES155" s="155">
        <f>IF(ISNA(VLOOKUP(A155,'Données projet'!$A$191:$I$211,5,0)),0%,VLOOKUP(A155,'Données projet'!$A$191:$I$211,5,0)*VLOOKUP('Données projet'!$B$15,'Paramètres'!$A$1:$I$88,7,0))</f>
        <v>0</v>
      </c>
      <c r="ET155" s="155">
        <f>IF(ISNA(VLOOKUP(A155,'Données projet'!$A$191:$I$211,6,0)),0%,VLOOKUP(A155,'Données projet'!$A$191:$I$211,6,0)*VLOOKUP('Données projet'!$B$15,'Paramètres'!$A$1:$I$88,7,0))</f>
        <v>0</v>
      </c>
      <c r="EU155" s="155">
        <f>IF(ISNA(VLOOKUP(A155,'Données projet'!$A$191:$I$211,7,0)),0%,VLOOKUP(A155,'Données projet'!$A$191:$I$211,7,0))</f>
        <v>0</v>
      </c>
      <c r="EV155" s="162" t="str">
        <f>EXP(-LN(2)/35)*EV154+(1-EXP(-LN(2)/35))/(LN(2)/35)*ER155*ES155*VLOOKUP('Données projet'!$B$15,'Paramètres'!$A$1:$I$88,3,0)*0.475*44/12</f>
        <v>#N/A</v>
      </c>
      <c r="EW155" s="162" t="str">
        <f>EXP(-LN(2)/25)*EW154+(1-EXP(-LN(2)/25))/(LN(2)/25)*Calculateur!ER155*Calculateur!ET155*VLOOKUP('Données projet'!$B$15,'Paramètres'!$A$1:$I$88,3,0)*0.475*44/12</f>
        <v>#N/A</v>
      </c>
      <c r="EX155" s="162" t="str">
        <f>EXP(-LN(2)/2)*EX154+(1-EXP(-LN(2)/2))/(LN(2)/2)*ER155*EU155*VLOOKUP('Données projet'!$B$15,'Paramètres'!$A$1:$I$88,3,0)*0.475*44/12</f>
        <v>#N/A</v>
      </c>
      <c r="EY155" s="163" t="str">
        <f t="shared" si="22"/>
        <v>#N/A</v>
      </c>
      <c r="EZ155" s="159">
        <f>('Scénario référence'!$F$8+'Scénario référence'!$F$9+'Scénario référence'!$B$17+'Scénario référence'!$B$9+'Scénario référence'!$B$10)*70+IF((45+25*(1-EXP(-0.0175*A155)))&lt;70,'Scénario référence'!$B$16*(45+25*(1-EXP(-0.0175*A155))),70*'Scénario référence'!$B$16)+IF((32+38*(1-EXP(-0.0175*A155)))&lt;70,'Scénario référence'!$B$18*(32+38*(1-EXP(-0.0175*A155))),70*'Scénario référence'!$B$18)</f>
        <v>70</v>
      </c>
      <c r="FA155" s="151">
        <f>IF(A155&gt;30,10,('Scénario référence'!$B$16+'Scénario référence'!$B$17+'Scénario référence'!$B$18+'Scénario référence'!$B$9+'Scénario référence'!$B$10)*A155*10/30+('Scénario référence'!$F$8+'Scénario référence'!$F$9)*10)</f>
        <v>10</v>
      </c>
      <c r="FB155" s="151" t="str">
        <f>VLOOKUP(A155,'Données projet'!$A$217:$I$237,2,0)</f>
        <v>#N/A</v>
      </c>
      <c r="FC155" s="151" t="str">
        <f>VLOOKUP(A155,'Données projet'!$A$217:$I$237,9,0)</f>
        <v>#N/A</v>
      </c>
      <c r="FD155" s="151" t="str">
        <f t="array" ref="FD155">INDEX(FC:FC,MIN(IF(ISNUMBER(FC155:FC351),ROW(FC155:FC351),"")))</f>
        <v/>
      </c>
      <c r="FE155" s="151">
        <f>IF('Données projet'!$A$218&gt;35,FE154+FD155-FM154,IF(A155&lt;'Données projet'!$A$218,$FB$205^A155,IF(A155='Données projet'!$A$218,'Données projet'!$B$218,FE154+FD155-FM154)))</f>
        <v>0</v>
      </c>
      <c r="FF155" s="158" t="str">
        <f>FE155*VLOOKUP('Données projet'!$B$16,'Paramètres'!$A$1:$I$88,3,0)*VLOOKUP('Données projet'!$B$16,'Paramètres'!$A$1:$I$88,5,0)</f>
        <v>#N/A</v>
      </c>
      <c r="FG155" s="150" t="str">
        <f t="shared" si="48"/>
        <v>#N/A</v>
      </c>
      <c r="FH155" s="161" t="str">
        <f t="shared" si="23"/>
        <v>#N/A</v>
      </c>
      <c r="FI155" s="153" t="str">
        <f t="shared" si="24"/>
        <v>#N/A</v>
      </c>
      <c r="FJ155" s="153" t="str">
        <f>AVERAGE(OFFSET($FI$3,0,0,'Données projet'!$E$16+1,1))-AVERAGE(OFFSET($H$3,0,0,'Données projet'!$E$16+1,1))</f>
        <v>#N/A</v>
      </c>
      <c r="FK155" s="153" t="str">
        <f t="shared" si="49"/>
        <v>#N/A</v>
      </c>
      <c r="FL155" s="154">
        <f>IF(ISNA(VLOOKUP(A155,'Données projet'!$A$217:$I$237,3,0)),0,VLOOKUP(A155,'Données projet'!$A$217:$I$237,3,0))</f>
        <v>0</v>
      </c>
      <c r="FM155" s="154">
        <f>IF(ISNA(VLOOKUP(A155,'Données projet'!$A$217:$I$237,4,0)),0,VLOOKUP(A155,'Données projet'!$A$217:$I$237,4,0))</f>
        <v>0</v>
      </c>
      <c r="FN155" s="155">
        <f>IF(ISNA(VLOOKUP(A155,'Données projet'!$A$217:$I$237,5,0)),0%,VLOOKUP(A155,'Données projet'!$A$217:$I$237,5,0)*VLOOKUP('Données projet'!$B$16,'Paramètres'!$A$1:$I$88,7,0))</f>
        <v>0</v>
      </c>
      <c r="FO155" s="155">
        <f>IF(ISNA(VLOOKUP(A155,'Données projet'!$A$217:$I$237,6,0)),0%,VLOOKUP(A155,'Données projet'!$A$217:$I$237,6,0)*VLOOKUP('Données projet'!$B$16,'Paramètres'!$A$1:$I$88,7,0))</f>
        <v>0</v>
      </c>
      <c r="FP155" s="155">
        <f>IF(ISNA(VLOOKUP(A155,'Données projet'!$A$217:$I$237,7,0)),0%,VLOOKUP(A155,'Données projet'!$A$217:$I$237,7,0))</f>
        <v>0</v>
      </c>
      <c r="FQ155" s="162" t="str">
        <f>EXP(-LN(2)/35)*FQ154+(1-EXP(-LN(2)/35))/(LN(2)/35)*FM155*FN155*VLOOKUP('Données projet'!$B$16,'Paramètres'!$A$1:$I$88,3,0)*0.475*44/12</f>
        <v>#N/A</v>
      </c>
      <c r="FR155" s="162" t="str">
        <f>EXP(-LN(2)/25)*FR154+(1-EXP(-LN(2)/25))/(LN(2)/25)*Calculateur!FM155*Calculateur!FO155*VLOOKUP('Données projet'!$B$16,'Paramètres'!$A$1:$I$88,3,0)*0.475*44/12</f>
        <v>#N/A</v>
      </c>
      <c r="FS155" s="162" t="str">
        <f>EXP(-LN(2)/2)*FS154+(1-EXP(-LN(2)/2))/(LN(2)/2)*FM155*FP155*VLOOKUP('Données projet'!$B$16,'Paramètres'!$A$1:$I$88,3,0)*0.475*44/12</f>
        <v>#N/A</v>
      </c>
      <c r="FT155" s="163" t="str">
        <f t="shared" si="25"/>
        <v>#N/A</v>
      </c>
      <c r="FU155" s="159">
        <f>('Scénario référence'!$F$8+'Scénario référence'!$F$9+'Scénario référence'!$B$17+'Scénario référence'!$B$9+'Scénario référence'!$B$10)*70+IF((45+25*(1-EXP(-0.0175*A155)))&lt;70,'Scénario référence'!$B$16*(45+25*(1-EXP(-0.0175*A155))),70*'Scénario référence'!$B$16)+IF((32+38*(1-EXP(-0.0175*A155)))&lt;70,'Scénario référence'!$B$18*(32+38*(1-EXP(-0.0175*A155))),70*'Scénario référence'!$B$18)</f>
        <v>70</v>
      </c>
      <c r="FV155" s="151">
        <f>IF(A155&gt;30,10,('Scénario référence'!$B$16+'Scénario référence'!$B$17+'Scénario référence'!$B$18+'Scénario référence'!$B$9+'Scénario référence'!$B$10)*A155*10/30+('Scénario référence'!$F$8+'Scénario référence'!$F$9)*10)</f>
        <v>10</v>
      </c>
      <c r="FW155" s="151" t="str">
        <f>VLOOKUP(A155,'Données projet'!$A$243:$I$263,2,0)</f>
        <v>#N/A</v>
      </c>
      <c r="FX155" s="151" t="str">
        <f>VLOOKUP(A155,'Données projet'!$A$243:$I$263,9,0)</f>
        <v>#N/A</v>
      </c>
      <c r="FY155" s="151" t="str">
        <f t="array" ref="FY155">INDEX(FX:FX,MIN(IF(ISNUMBER(FX155:FX351),ROW(FX155:FX351),"")))</f>
        <v/>
      </c>
      <c r="FZ155" s="151">
        <f>IF('Données projet'!$A$244&gt;35,FZ154+FY155-GH154,IF(A155&lt;'Données projet'!$A$244,$FW$205^A155,IF(A155='Données projet'!$A$244,'Données projet'!$B$244,FZ154+FY155-GH154)))</f>
        <v>0</v>
      </c>
      <c r="GA155" s="158" t="str">
        <f>FZ155*VLOOKUP('Données projet'!$B$17,'Paramètres'!$A$1:$I$88,3,0)*VLOOKUP('Données projet'!$B$17,'Paramètres'!$A$1:$I$88,5,0)</f>
        <v>#N/A</v>
      </c>
      <c r="GB155" s="150" t="str">
        <f t="shared" si="50"/>
        <v>#N/A</v>
      </c>
      <c r="GC155" s="161" t="str">
        <f t="shared" si="26"/>
        <v>#N/A</v>
      </c>
      <c r="GD155" s="153" t="str">
        <f t="shared" si="27"/>
        <v>#N/A</v>
      </c>
      <c r="GE155" s="153" t="str">
        <f>AVERAGE(OFFSET($GD$3,0,0,'Données projet'!$E$17+1,1))-AVERAGE(OFFSET($H$3,0,0,'Données projet'!$E$17+1,1))</f>
        <v>#N/A</v>
      </c>
      <c r="GF155" s="153" t="str">
        <f t="shared" si="51"/>
        <v>#N/A</v>
      </c>
      <c r="GG155" s="154">
        <f>IF(ISNA(VLOOKUP(A155,'Données projet'!$A$243:$I$263,3,0)),0,VLOOKUP(A155,'Données projet'!$A$243:$I$263,3,0))</f>
        <v>0</v>
      </c>
      <c r="GH155" s="154">
        <f>IF(ISNA(VLOOKUP(A155,'Données projet'!$A$243:$I$263,4,0)),0,VLOOKUP(A155,'Données projet'!$A$243:$I$263,4,0))</f>
        <v>0</v>
      </c>
      <c r="GI155" s="155">
        <f>IF(ISNA(VLOOKUP(A155,'Données projet'!$A$243:$I$263,5,0)),0%,VLOOKUP(A155,'Données projet'!$A$243:$I$263,5,0)*VLOOKUP('Données projet'!$B$17,'Paramètres'!$A$1:$I$88,7,0))</f>
        <v>0</v>
      </c>
      <c r="GJ155" s="155">
        <f>IF(ISNA(VLOOKUP(A155,'Données projet'!$A$243:$I$263,6,0)),0%,VLOOKUP(A155,'Données projet'!$A$243:$I$263,6,0)*VLOOKUP('Données projet'!$B$17,'Paramètres'!$A$1:$I$88,7,0))</f>
        <v>0</v>
      </c>
      <c r="GK155" s="155">
        <f>IF(ISNA(VLOOKUP(A155,'Données projet'!$A$243:$I$263,7,0)),0%,VLOOKUP(A155,'Données projet'!$A$243:$I$263,7,0))</f>
        <v>0</v>
      </c>
      <c r="GL155" s="162" t="str">
        <f>EXP(-LN(2)/35)*GL154+(1-EXP(-LN(2)/35))/(LN(2)/35)*GH155*GI155*VLOOKUP('Données projet'!$B$17,'Paramètres'!$A$1:$I$88,3,0)*0.475*44/12</f>
        <v>#N/A</v>
      </c>
      <c r="GM155" s="162" t="str">
        <f>EXP(-LN(2)/25)*GM154+(1-EXP(-LN(2)/25))/(LN(2)/25)*Calculateur!GH155*Calculateur!GJ155*VLOOKUP('Données projet'!$B$17,'Paramètres'!$A$1:$I$88,3,0)*0.475*44/12</f>
        <v>#N/A</v>
      </c>
      <c r="GN155" s="162" t="str">
        <f>EXP(-LN(2)/2)*GN154+(1-EXP(-LN(2)/2))/(LN(2)/2)*GH155*GK155*VLOOKUP('Données projet'!$B$17,'Paramètres'!$A$1:$I$88,3,0)*0.475*44/12</f>
        <v>#N/A</v>
      </c>
      <c r="GO155" s="162" t="str">
        <f t="shared" si="28"/>
        <v>#N/A</v>
      </c>
      <c r="GP155" s="159">
        <f>('Scénario référence'!$F$8+'Scénario référence'!$F$9+'Scénario référence'!$B$17+'Scénario référence'!$B$9+'Scénario référence'!$B$10)*70+IF((45+25*(1-EXP(-0.0175*A155)))&lt;70,'Scénario référence'!$B$16*(45+25*(1-EXP(-0.0175*A155))),70*'Scénario référence'!$B$16)+IF((32+38*(1-EXP(-0.0175*A155)))&lt;70,'Scénario référence'!$B$18*(32+38*(1-EXP(-0.0175*A155))),70*'Scénario référence'!$B$18)</f>
        <v>70</v>
      </c>
      <c r="GQ155" s="151">
        <f>IF(A155&gt;30,10,('Scénario référence'!$B$16+'Scénario référence'!$B$17+'Scénario référence'!$B$18+'Scénario référence'!$B$9+'Scénario référence'!$B$10)*A155*10/30+('Scénario référence'!$F$8+'Scénario référence'!$F$9)*10)</f>
        <v>10</v>
      </c>
      <c r="GR155" s="151" t="str">
        <f>VLOOKUP(A155,'Données projet'!$A$269:$I$289,2,0)</f>
        <v>#N/A</v>
      </c>
      <c r="GS155" s="151" t="str">
        <f>VLOOKUP(A155,'Données projet'!$A$269:$I$289,9,0)</f>
        <v>#N/A</v>
      </c>
      <c r="GT155" s="151" t="str">
        <f t="array" ref="GT155">INDEX(GS:GS,MIN(IF(ISNUMBER(GS155:GS351),ROW(GS155:GS351),"")))</f>
        <v/>
      </c>
      <c r="GU155" s="151">
        <f>IF('Données projet'!$A$270&gt;35,GU154+GT155-HC154,IF(A155&lt;'Données projet'!$A$270,$GR$205^A155,IF(A155='Données projet'!$A$270,'Données projet'!$B$270,GU154+GT155-HC154)))</f>
        <v>0</v>
      </c>
      <c r="GV155" s="158" t="str">
        <f>GU155*VLOOKUP('Données projet'!$B$18,'Paramètres'!$A$1:$I$88,3,0)*VLOOKUP('Données projet'!$B$18,'Paramètres'!$A$1:$I$88,5,0)</f>
        <v>#N/A</v>
      </c>
      <c r="GW155" s="150" t="str">
        <f t="shared" si="52"/>
        <v>#N/A</v>
      </c>
      <c r="GX155" s="161" t="str">
        <f t="shared" si="29"/>
        <v>#N/A</v>
      </c>
      <c r="GY155" s="153" t="str">
        <f t="shared" si="30"/>
        <v>#N/A</v>
      </c>
      <c r="GZ155" s="153" t="str">
        <f>AVERAGE(OFFSET($GY$3,0,0,'Données projet'!$E$18+1,1))-AVERAGE(OFFSET($H$3,0,0,'Données projet'!$E$18+1,1))</f>
        <v>#N/A</v>
      </c>
      <c r="HA155" s="153" t="str">
        <f t="shared" si="53"/>
        <v>#N/A</v>
      </c>
      <c r="HB155" s="154">
        <f>IF(ISNA(VLOOKUP(A155,'Données projet'!$A$269:$I$289,3,0)),0,VLOOKUP(A155,'Données projet'!$A$269:$I$289,3,0))</f>
        <v>0</v>
      </c>
      <c r="HC155" s="154">
        <f>IF(ISNA(VLOOKUP(A155,'Données projet'!$A$269:$I$289,4,0)),0,VLOOKUP(A155,'Données projet'!$A$269:$I$289,4,0))</f>
        <v>0</v>
      </c>
      <c r="HD155" s="155">
        <f>IF(ISNA(VLOOKUP(A155,'Données projet'!$A$269:$I$289,5,0)),0%,VLOOKUP(A155,'Données projet'!$A$269:$I$289,5,0)*VLOOKUP('Données projet'!$B$18,'Paramètres'!$A$1:$I$88,7,0))</f>
        <v>0</v>
      </c>
      <c r="HE155" s="155">
        <f>IF(ISNA(VLOOKUP(A155,'Données projet'!$A$269:$I$289,6,0)),0%,VLOOKUP(A155,'Données projet'!$A$269:$I$289,6,0)*VLOOKUP('Données projet'!$B$18,'Paramètres'!$A$1:$I$88,7,0))</f>
        <v>0</v>
      </c>
      <c r="HF155" s="155">
        <f>IF(ISNA(VLOOKUP(A155,'Données projet'!$A$269:$I$289,7,0)),0%,VLOOKUP(A155,'Données projet'!$A$269:$I$289,7,0))</f>
        <v>0</v>
      </c>
      <c r="HG155" s="162" t="str">
        <f>EXP(-LN(2)/35)*HG154+(1-EXP(-LN(2)/35))/(LN(2)/35)*HC155*HD155*VLOOKUP('Données projet'!$B$18,'Paramètres'!$A$1:$I$88,3,0)*0.475*44/12</f>
        <v>#N/A</v>
      </c>
      <c r="HH155" s="162" t="str">
        <f>EXP(-LN(2)/25)*HH154+(1-EXP(-LN(2)/25))/(LN(2)/25)*Calculateur!HC155*Calculateur!HE155*VLOOKUP('Données projet'!$B$18,'Paramètres'!$A$1:$I$88,3,0)*0.475*44/12</f>
        <v>#N/A</v>
      </c>
      <c r="HI155" s="162" t="str">
        <f>EXP(-LN(2)/2)*HI154+(1-EXP(-LN(2)/2))/(LN(2)/2)*HC155*HF155*VLOOKUP('Données projet'!$B$18,'Paramètres'!$A$1:$I$88,3,0)*0.475*44/12</f>
        <v>#N/A</v>
      </c>
      <c r="HJ155" s="163" t="str">
        <f t="shared" si="31"/>
        <v>#N/A</v>
      </c>
    </row>
    <row r="156" ht="15.75" customHeight="1">
      <c r="A156" s="145">
        <f t="shared" si="32"/>
        <v>153</v>
      </c>
      <c r="B156" s="146">
        <f>'Scénario référence'!$B$16*5+'Scénario référence'!$B$17*0+'Scénario référence'!$B$18*5</f>
        <v>0</v>
      </c>
      <c r="C156" s="160">
        <f>Calculateur!C155+'Scénario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56" s="147">
        <f t="shared" si="33"/>
        <v>0</v>
      </c>
      <c r="E156" s="147">
        <f>'Scénario référence'!$B$16*45+('Scénario référence'!$B$17+'Scénario référence'!$F$8+'Scénario référence'!$F$9+'Scénario référence'!$B$10+'Scénario référence'!$B$9)*70+'Scénario référence'!$B$18*32</f>
        <v>70</v>
      </c>
      <c r="F156" s="147">
        <f>IF(OR('Scénario référence'!$F$8&gt;0,'Scénario référence'!$F$9&gt;0),('Scénario référence'!$F$8+'Scénario référence'!$F$9)*10,0)</f>
        <v>0</v>
      </c>
      <c r="G156" s="147">
        <f>'Scénario référence'!$B$8*B156*44/12+'Scénario référence'!$B$9*(C156+D156)/0.475*44/12+'Scénario référence'!$B$10*(C156+D156)/0.475*44/12+'Scénario référence'!$F$8*(C156+D156)/0.475*44/12+'Scénario référence'!$F$9*(C156+D156)/0.475*44/12</f>
        <v>0</v>
      </c>
      <c r="H156" s="148">
        <f t="shared" si="1"/>
        <v>256.6666667</v>
      </c>
      <c r="I156" s="149">
        <f>('Scénario référence'!$F$8+'Scénario référence'!$F$9+'Scénario référence'!$B$17+'Scénario référence'!$B$9+'Scénario référence'!$B$10)*70+IF((45+25*(1-EXP(-0.0175*A156)))&lt;70,'Scénario référence'!$B$16*(45+25*(1-EXP(-0.0175*A156))),70*'Scénario référence'!$B$16)+IF((32+38*(1-EXP(-0.0175*A156)))&lt;70,'Scénario référence'!$B$18*(32+38*(1-EXP(-0.0175*A156))),70*'Scénario référence'!$B$18)</f>
        <v>70</v>
      </c>
      <c r="J156" s="150">
        <f>IF(A156&gt;30,10,('Scénario référence'!$B$16+'Scénario référence'!$B$17+'Scénario référence'!$B$18+'Scénario référence'!$B$9+'Scénario référence'!$B$10)*A156*10/30+('Scénario référence'!$F$8+'Scénario référence'!$F$9)*10)</f>
        <v>10</v>
      </c>
      <c r="K156" s="151" t="str">
        <f>VLOOKUP(A156,'Données projet'!$A$35:$I$55,2,0)</f>
        <v>#N/A</v>
      </c>
      <c r="L156" s="151" t="str">
        <f>VLOOKUP(A156,'Données projet'!$A$35:$I$55,9,0)</f>
        <v>#N/A</v>
      </c>
      <c r="M156" s="151" t="str">
        <f t="array" ref="M156">INDEX(L:L,MIN(IF(ISNUMBER(L156:L352),ROW(L156:L352),"")))</f>
        <v/>
      </c>
      <c r="N156" s="150">
        <f>IF('Données projet'!$A$36&gt;35,N155+M156-V155,IF(A156&lt;'Données projet'!$A$36,$K$205^A156,IF(A156='Données projet'!$A$36,'Données projet'!$B$36,N155+M156-V155)))</f>
        <v>307</v>
      </c>
      <c r="O156" s="150">
        <f>N156*VLOOKUP('Données projet'!$B$9,'Paramètres'!$A$1:$I$88,3,0)*VLOOKUP('Données projet'!$B$9,'Paramètres'!$A$1:$I$88,5,0)</f>
        <v>277.7736</v>
      </c>
      <c r="P156" s="150">
        <f t="shared" si="34"/>
        <v>66.49628818</v>
      </c>
      <c r="Q156" s="161">
        <f t="shared" si="2"/>
        <v>599.6033886</v>
      </c>
      <c r="R156" s="153">
        <f t="shared" si="3"/>
        <v>892.9367219</v>
      </c>
      <c r="S156" s="153">
        <f>AVERAGE(OFFSET($R$3,0,0,'Données projet'!$E$9+1,1))-AVERAGE(OFFSET($H$3,0,0,'Données projet'!$E$9+1,1))</f>
        <v>439.1985427</v>
      </c>
      <c r="T156" s="153">
        <f t="shared" si="35"/>
        <v>278.2174123</v>
      </c>
      <c r="U156" s="154">
        <f>IF(ISNA(VLOOKUP(A156,'Données projet'!$A$35:$I$55,3,0)),0,VLOOKUP(A156,'Données projet'!$A$35:$I$55,3,0))</f>
        <v>0</v>
      </c>
      <c r="V156" s="154">
        <f>IF(ISNA(VLOOKUP(A156,'Données projet'!$A$35:$I$55,4,0)),0,VLOOKUP(A156,'Données projet'!$A$35:$I$55,4,0))</f>
        <v>0</v>
      </c>
      <c r="W156" s="155">
        <f>IF(ISNA(VLOOKUP(A156,'Données projet'!$A$35:$I$55,5,0)),0%,VLOOKUP(A156,'Données projet'!$A$35:$I$55,5,0)*VLOOKUP('Données projet'!$B$9,'Paramètres'!$A$1:$I$88,7,0))</f>
        <v>0</v>
      </c>
      <c r="X156" s="155">
        <f>IF(ISNA(VLOOKUP(A156,'Données projet'!$A$35:$I$55,6,0)),0%,VLOOKUP(A156,'Données projet'!$A$35:$I$55,6,0)*VLOOKUP('Données projet'!$B$9,'Paramètres'!$A$1:$I$88,7,0))</f>
        <v>0</v>
      </c>
      <c r="Y156" s="155">
        <f>IF(ISNA(VLOOKUP(A156,'Données projet'!$A$35:$I$55,7,0)),0%,VLOOKUP(A156,'Données projet'!$A$35:$I$55,7,0))</f>
        <v>0</v>
      </c>
      <c r="Z156" s="162">
        <f>EXP(-LN(2)/35)*Z155+(1-EXP(-LN(2)/35))/(LN(2)/35)*V156*W156*VLOOKUP('Données projet'!$B$9,'Paramètres'!$A$1:$I$88,3,0)*0.475*44/12</f>
        <v>0</v>
      </c>
      <c r="AA156" s="162">
        <f>EXP(-LN(2)/25)*AA155+(1-EXP(-LN(2)/25))/(LN(2)/25)*Calculateur!V156*Calculateur!X156*VLOOKUP('Données projet'!$B$9,'Paramètres'!$A$1:$I$88,3,0)*0.475*44/12</f>
        <v>0.1482329325</v>
      </c>
      <c r="AB156" s="162">
        <f>EXP(-LN(2)/2)*AB155+(1-EXP(-LN(2)/2))/(LN(2)/2)*V156*Y156*VLOOKUP('Données projet'!$B$9,'Paramètres'!$A$1:$I$88,3,0)*0.475*44/12</f>
        <v>0</v>
      </c>
      <c r="AC156" s="163">
        <f t="shared" si="4"/>
        <v>0.1482329325</v>
      </c>
      <c r="AD156" s="150">
        <f>('Scénario référence'!$F$8+'Scénario référence'!$F$9+'Scénario référence'!$B$17+'Scénario référence'!$B$9+'Scénario référence'!$B$10)*70+IF((45+25*(1-EXP(-0.0175*A156)))&lt;70,'Scénario référence'!$B$16*(45+25*(1-EXP(-0.0175*A156))),70*'Scénario référence'!$B$16)+IF((32+38*(1-EXP(-0.0175*A156)))&lt;70,'Scénario référence'!$B$18*(32+38*(1-EXP(-0.0175*A156))),70*'Scénario référence'!$B$18)</f>
        <v>70</v>
      </c>
      <c r="AE156" s="150">
        <f>IF(A156&gt;30,10,('Scénario référence'!$B$16+'Scénario référence'!$B$17+'Scénario référence'!$B$18+'Scénario référence'!$B$9+'Scénario référence'!$B$10)*A156*10/30+('Scénario référence'!$F$8+'Scénario référence'!$F$9)*10)</f>
        <v>10</v>
      </c>
      <c r="AF156" s="151" t="str">
        <f>VLOOKUP(A156,'Données projet'!$A$61:$I$81,2,0)</f>
        <v>#N/A</v>
      </c>
      <c r="AG156" s="151" t="str">
        <f>VLOOKUP(A156,'Données projet'!$A$61:$I$81,9,0)</f>
        <v>#N/A</v>
      </c>
      <c r="AH156" s="151" t="str">
        <f t="array" ref="AH156">INDEX(AG:AG,MIN(IF(ISNUMBER(AG156:AG352),ROW(AG156:AG352),"")))</f>
        <v/>
      </c>
      <c r="AI156" s="150">
        <f>IF('Données projet'!$A$62&gt;35,AI155+AH156-AQ155,IF(A156&lt;'Données projet'!$A$62,$AF$205^A156,IF(A156='Données projet'!$A$62,'Données projet'!$B$62,AI155+AH156-AQ155)))</f>
        <v>369</v>
      </c>
      <c r="AJ156" s="150">
        <f>AI156*VLOOKUP('Données projet'!$B$10,'Paramètres'!$A$1:$I$88,3,0)*VLOOKUP('Données projet'!$B$10,'Paramètres'!$A$1:$I$88,5,0)</f>
        <v>293.5764</v>
      </c>
      <c r="AK156" s="150">
        <f t="shared" si="36"/>
        <v>69.82813851</v>
      </c>
      <c r="AL156" s="161">
        <f t="shared" si="5"/>
        <v>632.9295712</v>
      </c>
      <c r="AM156" s="153">
        <f t="shared" si="6"/>
        <v>926.2629046</v>
      </c>
      <c r="AN156" s="153">
        <f>AVERAGE(OFFSET($AM$3,0,0,'Données projet'!$E$10+1,1))-AVERAGE(OFFSET($H$3,0,0,'Données projet'!$E$10+1,1))</f>
        <v>405.6113614</v>
      </c>
      <c r="AO156" s="153">
        <f t="shared" si="37"/>
        <v>393.0787141</v>
      </c>
      <c r="AP156" s="154">
        <f>IF(ISNA(VLOOKUP(A156,'Données projet'!$A$61:$I$81,3,0)),0,VLOOKUP(A156,'Données projet'!$A$61:$I$81,3,0))</f>
        <v>0</v>
      </c>
      <c r="AQ156" s="154">
        <f>IF(ISNA(VLOOKUP(A156,'Données projet'!$A$61:$I$81,4,0)),0,VLOOKUP(A156,'Données projet'!$A$61:$I$81,4,0))</f>
        <v>0</v>
      </c>
      <c r="AR156" s="155">
        <f>IF(ISNA(VLOOKUP(A156,'Données projet'!$A$61:$I$81,5,0)),0%,VLOOKUP(A156,'Données projet'!$A$61:$I$81,5,0)*VLOOKUP('Données projet'!$B$10,'Paramètres'!$A$1:$I$88,7,0))</f>
        <v>0</v>
      </c>
      <c r="AS156" s="155">
        <f>IF(ISNA(VLOOKUP(A156,'Données projet'!$A$61:$I$81,6,0)),0%,VLOOKUP(A156,'Données projet'!$A$61:$I$81,6,0)*VLOOKUP('Données projet'!$B$10,'Paramètres'!$A$1:$I$88,7,0))</f>
        <v>0</v>
      </c>
      <c r="AT156" s="155">
        <f>IF(ISNA(VLOOKUP(A156,'Données projet'!$A$61:$I$81,7,0)),0%,VLOOKUP(A156,'Données projet'!$A$61:$I$81,7,0))</f>
        <v>0</v>
      </c>
      <c r="AU156" s="162">
        <f>EXP(-LN(2)/35)*AU155+(1-EXP(-LN(2)/35))/(LN(2)/35)*AQ156*AR156*VLOOKUP('Données projet'!$B$10,'Paramètres'!$A$1:$I$88,3,0)*0.475*44/12</f>
        <v>0</v>
      </c>
      <c r="AV156" s="162">
        <f>EXP(-LN(2)/25)*AV155+(1-EXP(-LN(2)/25))/(LN(2)/25)*Calculateur!AQ156*Calculateur!AS156*VLOOKUP('Données projet'!$B$10,'Paramètres'!$A$1:$I$88,3,0)*0.475*44/12</f>
        <v>0.6024563199</v>
      </c>
      <c r="AW156" s="162">
        <f>EXP(-LN(2)/2)*AW155+(1-EXP(-LN(2)/2))/(LN(2)/2)*AQ156*AT156*VLOOKUP('Données projet'!$B$10,'Paramètres'!$A$1:$I$88,3,0)*0.475*44/12</f>
        <v>0</v>
      </c>
      <c r="AX156" s="162">
        <f t="shared" si="7"/>
        <v>0.6024563199</v>
      </c>
      <c r="AY156" s="157">
        <f>('Scénario référence'!$F$8+'Scénario référence'!$F$9+'Scénario référence'!$B$17+'Scénario référence'!$B$9+'Scénario référence'!$B$10)*70+IF((45+25*(1-EXP(-0.0175*A156)))&lt;70,'Scénario référence'!$B$16*(45+25*(1-EXP(-0.0175*A156))),70*'Scénario référence'!$B$16)+IF((32+38*(1-EXP(-0.0175*A156)))&lt;70,'Scénario référence'!$B$18*(32+38*(1-EXP(-0.0175*A156))),70*'Scénario référence'!$B$18)</f>
        <v>70</v>
      </c>
      <c r="AZ156" s="151">
        <f>IF(A156&gt;30,10,('Scénario référence'!$B$16+'Scénario référence'!$B$17+'Scénario référence'!$B$18+'Scénario référence'!$B$9+'Scénario référence'!$B$10)*A156*10/30+('Scénario référence'!$F$8+'Scénario référence'!$F$9)*10)</f>
        <v>10</v>
      </c>
      <c r="BA156" s="151" t="str">
        <f>VLOOKUP(A156,'Données projet'!$A$87:$I$107,2,0)</f>
        <v>#N/A</v>
      </c>
      <c r="BB156" s="151" t="str">
        <f>VLOOKUP(A156,'Données projet'!$A$87:$I$107,9,0)</f>
        <v>#N/A</v>
      </c>
      <c r="BC156" s="151" t="str">
        <f t="array" ref="BC156">INDEX(BB:BB,MIN(IF(ISNUMBER(BB156:BB352),ROW(BB156:BB352),"")))</f>
        <v/>
      </c>
      <c r="BD156" s="150">
        <f>IF('Données projet'!$A$88&gt;35,BD155+BC156-BL155,IF(A156&lt;'Données projet'!$A$88,$BA$205^A156,IF(A156='Données projet'!$A$88,'Données projet'!$B$88,BD155+BC156-BL155)))</f>
        <v>0</v>
      </c>
      <c r="BE156" s="150">
        <f>BD156*VLOOKUP('Données projet'!$B$11,'Paramètres'!$A$1:$I$88,3,0)*VLOOKUP('Données projet'!$B$11,'Paramètres'!$A$1:$I$88,5,0)</f>
        <v>0</v>
      </c>
      <c r="BF156" s="150" t="str">
        <f t="shared" si="38"/>
        <v>#NUM!</v>
      </c>
      <c r="BG156" s="161" t="str">
        <f t="shared" si="8"/>
        <v>#NUM!</v>
      </c>
      <c r="BH156" s="153" t="str">
        <f t="shared" si="9"/>
        <v>#NUM!</v>
      </c>
      <c r="BI156" s="153">
        <f>AVERAGE(OFFSET($BH$3,0,0,'Données projet'!$E$11+1,1))-AVERAGE(OFFSET($H$3,0,0,'Données projet'!$E$11+1,1))</f>
        <v>0</v>
      </c>
      <c r="BJ156" s="153">
        <f t="shared" si="39"/>
        <v>0</v>
      </c>
      <c r="BK156" s="154">
        <f>IF(ISNA(VLOOKUP(A156,'Données projet'!$A$87:$I$107,3,0)),0,VLOOKUP(A156,'Données projet'!$A$87:$I$107,3,0))</f>
        <v>0</v>
      </c>
      <c r="BL156" s="154">
        <f>IF(ISNA(VLOOKUP(A156,'Données projet'!$A$87:$I$107,4,0)),0,VLOOKUP(A156,'Données projet'!$A$87:$I$107,4,0))</f>
        <v>0</v>
      </c>
      <c r="BM156" s="155">
        <f>IF(ISNA(VLOOKUP(A156,'Données projet'!$A$87:$I$107,5,0)),0%,VLOOKUP(A156,'Données projet'!$A$87:$I$107,5,0)*VLOOKUP('Données projet'!$B$11,'Paramètres'!$A$1:$I$88,7,0))</f>
        <v>0</v>
      </c>
      <c r="BN156" s="155">
        <f>IF(ISNA(VLOOKUP(A156,'Données projet'!$A$87:$I$107,6,0)),0%,VLOOKUP(A156,'Données projet'!$A$87:$I$107,6,0)*VLOOKUP('Données projet'!$B$11,'Paramètres'!$A$1:$I$88,7,0))</f>
        <v>0</v>
      </c>
      <c r="BO156" s="155">
        <f>IF(ISNA(VLOOKUP(A156,'Données projet'!$A$87:$I$107,7,0)),0%,VLOOKUP(A156,'Données projet'!$A$87:$I$107,7,0))</f>
        <v>0</v>
      </c>
      <c r="BP156" s="162">
        <f>EXP(-LN(2)/35)*BP155+(1-EXP(-LN(2)/35))/(LN(2)/35)*BL156*BM156*VLOOKUP('Données projet'!$B$11,'Paramètres'!$A$1:$I$88,3,0)*0.475*44/12</f>
        <v>0</v>
      </c>
      <c r="BQ156" s="162">
        <f>EXP(-LN(2)/25)*BQ155+(1-EXP(-LN(2)/25))/(LN(2)/25)*Calculateur!BL156*Calculateur!BN156*VLOOKUP('Données projet'!$B$11,'Paramètres'!$A$1:$I$88,3,0)*0.475*44/12</f>
        <v>0</v>
      </c>
      <c r="BR156" s="162">
        <f>EXP(-LN(2)/2)*BR155+(1-EXP(-LN(2)/2))/(LN(2)/2)*BL156*BO156*VLOOKUP('Données projet'!$B$11,'Paramètres'!$A$1:$I$88,3,0)*0.475*44/12</f>
        <v>0</v>
      </c>
      <c r="BS156" s="163">
        <f t="shared" si="10"/>
        <v>0</v>
      </c>
      <c r="BT156" s="159">
        <f>('Scénario référence'!$F$8+'Scénario référence'!$F$9+'Scénario référence'!$B$17+'Scénario référence'!$B$9+'Scénario référence'!$B$10)*70+IF((45+25*(1-EXP(-0.0175*A156)))&lt;70,'Scénario référence'!$B$16*(45+25*(1-EXP(-0.0175*A156))),70*'Scénario référence'!$B$16)+IF((32+38*(1-EXP(-0.0175*A156)))&lt;70,'Scénario référence'!$B$18*(32+38*(1-EXP(-0.0175*A156))),70*'Scénario référence'!$B$18)</f>
        <v>70</v>
      </c>
      <c r="BU156" s="151">
        <f>IF(A156&gt;30,10,('Scénario référence'!$B$16+'Scénario référence'!$B$17+'Scénario référence'!$B$18+'Scénario référence'!$B$9+'Scénario référence'!$B$10)*A156*10/30+('Scénario référence'!$F$8+'Scénario référence'!$F$9)*10)</f>
        <v>10</v>
      </c>
      <c r="BV156" s="151" t="str">
        <f>VLOOKUP(A156,'Données projet'!$A$113:$I$133,2,0)</f>
        <v>#N/A</v>
      </c>
      <c r="BW156" s="151" t="str">
        <f>VLOOKUP(A156,'Données projet'!$A$113:$I$133,9,0)</f>
        <v>#N/A</v>
      </c>
      <c r="BX156" s="151" t="str">
        <f t="array" ref="BX156">INDEX(BW:BW,MIN(IF(ISNUMBER(BW156:BW352),ROW(BW156:BW352),"")))</f>
        <v/>
      </c>
      <c r="BY156" s="150">
        <f>IF('Données projet'!$A$114&gt;35,BY155+BX156-CG155,IF(A156&lt;'Données projet'!$A$114,$BV$205^A156,IF(A156='Données projet'!$A$114,'Données projet'!$B$114,BY155+BX156-CG155)))</f>
        <v>0</v>
      </c>
      <c r="BZ156" s="150" t="str">
        <f>BY156*VLOOKUP('Données projet'!$B$12,'Paramètres'!$A$1:$I$88,3,0)*VLOOKUP('Données projet'!$B$12,'Paramètres'!$A$1:$I$88,5,0)</f>
        <v>#N/A</v>
      </c>
      <c r="CA156" s="150" t="str">
        <f t="shared" si="40"/>
        <v>#N/A</v>
      </c>
      <c r="CB156" s="161" t="str">
        <f t="shared" si="11"/>
        <v>#N/A</v>
      </c>
      <c r="CC156" s="153" t="str">
        <f t="shared" si="12"/>
        <v>#N/A</v>
      </c>
      <c r="CD156" s="153" t="str">
        <f>AVERAGE(OFFSET($CC$3,0,0,'Données projet'!$E$12+1,1))-AVERAGE(OFFSET($H$3,0,0,'Données projet'!$E$12+1,1))</f>
        <v>#N/A</v>
      </c>
      <c r="CE156" s="153" t="str">
        <f t="shared" si="41"/>
        <v>#N/A</v>
      </c>
      <c r="CF156" s="154">
        <f>IF(ISNA(VLOOKUP(A156,'Données projet'!$A$113:$I$133,3,0)),0,VLOOKUP(A156,'Données projet'!$A$113:$I$133,3,0))</f>
        <v>0</v>
      </c>
      <c r="CG156" s="154">
        <f>IF(ISNA(VLOOKUP(A156,'Données projet'!$A$113:$I$133,4,0)),0,VLOOKUP(A156,'Données projet'!$A$113:$I$133,4,0))</f>
        <v>0</v>
      </c>
      <c r="CH156" s="155">
        <f>IF(ISNA(VLOOKUP(A156,'Données projet'!$A$113:$I$133,5,0)),0%,VLOOKUP(A156,'Données projet'!$A$113:$I$133,5,0)*VLOOKUP('Données projet'!$B$12,'Paramètres'!$A$1:$I$88,7,0))</f>
        <v>0</v>
      </c>
      <c r="CI156" s="155">
        <f>IF(ISNA(VLOOKUP(A156,'Données projet'!$A$113:$I$133,6,0)),0%,VLOOKUP(A156,'Données projet'!$A$113:$I$133,6,0)*VLOOKUP('Données projet'!$B$12,'Paramètres'!$A$1:$I$88,7,0))</f>
        <v>0</v>
      </c>
      <c r="CJ156" s="155">
        <f>IF(ISNA(VLOOKUP(A156,'Données projet'!$A$113:$I$133,7,0)),0%,VLOOKUP(A156,'Données projet'!$A$113:$I$133,7,0))</f>
        <v>0</v>
      </c>
      <c r="CK156" s="162" t="str">
        <f>EXP(-LN(2)/35)*CK155+(1-EXP(-LN(2)/35))/(LN(2)/35)*CG156*CH156*VLOOKUP('Données projet'!$B$12,'Paramètres'!$A$1:$I$88,3,0)*0.475*44/12</f>
        <v>#N/A</v>
      </c>
      <c r="CL156" s="162" t="str">
        <f>EXP(-LN(2)/25)*CL155+(1-EXP(-LN(2)/25))/(LN(2)/25)*Calculateur!CG156*Calculateur!CI156*VLOOKUP('Données projet'!$B$12,'Paramètres'!$A$1:$I$88,3,0)*0.475*44/12</f>
        <v>#N/A</v>
      </c>
      <c r="CM156" s="162" t="str">
        <f>EXP(-LN(2)/2)*CM155+(1-EXP(-LN(2)/2))/(LN(2)/2)*CG156*CJ156*VLOOKUP('Données projet'!$B$12,'Paramètres'!$A$1:$I$88,3,0)*0.475*44/12</f>
        <v>#N/A</v>
      </c>
      <c r="CN156" s="163" t="str">
        <f t="shared" si="13"/>
        <v>#N/A</v>
      </c>
      <c r="CO156" s="159">
        <f>('Scénario référence'!$F$8+'Scénario référence'!$F$9+'Scénario référence'!$B$17+'Scénario référence'!$B$9+'Scénario référence'!$B$10)*70+IF((45+25*(1-EXP(-0.0175*A156)))&lt;70,'Scénario référence'!$B$16*(45+25*(1-EXP(-0.0175*A156))),70*'Scénario référence'!$B$16)+IF((32+38*(1-EXP(-0.0175*A156)))&lt;70,'Scénario référence'!$B$18*(32+38*(1-EXP(-0.0175*A156))),70*'Scénario référence'!$B$18)</f>
        <v>70</v>
      </c>
      <c r="CP156" s="151">
        <f>IF(A156&gt;30,10,('Scénario référence'!$B$16+'Scénario référence'!$B$17+'Scénario référence'!$B$18+'Scénario référence'!$B$9+'Scénario référence'!$B$10)*A156*10/30+('Scénario référence'!$F$8+'Scénario référence'!$F$9)*10)</f>
        <v>10</v>
      </c>
      <c r="CQ156" s="151" t="str">
        <f>VLOOKUP(A156,'Données projet'!$A$139:$I$159,2,0)</f>
        <v>#N/A</v>
      </c>
      <c r="CR156" s="151" t="str">
        <f>VLOOKUP(A156,'Données projet'!$A$139:$I$159,9,0)</f>
        <v>#N/A</v>
      </c>
      <c r="CS156" s="151" t="str">
        <f t="array" ref="CS156">INDEX(CR:CR,MIN(IF(ISNUMBER(CR156:CR352),ROW(CR156:CR352),"")))</f>
        <v/>
      </c>
      <c r="CT156" s="151">
        <f>IF('Données projet'!$A$140&gt;35,CT155+CS156-DB155,IF(A156&lt;'Données projet'!$A$140,$CQ$205^A156,IF(A156='Données projet'!$A$140,'Données projet'!$B$140,CT155+CS156-DB155)))</f>
        <v>0</v>
      </c>
      <c r="CU156" s="158" t="str">
        <f>CT156*VLOOKUP('Données projet'!$B$13,'Paramètres'!$A$1:$I$88,3,0)*VLOOKUP('Données projet'!$B$13,'Paramètres'!$A$1:$I$88,5,0)</f>
        <v>#N/A</v>
      </c>
      <c r="CV156" s="150" t="str">
        <f t="shared" si="42"/>
        <v>#N/A</v>
      </c>
      <c r="CW156" s="161" t="str">
        <f t="shared" si="14"/>
        <v>#N/A</v>
      </c>
      <c r="CX156" s="153" t="str">
        <f t="shared" si="15"/>
        <v>#N/A</v>
      </c>
      <c r="CY156" s="153" t="str">
        <f>AVERAGE(OFFSET($CX$3,0,0,'Données projet'!$E$13+1,1))-AVERAGE(OFFSET($H$3,0,0,'Données projet'!$E$13+1,1))</f>
        <v>#N/A</v>
      </c>
      <c r="CZ156" s="153" t="str">
        <f t="shared" si="43"/>
        <v>#N/A</v>
      </c>
      <c r="DA156" s="154">
        <f>IF(ISNA(VLOOKUP(A156,'Données projet'!$A$139:$I$159,3,0)),0,VLOOKUP(A156,'Données projet'!$A$139:$I$159,3,0))</f>
        <v>0</v>
      </c>
      <c r="DB156" s="154">
        <f>IF(ISNA(VLOOKUP(A156,'Données projet'!$A$139:$I$159,4,0)),0,VLOOKUP(A156,'Données projet'!$A$139:$I$159,4,0))</f>
        <v>0</v>
      </c>
      <c r="DC156" s="155">
        <f>IF(ISNA(VLOOKUP(A156,'Données projet'!$A$139:$I$159,5,0)),0%,VLOOKUP(A156,'Données projet'!$A$139:$I$159,5,0)*VLOOKUP('Données projet'!$B$13,'Paramètres'!$A$1:$I$88,7,0))</f>
        <v>0</v>
      </c>
      <c r="DD156" s="155">
        <f>IF(ISNA(VLOOKUP(A156,'Données projet'!$A$139:$I$159,6,0)),0%,VLOOKUP(A156,'Données projet'!$A$139:$I$159,6,0)*VLOOKUP('Données projet'!$B$13,'Paramètres'!$A$1:$I$88,7,0))</f>
        <v>0</v>
      </c>
      <c r="DE156" s="155">
        <f>IF(ISNA(VLOOKUP(A156,'Données projet'!$A$139:$I$159,7,0)),0%,VLOOKUP(A156,'Données projet'!$A$139:$I$159,7,0))</f>
        <v>0</v>
      </c>
      <c r="DF156" s="162" t="str">
        <f>EXP(-LN(2)/35)*DF155+(1-EXP(-LN(2)/35))/(LN(2)/35)*DB156*DC156*VLOOKUP('Données projet'!$B$13,'Paramètres'!$A$1:$I$88,3,0)*0.475*44/12</f>
        <v>#N/A</v>
      </c>
      <c r="DG156" s="162" t="str">
        <f>EXP(-LN(2)/25)*DG155+(1-EXP(-LN(2)/25))/(LN(2)/25)*Calculateur!DB156*Calculateur!DD156*VLOOKUP('Données projet'!$B$13,'Paramètres'!$A$1:$I$88,3,0)*0.475*44/12</f>
        <v>#N/A</v>
      </c>
      <c r="DH156" s="162" t="str">
        <f>EXP(-LN(2)/2)*DH155+(1-EXP(-LN(2)/2))/(LN(2)/2)*DB156*DE156*VLOOKUP('Données projet'!$B$13,'Paramètres'!$A$1:$I$88,3,0)*0.475*44/12</f>
        <v>#N/A</v>
      </c>
      <c r="DI156" s="163" t="str">
        <f t="shared" si="16"/>
        <v>#N/A</v>
      </c>
      <c r="DJ156" s="159">
        <f>('Scénario référence'!$F$8+'Scénario référence'!$F$9+'Scénario référence'!$B$17+'Scénario référence'!$B$9+'Scénario référence'!$B$10)*70+IF((45+25*(1-EXP(-0.0175*A156)))&lt;70,'Scénario référence'!$B$16*(45+25*(1-EXP(-0.0175*A156))),70*'Scénario référence'!$B$16)+IF((32+38*(1-EXP(-0.0175*A156)))&lt;70,'Scénario référence'!$B$18*(32+38*(1-EXP(-0.0175*A156))),70*'Scénario référence'!$B$18)</f>
        <v>70</v>
      </c>
      <c r="DK156" s="151">
        <f>IF(A156&gt;30,10,('Scénario référence'!$B$16+'Scénario référence'!$B$17+'Scénario référence'!$B$18+'Scénario référence'!$B$9+'Scénario référence'!$B$10)*A156*10/30+('Scénario référence'!$F$8+'Scénario référence'!$F$9)*10)</f>
        <v>10</v>
      </c>
      <c r="DL156" s="151" t="str">
        <f>VLOOKUP(A156,'Données projet'!$A$165:$I$185,2,0)</f>
        <v>#N/A</v>
      </c>
      <c r="DM156" s="151" t="str">
        <f>VLOOKUP(A156,'Données projet'!$A$165:$I$185,9,0)</f>
        <v>#N/A</v>
      </c>
      <c r="DN156" s="151" t="str">
        <f t="array" ref="DN156">INDEX(DM:DM,MIN(IF(ISNUMBER(DM156:DM352),ROW(DM156:DM352),"")))</f>
        <v/>
      </c>
      <c r="DO156" s="151">
        <f>IF('Données projet'!$A$166&gt;35,DO155+DN156-DW155,IF(A156&lt;'Données projet'!$A$166,$DL$205^A156,IF(A156='Données projet'!$A$166,'Données projet'!$B$166,DO155+DN156-DW155)))</f>
        <v>0</v>
      </c>
      <c r="DP156" s="158" t="str">
        <f>DO156*VLOOKUP('Données projet'!$B$14,'Paramètres'!$A$1:$I$88,3,0)*VLOOKUP('Données projet'!$B$14,'Paramètres'!$A$1:$I$88,5,0)</f>
        <v>#N/A</v>
      </c>
      <c r="DQ156" s="150" t="str">
        <f t="shared" si="44"/>
        <v>#N/A</v>
      </c>
      <c r="DR156" s="161" t="str">
        <f t="shared" si="17"/>
        <v>#N/A</v>
      </c>
      <c r="DS156" s="153" t="str">
        <f t="shared" si="18"/>
        <v>#N/A</v>
      </c>
      <c r="DT156" s="153" t="str">
        <f>AVERAGE(OFFSET($DS$3,0,0,'Données projet'!$E$14+1,1))-AVERAGE(OFFSET($H$3,0,0,'Données projet'!$E$14+1,1))</f>
        <v>#N/A</v>
      </c>
      <c r="DU156" s="153" t="str">
        <f t="shared" si="45"/>
        <v>#N/A</v>
      </c>
      <c r="DV156" s="154">
        <f>IF(ISNA(VLOOKUP(A156,'Données projet'!$A$165:$I$185,3,0)),0,VLOOKUP(A156,'Données projet'!$A$165:$I$185,3,0))</f>
        <v>0</v>
      </c>
      <c r="DW156" s="154">
        <f>IF(ISNA(VLOOKUP(A156,'Données projet'!$A$165:$I$185,4,0)),0,VLOOKUP(A156,'Données projet'!$A$165:$I$185,4,0))</f>
        <v>0</v>
      </c>
      <c r="DX156" s="155">
        <f>IF(ISNA(VLOOKUP(A156,'Données projet'!$A$165:$I$185,5,0)),0%,VLOOKUP(A156,'Données projet'!$A$165:$I$185,5,0)*VLOOKUP('Données projet'!$B$14,'Paramètres'!$A$1:$I$88,7,0))</f>
        <v>0</v>
      </c>
      <c r="DY156" s="155">
        <f>IF(ISNA(VLOOKUP(A156,'Données projet'!$A$165:$I$185,6,0)),0%,VLOOKUP(A156,'Données projet'!$A$165:$I$185,6,0)*VLOOKUP('Données projet'!$B$14,'Paramètres'!$A$1:$I$88,7,0))</f>
        <v>0</v>
      </c>
      <c r="DZ156" s="155">
        <f>IF(ISNA(VLOOKUP(A156,'Données projet'!$A$165:$I$185,7,0)),0%,VLOOKUP(A156,'Données projet'!$A$165:$I$185,7,0))</f>
        <v>0</v>
      </c>
      <c r="EA156" s="162" t="str">
        <f>EXP(-LN(2)/35)*EA155+(1-EXP(-LN(2)/35))/(LN(2)/35)*DW156*DX156*VLOOKUP('Données projet'!$B$14,'Paramètres'!$A$1:$I$88,3,0)*0.475*44/12</f>
        <v>#N/A</v>
      </c>
      <c r="EB156" s="162" t="str">
        <f>EXP(-LN(2)/25)*EB155+(1-EXP(-LN(2)/25))/(LN(2)/25)*Calculateur!DW156*Calculateur!DY156*VLOOKUP('Données projet'!$B$14,'Paramètres'!$A$1:$I$88,3,0)*0.475*44/12</f>
        <v>#N/A</v>
      </c>
      <c r="EC156" s="162" t="str">
        <f>EXP(-LN(2)/2)*EC155+(1-EXP(-LN(2)/2))/(LN(2)/2)*DW156*DZ156*VLOOKUP('Données projet'!$B$14,'Paramètres'!$A$1:$I$88,3,0)*0.475*44/12</f>
        <v>#N/A</v>
      </c>
      <c r="ED156" s="163" t="str">
        <f t="shared" si="19"/>
        <v>#N/A</v>
      </c>
      <c r="EE156" s="159">
        <f>('Scénario référence'!$F$8+'Scénario référence'!$F$9+'Scénario référence'!$B$17+'Scénario référence'!$B$9+'Scénario référence'!$B$10)*70+IF((45+25*(1-EXP(-0.0175*A156)))&lt;70,'Scénario référence'!$B$16*(45+25*(1-EXP(-0.0175*A156))),70*'Scénario référence'!$B$16)+IF((32+38*(1-EXP(-0.0175*A156)))&lt;70,'Scénario référence'!$B$18*(32+38*(1-EXP(-0.0175*A156))),70*'Scénario référence'!$B$18)</f>
        <v>70</v>
      </c>
      <c r="EF156" s="151">
        <f>IF(A156&gt;30,10,('Scénario référence'!$B$16+'Scénario référence'!$B$17+'Scénario référence'!$B$18+'Scénario référence'!$B$9+'Scénario référence'!$B$10)*A156*10/30+('Scénario référence'!$F$8+'Scénario référence'!$F$9)*10)</f>
        <v>10</v>
      </c>
      <c r="EG156" s="151" t="str">
        <f>VLOOKUP(A156,'Données projet'!$A$191:$I$211,2,0)</f>
        <v>#N/A</v>
      </c>
      <c r="EH156" s="151" t="str">
        <f>VLOOKUP(A156,'Données projet'!$A$191:$I$211,9,0)</f>
        <v>#N/A</v>
      </c>
      <c r="EI156" s="151" t="str">
        <f t="array" ref="EI156">INDEX(EH:EH,MIN(IF(ISNUMBER(EH156:EH352),ROW(EH156:EH352),"")))</f>
        <v/>
      </c>
      <c r="EJ156" s="151">
        <f>IF('Données projet'!$A$192&gt;35,EJ155+EI156-ER155,IF(A156&lt;'Données projet'!$A$192,$EG$205^A156,IF(A156='Données projet'!$A$192,'Données projet'!$B$192,EJ155+EI156-ER155)))</f>
        <v>0</v>
      </c>
      <c r="EK156" s="158" t="str">
        <f>EJ156*VLOOKUP('Données projet'!$B$15,'Paramètres'!$A$1:$I$88,3,0)*VLOOKUP('Données projet'!$B$15,'Paramètres'!$A$1:$I$88,5,0)</f>
        <v>#N/A</v>
      </c>
      <c r="EL156" s="150" t="str">
        <f t="shared" si="46"/>
        <v>#N/A</v>
      </c>
      <c r="EM156" s="161" t="str">
        <f t="shared" si="20"/>
        <v>#N/A</v>
      </c>
      <c r="EN156" s="153" t="str">
        <f t="shared" si="21"/>
        <v>#N/A</v>
      </c>
      <c r="EO156" s="153" t="str">
        <f>AVERAGE(OFFSET($EN$3,0,0,'Données projet'!$E$15+1,1))-AVERAGE(OFFSET($H$3,0,0,'Données projet'!$E$15+1,1))</f>
        <v>#N/A</v>
      </c>
      <c r="EP156" s="153" t="str">
        <f t="shared" si="47"/>
        <v>#N/A</v>
      </c>
      <c r="EQ156" s="154">
        <f>IF(ISNA(VLOOKUP(A156,'Données projet'!$A$191:$I$211,3,0)),0,VLOOKUP(A156,'Données projet'!$A$191:$I$211,3,0))</f>
        <v>0</v>
      </c>
      <c r="ER156" s="154">
        <f>IF(ISNA(VLOOKUP(A156,'Données projet'!$A$191:$I$211,4,0)),0,VLOOKUP(A156,'Données projet'!$A$191:$I$211,4,0))</f>
        <v>0</v>
      </c>
      <c r="ES156" s="155">
        <f>IF(ISNA(VLOOKUP(A156,'Données projet'!$A$191:$I$211,5,0)),0%,VLOOKUP(A156,'Données projet'!$A$191:$I$211,5,0)*VLOOKUP('Données projet'!$B$15,'Paramètres'!$A$1:$I$88,7,0))</f>
        <v>0</v>
      </c>
      <c r="ET156" s="155">
        <f>IF(ISNA(VLOOKUP(A156,'Données projet'!$A$191:$I$211,6,0)),0%,VLOOKUP(A156,'Données projet'!$A$191:$I$211,6,0)*VLOOKUP('Données projet'!$B$15,'Paramètres'!$A$1:$I$88,7,0))</f>
        <v>0</v>
      </c>
      <c r="EU156" s="155">
        <f>IF(ISNA(VLOOKUP(A156,'Données projet'!$A$191:$I$211,7,0)),0%,VLOOKUP(A156,'Données projet'!$A$191:$I$211,7,0))</f>
        <v>0</v>
      </c>
      <c r="EV156" s="162" t="str">
        <f>EXP(-LN(2)/35)*EV155+(1-EXP(-LN(2)/35))/(LN(2)/35)*ER156*ES156*VLOOKUP('Données projet'!$B$15,'Paramètres'!$A$1:$I$88,3,0)*0.475*44/12</f>
        <v>#N/A</v>
      </c>
      <c r="EW156" s="162" t="str">
        <f>EXP(-LN(2)/25)*EW155+(1-EXP(-LN(2)/25))/(LN(2)/25)*Calculateur!ER156*Calculateur!ET156*VLOOKUP('Données projet'!$B$15,'Paramètres'!$A$1:$I$88,3,0)*0.475*44/12</f>
        <v>#N/A</v>
      </c>
      <c r="EX156" s="162" t="str">
        <f>EXP(-LN(2)/2)*EX155+(1-EXP(-LN(2)/2))/(LN(2)/2)*ER156*EU156*VLOOKUP('Données projet'!$B$15,'Paramètres'!$A$1:$I$88,3,0)*0.475*44/12</f>
        <v>#N/A</v>
      </c>
      <c r="EY156" s="163" t="str">
        <f t="shared" si="22"/>
        <v>#N/A</v>
      </c>
      <c r="EZ156" s="159">
        <f>('Scénario référence'!$F$8+'Scénario référence'!$F$9+'Scénario référence'!$B$17+'Scénario référence'!$B$9+'Scénario référence'!$B$10)*70+IF((45+25*(1-EXP(-0.0175*A156)))&lt;70,'Scénario référence'!$B$16*(45+25*(1-EXP(-0.0175*A156))),70*'Scénario référence'!$B$16)+IF((32+38*(1-EXP(-0.0175*A156)))&lt;70,'Scénario référence'!$B$18*(32+38*(1-EXP(-0.0175*A156))),70*'Scénario référence'!$B$18)</f>
        <v>70</v>
      </c>
      <c r="FA156" s="151">
        <f>IF(A156&gt;30,10,('Scénario référence'!$B$16+'Scénario référence'!$B$17+'Scénario référence'!$B$18+'Scénario référence'!$B$9+'Scénario référence'!$B$10)*A156*10/30+('Scénario référence'!$F$8+'Scénario référence'!$F$9)*10)</f>
        <v>10</v>
      </c>
      <c r="FB156" s="151" t="str">
        <f>VLOOKUP(A156,'Données projet'!$A$217:$I$237,2,0)</f>
        <v>#N/A</v>
      </c>
      <c r="FC156" s="151" t="str">
        <f>VLOOKUP(A156,'Données projet'!$A$217:$I$237,9,0)</f>
        <v>#N/A</v>
      </c>
      <c r="FD156" s="151" t="str">
        <f t="array" ref="FD156">INDEX(FC:FC,MIN(IF(ISNUMBER(FC156:FC352),ROW(FC156:FC352),"")))</f>
        <v/>
      </c>
      <c r="FE156" s="151">
        <f>IF('Données projet'!$A$218&gt;35,FE155+FD156-FM155,IF(A156&lt;'Données projet'!$A$218,$FB$205^A156,IF(A156='Données projet'!$A$218,'Données projet'!$B$218,FE155+FD156-FM155)))</f>
        <v>0</v>
      </c>
      <c r="FF156" s="158" t="str">
        <f>FE156*VLOOKUP('Données projet'!$B$16,'Paramètres'!$A$1:$I$88,3,0)*VLOOKUP('Données projet'!$B$16,'Paramètres'!$A$1:$I$88,5,0)</f>
        <v>#N/A</v>
      </c>
      <c r="FG156" s="150" t="str">
        <f t="shared" si="48"/>
        <v>#N/A</v>
      </c>
      <c r="FH156" s="161" t="str">
        <f t="shared" si="23"/>
        <v>#N/A</v>
      </c>
      <c r="FI156" s="153" t="str">
        <f t="shared" si="24"/>
        <v>#N/A</v>
      </c>
      <c r="FJ156" s="153" t="str">
        <f>AVERAGE(OFFSET($FI$3,0,0,'Données projet'!$E$16+1,1))-AVERAGE(OFFSET($H$3,0,0,'Données projet'!$E$16+1,1))</f>
        <v>#N/A</v>
      </c>
      <c r="FK156" s="153" t="str">
        <f t="shared" si="49"/>
        <v>#N/A</v>
      </c>
      <c r="FL156" s="154">
        <f>IF(ISNA(VLOOKUP(A156,'Données projet'!$A$217:$I$237,3,0)),0,VLOOKUP(A156,'Données projet'!$A$217:$I$237,3,0))</f>
        <v>0</v>
      </c>
      <c r="FM156" s="154">
        <f>IF(ISNA(VLOOKUP(A156,'Données projet'!$A$217:$I$237,4,0)),0,VLOOKUP(A156,'Données projet'!$A$217:$I$237,4,0))</f>
        <v>0</v>
      </c>
      <c r="FN156" s="155">
        <f>IF(ISNA(VLOOKUP(A156,'Données projet'!$A$217:$I$237,5,0)),0%,VLOOKUP(A156,'Données projet'!$A$217:$I$237,5,0)*VLOOKUP('Données projet'!$B$16,'Paramètres'!$A$1:$I$88,7,0))</f>
        <v>0</v>
      </c>
      <c r="FO156" s="155">
        <f>IF(ISNA(VLOOKUP(A156,'Données projet'!$A$217:$I$237,6,0)),0%,VLOOKUP(A156,'Données projet'!$A$217:$I$237,6,0)*VLOOKUP('Données projet'!$B$16,'Paramètres'!$A$1:$I$88,7,0))</f>
        <v>0</v>
      </c>
      <c r="FP156" s="155">
        <f>IF(ISNA(VLOOKUP(A156,'Données projet'!$A$217:$I$237,7,0)),0%,VLOOKUP(A156,'Données projet'!$A$217:$I$237,7,0))</f>
        <v>0</v>
      </c>
      <c r="FQ156" s="162" t="str">
        <f>EXP(-LN(2)/35)*FQ155+(1-EXP(-LN(2)/35))/(LN(2)/35)*FM156*FN156*VLOOKUP('Données projet'!$B$16,'Paramètres'!$A$1:$I$88,3,0)*0.475*44/12</f>
        <v>#N/A</v>
      </c>
      <c r="FR156" s="162" t="str">
        <f>EXP(-LN(2)/25)*FR155+(1-EXP(-LN(2)/25))/(LN(2)/25)*Calculateur!FM156*Calculateur!FO156*VLOOKUP('Données projet'!$B$16,'Paramètres'!$A$1:$I$88,3,0)*0.475*44/12</f>
        <v>#N/A</v>
      </c>
      <c r="FS156" s="162" t="str">
        <f>EXP(-LN(2)/2)*FS155+(1-EXP(-LN(2)/2))/(LN(2)/2)*FM156*FP156*VLOOKUP('Données projet'!$B$16,'Paramètres'!$A$1:$I$88,3,0)*0.475*44/12</f>
        <v>#N/A</v>
      </c>
      <c r="FT156" s="163" t="str">
        <f t="shared" si="25"/>
        <v>#N/A</v>
      </c>
      <c r="FU156" s="159">
        <f>('Scénario référence'!$F$8+'Scénario référence'!$F$9+'Scénario référence'!$B$17+'Scénario référence'!$B$9+'Scénario référence'!$B$10)*70+IF((45+25*(1-EXP(-0.0175*A156)))&lt;70,'Scénario référence'!$B$16*(45+25*(1-EXP(-0.0175*A156))),70*'Scénario référence'!$B$16)+IF((32+38*(1-EXP(-0.0175*A156)))&lt;70,'Scénario référence'!$B$18*(32+38*(1-EXP(-0.0175*A156))),70*'Scénario référence'!$B$18)</f>
        <v>70</v>
      </c>
      <c r="FV156" s="151">
        <f>IF(A156&gt;30,10,('Scénario référence'!$B$16+'Scénario référence'!$B$17+'Scénario référence'!$B$18+'Scénario référence'!$B$9+'Scénario référence'!$B$10)*A156*10/30+('Scénario référence'!$F$8+'Scénario référence'!$F$9)*10)</f>
        <v>10</v>
      </c>
      <c r="FW156" s="151" t="str">
        <f>VLOOKUP(A156,'Données projet'!$A$243:$I$263,2,0)</f>
        <v>#N/A</v>
      </c>
      <c r="FX156" s="151" t="str">
        <f>VLOOKUP(A156,'Données projet'!$A$243:$I$263,9,0)</f>
        <v>#N/A</v>
      </c>
      <c r="FY156" s="151" t="str">
        <f t="array" ref="FY156">INDEX(FX:FX,MIN(IF(ISNUMBER(FX156:FX352),ROW(FX156:FX352),"")))</f>
        <v/>
      </c>
      <c r="FZ156" s="151">
        <f>IF('Données projet'!$A$244&gt;35,FZ155+FY156-GH155,IF(A156&lt;'Données projet'!$A$244,$FW$205^A156,IF(A156='Données projet'!$A$244,'Données projet'!$B$244,FZ155+FY156-GH155)))</f>
        <v>0</v>
      </c>
      <c r="GA156" s="158" t="str">
        <f>FZ156*VLOOKUP('Données projet'!$B$17,'Paramètres'!$A$1:$I$88,3,0)*VLOOKUP('Données projet'!$B$17,'Paramètres'!$A$1:$I$88,5,0)</f>
        <v>#N/A</v>
      </c>
      <c r="GB156" s="150" t="str">
        <f t="shared" si="50"/>
        <v>#N/A</v>
      </c>
      <c r="GC156" s="161" t="str">
        <f t="shared" si="26"/>
        <v>#N/A</v>
      </c>
      <c r="GD156" s="153" t="str">
        <f t="shared" si="27"/>
        <v>#N/A</v>
      </c>
      <c r="GE156" s="153" t="str">
        <f>AVERAGE(OFFSET($GD$3,0,0,'Données projet'!$E$17+1,1))-AVERAGE(OFFSET($H$3,0,0,'Données projet'!$E$17+1,1))</f>
        <v>#N/A</v>
      </c>
      <c r="GF156" s="153" t="str">
        <f t="shared" si="51"/>
        <v>#N/A</v>
      </c>
      <c r="GG156" s="154">
        <f>IF(ISNA(VLOOKUP(A156,'Données projet'!$A$243:$I$263,3,0)),0,VLOOKUP(A156,'Données projet'!$A$243:$I$263,3,0))</f>
        <v>0</v>
      </c>
      <c r="GH156" s="154">
        <f>IF(ISNA(VLOOKUP(A156,'Données projet'!$A$243:$I$263,4,0)),0,VLOOKUP(A156,'Données projet'!$A$243:$I$263,4,0))</f>
        <v>0</v>
      </c>
      <c r="GI156" s="155">
        <f>IF(ISNA(VLOOKUP(A156,'Données projet'!$A$243:$I$263,5,0)),0%,VLOOKUP(A156,'Données projet'!$A$243:$I$263,5,0)*VLOOKUP('Données projet'!$B$17,'Paramètres'!$A$1:$I$88,7,0))</f>
        <v>0</v>
      </c>
      <c r="GJ156" s="155">
        <f>IF(ISNA(VLOOKUP(A156,'Données projet'!$A$243:$I$263,6,0)),0%,VLOOKUP(A156,'Données projet'!$A$243:$I$263,6,0)*VLOOKUP('Données projet'!$B$17,'Paramètres'!$A$1:$I$88,7,0))</f>
        <v>0</v>
      </c>
      <c r="GK156" s="155">
        <f>IF(ISNA(VLOOKUP(A156,'Données projet'!$A$243:$I$263,7,0)),0%,VLOOKUP(A156,'Données projet'!$A$243:$I$263,7,0))</f>
        <v>0</v>
      </c>
      <c r="GL156" s="162" t="str">
        <f>EXP(-LN(2)/35)*GL155+(1-EXP(-LN(2)/35))/(LN(2)/35)*GH156*GI156*VLOOKUP('Données projet'!$B$17,'Paramètres'!$A$1:$I$88,3,0)*0.475*44/12</f>
        <v>#N/A</v>
      </c>
      <c r="GM156" s="162" t="str">
        <f>EXP(-LN(2)/25)*GM155+(1-EXP(-LN(2)/25))/(LN(2)/25)*Calculateur!GH156*Calculateur!GJ156*VLOOKUP('Données projet'!$B$17,'Paramètres'!$A$1:$I$88,3,0)*0.475*44/12</f>
        <v>#N/A</v>
      </c>
      <c r="GN156" s="162" t="str">
        <f>EXP(-LN(2)/2)*GN155+(1-EXP(-LN(2)/2))/(LN(2)/2)*GH156*GK156*VLOOKUP('Données projet'!$B$17,'Paramètres'!$A$1:$I$88,3,0)*0.475*44/12</f>
        <v>#N/A</v>
      </c>
      <c r="GO156" s="162" t="str">
        <f t="shared" si="28"/>
        <v>#N/A</v>
      </c>
      <c r="GP156" s="159">
        <f>('Scénario référence'!$F$8+'Scénario référence'!$F$9+'Scénario référence'!$B$17+'Scénario référence'!$B$9+'Scénario référence'!$B$10)*70+IF((45+25*(1-EXP(-0.0175*A156)))&lt;70,'Scénario référence'!$B$16*(45+25*(1-EXP(-0.0175*A156))),70*'Scénario référence'!$B$16)+IF((32+38*(1-EXP(-0.0175*A156)))&lt;70,'Scénario référence'!$B$18*(32+38*(1-EXP(-0.0175*A156))),70*'Scénario référence'!$B$18)</f>
        <v>70</v>
      </c>
      <c r="GQ156" s="151">
        <f>IF(A156&gt;30,10,('Scénario référence'!$B$16+'Scénario référence'!$B$17+'Scénario référence'!$B$18+'Scénario référence'!$B$9+'Scénario référence'!$B$10)*A156*10/30+('Scénario référence'!$F$8+'Scénario référence'!$F$9)*10)</f>
        <v>10</v>
      </c>
      <c r="GR156" s="151" t="str">
        <f>VLOOKUP(A156,'Données projet'!$A$269:$I$289,2,0)</f>
        <v>#N/A</v>
      </c>
      <c r="GS156" s="151" t="str">
        <f>VLOOKUP(A156,'Données projet'!$A$269:$I$289,9,0)</f>
        <v>#N/A</v>
      </c>
      <c r="GT156" s="151" t="str">
        <f t="array" ref="GT156">INDEX(GS:GS,MIN(IF(ISNUMBER(GS156:GS352),ROW(GS156:GS352),"")))</f>
        <v/>
      </c>
      <c r="GU156" s="151">
        <f>IF('Données projet'!$A$270&gt;35,GU155+GT156-HC155,IF(A156&lt;'Données projet'!$A$270,$GR$205^A156,IF(A156='Données projet'!$A$270,'Données projet'!$B$270,GU155+GT156-HC155)))</f>
        <v>0</v>
      </c>
      <c r="GV156" s="158" t="str">
        <f>GU156*VLOOKUP('Données projet'!$B$18,'Paramètres'!$A$1:$I$88,3,0)*VLOOKUP('Données projet'!$B$18,'Paramètres'!$A$1:$I$88,5,0)</f>
        <v>#N/A</v>
      </c>
      <c r="GW156" s="150" t="str">
        <f t="shared" si="52"/>
        <v>#N/A</v>
      </c>
      <c r="GX156" s="161" t="str">
        <f t="shared" si="29"/>
        <v>#N/A</v>
      </c>
      <c r="GY156" s="153" t="str">
        <f t="shared" si="30"/>
        <v>#N/A</v>
      </c>
      <c r="GZ156" s="153" t="str">
        <f>AVERAGE(OFFSET($GY$3,0,0,'Données projet'!$E$18+1,1))-AVERAGE(OFFSET($H$3,0,0,'Données projet'!$E$18+1,1))</f>
        <v>#N/A</v>
      </c>
      <c r="HA156" s="153" t="str">
        <f t="shared" si="53"/>
        <v>#N/A</v>
      </c>
      <c r="HB156" s="154">
        <f>IF(ISNA(VLOOKUP(A156,'Données projet'!$A$269:$I$289,3,0)),0,VLOOKUP(A156,'Données projet'!$A$269:$I$289,3,0))</f>
        <v>0</v>
      </c>
      <c r="HC156" s="154">
        <f>IF(ISNA(VLOOKUP(A156,'Données projet'!$A$269:$I$289,4,0)),0,VLOOKUP(A156,'Données projet'!$A$269:$I$289,4,0))</f>
        <v>0</v>
      </c>
      <c r="HD156" s="155">
        <f>IF(ISNA(VLOOKUP(A156,'Données projet'!$A$269:$I$289,5,0)),0%,VLOOKUP(A156,'Données projet'!$A$269:$I$289,5,0)*VLOOKUP('Données projet'!$B$18,'Paramètres'!$A$1:$I$88,7,0))</f>
        <v>0</v>
      </c>
      <c r="HE156" s="155">
        <f>IF(ISNA(VLOOKUP(A156,'Données projet'!$A$269:$I$289,6,0)),0%,VLOOKUP(A156,'Données projet'!$A$269:$I$289,6,0)*VLOOKUP('Données projet'!$B$18,'Paramètres'!$A$1:$I$88,7,0))</f>
        <v>0</v>
      </c>
      <c r="HF156" s="155">
        <f>IF(ISNA(VLOOKUP(A156,'Données projet'!$A$269:$I$289,7,0)),0%,VLOOKUP(A156,'Données projet'!$A$269:$I$289,7,0))</f>
        <v>0</v>
      </c>
      <c r="HG156" s="162" t="str">
        <f>EXP(-LN(2)/35)*HG155+(1-EXP(-LN(2)/35))/(LN(2)/35)*HC156*HD156*VLOOKUP('Données projet'!$B$18,'Paramètres'!$A$1:$I$88,3,0)*0.475*44/12</f>
        <v>#N/A</v>
      </c>
      <c r="HH156" s="162" t="str">
        <f>EXP(-LN(2)/25)*HH155+(1-EXP(-LN(2)/25))/(LN(2)/25)*Calculateur!HC156*Calculateur!HE156*VLOOKUP('Données projet'!$B$18,'Paramètres'!$A$1:$I$88,3,0)*0.475*44/12</f>
        <v>#N/A</v>
      </c>
      <c r="HI156" s="162" t="str">
        <f>EXP(-LN(2)/2)*HI155+(1-EXP(-LN(2)/2))/(LN(2)/2)*HC156*HF156*VLOOKUP('Données projet'!$B$18,'Paramètres'!$A$1:$I$88,3,0)*0.475*44/12</f>
        <v>#N/A</v>
      </c>
      <c r="HJ156" s="163" t="str">
        <f t="shared" si="31"/>
        <v>#N/A</v>
      </c>
    </row>
    <row r="157" ht="15.75" customHeight="1">
      <c r="A157" s="145">
        <f t="shared" si="32"/>
        <v>154</v>
      </c>
      <c r="B157" s="146">
        <f>'Scénario référence'!$B$16*5+'Scénario référence'!$B$17*0+'Scénario référence'!$B$18*5</f>
        <v>0</v>
      </c>
      <c r="C157" s="160">
        <f>Calculateur!C156+'Scénario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57" s="147">
        <f t="shared" si="33"/>
        <v>0</v>
      </c>
      <c r="E157" s="147">
        <f>'Scénario référence'!$B$16*45+('Scénario référence'!$B$17+'Scénario référence'!$F$8+'Scénario référence'!$F$9+'Scénario référence'!$B$10+'Scénario référence'!$B$9)*70+'Scénario référence'!$B$18*32</f>
        <v>70</v>
      </c>
      <c r="F157" s="147">
        <f>IF(OR('Scénario référence'!$F$8&gt;0,'Scénario référence'!$F$9&gt;0),('Scénario référence'!$F$8+'Scénario référence'!$F$9)*10,0)</f>
        <v>0</v>
      </c>
      <c r="G157" s="147">
        <f>'Scénario référence'!$B$8*B157*44/12+'Scénario référence'!$B$9*(C157+D157)/0.475*44/12+'Scénario référence'!$B$10*(C157+D157)/0.475*44/12+'Scénario référence'!$F$8*(C157+D157)/0.475*44/12+'Scénario référence'!$F$9*(C157+D157)/0.475*44/12</f>
        <v>0</v>
      </c>
      <c r="H157" s="148">
        <f t="shared" si="1"/>
        <v>256.6666667</v>
      </c>
      <c r="I157" s="149">
        <f>('Scénario référence'!$F$8+'Scénario référence'!$F$9+'Scénario référence'!$B$17+'Scénario référence'!$B$9+'Scénario référence'!$B$10)*70+IF((45+25*(1-EXP(-0.0175*A157)))&lt;70,'Scénario référence'!$B$16*(45+25*(1-EXP(-0.0175*A157))),70*'Scénario référence'!$B$16)+IF((32+38*(1-EXP(-0.0175*A157)))&lt;70,'Scénario référence'!$B$18*(32+38*(1-EXP(-0.0175*A157))),70*'Scénario référence'!$B$18)</f>
        <v>70</v>
      </c>
      <c r="J157" s="150">
        <f>IF(A157&gt;30,10,('Scénario référence'!$B$16+'Scénario référence'!$B$17+'Scénario référence'!$B$18+'Scénario référence'!$B$9+'Scénario référence'!$B$10)*A157*10/30+('Scénario référence'!$F$8+'Scénario référence'!$F$9)*10)</f>
        <v>10</v>
      </c>
      <c r="K157" s="151" t="str">
        <f>VLOOKUP(A157,'Données projet'!$A$35:$I$55,2,0)</f>
        <v>#N/A</v>
      </c>
      <c r="L157" s="151" t="str">
        <f>VLOOKUP(A157,'Données projet'!$A$35:$I$55,9,0)</f>
        <v>#N/A</v>
      </c>
      <c r="M157" s="151" t="str">
        <f t="array" ref="M157">INDEX(L:L,MIN(IF(ISNUMBER(L157:L353),ROW(L157:L353),"")))</f>
        <v/>
      </c>
      <c r="N157" s="150">
        <f>IF('Données projet'!$A$36&gt;35,N156+M157-V156,IF(A157&lt;'Données projet'!$A$36,$K$205^A157,IF(A157='Données projet'!$A$36,'Données projet'!$B$36,N156+M157-V156)))</f>
        <v>307</v>
      </c>
      <c r="O157" s="150">
        <f>N157*VLOOKUP('Données projet'!$B$9,'Paramètres'!$A$1:$I$88,3,0)*VLOOKUP('Données projet'!$B$9,'Paramètres'!$A$1:$I$88,5,0)</f>
        <v>277.7736</v>
      </c>
      <c r="P157" s="150">
        <f t="shared" si="34"/>
        <v>66.49628818</v>
      </c>
      <c r="Q157" s="161">
        <f t="shared" si="2"/>
        <v>599.6033886</v>
      </c>
      <c r="R157" s="153">
        <f t="shared" si="3"/>
        <v>892.9367219</v>
      </c>
      <c r="S157" s="153">
        <f>AVERAGE(OFFSET($R$3,0,0,'Données projet'!$E$9+1,1))-AVERAGE(OFFSET($H$3,0,0,'Données projet'!$E$9+1,1))</f>
        <v>439.1985427</v>
      </c>
      <c r="T157" s="153">
        <f t="shared" si="35"/>
        <v>278.2174123</v>
      </c>
      <c r="U157" s="154">
        <f>IF(ISNA(VLOOKUP(A157,'Données projet'!$A$35:$I$55,3,0)),0,VLOOKUP(A157,'Données projet'!$A$35:$I$55,3,0))</f>
        <v>0</v>
      </c>
      <c r="V157" s="154">
        <f>IF(ISNA(VLOOKUP(A157,'Données projet'!$A$35:$I$55,4,0)),0,VLOOKUP(A157,'Données projet'!$A$35:$I$55,4,0))</f>
        <v>0</v>
      </c>
      <c r="W157" s="155">
        <f>IF(ISNA(VLOOKUP(A157,'Données projet'!$A$35:$I$55,5,0)),0%,VLOOKUP(A157,'Données projet'!$A$35:$I$55,5,0)*VLOOKUP('Données projet'!$B$9,'Paramètres'!$A$1:$I$88,7,0))</f>
        <v>0</v>
      </c>
      <c r="X157" s="155">
        <f>IF(ISNA(VLOOKUP(A157,'Données projet'!$A$35:$I$55,6,0)),0%,VLOOKUP(A157,'Données projet'!$A$35:$I$55,6,0)*VLOOKUP('Données projet'!$B$9,'Paramètres'!$A$1:$I$88,7,0))</f>
        <v>0</v>
      </c>
      <c r="Y157" s="155">
        <f>IF(ISNA(VLOOKUP(A157,'Données projet'!$A$35:$I$55,7,0)),0%,VLOOKUP(A157,'Données projet'!$A$35:$I$55,7,0))</f>
        <v>0</v>
      </c>
      <c r="Z157" s="162">
        <f>EXP(-LN(2)/35)*Z156+(1-EXP(-LN(2)/35))/(LN(2)/35)*V157*W157*VLOOKUP('Données projet'!$B$9,'Paramètres'!$A$1:$I$88,3,0)*0.475*44/12</f>
        <v>0</v>
      </c>
      <c r="AA157" s="162">
        <f>EXP(-LN(2)/25)*AA156+(1-EXP(-LN(2)/25))/(LN(2)/25)*Calculateur!V157*Calculateur!X157*VLOOKUP('Données projet'!$B$9,'Paramètres'!$A$1:$I$88,3,0)*0.475*44/12</f>
        <v>0.1441794951</v>
      </c>
      <c r="AB157" s="162">
        <f>EXP(-LN(2)/2)*AB156+(1-EXP(-LN(2)/2))/(LN(2)/2)*V157*Y157*VLOOKUP('Données projet'!$B$9,'Paramètres'!$A$1:$I$88,3,0)*0.475*44/12</f>
        <v>0</v>
      </c>
      <c r="AC157" s="163">
        <f t="shared" si="4"/>
        <v>0.1441794951</v>
      </c>
      <c r="AD157" s="150">
        <f>('Scénario référence'!$F$8+'Scénario référence'!$F$9+'Scénario référence'!$B$17+'Scénario référence'!$B$9+'Scénario référence'!$B$10)*70+IF((45+25*(1-EXP(-0.0175*A157)))&lt;70,'Scénario référence'!$B$16*(45+25*(1-EXP(-0.0175*A157))),70*'Scénario référence'!$B$16)+IF((32+38*(1-EXP(-0.0175*A157)))&lt;70,'Scénario référence'!$B$18*(32+38*(1-EXP(-0.0175*A157))),70*'Scénario référence'!$B$18)</f>
        <v>70</v>
      </c>
      <c r="AE157" s="150">
        <f>IF(A157&gt;30,10,('Scénario référence'!$B$16+'Scénario référence'!$B$17+'Scénario référence'!$B$18+'Scénario référence'!$B$9+'Scénario référence'!$B$10)*A157*10/30+('Scénario référence'!$F$8+'Scénario référence'!$F$9)*10)</f>
        <v>10</v>
      </c>
      <c r="AF157" s="151" t="str">
        <f>VLOOKUP(A157,'Données projet'!$A$61:$I$81,2,0)</f>
        <v>#N/A</v>
      </c>
      <c r="AG157" s="151" t="str">
        <f>VLOOKUP(A157,'Données projet'!$A$61:$I$81,9,0)</f>
        <v>#N/A</v>
      </c>
      <c r="AH157" s="151" t="str">
        <f t="array" ref="AH157">INDEX(AG:AG,MIN(IF(ISNUMBER(AG157:AG353),ROW(AG157:AG353),"")))</f>
        <v/>
      </c>
      <c r="AI157" s="150">
        <f>IF('Données projet'!$A$62&gt;35,AI156+AH157-AQ156,IF(A157&lt;'Données projet'!$A$62,$AF$205^A157,IF(A157='Données projet'!$A$62,'Données projet'!$B$62,AI156+AH157-AQ156)))</f>
        <v>369</v>
      </c>
      <c r="AJ157" s="150">
        <f>AI157*VLOOKUP('Données projet'!$B$10,'Paramètres'!$A$1:$I$88,3,0)*VLOOKUP('Données projet'!$B$10,'Paramètres'!$A$1:$I$88,5,0)</f>
        <v>293.5764</v>
      </c>
      <c r="AK157" s="150">
        <f t="shared" si="36"/>
        <v>69.82813851</v>
      </c>
      <c r="AL157" s="161">
        <f t="shared" si="5"/>
        <v>632.9295712</v>
      </c>
      <c r="AM157" s="153">
        <f t="shared" si="6"/>
        <v>926.2629046</v>
      </c>
      <c r="AN157" s="153">
        <f>AVERAGE(OFFSET($AM$3,0,0,'Données projet'!$E$10+1,1))-AVERAGE(OFFSET($H$3,0,0,'Données projet'!$E$10+1,1))</f>
        <v>405.6113614</v>
      </c>
      <c r="AO157" s="153">
        <f t="shared" si="37"/>
        <v>393.0787141</v>
      </c>
      <c r="AP157" s="154">
        <f>IF(ISNA(VLOOKUP(A157,'Données projet'!$A$61:$I$81,3,0)),0,VLOOKUP(A157,'Données projet'!$A$61:$I$81,3,0))</f>
        <v>0</v>
      </c>
      <c r="AQ157" s="154">
        <f>IF(ISNA(VLOOKUP(A157,'Données projet'!$A$61:$I$81,4,0)),0,VLOOKUP(A157,'Données projet'!$A$61:$I$81,4,0))</f>
        <v>0</v>
      </c>
      <c r="AR157" s="155">
        <f>IF(ISNA(VLOOKUP(A157,'Données projet'!$A$61:$I$81,5,0)),0%,VLOOKUP(A157,'Données projet'!$A$61:$I$81,5,0)*VLOOKUP('Données projet'!$B$10,'Paramètres'!$A$1:$I$88,7,0))</f>
        <v>0</v>
      </c>
      <c r="AS157" s="155">
        <f>IF(ISNA(VLOOKUP(A157,'Données projet'!$A$61:$I$81,6,0)),0%,VLOOKUP(A157,'Données projet'!$A$61:$I$81,6,0)*VLOOKUP('Données projet'!$B$10,'Paramètres'!$A$1:$I$88,7,0))</f>
        <v>0</v>
      </c>
      <c r="AT157" s="155">
        <f>IF(ISNA(VLOOKUP(A157,'Données projet'!$A$61:$I$81,7,0)),0%,VLOOKUP(A157,'Données projet'!$A$61:$I$81,7,0))</f>
        <v>0</v>
      </c>
      <c r="AU157" s="162">
        <f>EXP(-LN(2)/35)*AU156+(1-EXP(-LN(2)/35))/(LN(2)/35)*AQ157*AR157*VLOOKUP('Données projet'!$B$10,'Paramètres'!$A$1:$I$88,3,0)*0.475*44/12</f>
        <v>0</v>
      </c>
      <c r="AV157" s="162">
        <f>EXP(-LN(2)/25)*AV156+(1-EXP(-LN(2)/25))/(LN(2)/25)*Calculateur!AQ157*Calculateur!AS157*VLOOKUP('Données projet'!$B$10,'Paramètres'!$A$1:$I$88,3,0)*0.475*44/12</f>
        <v>0.5859821201</v>
      </c>
      <c r="AW157" s="162">
        <f>EXP(-LN(2)/2)*AW156+(1-EXP(-LN(2)/2))/(LN(2)/2)*AQ157*AT157*VLOOKUP('Données projet'!$B$10,'Paramètres'!$A$1:$I$88,3,0)*0.475*44/12</f>
        <v>0</v>
      </c>
      <c r="AX157" s="162">
        <f t="shared" si="7"/>
        <v>0.5859821201</v>
      </c>
      <c r="AY157" s="157">
        <f>('Scénario référence'!$F$8+'Scénario référence'!$F$9+'Scénario référence'!$B$17+'Scénario référence'!$B$9+'Scénario référence'!$B$10)*70+IF((45+25*(1-EXP(-0.0175*A157)))&lt;70,'Scénario référence'!$B$16*(45+25*(1-EXP(-0.0175*A157))),70*'Scénario référence'!$B$16)+IF((32+38*(1-EXP(-0.0175*A157)))&lt;70,'Scénario référence'!$B$18*(32+38*(1-EXP(-0.0175*A157))),70*'Scénario référence'!$B$18)</f>
        <v>70</v>
      </c>
      <c r="AZ157" s="151">
        <f>IF(A157&gt;30,10,('Scénario référence'!$B$16+'Scénario référence'!$B$17+'Scénario référence'!$B$18+'Scénario référence'!$B$9+'Scénario référence'!$B$10)*A157*10/30+('Scénario référence'!$F$8+'Scénario référence'!$F$9)*10)</f>
        <v>10</v>
      </c>
      <c r="BA157" s="151" t="str">
        <f>VLOOKUP(A157,'Données projet'!$A$87:$I$107,2,0)</f>
        <v>#N/A</v>
      </c>
      <c r="BB157" s="151" t="str">
        <f>VLOOKUP(A157,'Données projet'!$A$87:$I$107,9,0)</f>
        <v>#N/A</v>
      </c>
      <c r="BC157" s="151" t="str">
        <f t="array" ref="BC157">INDEX(BB:BB,MIN(IF(ISNUMBER(BB157:BB353),ROW(BB157:BB353),"")))</f>
        <v/>
      </c>
      <c r="BD157" s="150">
        <f>IF('Données projet'!$A$88&gt;35,BD156+BC157-BL156,IF(A157&lt;'Données projet'!$A$88,$BA$205^A157,IF(A157='Données projet'!$A$88,'Données projet'!$B$88,BD156+BC157-BL156)))</f>
        <v>0</v>
      </c>
      <c r="BE157" s="150">
        <f>BD157*VLOOKUP('Données projet'!$B$11,'Paramètres'!$A$1:$I$88,3,0)*VLOOKUP('Données projet'!$B$11,'Paramètres'!$A$1:$I$88,5,0)</f>
        <v>0</v>
      </c>
      <c r="BF157" s="150" t="str">
        <f t="shared" si="38"/>
        <v>#NUM!</v>
      </c>
      <c r="BG157" s="161" t="str">
        <f t="shared" si="8"/>
        <v>#NUM!</v>
      </c>
      <c r="BH157" s="153" t="str">
        <f t="shared" si="9"/>
        <v>#NUM!</v>
      </c>
      <c r="BI157" s="153">
        <f>AVERAGE(OFFSET($BH$3,0,0,'Données projet'!$E$11+1,1))-AVERAGE(OFFSET($H$3,0,0,'Données projet'!$E$11+1,1))</f>
        <v>0</v>
      </c>
      <c r="BJ157" s="153">
        <f t="shared" si="39"/>
        <v>0</v>
      </c>
      <c r="BK157" s="154">
        <f>IF(ISNA(VLOOKUP(A157,'Données projet'!$A$87:$I$107,3,0)),0,VLOOKUP(A157,'Données projet'!$A$87:$I$107,3,0))</f>
        <v>0</v>
      </c>
      <c r="BL157" s="154">
        <f>IF(ISNA(VLOOKUP(A157,'Données projet'!$A$87:$I$107,4,0)),0,VLOOKUP(A157,'Données projet'!$A$87:$I$107,4,0))</f>
        <v>0</v>
      </c>
      <c r="BM157" s="155">
        <f>IF(ISNA(VLOOKUP(A157,'Données projet'!$A$87:$I$107,5,0)),0%,VLOOKUP(A157,'Données projet'!$A$87:$I$107,5,0)*VLOOKUP('Données projet'!$B$11,'Paramètres'!$A$1:$I$88,7,0))</f>
        <v>0</v>
      </c>
      <c r="BN157" s="155">
        <f>IF(ISNA(VLOOKUP(A157,'Données projet'!$A$87:$I$107,6,0)),0%,VLOOKUP(A157,'Données projet'!$A$87:$I$107,6,0)*VLOOKUP('Données projet'!$B$11,'Paramètres'!$A$1:$I$88,7,0))</f>
        <v>0</v>
      </c>
      <c r="BO157" s="155">
        <f>IF(ISNA(VLOOKUP(A157,'Données projet'!$A$87:$I$107,7,0)),0%,VLOOKUP(A157,'Données projet'!$A$87:$I$107,7,0))</f>
        <v>0</v>
      </c>
      <c r="BP157" s="162">
        <f>EXP(-LN(2)/35)*BP156+(1-EXP(-LN(2)/35))/(LN(2)/35)*BL157*BM157*VLOOKUP('Données projet'!$B$11,'Paramètres'!$A$1:$I$88,3,0)*0.475*44/12</f>
        <v>0</v>
      </c>
      <c r="BQ157" s="162">
        <f>EXP(-LN(2)/25)*BQ156+(1-EXP(-LN(2)/25))/(LN(2)/25)*Calculateur!BL157*Calculateur!BN157*VLOOKUP('Données projet'!$B$11,'Paramètres'!$A$1:$I$88,3,0)*0.475*44/12</f>
        <v>0</v>
      </c>
      <c r="BR157" s="162">
        <f>EXP(-LN(2)/2)*BR156+(1-EXP(-LN(2)/2))/(LN(2)/2)*BL157*BO157*VLOOKUP('Données projet'!$B$11,'Paramètres'!$A$1:$I$88,3,0)*0.475*44/12</f>
        <v>0</v>
      </c>
      <c r="BS157" s="163">
        <f t="shared" si="10"/>
        <v>0</v>
      </c>
      <c r="BT157" s="159">
        <f>('Scénario référence'!$F$8+'Scénario référence'!$F$9+'Scénario référence'!$B$17+'Scénario référence'!$B$9+'Scénario référence'!$B$10)*70+IF((45+25*(1-EXP(-0.0175*A157)))&lt;70,'Scénario référence'!$B$16*(45+25*(1-EXP(-0.0175*A157))),70*'Scénario référence'!$B$16)+IF((32+38*(1-EXP(-0.0175*A157)))&lt;70,'Scénario référence'!$B$18*(32+38*(1-EXP(-0.0175*A157))),70*'Scénario référence'!$B$18)</f>
        <v>70</v>
      </c>
      <c r="BU157" s="151">
        <f>IF(A157&gt;30,10,('Scénario référence'!$B$16+'Scénario référence'!$B$17+'Scénario référence'!$B$18+'Scénario référence'!$B$9+'Scénario référence'!$B$10)*A157*10/30+('Scénario référence'!$F$8+'Scénario référence'!$F$9)*10)</f>
        <v>10</v>
      </c>
      <c r="BV157" s="151" t="str">
        <f>VLOOKUP(A157,'Données projet'!$A$113:$I$133,2,0)</f>
        <v>#N/A</v>
      </c>
      <c r="BW157" s="151" t="str">
        <f>VLOOKUP(A157,'Données projet'!$A$113:$I$133,9,0)</f>
        <v>#N/A</v>
      </c>
      <c r="BX157" s="151" t="str">
        <f t="array" ref="BX157">INDEX(BW:BW,MIN(IF(ISNUMBER(BW157:BW353),ROW(BW157:BW353),"")))</f>
        <v/>
      </c>
      <c r="BY157" s="150">
        <f>IF('Données projet'!$A$114&gt;35,BY156+BX157-CG156,IF(A157&lt;'Données projet'!$A$114,$BV$205^A157,IF(A157='Données projet'!$A$114,'Données projet'!$B$114,BY156+BX157-CG156)))</f>
        <v>0</v>
      </c>
      <c r="BZ157" s="150" t="str">
        <f>BY157*VLOOKUP('Données projet'!$B$12,'Paramètres'!$A$1:$I$88,3,0)*VLOOKUP('Données projet'!$B$12,'Paramètres'!$A$1:$I$88,5,0)</f>
        <v>#N/A</v>
      </c>
      <c r="CA157" s="150" t="str">
        <f t="shared" si="40"/>
        <v>#N/A</v>
      </c>
      <c r="CB157" s="161" t="str">
        <f t="shared" si="11"/>
        <v>#N/A</v>
      </c>
      <c r="CC157" s="153" t="str">
        <f t="shared" si="12"/>
        <v>#N/A</v>
      </c>
      <c r="CD157" s="153" t="str">
        <f>AVERAGE(OFFSET($CC$3,0,0,'Données projet'!$E$12+1,1))-AVERAGE(OFFSET($H$3,0,0,'Données projet'!$E$12+1,1))</f>
        <v>#N/A</v>
      </c>
      <c r="CE157" s="153" t="str">
        <f t="shared" si="41"/>
        <v>#N/A</v>
      </c>
      <c r="CF157" s="154">
        <f>IF(ISNA(VLOOKUP(A157,'Données projet'!$A$113:$I$133,3,0)),0,VLOOKUP(A157,'Données projet'!$A$113:$I$133,3,0))</f>
        <v>0</v>
      </c>
      <c r="CG157" s="154">
        <f>IF(ISNA(VLOOKUP(A157,'Données projet'!$A$113:$I$133,4,0)),0,VLOOKUP(A157,'Données projet'!$A$113:$I$133,4,0))</f>
        <v>0</v>
      </c>
      <c r="CH157" s="155">
        <f>IF(ISNA(VLOOKUP(A157,'Données projet'!$A$113:$I$133,5,0)),0%,VLOOKUP(A157,'Données projet'!$A$113:$I$133,5,0)*VLOOKUP('Données projet'!$B$12,'Paramètres'!$A$1:$I$88,7,0))</f>
        <v>0</v>
      </c>
      <c r="CI157" s="155">
        <f>IF(ISNA(VLOOKUP(A157,'Données projet'!$A$113:$I$133,6,0)),0%,VLOOKUP(A157,'Données projet'!$A$113:$I$133,6,0)*VLOOKUP('Données projet'!$B$12,'Paramètres'!$A$1:$I$88,7,0))</f>
        <v>0</v>
      </c>
      <c r="CJ157" s="155">
        <f>IF(ISNA(VLOOKUP(A157,'Données projet'!$A$113:$I$133,7,0)),0%,VLOOKUP(A157,'Données projet'!$A$113:$I$133,7,0))</f>
        <v>0</v>
      </c>
      <c r="CK157" s="162" t="str">
        <f>EXP(-LN(2)/35)*CK156+(1-EXP(-LN(2)/35))/(LN(2)/35)*CG157*CH157*VLOOKUP('Données projet'!$B$12,'Paramètres'!$A$1:$I$88,3,0)*0.475*44/12</f>
        <v>#N/A</v>
      </c>
      <c r="CL157" s="162" t="str">
        <f>EXP(-LN(2)/25)*CL156+(1-EXP(-LN(2)/25))/(LN(2)/25)*Calculateur!CG157*Calculateur!CI157*VLOOKUP('Données projet'!$B$12,'Paramètres'!$A$1:$I$88,3,0)*0.475*44/12</f>
        <v>#N/A</v>
      </c>
      <c r="CM157" s="162" t="str">
        <f>EXP(-LN(2)/2)*CM156+(1-EXP(-LN(2)/2))/(LN(2)/2)*CG157*CJ157*VLOOKUP('Données projet'!$B$12,'Paramètres'!$A$1:$I$88,3,0)*0.475*44/12</f>
        <v>#N/A</v>
      </c>
      <c r="CN157" s="163" t="str">
        <f t="shared" si="13"/>
        <v>#N/A</v>
      </c>
      <c r="CO157" s="159">
        <f>('Scénario référence'!$F$8+'Scénario référence'!$F$9+'Scénario référence'!$B$17+'Scénario référence'!$B$9+'Scénario référence'!$B$10)*70+IF((45+25*(1-EXP(-0.0175*A157)))&lt;70,'Scénario référence'!$B$16*(45+25*(1-EXP(-0.0175*A157))),70*'Scénario référence'!$B$16)+IF((32+38*(1-EXP(-0.0175*A157)))&lt;70,'Scénario référence'!$B$18*(32+38*(1-EXP(-0.0175*A157))),70*'Scénario référence'!$B$18)</f>
        <v>70</v>
      </c>
      <c r="CP157" s="151">
        <f>IF(A157&gt;30,10,('Scénario référence'!$B$16+'Scénario référence'!$B$17+'Scénario référence'!$B$18+'Scénario référence'!$B$9+'Scénario référence'!$B$10)*A157*10/30+('Scénario référence'!$F$8+'Scénario référence'!$F$9)*10)</f>
        <v>10</v>
      </c>
      <c r="CQ157" s="151" t="str">
        <f>VLOOKUP(A157,'Données projet'!$A$139:$I$159,2,0)</f>
        <v>#N/A</v>
      </c>
      <c r="CR157" s="151" t="str">
        <f>VLOOKUP(A157,'Données projet'!$A$139:$I$159,9,0)</f>
        <v>#N/A</v>
      </c>
      <c r="CS157" s="151" t="str">
        <f t="array" ref="CS157">INDEX(CR:CR,MIN(IF(ISNUMBER(CR157:CR353),ROW(CR157:CR353),"")))</f>
        <v/>
      </c>
      <c r="CT157" s="151">
        <f>IF('Données projet'!$A$140&gt;35,CT156+CS157-DB156,IF(A157&lt;'Données projet'!$A$140,$CQ$205^A157,IF(A157='Données projet'!$A$140,'Données projet'!$B$140,CT156+CS157-DB156)))</f>
        <v>0</v>
      </c>
      <c r="CU157" s="158" t="str">
        <f>CT157*VLOOKUP('Données projet'!$B$13,'Paramètres'!$A$1:$I$88,3,0)*VLOOKUP('Données projet'!$B$13,'Paramètres'!$A$1:$I$88,5,0)</f>
        <v>#N/A</v>
      </c>
      <c r="CV157" s="150" t="str">
        <f t="shared" si="42"/>
        <v>#N/A</v>
      </c>
      <c r="CW157" s="161" t="str">
        <f t="shared" si="14"/>
        <v>#N/A</v>
      </c>
      <c r="CX157" s="153" t="str">
        <f t="shared" si="15"/>
        <v>#N/A</v>
      </c>
      <c r="CY157" s="153" t="str">
        <f>AVERAGE(OFFSET($CX$3,0,0,'Données projet'!$E$13+1,1))-AVERAGE(OFFSET($H$3,0,0,'Données projet'!$E$13+1,1))</f>
        <v>#N/A</v>
      </c>
      <c r="CZ157" s="153" t="str">
        <f t="shared" si="43"/>
        <v>#N/A</v>
      </c>
      <c r="DA157" s="154">
        <f>IF(ISNA(VLOOKUP(A157,'Données projet'!$A$139:$I$159,3,0)),0,VLOOKUP(A157,'Données projet'!$A$139:$I$159,3,0))</f>
        <v>0</v>
      </c>
      <c r="DB157" s="154">
        <f>IF(ISNA(VLOOKUP(A157,'Données projet'!$A$139:$I$159,4,0)),0,VLOOKUP(A157,'Données projet'!$A$139:$I$159,4,0))</f>
        <v>0</v>
      </c>
      <c r="DC157" s="155">
        <f>IF(ISNA(VLOOKUP(A157,'Données projet'!$A$139:$I$159,5,0)),0%,VLOOKUP(A157,'Données projet'!$A$139:$I$159,5,0)*VLOOKUP('Données projet'!$B$13,'Paramètres'!$A$1:$I$88,7,0))</f>
        <v>0</v>
      </c>
      <c r="DD157" s="155">
        <f>IF(ISNA(VLOOKUP(A157,'Données projet'!$A$139:$I$159,6,0)),0%,VLOOKUP(A157,'Données projet'!$A$139:$I$159,6,0)*VLOOKUP('Données projet'!$B$13,'Paramètres'!$A$1:$I$88,7,0))</f>
        <v>0</v>
      </c>
      <c r="DE157" s="155">
        <f>IF(ISNA(VLOOKUP(A157,'Données projet'!$A$139:$I$159,7,0)),0%,VLOOKUP(A157,'Données projet'!$A$139:$I$159,7,0))</f>
        <v>0</v>
      </c>
      <c r="DF157" s="162" t="str">
        <f>EXP(-LN(2)/35)*DF156+(1-EXP(-LN(2)/35))/(LN(2)/35)*DB157*DC157*VLOOKUP('Données projet'!$B$13,'Paramètres'!$A$1:$I$88,3,0)*0.475*44/12</f>
        <v>#N/A</v>
      </c>
      <c r="DG157" s="162" t="str">
        <f>EXP(-LN(2)/25)*DG156+(1-EXP(-LN(2)/25))/(LN(2)/25)*Calculateur!DB157*Calculateur!DD157*VLOOKUP('Données projet'!$B$13,'Paramètres'!$A$1:$I$88,3,0)*0.475*44/12</f>
        <v>#N/A</v>
      </c>
      <c r="DH157" s="162" t="str">
        <f>EXP(-LN(2)/2)*DH156+(1-EXP(-LN(2)/2))/(LN(2)/2)*DB157*DE157*VLOOKUP('Données projet'!$B$13,'Paramètres'!$A$1:$I$88,3,0)*0.475*44/12</f>
        <v>#N/A</v>
      </c>
      <c r="DI157" s="163" t="str">
        <f t="shared" si="16"/>
        <v>#N/A</v>
      </c>
      <c r="DJ157" s="159">
        <f>('Scénario référence'!$F$8+'Scénario référence'!$F$9+'Scénario référence'!$B$17+'Scénario référence'!$B$9+'Scénario référence'!$B$10)*70+IF((45+25*(1-EXP(-0.0175*A157)))&lt;70,'Scénario référence'!$B$16*(45+25*(1-EXP(-0.0175*A157))),70*'Scénario référence'!$B$16)+IF((32+38*(1-EXP(-0.0175*A157)))&lt;70,'Scénario référence'!$B$18*(32+38*(1-EXP(-0.0175*A157))),70*'Scénario référence'!$B$18)</f>
        <v>70</v>
      </c>
      <c r="DK157" s="151">
        <f>IF(A157&gt;30,10,('Scénario référence'!$B$16+'Scénario référence'!$B$17+'Scénario référence'!$B$18+'Scénario référence'!$B$9+'Scénario référence'!$B$10)*A157*10/30+('Scénario référence'!$F$8+'Scénario référence'!$F$9)*10)</f>
        <v>10</v>
      </c>
      <c r="DL157" s="151" t="str">
        <f>VLOOKUP(A157,'Données projet'!$A$165:$I$185,2,0)</f>
        <v>#N/A</v>
      </c>
      <c r="DM157" s="151" t="str">
        <f>VLOOKUP(A157,'Données projet'!$A$165:$I$185,9,0)</f>
        <v>#N/A</v>
      </c>
      <c r="DN157" s="151" t="str">
        <f t="array" ref="DN157">INDEX(DM:DM,MIN(IF(ISNUMBER(DM157:DM353),ROW(DM157:DM353),"")))</f>
        <v/>
      </c>
      <c r="DO157" s="151">
        <f>IF('Données projet'!$A$166&gt;35,DO156+DN157-DW156,IF(A157&lt;'Données projet'!$A$166,$DL$205^A157,IF(A157='Données projet'!$A$166,'Données projet'!$B$166,DO156+DN157-DW156)))</f>
        <v>0</v>
      </c>
      <c r="DP157" s="158" t="str">
        <f>DO157*VLOOKUP('Données projet'!$B$14,'Paramètres'!$A$1:$I$88,3,0)*VLOOKUP('Données projet'!$B$14,'Paramètres'!$A$1:$I$88,5,0)</f>
        <v>#N/A</v>
      </c>
      <c r="DQ157" s="150" t="str">
        <f t="shared" si="44"/>
        <v>#N/A</v>
      </c>
      <c r="DR157" s="161" t="str">
        <f t="shared" si="17"/>
        <v>#N/A</v>
      </c>
      <c r="DS157" s="153" t="str">
        <f t="shared" si="18"/>
        <v>#N/A</v>
      </c>
      <c r="DT157" s="153" t="str">
        <f>AVERAGE(OFFSET($DS$3,0,0,'Données projet'!$E$14+1,1))-AVERAGE(OFFSET($H$3,0,0,'Données projet'!$E$14+1,1))</f>
        <v>#N/A</v>
      </c>
      <c r="DU157" s="153" t="str">
        <f t="shared" si="45"/>
        <v>#N/A</v>
      </c>
      <c r="DV157" s="154">
        <f>IF(ISNA(VLOOKUP(A157,'Données projet'!$A$165:$I$185,3,0)),0,VLOOKUP(A157,'Données projet'!$A$165:$I$185,3,0))</f>
        <v>0</v>
      </c>
      <c r="DW157" s="154">
        <f>IF(ISNA(VLOOKUP(A157,'Données projet'!$A$165:$I$185,4,0)),0,VLOOKUP(A157,'Données projet'!$A$165:$I$185,4,0))</f>
        <v>0</v>
      </c>
      <c r="DX157" s="155">
        <f>IF(ISNA(VLOOKUP(A157,'Données projet'!$A$165:$I$185,5,0)),0%,VLOOKUP(A157,'Données projet'!$A$165:$I$185,5,0)*VLOOKUP('Données projet'!$B$14,'Paramètres'!$A$1:$I$88,7,0))</f>
        <v>0</v>
      </c>
      <c r="DY157" s="155">
        <f>IF(ISNA(VLOOKUP(A157,'Données projet'!$A$165:$I$185,6,0)),0%,VLOOKUP(A157,'Données projet'!$A$165:$I$185,6,0)*VLOOKUP('Données projet'!$B$14,'Paramètres'!$A$1:$I$88,7,0))</f>
        <v>0</v>
      </c>
      <c r="DZ157" s="155">
        <f>IF(ISNA(VLOOKUP(A157,'Données projet'!$A$165:$I$185,7,0)),0%,VLOOKUP(A157,'Données projet'!$A$165:$I$185,7,0))</f>
        <v>0</v>
      </c>
      <c r="EA157" s="162" t="str">
        <f>EXP(-LN(2)/35)*EA156+(1-EXP(-LN(2)/35))/(LN(2)/35)*DW157*DX157*VLOOKUP('Données projet'!$B$14,'Paramètres'!$A$1:$I$88,3,0)*0.475*44/12</f>
        <v>#N/A</v>
      </c>
      <c r="EB157" s="162" t="str">
        <f>EXP(-LN(2)/25)*EB156+(1-EXP(-LN(2)/25))/(LN(2)/25)*Calculateur!DW157*Calculateur!DY157*VLOOKUP('Données projet'!$B$14,'Paramètres'!$A$1:$I$88,3,0)*0.475*44/12</f>
        <v>#N/A</v>
      </c>
      <c r="EC157" s="162" t="str">
        <f>EXP(-LN(2)/2)*EC156+(1-EXP(-LN(2)/2))/(LN(2)/2)*DW157*DZ157*VLOOKUP('Données projet'!$B$14,'Paramètres'!$A$1:$I$88,3,0)*0.475*44/12</f>
        <v>#N/A</v>
      </c>
      <c r="ED157" s="163" t="str">
        <f t="shared" si="19"/>
        <v>#N/A</v>
      </c>
      <c r="EE157" s="159">
        <f>('Scénario référence'!$F$8+'Scénario référence'!$F$9+'Scénario référence'!$B$17+'Scénario référence'!$B$9+'Scénario référence'!$B$10)*70+IF((45+25*(1-EXP(-0.0175*A157)))&lt;70,'Scénario référence'!$B$16*(45+25*(1-EXP(-0.0175*A157))),70*'Scénario référence'!$B$16)+IF((32+38*(1-EXP(-0.0175*A157)))&lt;70,'Scénario référence'!$B$18*(32+38*(1-EXP(-0.0175*A157))),70*'Scénario référence'!$B$18)</f>
        <v>70</v>
      </c>
      <c r="EF157" s="151">
        <f>IF(A157&gt;30,10,('Scénario référence'!$B$16+'Scénario référence'!$B$17+'Scénario référence'!$B$18+'Scénario référence'!$B$9+'Scénario référence'!$B$10)*A157*10/30+('Scénario référence'!$F$8+'Scénario référence'!$F$9)*10)</f>
        <v>10</v>
      </c>
      <c r="EG157" s="151" t="str">
        <f>VLOOKUP(A157,'Données projet'!$A$191:$I$211,2,0)</f>
        <v>#N/A</v>
      </c>
      <c r="EH157" s="151" t="str">
        <f>VLOOKUP(A157,'Données projet'!$A$191:$I$211,9,0)</f>
        <v>#N/A</v>
      </c>
      <c r="EI157" s="151" t="str">
        <f t="array" ref="EI157">INDEX(EH:EH,MIN(IF(ISNUMBER(EH157:EH353),ROW(EH157:EH353),"")))</f>
        <v/>
      </c>
      <c r="EJ157" s="151">
        <f>IF('Données projet'!$A$192&gt;35,EJ156+EI157-ER156,IF(A157&lt;'Données projet'!$A$192,$EG$205^A157,IF(A157='Données projet'!$A$192,'Données projet'!$B$192,EJ156+EI157-ER156)))</f>
        <v>0</v>
      </c>
      <c r="EK157" s="158" t="str">
        <f>EJ157*VLOOKUP('Données projet'!$B$15,'Paramètres'!$A$1:$I$88,3,0)*VLOOKUP('Données projet'!$B$15,'Paramètres'!$A$1:$I$88,5,0)</f>
        <v>#N/A</v>
      </c>
      <c r="EL157" s="150" t="str">
        <f t="shared" si="46"/>
        <v>#N/A</v>
      </c>
      <c r="EM157" s="161" t="str">
        <f t="shared" si="20"/>
        <v>#N/A</v>
      </c>
      <c r="EN157" s="153" t="str">
        <f t="shared" si="21"/>
        <v>#N/A</v>
      </c>
      <c r="EO157" s="153" t="str">
        <f>AVERAGE(OFFSET($EN$3,0,0,'Données projet'!$E$15+1,1))-AVERAGE(OFFSET($H$3,0,0,'Données projet'!$E$15+1,1))</f>
        <v>#N/A</v>
      </c>
      <c r="EP157" s="153" t="str">
        <f t="shared" si="47"/>
        <v>#N/A</v>
      </c>
      <c r="EQ157" s="154">
        <f>IF(ISNA(VLOOKUP(A157,'Données projet'!$A$191:$I$211,3,0)),0,VLOOKUP(A157,'Données projet'!$A$191:$I$211,3,0))</f>
        <v>0</v>
      </c>
      <c r="ER157" s="154">
        <f>IF(ISNA(VLOOKUP(A157,'Données projet'!$A$191:$I$211,4,0)),0,VLOOKUP(A157,'Données projet'!$A$191:$I$211,4,0))</f>
        <v>0</v>
      </c>
      <c r="ES157" s="155">
        <f>IF(ISNA(VLOOKUP(A157,'Données projet'!$A$191:$I$211,5,0)),0%,VLOOKUP(A157,'Données projet'!$A$191:$I$211,5,0)*VLOOKUP('Données projet'!$B$15,'Paramètres'!$A$1:$I$88,7,0))</f>
        <v>0</v>
      </c>
      <c r="ET157" s="155">
        <f>IF(ISNA(VLOOKUP(A157,'Données projet'!$A$191:$I$211,6,0)),0%,VLOOKUP(A157,'Données projet'!$A$191:$I$211,6,0)*VLOOKUP('Données projet'!$B$15,'Paramètres'!$A$1:$I$88,7,0))</f>
        <v>0</v>
      </c>
      <c r="EU157" s="155">
        <f>IF(ISNA(VLOOKUP(A157,'Données projet'!$A$191:$I$211,7,0)),0%,VLOOKUP(A157,'Données projet'!$A$191:$I$211,7,0))</f>
        <v>0</v>
      </c>
      <c r="EV157" s="162" t="str">
        <f>EXP(-LN(2)/35)*EV156+(1-EXP(-LN(2)/35))/(LN(2)/35)*ER157*ES157*VLOOKUP('Données projet'!$B$15,'Paramètres'!$A$1:$I$88,3,0)*0.475*44/12</f>
        <v>#N/A</v>
      </c>
      <c r="EW157" s="162" t="str">
        <f>EXP(-LN(2)/25)*EW156+(1-EXP(-LN(2)/25))/(LN(2)/25)*Calculateur!ER157*Calculateur!ET157*VLOOKUP('Données projet'!$B$15,'Paramètres'!$A$1:$I$88,3,0)*0.475*44/12</f>
        <v>#N/A</v>
      </c>
      <c r="EX157" s="162" t="str">
        <f>EXP(-LN(2)/2)*EX156+(1-EXP(-LN(2)/2))/(LN(2)/2)*ER157*EU157*VLOOKUP('Données projet'!$B$15,'Paramètres'!$A$1:$I$88,3,0)*0.475*44/12</f>
        <v>#N/A</v>
      </c>
      <c r="EY157" s="163" t="str">
        <f t="shared" si="22"/>
        <v>#N/A</v>
      </c>
      <c r="EZ157" s="159">
        <f>('Scénario référence'!$F$8+'Scénario référence'!$F$9+'Scénario référence'!$B$17+'Scénario référence'!$B$9+'Scénario référence'!$B$10)*70+IF((45+25*(1-EXP(-0.0175*A157)))&lt;70,'Scénario référence'!$B$16*(45+25*(1-EXP(-0.0175*A157))),70*'Scénario référence'!$B$16)+IF((32+38*(1-EXP(-0.0175*A157)))&lt;70,'Scénario référence'!$B$18*(32+38*(1-EXP(-0.0175*A157))),70*'Scénario référence'!$B$18)</f>
        <v>70</v>
      </c>
      <c r="FA157" s="151">
        <f>IF(A157&gt;30,10,('Scénario référence'!$B$16+'Scénario référence'!$B$17+'Scénario référence'!$B$18+'Scénario référence'!$B$9+'Scénario référence'!$B$10)*A157*10/30+('Scénario référence'!$F$8+'Scénario référence'!$F$9)*10)</f>
        <v>10</v>
      </c>
      <c r="FB157" s="151" t="str">
        <f>VLOOKUP(A157,'Données projet'!$A$217:$I$237,2,0)</f>
        <v>#N/A</v>
      </c>
      <c r="FC157" s="151" t="str">
        <f>VLOOKUP(A157,'Données projet'!$A$217:$I$237,9,0)</f>
        <v>#N/A</v>
      </c>
      <c r="FD157" s="151" t="str">
        <f t="array" ref="FD157">INDEX(FC:FC,MIN(IF(ISNUMBER(FC157:FC353),ROW(FC157:FC353),"")))</f>
        <v/>
      </c>
      <c r="FE157" s="151">
        <f>IF('Données projet'!$A$218&gt;35,FE156+FD157-FM156,IF(A157&lt;'Données projet'!$A$218,$FB$205^A157,IF(A157='Données projet'!$A$218,'Données projet'!$B$218,FE156+FD157-FM156)))</f>
        <v>0</v>
      </c>
      <c r="FF157" s="158" t="str">
        <f>FE157*VLOOKUP('Données projet'!$B$16,'Paramètres'!$A$1:$I$88,3,0)*VLOOKUP('Données projet'!$B$16,'Paramètres'!$A$1:$I$88,5,0)</f>
        <v>#N/A</v>
      </c>
      <c r="FG157" s="150" t="str">
        <f t="shared" si="48"/>
        <v>#N/A</v>
      </c>
      <c r="FH157" s="161" t="str">
        <f t="shared" si="23"/>
        <v>#N/A</v>
      </c>
      <c r="FI157" s="153" t="str">
        <f t="shared" si="24"/>
        <v>#N/A</v>
      </c>
      <c r="FJ157" s="153" t="str">
        <f>AVERAGE(OFFSET($FI$3,0,0,'Données projet'!$E$16+1,1))-AVERAGE(OFFSET($H$3,0,0,'Données projet'!$E$16+1,1))</f>
        <v>#N/A</v>
      </c>
      <c r="FK157" s="153" t="str">
        <f t="shared" si="49"/>
        <v>#N/A</v>
      </c>
      <c r="FL157" s="154">
        <f>IF(ISNA(VLOOKUP(A157,'Données projet'!$A$217:$I$237,3,0)),0,VLOOKUP(A157,'Données projet'!$A$217:$I$237,3,0))</f>
        <v>0</v>
      </c>
      <c r="FM157" s="154">
        <f>IF(ISNA(VLOOKUP(A157,'Données projet'!$A$217:$I$237,4,0)),0,VLOOKUP(A157,'Données projet'!$A$217:$I$237,4,0))</f>
        <v>0</v>
      </c>
      <c r="FN157" s="155">
        <f>IF(ISNA(VLOOKUP(A157,'Données projet'!$A$217:$I$237,5,0)),0%,VLOOKUP(A157,'Données projet'!$A$217:$I$237,5,0)*VLOOKUP('Données projet'!$B$16,'Paramètres'!$A$1:$I$88,7,0))</f>
        <v>0</v>
      </c>
      <c r="FO157" s="155">
        <f>IF(ISNA(VLOOKUP(A157,'Données projet'!$A$217:$I$237,6,0)),0%,VLOOKUP(A157,'Données projet'!$A$217:$I$237,6,0)*VLOOKUP('Données projet'!$B$16,'Paramètres'!$A$1:$I$88,7,0))</f>
        <v>0</v>
      </c>
      <c r="FP157" s="155">
        <f>IF(ISNA(VLOOKUP(A157,'Données projet'!$A$217:$I$237,7,0)),0%,VLOOKUP(A157,'Données projet'!$A$217:$I$237,7,0))</f>
        <v>0</v>
      </c>
      <c r="FQ157" s="162" t="str">
        <f>EXP(-LN(2)/35)*FQ156+(1-EXP(-LN(2)/35))/(LN(2)/35)*FM157*FN157*VLOOKUP('Données projet'!$B$16,'Paramètres'!$A$1:$I$88,3,0)*0.475*44/12</f>
        <v>#N/A</v>
      </c>
      <c r="FR157" s="162" t="str">
        <f>EXP(-LN(2)/25)*FR156+(1-EXP(-LN(2)/25))/(LN(2)/25)*Calculateur!FM157*Calculateur!FO157*VLOOKUP('Données projet'!$B$16,'Paramètres'!$A$1:$I$88,3,0)*0.475*44/12</f>
        <v>#N/A</v>
      </c>
      <c r="FS157" s="162" t="str">
        <f>EXP(-LN(2)/2)*FS156+(1-EXP(-LN(2)/2))/(LN(2)/2)*FM157*FP157*VLOOKUP('Données projet'!$B$16,'Paramètres'!$A$1:$I$88,3,0)*0.475*44/12</f>
        <v>#N/A</v>
      </c>
      <c r="FT157" s="163" t="str">
        <f t="shared" si="25"/>
        <v>#N/A</v>
      </c>
      <c r="FU157" s="159">
        <f>('Scénario référence'!$F$8+'Scénario référence'!$F$9+'Scénario référence'!$B$17+'Scénario référence'!$B$9+'Scénario référence'!$B$10)*70+IF((45+25*(1-EXP(-0.0175*A157)))&lt;70,'Scénario référence'!$B$16*(45+25*(1-EXP(-0.0175*A157))),70*'Scénario référence'!$B$16)+IF((32+38*(1-EXP(-0.0175*A157)))&lt;70,'Scénario référence'!$B$18*(32+38*(1-EXP(-0.0175*A157))),70*'Scénario référence'!$B$18)</f>
        <v>70</v>
      </c>
      <c r="FV157" s="151">
        <f>IF(A157&gt;30,10,('Scénario référence'!$B$16+'Scénario référence'!$B$17+'Scénario référence'!$B$18+'Scénario référence'!$B$9+'Scénario référence'!$B$10)*A157*10/30+('Scénario référence'!$F$8+'Scénario référence'!$F$9)*10)</f>
        <v>10</v>
      </c>
      <c r="FW157" s="151" t="str">
        <f>VLOOKUP(A157,'Données projet'!$A$243:$I$263,2,0)</f>
        <v>#N/A</v>
      </c>
      <c r="FX157" s="151" t="str">
        <f>VLOOKUP(A157,'Données projet'!$A$243:$I$263,9,0)</f>
        <v>#N/A</v>
      </c>
      <c r="FY157" s="151" t="str">
        <f t="array" ref="FY157">INDEX(FX:FX,MIN(IF(ISNUMBER(FX157:FX353),ROW(FX157:FX353),"")))</f>
        <v/>
      </c>
      <c r="FZ157" s="151">
        <f>IF('Données projet'!$A$244&gt;35,FZ156+FY157-GH156,IF(A157&lt;'Données projet'!$A$244,$FW$205^A157,IF(A157='Données projet'!$A$244,'Données projet'!$B$244,FZ156+FY157-GH156)))</f>
        <v>0</v>
      </c>
      <c r="GA157" s="158" t="str">
        <f>FZ157*VLOOKUP('Données projet'!$B$17,'Paramètres'!$A$1:$I$88,3,0)*VLOOKUP('Données projet'!$B$17,'Paramètres'!$A$1:$I$88,5,0)</f>
        <v>#N/A</v>
      </c>
      <c r="GB157" s="150" t="str">
        <f t="shared" si="50"/>
        <v>#N/A</v>
      </c>
      <c r="GC157" s="161" t="str">
        <f t="shared" si="26"/>
        <v>#N/A</v>
      </c>
      <c r="GD157" s="153" t="str">
        <f t="shared" si="27"/>
        <v>#N/A</v>
      </c>
      <c r="GE157" s="153" t="str">
        <f>AVERAGE(OFFSET($GD$3,0,0,'Données projet'!$E$17+1,1))-AVERAGE(OFFSET($H$3,0,0,'Données projet'!$E$17+1,1))</f>
        <v>#N/A</v>
      </c>
      <c r="GF157" s="153" t="str">
        <f t="shared" si="51"/>
        <v>#N/A</v>
      </c>
      <c r="GG157" s="154">
        <f>IF(ISNA(VLOOKUP(A157,'Données projet'!$A$243:$I$263,3,0)),0,VLOOKUP(A157,'Données projet'!$A$243:$I$263,3,0))</f>
        <v>0</v>
      </c>
      <c r="GH157" s="154">
        <f>IF(ISNA(VLOOKUP(A157,'Données projet'!$A$243:$I$263,4,0)),0,VLOOKUP(A157,'Données projet'!$A$243:$I$263,4,0))</f>
        <v>0</v>
      </c>
      <c r="GI157" s="155">
        <f>IF(ISNA(VLOOKUP(A157,'Données projet'!$A$243:$I$263,5,0)),0%,VLOOKUP(A157,'Données projet'!$A$243:$I$263,5,0)*VLOOKUP('Données projet'!$B$17,'Paramètres'!$A$1:$I$88,7,0))</f>
        <v>0</v>
      </c>
      <c r="GJ157" s="155">
        <f>IF(ISNA(VLOOKUP(A157,'Données projet'!$A$243:$I$263,6,0)),0%,VLOOKUP(A157,'Données projet'!$A$243:$I$263,6,0)*VLOOKUP('Données projet'!$B$17,'Paramètres'!$A$1:$I$88,7,0))</f>
        <v>0</v>
      </c>
      <c r="GK157" s="155">
        <f>IF(ISNA(VLOOKUP(A157,'Données projet'!$A$243:$I$263,7,0)),0%,VLOOKUP(A157,'Données projet'!$A$243:$I$263,7,0))</f>
        <v>0</v>
      </c>
      <c r="GL157" s="162" t="str">
        <f>EXP(-LN(2)/35)*GL156+(1-EXP(-LN(2)/35))/(LN(2)/35)*GH157*GI157*VLOOKUP('Données projet'!$B$17,'Paramètres'!$A$1:$I$88,3,0)*0.475*44/12</f>
        <v>#N/A</v>
      </c>
      <c r="GM157" s="162" t="str">
        <f>EXP(-LN(2)/25)*GM156+(1-EXP(-LN(2)/25))/(LN(2)/25)*Calculateur!GH157*Calculateur!GJ157*VLOOKUP('Données projet'!$B$17,'Paramètres'!$A$1:$I$88,3,0)*0.475*44/12</f>
        <v>#N/A</v>
      </c>
      <c r="GN157" s="162" t="str">
        <f>EXP(-LN(2)/2)*GN156+(1-EXP(-LN(2)/2))/(LN(2)/2)*GH157*GK157*VLOOKUP('Données projet'!$B$17,'Paramètres'!$A$1:$I$88,3,0)*0.475*44/12</f>
        <v>#N/A</v>
      </c>
      <c r="GO157" s="162" t="str">
        <f t="shared" si="28"/>
        <v>#N/A</v>
      </c>
      <c r="GP157" s="159">
        <f>('Scénario référence'!$F$8+'Scénario référence'!$F$9+'Scénario référence'!$B$17+'Scénario référence'!$B$9+'Scénario référence'!$B$10)*70+IF((45+25*(1-EXP(-0.0175*A157)))&lt;70,'Scénario référence'!$B$16*(45+25*(1-EXP(-0.0175*A157))),70*'Scénario référence'!$B$16)+IF((32+38*(1-EXP(-0.0175*A157)))&lt;70,'Scénario référence'!$B$18*(32+38*(1-EXP(-0.0175*A157))),70*'Scénario référence'!$B$18)</f>
        <v>70</v>
      </c>
      <c r="GQ157" s="151">
        <f>IF(A157&gt;30,10,('Scénario référence'!$B$16+'Scénario référence'!$B$17+'Scénario référence'!$B$18+'Scénario référence'!$B$9+'Scénario référence'!$B$10)*A157*10/30+('Scénario référence'!$F$8+'Scénario référence'!$F$9)*10)</f>
        <v>10</v>
      </c>
      <c r="GR157" s="151" t="str">
        <f>VLOOKUP(A157,'Données projet'!$A$269:$I$289,2,0)</f>
        <v>#N/A</v>
      </c>
      <c r="GS157" s="151" t="str">
        <f>VLOOKUP(A157,'Données projet'!$A$269:$I$289,9,0)</f>
        <v>#N/A</v>
      </c>
      <c r="GT157" s="151" t="str">
        <f t="array" ref="GT157">INDEX(GS:GS,MIN(IF(ISNUMBER(GS157:GS353),ROW(GS157:GS353),"")))</f>
        <v/>
      </c>
      <c r="GU157" s="151">
        <f>IF('Données projet'!$A$270&gt;35,GU156+GT157-HC156,IF(A157&lt;'Données projet'!$A$270,$GR$205^A157,IF(A157='Données projet'!$A$270,'Données projet'!$B$270,GU156+GT157-HC156)))</f>
        <v>0</v>
      </c>
      <c r="GV157" s="158" t="str">
        <f>GU157*VLOOKUP('Données projet'!$B$18,'Paramètres'!$A$1:$I$88,3,0)*VLOOKUP('Données projet'!$B$18,'Paramètres'!$A$1:$I$88,5,0)</f>
        <v>#N/A</v>
      </c>
      <c r="GW157" s="150" t="str">
        <f t="shared" si="52"/>
        <v>#N/A</v>
      </c>
      <c r="GX157" s="161" t="str">
        <f t="shared" si="29"/>
        <v>#N/A</v>
      </c>
      <c r="GY157" s="153" t="str">
        <f t="shared" si="30"/>
        <v>#N/A</v>
      </c>
      <c r="GZ157" s="153" t="str">
        <f>AVERAGE(OFFSET($GY$3,0,0,'Données projet'!$E$18+1,1))-AVERAGE(OFFSET($H$3,0,0,'Données projet'!$E$18+1,1))</f>
        <v>#N/A</v>
      </c>
      <c r="HA157" s="153" t="str">
        <f t="shared" si="53"/>
        <v>#N/A</v>
      </c>
      <c r="HB157" s="154">
        <f>IF(ISNA(VLOOKUP(A157,'Données projet'!$A$269:$I$289,3,0)),0,VLOOKUP(A157,'Données projet'!$A$269:$I$289,3,0))</f>
        <v>0</v>
      </c>
      <c r="HC157" s="154">
        <f>IF(ISNA(VLOOKUP(A157,'Données projet'!$A$269:$I$289,4,0)),0,VLOOKUP(A157,'Données projet'!$A$269:$I$289,4,0))</f>
        <v>0</v>
      </c>
      <c r="HD157" s="155">
        <f>IF(ISNA(VLOOKUP(A157,'Données projet'!$A$269:$I$289,5,0)),0%,VLOOKUP(A157,'Données projet'!$A$269:$I$289,5,0)*VLOOKUP('Données projet'!$B$18,'Paramètres'!$A$1:$I$88,7,0))</f>
        <v>0</v>
      </c>
      <c r="HE157" s="155">
        <f>IF(ISNA(VLOOKUP(A157,'Données projet'!$A$269:$I$289,6,0)),0%,VLOOKUP(A157,'Données projet'!$A$269:$I$289,6,0)*VLOOKUP('Données projet'!$B$18,'Paramètres'!$A$1:$I$88,7,0))</f>
        <v>0</v>
      </c>
      <c r="HF157" s="155">
        <f>IF(ISNA(VLOOKUP(A157,'Données projet'!$A$269:$I$289,7,0)),0%,VLOOKUP(A157,'Données projet'!$A$269:$I$289,7,0))</f>
        <v>0</v>
      </c>
      <c r="HG157" s="162" t="str">
        <f>EXP(-LN(2)/35)*HG156+(1-EXP(-LN(2)/35))/(LN(2)/35)*HC157*HD157*VLOOKUP('Données projet'!$B$18,'Paramètres'!$A$1:$I$88,3,0)*0.475*44/12</f>
        <v>#N/A</v>
      </c>
      <c r="HH157" s="162" t="str">
        <f>EXP(-LN(2)/25)*HH156+(1-EXP(-LN(2)/25))/(LN(2)/25)*Calculateur!HC157*Calculateur!HE157*VLOOKUP('Données projet'!$B$18,'Paramètres'!$A$1:$I$88,3,0)*0.475*44/12</f>
        <v>#N/A</v>
      </c>
      <c r="HI157" s="162" t="str">
        <f>EXP(-LN(2)/2)*HI156+(1-EXP(-LN(2)/2))/(LN(2)/2)*HC157*HF157*VLOOKUP('Données projet'!$B$18,'Paramètres'!$A$1:$I$88,3,0)*0.475*44/12</f>
        <v>#N/A</v>
      </c>
      <c r="HJ157" s="163" t="str">
        <f t="shared" si="31"/>
        <v>#N/A</v>
      </c>
    </row>
    <row r="158" ht="15.75" customHeight="1">
      <c r="A158" s="145">
        <f t="shared" si="32"/>
        <v>155</v>
      </c>
      <c r="B158" s="146">
        <f>'Scénario référence'!$B$16*5+'Scénario référence'!$B$17*0+'Scénario référence'!$B$18*5</f>
        <v>0</v>
      </c>
      <c r="C158" s="160">
        <f>Calculateur!C157+'Scénario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58" s="147">
        <f t="shared" si="33"/>
        <v>0</v>
      </c>
      <c r="E158" s="147">
        <f>'Scénario référence'!$B$16*45+('Scénario référence'!$B$17+'Scénario référence'!$F$8+'Scénario référence'!$F$9+'Scénario référence'!$B$10+'Scénario référence'!$B$9)*70+'Scénario référence'!$B$18*32</f>
        <v>70</v>
      </c>
      <c r="F158" s="147">
        <f>IF(OR('Scénario référence'!$F$8&gt;0,'Scénario référence'!$F$9&gt;0),('Scénario référence'!$F$8+'Scénario référence'!$F$9)*10,0)</f>
        <v>0</v>
      </c>
      <c r="G158" s="147">
        <f>'Scénario référence'!$B$8*B158*44/12+'Scénario référence'!$B$9*(C158+D158)/0.475*44/12+'Scénario référence'!$B$10*(C158+D158)/0.475*44/12+'Scénario référence'!$F$8*(C158+D158)/0.475*44/12+'Scénario référence'!$F$9*(C158+D158)/0.475*44/12</f>
        <v>0</v>
      </c>
      <c r="H158" s="148">
        <f t="shared" si="1"/>
        <v>256.6666667</v>
      </c>
      <c r="I158" s="149">
        <f>('Scénario référence'!$F$8+'Scénario référence'!$F$9+'Scénario référence'!$B$17+'Scénario référence'!$B$9+'Scénario référence'!$B$10)*70+IF((45+25*(1-EXP(-0.0175*A158)))&lt;70,'Scénario référence'!$B$16*(45+25*(1-EXP(-0.0175*A158))),70*'Scénario référence'!$B$16)+IF((32+38*(1-EXP(-0.0175*A158)))&lt;70,'Scénario référence'!$B$18*(32+38*(1-EXP(-0.0175*A158))),70*'Scénario référence'!$B$18)</f>
        <v>70</v>
      </c>
      <c r="J158" s="150">
        <f>IF(A158&gt;30,10,('Scénario référence'!$B$16+'Scénario référence'!$B$17+'Scénario référence'!$B$18+'Scénario référence'!$B$9+'Scénario référence'!$B$10)*A158*10/30+('Scénario référence'!$F$8+'Scénario référence'!$F$9)*10)</f>
        <v>10</v>
      </c>
      <c r="K158" s="151" t="str">
        <f>VLOOKUP(A158,'Données projet'!$A$35:$I$55,2,0)</f>
        <v>#N/A</v>
      </c>
      <c r="L158" s="151" t="str">
        <f>VLOOKUP(A158,'Données projet'!$A$35:$I$55,9,0)</f>
        <v>#N/A</v>
      </c>
      <c r="M158" s="151" t="str">
        <f t="array" ref="M158">INDEX(L:L,MIN(IF(ISNUMBER(L158:L354),ROW(L158:L354),"")))</f>
        <v/>
      </c>
      <c r="N158" s="150">
        <f>IF('Données projet'!$A$36&gt;35,N157+M158-V157,IF(A158&lt;'Données projet'!$A$36,$K$205^A158,IF(A158='Données projet'!$A$36,'Données projet'!$B$36,N157+M158-V157)))</f>
        <v>307</v>
      </c>
      <c r="O158" s="150">
        <f>N158*VLOOKUP('Données projet'!$B$9,'Paramètres'!$A$1:$I$88,3,0)*VLOOKUP('Données projet'!$B$9,'Paramètres'!$A$1:$I$88,5,0)</f>
        <v>277.7736</v>
      </c>
      <c r="P158" s="150">
        <f t="shared" si="34"/>
        <v>66.49628818</v>
      </c>
      <c r="Q158" s="161">
        <f t="shared" si="2"/>
        <v>599.6033886</v>
      </c>
      <c r="R158" s="153">
        <f t="shared" si="3"/>
        <v>892.9367219</v>
      </c>
      <c r="S158" s="153">
        <f>AVERAGE(OFFSET($R$3,0,0,'Données projet'!$E$9+1,1))-AVERAGE(OFFSET($H$3,0,0,'Données projet'!$E$9+1,1))</f>
        <v>439.1985427</v>
      </c>
      <c r="T158" s="153">
        <f t="shared" si="35"/>
        <v>278.2174123</v>
      </c>
      <c r="U158" s="154">
        <f>IF(ISNA(VLOOKUP(A158,'Données projet'!$A$35:$I$55,3,0)),0,VLOOKUP(A158,'Données projet'!$A$35:$I$55,3,0))</f>
        <v>0</v>
      </c>
      <c r="V158" s="154">
        <f>IF(ISNA(VLOOKUP(A158,'Données projet'!$A$35:$I$55,4,0)),0,VLOOKUP(A158,'Données projet'!$A$35:$I$55,4,0))</f>
        <v>0</v>
      </c>
      <c r="W158" s="155">
        <f>IF(ISNA(VLOOKUP(A158,'Données projet'!$A$35:$I$55,5,0)),0%,VLOOKUP(A158,'Données projet'!$A$35:$I$55,5,0)*VLOOKUP('Données projet'!$B$9,'Paramètres'!$A$1:$I$88,7,0))</f>
        <v>0</v>
      </c>
      <c r="X158" s="155">
        <f>IF(ISNA(VLOOKUP(A158,'Données projet'!$A$35:$I$55,6,0)),0%,VLOOKUP(A158,'Données projet'!$A$35:$I$55,6,0)*VLOOKUP('Données projet'!$B$9,'Paramètres'!$A$1:$I$88,7,0))</f>
        <v>0</v>
      </c>
      <c r="Y158" s="155">
        <f>IF(ISNA(VLOOKUP(A158,'Données projet'!$A$35:$I$55,7,0)),0%,VLOOKUP(A158,'Données projet'!$A$35:$I$55,7,0))</f>
        <v>0</v>
      </c>
      <c r="Z158" s="162">
        <f>EXP(-LN(2)/35)*Z157+(1-EXP(-LN(2)/35))/(LN(2)/35)*V158*W158*VLOOKUP('Données projet'!$B$9,'Paramètres'!$A$1:$I$88,3,0)*0.475*44/12</f>
        <v>0</v>
      </c>
      <c r="AA158" s="162">
        <f>EXP(-LN(2)/25)*AA157+(1-EXP(-LN(2)/25))/(LN(2)/25)*Calculateur!V158*Calculateur!X158*VLOOKUP('Données projet'!$B$9,'Paramètres'!$A$1:$I$88,3,0)*0.475*44/12</f>
        <v>0.1402368993</v>
      </c>
      <c r="AB158" s="162">
        <f>EXP(-LN(2)/2)*AB157+(1-EXP(-LN(2)/2))/(LN(2)/2)*V158*Y158*VLOOKUP('Données projet'!$B$9,'Paramètres'!$A$1:$I$88,3,0)*0.475*44/12</f>
        <v>0</v>
      </c>
      <c r="AC158" s="163">
        <f t="shared" si="4"/>
        <v>0.1402368993</v>
      </c>
      <c r="AD158" s="150">
        <f>('Scénario référence'!$F$8+'Scénario référence'!$F$9+'Scénario référence'!$B$17+'Scénario référence'!$B$9+'Scénario référence'!$B$10)*70+IF((45+25*(1-EXP(-0.0175*A158)))&lt;70,'Scénario référence'!$B$16*(45+25*(1-EXP(-0.0175*A158))),70*'Scénario référence'!$B$16)+IF((32+38*(1-EXP(-0.0175*A158)))&lt;70,'Scénario référence'!$B$18*(32+38*(1-EXP(-0.0175*A158))),70*'Scénario référence'!$B$18)</f>
        <v>70</v>
      </c>
      <c r="AE158" s="150">
        <f>IF(A158&gt;30,10,('Scénario référence'!$B$16+'Scénario référence'!$B$17+'Scénario référence'!$B$18+'Scénario référence'!$B$9+'Scénario référence'!$B$10)*A158*10/30+('Scénario référence'!$F$8+'Scénario référence'!$F$9)*10)</f>
        <v>10</v>
      </c>
      <c r="AF158" s="151" t="str">
        <f>VLOOKUP(A158,'Données projet'!$A$61:$I$81,2,0)</f>
        <v>#N/A</v>
      </c>
      <c r="AG158" s="151" t="str">
        <f>VLOOKUP(A158,'Données projet'!$A$61:$I$81,9,0)</f>
        <v>#N/A</v>
      </c>
      <c r="AH158" s="151" t="str">
        <f t="array" ref="AH158">INDEX(AG:AG,MIN(IF(ISNUMBER(AG158:AG354),ROW(AG158:AG354),"")))</f>
        <v/>
      </c>
      <c r="AI158" s="150">
        <f>IF('Données projet'!$A$62&gt;35,AI157+AH158-AQ157,IF(A158&lt;'Données projet'!$A$62,$AF$205^A158,IF(A158='Données projet'!$A$62,'Données projet'!$B$62,AI157+AH158-AQ157)))</f>
        <v>369</v>
      </c>
      <c r="AJ158" s="150">
        <f>AI158*VLOOKUP('Données projet'!$B$10,'Paramètres'!$A$1:$I$88,3,0)*VLOOKUP('Données projet'!$B$10,'Paramètres'!$A$1:$I$88,5,0)</f>
        <v>293.5764</v>
      </c>
      <c r="AK158" s="150">
        <f t="shared" si="36"/>
        <v>69.82813851</v>
      </c>
      <c r="AL158" s="161">
        <f t="shared" si="5"/>
        <v>632.9295712</v>
      </c>
      <c r="AM158" s="153">
        <f t="shared" si="6"/>
        <v>926.2629046</v>
      </c>
      <c r="AN158" s="153">
        <f>AVERAGE(OFFSET($AM$3,0,0,'Données projet'!$E$10+1,1))-AVERAGE(OFFSET($H$3,0,0,'Données projet'!$E$10+1,1))</f>
        <v>405.6113614</v>
      </c>
      <c r="AO158" s="153">
        <f t="shared" si="37"/>
        <v>393.0787141</v>
      </c>
      <c r="AP158" s="154">
        <f>IF(ISNA(VLOOKUP(A158,'Données projet'!$A$61:$I$81,3,0)),0,VLOOKUP(A158,'Données projet'!$A$61:$I$81,3,0))</f>
        <v>0</v>
      </c>
      <c r="AQ158" s="154">
        <f>IF(ISNA(VLOOKUP(A158,'Données projet'!$A$61:$I$81,4,0)),0,VLOOKUP(A158,'Données projet'!$A$61:$I$81,4,0))</f>
        <v>0</v>
      </c>
      <c r="AR158" s="155">
        <f>IF(ISNA(VLOOKUP(A158,'Données projet'!$A$61:$I$81,5,0)),0%,VLOOKUP(A158,'Données projet'!$A$61:$I$81,5,0)*VLOOKUP('Données projet'!$B$10,'Paramètres'!$A$1:$I$88,7,0))</f>
        <v>0</v>
      </c>
      <c r="AS158" s="155">
        <f>IF(ISNA(VLOOKUP(A158,'Données projet'!$A$61:$I$81,6,0)),0%,VLOOKUP(A158,'Données projet'!$A$61:$I$81,6,0)*VLOOKUP('Données projet'!$B$10,'Paramètres'!$A$1:$I$88,7,0))</f>
        <v>0</v>
      </c>
      <c r="AT158" s="155">
        <f>IF(ISNA(VLOOKUP(A158,'Données projet'!$A$61:$I$81,7,0)),0%,VLOOKUP(A158,'Données projet'!$A$61:$I$81,7,0))</f>
        <v>0</v>
      </c>
      <c r="AU158" s="162">
        <f>EXP(-LN(2)/35)*AU157+(1-EXP(-LN(2)/35))/(LN(2)/35)*AQ158*AR158*VLOOKUP('Données projet'!$B$10,'Paramètres'!$A$1:$I$88,3,0)*0.475*44/12</f>
        <v>0</v>
      </c>
      <c r="AV158" s="162">
        <f>EXP(-LN(2)/25)*AV157+(1-EXP(-LN(2)/25))/(LN(2)/25)*Calculateur!AQ158*Calculateur!AS158*VLOOKUP('Données projet'!$B$10,'Paramètres'!$A$1:$I$88,3,0)*0.475*44/12</f>
        <v>0.5699584082</v>
      </c>
      <c r="AW158" s="162">
        <f>EXP(-LN(2)/2)*AW157+(1-EXP(-LN(2)/2))/(LN(2)/2)*AQ158*AT158*VLOOKUP('Données projet'!$B$10,'Paramètres'!$A$1:$I$88,3,0)*0.475*44/12</f>
        <v>0</v>
      </c>
      <c r="AX158" s="162">
        <f t="shared" si="7"/>
        <v>0.5699584082</v>
      </c>
      <c r="AY158" s="157">
        <f>('Scénario référence'!$F$8+'Scénario référence'!$F$9+'Scénario référence'!$B$17+'Scénario référence'!$B$9+'Scénario référence'!$B$10)*70+IF((45+25*(1-EXP(-0.0175*A158)))&lt;70,'Scénario référence'!$B$16*(45+25*(1-EXP(-0.0175*A158))),70*'Scénario référence'!$B$16)+IF((32+38*(1-EXP(-0.0175*A158)))&lt;70,'Scénario référence'!$B$18*(32+38*(1-EXP(-0.0175*A158))),70*'Scénario référence'!$B$18)</f>
        <v>70</v>
      </c>
      <c r="AZ158" s="151">
        <f>IF(A158&gt;30,10,('Scénario référence'!$B$16+'Scénario référence'!$B$17+'Scénario référence'!$B$18+'Scénario référence'!$B$9+'Scénario référence'!$B$10)*A158*10/30+('Scénario référence'!$F$8+'Scénario référence'!$F$9)*10)</f>
        <v>10</v>
      </c>
      <c r="BA158" s="151" t="str">
        <f>VLOOKUP(A158,'Données projet'!$A$87:$I$107,2,0)</f>
        <v>#N/A</v>
      </c>
      <c r="BB158" s="151" t="str">
        <f>VLOOKUP(A158,'Données projet'!$A$87:$I$107,9,0)</f>
        <v>#N/A</v>
      </c>
      <c r="BC158" s="151" t="str">
        <f t="array" ref="BC158">INDEX(BB:BB,MIN(IF(ISNUMBER(BB158:BB354),ROW(BB158:BB354),"")))</f>
        <v/>
      </c>
      <c r="BD158" s="150">
        <f>IF('Données projet'!$A$88&gt;35,BD157+BC158-BL157,IF(A158&lt;'Données projet'!$A$88,$BA$205^A158,IF(A158='Données projet'!$A$88,'Données projet'!$B$88,BD157+BC158-BL157)))</f>
        <v>0</v>
      </c>
      <c r="BE158" s="150">
        <f>BD158*VLOOKUP('Données projet'!$B$11,'Paramètres'!$A$1:$I$88,3,0)*VLOOKUP('Données projet'!$B$11,'Paramètres'!$A$1:$I$88,5,0)</f>
        <v>0</v>
      </c>
      <c r="BF158" s="150" t="str">
        <f t="shared" si="38"/>
        <v>#NUM!</v>
      </c>
      <c r="BG158" s="161" t="str">
        <f t="shared" si="8"/>
        <v>#NUM!</v>
      </c>
      <c r="BH158" s="153" t="str">
        <f t="shared" si="9"/>
        <v>#NUM!</v>
      </c>
      <c r="BI158" s="153">
        <f>AVERAGE(OFFSET($BH$3,0,0,'Données projet'!$E$11+1,1))-AVERAGE(OFFSET($H$3,0,0,'Données projet'!$E$11+1,1))</f>
        <v>0</v>
      </c>
      <c r="BJ158" s="153">
        <f t="shared" si="39"/>
        <v>0</v>
      </c>
      <c r="BK158" s="154">
        <f>IF(ISNA(VLOOKUP(A158,'Données projet'!$A$87:$I$107,3,0)),0,VLOOKUP(A158,'Données projet'!$A$87:$I$107,3,0))</f>
        <v>0</v>
      </c>
      <c r="BL158" s="154">
        <f>IF(ISNA(VLOOKUP(A158,'Données projet'!$A$87:$I$107,4,0)),0,VLOOKUP(A158,'Données projet'!$A$87:$I$107,4,0))</f>
        <v>0</v>
      </c>
      <c r="BM158" s="155">
        <f>IF(ISNA(VLOOKUP(A158,'Données projet'!$A$87:$I$107,5,0)),0%,VLOOKUP(A158,'Données projet'!$A$87:$I$107,5,0)*VLOOKUP('Données projet'!$B$11,'Paramètres'!$A$1:$I$88,7,0))</f>
        <v>0</v>
      </c>
      <c r="BN158" s="155">
        <f>IF(ISNA(VLOOKUP(A158,'Données projet'!$A$87:$I$107,6,0)),0%,VLOOKUP(A158,'Données projet'!$A$87:$I$107,6,0)*VLOOKUP('Données projet'!$B$11,'Paramètres'!$A$1:$I$88,7,0))</f>
        <v>0</v>
      </c>
      <c r="BO158" s="155">
        <f>IF(ISNA(VLOOKUP(A158,'Données projet'!$A$87:$I$107,7,0)),0%,VLOOKUP(A158,'Données projet'!$A$87:$I$107,7,0))</f>
        <v>0</v>
      </c>
      <c r="BP158" s="162">
        <f>EXP(-LN(2)/35)*BP157+(1-EXP(-LN(2)/35))/(LN(2)/35)*BL158*BM158*VLOOKUP('Données projet'!$B$11,'Paramètres'!$A$1:$I$88,3,0)*0.475*44/12</f>
        <v>0</v>
      </c>
      <c r="BQ158" s="162">
        <f>EXP(-LN(2)/25)*BQ157+(1-EXP(-LN(2)/25))/(LN(2)/25)*Calculateur!BL158*Calculateur!BN158*VLOOKUP('Données projet'!$B$11,'Paramètres'!$A$1:$I$88,3,0)*0.475*44/12</f>
        <v>0</v>
      </c>
      <c r="BR158" s="162">
        <f>EXP(-LN(2)/2)*BR157+(1-EXP(-LN(2)/2))/(LN(2)/2)*BL158*BO158*VLOOKUP('Données projet'!$B$11,'Paramètres'!$A$1:$I$88,3,0)*0.475*44/12</f>
        <v>0</v>
      </c>
      <c r="BS158" s="163">
        <f t="shared" si="10"/>
        <v>0</v>
      </c>
      <c r="BT158" s="159">
        <f>('Scénario référence'!$F$8+'Scénario référence'!$F$9+'Scénario référence'!$B$17+'Scénario référence'!$B$9+'Scénario référence'!$B$10)*70+IF((45+25*(1-EXP(-0.0175*A158)))&lt;70,'Scénario référence'!$B$16*(45+25*(1-EXP(-0.0175*A158))),70*'Scénario référence'!$B$16)+IF((32+38*(1-EXP(-0.0175*A158)))&lt;70,'Scénario référence'!$B$18*(32+38*(1-EXP(-0.0175*A158))),70*'Scénario référence'!$B$18)</f>
        <v>70</v>
      </c>
      <c r="BU158" s="151">
        <f>IF(A158&gt;30,10,('Scénario référence'!$B$16+'Scénario référence'!$B$17+'Scénario référence'!$B$18+'Scénario référence'!$B$9+'Scénario référence'!$B$10)*A158*10/30+('Scénario référence'!$F$8+'Scénario référence'!$F$9)*10)</f>
        <v>10</v>
      </c>
      <c r="BV158" s="151" t="str">
        <f>VLOOKUP(A158,'Données projet'!$A$113:$I$133,2,0)</f>
        <v>#N/A</v>
      </c>
      <c r="BW158" s="151" t="str">
        <f>VLOOKUP(A158,'Données projet'!$A$113:$I$133,9,0)</f>
        <v>#N/A</v>
      </c>
      <c r="BX158" s="151" t="str">
        <f t="array" ref="BX158">INDEX(BW:BW,MIN(IF(ISNUMBER(BW158:BW354),ROW(BW158:BW354),"")))</f>
        <v/>
      </c>
      <c r="BY158" s="150">
        <f>IF('Données projet'!$A$114&gt;35,BY157+BX158-CG157,IF(A158&lt;'Données projet'!$A$114,$BV$205^A158,IF(A158='Données projet'!$A$114,'Données projet'!$B$114,BY157+BX158-CG157)))</f>
        <v>0</v>
      </c>
      <c r="BZ158" s="150" t="str">
        <f>BY158*VLOOKUP('Données projet'!$B$12,'Paramètres'!$A$1:$I$88,3,0)*VLOOKUP('Données projet'!$B$12,'Paramètres'!$A$1:$I$88,5,0)</f>
        <v>#N/A</v>
      </c>
      <c r="CA158" s="150" t="str">
        <f t="shared" si="40"/>
        <v>#N/A</v>
      </c>
      <c r="CB158" s="161" t="str">
        <f t="shared" si="11"/>
        <v>#N/A</v>
      </c>
      <c r="CC158" s="153" t="str">
        <f t="shared" si="12"/>
        <v>#N/A</v>
      </c>
      <c r="CD158" s="153" t="str">
        <f>AVERAGE(OFFSET($CC$3,0,0,'Données projet'!$E$12+1,1))-AVERAGE(OFFSET($H$3,0,0,'Données projet'!$E$12+1,1))</f>
        <v>#N/A</v>
      </c>
      <c r="CE158" s="153" t="str">
        <f t="shared" si="41"/>
        <v>#N/A</v>
      </c>
      <c r="CF158" s="154">
        <f>IF(ISNA(VLOOKUP(A158,'Données projet'!$A$113:$I$133,3,0)),0,VLOOKUP(A158,'Données projet'!$A$113:$I$133,3,0))</f>
        <v>0</v>
      </c>
      <c r="CG158" s="154">
        <f>IF(ISNA(VLOOKUP(A158,'Données projet'!$A$113:$I$133,4,0)),0,VLOOKUP(A158,'Données projet'!$A$113:$I$133,4,0))</f>
        <v>0</v>
      </c>
      <c r="CH158" s="155">
        <f>IF(ISNA(VLOOKUP(A158,'Données projet'!$A$113:$I$133,5,0)),0%,VLOOKUP(A158,'Données projet'!$A$113:$I$133,5,0)*VLOOKUP('Données projet'!$B$12,'Paramètres'!$A$1:$I$88,7,0))</f>
        <v>0</v>
      </c>
      <c r="CI158" s="155">
        <f>IF(ISNA(VLOOKUP(A158,'Données projet'!$A$113:$I$133,6,0)),0%,VLOOKUP(A158,'Données projet'!$A$113:$I$133,6,0)*VLOOKUP('Données projet'!$B$12,'Paramètres'!$A$1:$I$88,7,0))</f>
        <v>0</v>
      </c>
      <c r="CJ158" s="155">
        <f>IF(ISNA(VLOOKUP(A158,'Données projet'!$A$113:$I$133,7,0)),0%,VLOOKUP(A158,'Données projet'!$A$113:$I$133,7,0))</f>
        <v>0</v>
      </c>
      <c r="CK158" s="162" t="str">
        <f>EXP(-LN(2)/35)*CK157+(1-EXP(-LN(2)/35))/(LN(2)/35)*CG158*CH158*VLOOKUP('Données projet'!$B$12,'Paramètres'!$A$1:$I$88,3,0)*0.475*44/12</f>
        <v>#N/A</v>
      </c>
      <c r="CL158" s="162" t="str">
        <f>EXP(-LN(2)/25)*CL157+(1-EXP(-LN(2)/25))/(LN(2)/25)*Calculateur!CG158*Calculateur!CI158*VLOOKUP('Données projet'!$B$12,'Paramètres'!$A$1:$I$88,3,0)*0.475*44/12</f>
        <v>#N/A</v>
      </c>
      <c r="CM158" s="162" t="str">
        <f>EXP(-LN(2)/2)*CM157+(1-EXP(-LN(2)/2))/(LN(2)/2)*CG158*CJ158*VLOOKUP('Données projet'!$B$12,'Paramètres'!$A$1:$I$88,3,0)*0.475*44/12</f>
        <v>#N/A</v>
      </c>
      <c r="CN158" s="163" t="str">
        <f t="shared" si="13"/>
        <v>#N/A</v>
      </c>
      <c r="CO158" s="159">
        <f>('Scénario référence'!$F$8+'Scénario référence'!$F$9+'Scénario référence'!$B$17+'Scénario référence'!$B$9+'Scénario référence'!$B$10)*70+IF((45+25*(1-EXP(-0.0175*A158)))&lt;70,'Scénario référence'!$B$16*(45+25*(1-EXP(-0.0175*A158))),70*'Scénario référence'!$B$16)+IF((32+38*(1-EXP(-0.0175*A158)))&lt;70,'Scénario référence'!$B$18*(32+38*(1-EXP(-0.0175*A158))),70*'Scénario référence'!$B$18)</f>
        <v>70</v>
      </c>
      <c r="CP158" s="151">
        <f>IF(A158&gt;30,10,('Scénario référence'!$B$16+'Scénario référence'!$B$17+'Scénario référence'!$B$18+'Scénario référence'!$B$9+'Scénario référence'!$B$10)*A158*10/30+('Scénario référence'!$F$8+'Scénario référence'!$F$9)*10)</f>
        <v>10</v>
      </c>
      <c r="CQ158" s="151" t="str">
        <f>VLOOKUP(A158,'Données projet'!$A$139:$I$159,2,0)</f>
        <v>#N/A</v>
      </c>
      <c r="CR158" s="151" t="str">
        <f>VLOOKUP(A158,'Données projet'!$A$139:$I$159,9,0)</f>
        <v>#N/A</v>
      </c>
      <c r="CS158" s="151" t="str">
        <f t="array" ref="CS158">INDEX(CR:CR,MIN(IF(ISNUMBER(CR158:CR354),ROW(CR158:CR354),"")))</f>
        <v/>
      </c>
      <c r="CT158" s="151">
        <f>IF('Données projet'!$A$140&gt;35,CT157+CS158-DB157,IF(A158&lt;'Données projet'!$A$140,$CQ$205^A158,IF(A158='Données projet'!$A$140,'Données projet'!$B$140,CT157+CS158-DB157)))</f>
        <v>0</v>
      </c>
      <c r="CU158" s="158" t="str">
        <f>CT158*VLOOKUP('Données projet'!$B$13,'Paramètres'!$A$1:$I$88,3,0)*VLOOKUP('Données projet'!$B$13,'Paramètres'!$A$1:$I$88,5,0)</f>
        <v>#N/A</v>
      </c>
      <c r="CV158" s="150" t="str">
        <f t="shared" si="42"/>
        <v>#N/A</v>
      </c>
      <c r="CW158" s="161" t="str">
        <f t="shared" si="14"/>
        <v>#N/A</v>
      </c>
      <c r="CX158" s="153" t="str">
        <f t="shared" si="15"/>
        <v>#N/A</v>
      </c>
      <c r="CY158" s="153" t="str">
        <f>AVERAGE(OFFSET($CX$3,0,0,'Données projet'!$E$13+1,1))-AVERAGE(OFFSET($H$3,0,0,'Données projet'!$E$13+1,1))</f>
        <v>#N/A</v>
      </c>
      <c r="CZ158" s="153" t="str">
        <f t="shared" si="43"/>
        <v>#N/A</v>
      </c>
      <c r="DA158" s="154">
        <f>IF(ISNA(VLOOKUP(A158,'Données projet'!$A$139:$I$159,3,0)),0,VLOOKUP(A158,'Données projet'!$A$139:$I$159,3,0))</f>
        <v>0</v>
      </c>
      <c r="DB158" s="154">
        <f>IF(ISNA(VLOOKUP(A158,'Données projet'!$A$139:$I$159,4,0)),0,VLOOKUP(A158,'Données projet'!$A$139:$I$159,4,0))</f>
        <v>0</v>
      </c>
      <c r="DC158" s="155">
        <f>IF(ISNA(VLOOKUP(A158,'Données projet'!$A$139:$I$159,5,0)),0%,VLOOKUP(A158,'Données projet'!$A$139:$I$159,5,0)*VLOOKUP('Données projet'!$B$13,'Paramètres'!$A$1:$I$88,7,0))</f>
        <v>0</v>
      </c>
      <c r="DD158" s="155">
        <f>IF(ISNA(VLOOKUP(A158,'Données projet'!$A$139:$I$159,6,0)),0%,VLOOKUP(A158,'Données projet'!$A$139:$I$159,6,0)*VLOOKUP('Données projet'!$B$13,'Paramètres'!$A$1:$I$88,7,0))</f>
        <v>0</v>
      </c>
      <c r="DE158" s="155">
        <f>IF(ISNA(VLOOKUP(A158,'Données projet'!$A$139:$I$159,7,0)),0%,VLOOKUP(A158,'Données projet'!$A$139:$I$159,7,0))</f>
        <v>0</v>
      </c>
      <c r="DF158" s="162" t="str">
        <f>EXP(-LN(2)/35)*DF157+(1-EXP(-LN(2)/35))/(LN(2)/35)*DB158*DC158*VLOOKUP('Données projet'!$B$13,'Paramètres'!$A$1:$I$88,3,0)*0.475*44/12</f>
        <v>#N/A</v>
      </c>
      <c r="DG158" s="162" t="str">
        <f>EXP(-LN(2)/25)*DG157+(1-EXP(-LN(2)/25))/(LN(2)/25)*Calculateur!DB158*Calculateur!DD158*VLOOKUP('Données projet'!$B$13,'Paramètres'!$A$1:$I$88,3,0)*0.475*44/12</f>
        <v>#N/A</v>
      </c>
      <c r="DH158" s="162" t="str">
        <f>EXP(-LN(2)/2)*DH157+(1-EXP(-LN(2)/2))/(LN(2)/2)*DB158*DE158*VLOOKUP('Données projet'!$B$13,'Paramètres'!$A$1:$I$88,3,0)*0.475*44/12</f>
        <v>#N/A</v>
      </c>
      <c r="DI158" s="163" t="str">
        <f t="shared" si="16"/>
        <v>#N/A</v>
      </c>
      <c r="DJ158" s="159">
        <f>('Scénario référence'!$F$8+'Scénario référence'!$F$9+'Scénario référence'!$B$17+'Scénario référence'!$B$9+'Scénario référence'!$B$10)*70+IF((45+25*(1-EXP(-0.0175*A158)))&lt;70,'Scénario référence'!$B$16*(45+25*(1-EXP(-0.0175*A158))),70*'Scénario référence'!$B$16)+IF((32+38*(1-EXP(-0.0175*A158)))&lt;70,'Scénario référence'!$B$18*(32+38*(1-EXP(-0.0175*A158))),70*'Scénario référence'!$B$18)</f>
        <v>70</v>
      </c>
      <c r="DK158" s="151">
        <f>IF(A158&gt;30,10,('Scénario référence'!$B$16+'Scénario référence'!$B$17+'Scénario référence'!$B$18+'Scénario référence'!$B$9+'Scénario référence'!$B$10)*A158*10/30+('Scénario référence'!$F$8+'Scénario référence'!$F$9)*10)</f>
        <v>10</v>
      </c>
      <c r="DL158" s="151" t="str">
        <f>VLOOKUP(A158,'Données projet'!$A$165:$I$185,2,0)</f>
        <v>#N/A</v>
      </c>
      <c r="DM158" s="151" t="str">
        <f>VLOOKUP(A158,'Données projet'!$A$165:$I$185,9,0)</f>
        <v>#N/A</v>
      </c>
      <c r="DN158" s="151" t="str">
        <f t="array" ref="DN158">INDEX(DM:DM,MIN(IF(ISNUMBER(DM158:DM354),ROW(DM158:DM354),"")))</f>
        <v/>
      </c>
      <c r="DO158" s="151">
        <f>IF('Données projet'!$A$166&gt;35,DO157+DN158-DW157,IF(A158&lt;'Données projet'!$A$166,$DL$205^A158,IF(A158='Données projet'!$A$166,'Données projet'!$B$166,DO157+DN158-DW157)))</f>
        <v>0</v>
      </c>
      <c r="DP158" s="158" t="str">
        <f>DO158*VLOOKUP('Données projet'!$B$14,'Paramètres'!$A$1:$I$88,3,0)*VLOOKUP('Données projet'!$B$14,'Paramètres'!$A$1:$I$88,5,0)</f>
        <v>#N/A</v>
      </c>
      <c r="DQ158" s="150" t="str">
        <f t="shared" si="44"/>
        <v>#N/A</v>
      </c>
      <c r="DR158" s="161" t="str">
        <f t="shared" si="17"/>
        <v>#N/A</v>
      </c>
      <c r="DS158" s="153" t="str">
        <f t="shared" si="18"/>
        <v>#N/A</v>
      </c>
      <c r="DT158" s="153" t="str">
        <f>AVERAGE(OFFSET($DS$3,0,0,'Données projet'!$E$14+1,1))-AVERAGE(OFFSET($H$3,0,0,'Données projet'!$E$14+1,1))</f>
        <v>#N/A</v>
      </c>
      <c r="DU158" s="153" t="str">
        <f t="shared" si="45"/>
        <v>#N/A</v>
      </c>
      <c r="DV158" s="154">
        <f>IF(ISNA(VLOOKUP(A158,'Données projet'!$A$165:$I$185,3,0)),0,VLOOKUP(A158,'Données projet'!$A$165:$I$185,3,0))</f>
        <v>0</v>
      </c>
      <c r="DW158" s="154">
        <f>IF(ISNA(VLOOKUP(A158,'Données projet'!$A$165:$I$185,4,0)),0,VLOOKUP(A158,'Données projet'!$A$165:$I$185,4,0))</f>
        <v>0</v>
      </c>
      <c r="DX158" s="155">
        <f>IF(ISNA(VLOOKUP(A158,'Données projet'!$A$165:$I$185,5,0)),0%,VLOOKUP(A158,'Données projet'!$A$165:$I$185,5,0)*VLOOKUP('Données projet'!$B$14,'Paramètres'!$A$1:$I$88,7,0))</f>
        <v>0</v>
      </c>
      <c r="DY158" s="155">
        <f>IF(ISNA(VLOOKUP(A158,'Données projet'!$A$165:$I$185,6,0)),0%,VLOOKUP(A158,'Données projet'!$A$165:$I$185,6,0)*VLOOKUP('Données projet'!$B$14,'Paramètres'!$A$1:$I$88,7,0))</f>
        <v>0</v>
      </c>
      <c r="DZ158" s="155">
        <f>IF(ISNA(VLOOKUP(A158,'Données projet'!$A$165:$I$185,7,0)),0%,VLOOKUP(A158,'Données projet'!$A$165:$I$185,7,0))</f>
        <v>0</v>
      </c>
      <c r="EA158" s="162" t="str">
        <f>EXP(-LN(2)/35)*EA157+(1-EXP(-LN(2)/35))/(LN(2)/35)*DW158*DX158*VLOOKUP('Données projet'!$B$14,'Paramètres'!$A$1:$I$88,3,0)*0.475*44/12</f>
        <v>#N/A</v>
      </c>
      <c r="EB158" s="162" t="str">
        <f>EXP(-LN(2)/25)*EB157+(1-EXP(-LN(2)/25))/(LN(2)/25)*Calculateur!DW158*Calculateur!DY158*VLOOKUP('Données projet'!$B$14,'Paramètres'!$A$1:$I$88,3,0)*0.475*44/12</f>
        <v>#N/A</v>
      </c>
      <c r="EC158" s="162" t="str">
        <f>EXP(-LN(2)/2)*EC157+(1-EXP(-LN(2)/2))/(LN(2)/2)*DW158*DZ158*VLOOKUP('Données projet'!$B$14,'Paramètres'!$A$1:$I$88,3,0)*0.475*44/12</f>
        <v>#N/A</v>
      </c>
      <c r="ED158" s="163" t="str">
        <f t="shared" si="19"/>
        <v>#N/A</v>
      </c>
      <c r="EE158" s="159">
        <f>('Scénario référence'!$F$8+'Scénario référence'!$F$9+'Scénario référence'!$B$17+'Scénario référence'!$B$9+'Scénario référence'!$B$10)*70+IF((45+25*(1-EXP(-0.0175*A158)))&lt;70,'Scénario référence'!$B$16*(45+25*(1-EXP(-0.0175*A158))),70*'Scénario référence'!$B$16)+IF((32+38*(1-EXP(-0.0175*A158)))&lt;70,'Scénario référence'!$B$18*(32+38*(1-EXP(-0.0175*A158))),70*'Scénario référence'!$B$18)</f>
        <v>70</v>
      </c>
      <c r="EF158" s="151">
        <f>IF(A158&gt;30,10,('Scénario référence'!$B$16+'Scénario référence'!$B$17+'Scénario référence'!$B$18+'Scénario référence'!$B$9+'Scénario référence'!$B$10)*A158*10/30+('Scénario référence'!$F$8+'Scénario référence'!$F$9)*10)</f>
        <v>10</v>
      </c>
      <c r="EG158" s="151" t="str">
        <f>VLOOKUP(A158,'Données projet'!$A$191:$I$211,2,0)</f>
        <v>#N/A</v>
      </c>
      <c r="EH158" s="151" t="str">
        <f>VLOOKUP(A158,'Données projet'!$A$191:$I$211,9,0)</f>
        <v>#N/A</v>
      </c>
      <c r="EI158" s="151" t="str">
        <f t="array" ref="EI158">INDEX(EH:EH,MIN(IF(ISNUMBER(EH158:EH354),ROW(EH158:EH354),"")))</f>
        <v/>
      </c>
      <c r="EJ158" s="151">
        <f>IF('Données projet'!$A$192&gt;35,EJ157+EI158-ER157,IF(A158&lt;'Données projet'!$A$192,$EG$205^A158,IF(A158='Données projet'!$A$192,'Données projet'!$B$192,EJ157+EI158-ER157)))</f>
        <v>0</v>
      </c>
      <c r="EK158" s="158" t="str">
        <f>EJ158*VLOOKUP('Données projet'!$B$15,'Paramètres'!$A$1:$I$88,3,0)*VLOOKUP('Données projet'!$B$15,'Paramètres'!$A$1:$I$88,5,0)</f>
        <v>#N/A</v>
      </c>
      <c r="EL158" s="150" t="str">
        <f t="shared" si="46"/>
        <v>#N/A</v>
      </c>
      <c r="EM158" s="161" t="str">
        <f t="shared" si="20"/>
        <v>#N/A</v>
      </c>
      <c r="EN158" s="153" t="str">
        <f t="shared" si="21"/>
        <v>#N/A</v>
      </c>
      <c r="EO158" s="153" t="str">
        <f>AVERAGE(OFFSET($EN$3,0,0,'Données projet'!$E$15+1,1))-AVERAGE(OFFSET($H$3,0,0,'Données projet'!$E$15+1,1))</f>
        <v>#N/A</v>
      </c>
      <c r="EP158" s="153" t="str">
        <f t="shared" si="47"/>
        <v>#N/A</v>
      </c>
      <c r="EQ158" s="154">
        <f>IF(ISNA(VLOOKUP(A158,'Données projet'!$A$191:$I$211,3,0)),0,VLOOKUP(A158,'Données projet'!$A$191:$I$211,3,0))</f>
        <v>0</v>
      </c>
      <c r="ER158" s="154">
        <f>IF(ISNA(VLOOKUP(A158,'Données projet'!$A$191:$I$211,4,0)),0,VLOOKUP(A158,'Données projet'!$A$191:$I$211,4,0))</f>
        <v>0</v>
      </c>
      <c r="ES158" s="155">
        <f>IF(ISNA(VLOOKUP(A158,'Données projet'!$A$191:$I$211,5,0)),0%,VLOOKUP(A158,'Données projet'!$A$191:$I$211,5,0)*VLOOKUP('Données projet'!$B$15,'Paramètres'!$A$1:$I$88,7,0))</f>
        <v>0</v>
      </c>
      <c r="ET158" s="155">
        <f>IF(ISNA(VLOOKUP(A158,'Données projet'!$A$191:$I$211,6,0)),0%,VLOOKUP(A158,'Données projet'!$A$191:$I$211,6,0)*VLOOKUP('Données projet'!$B$15,'Paramètres'!$A$1:$I$88,7,0))</f>
        <v>0</v>
      </c>
      <c r="EU158" s="155">
        <f>IF(ISNA(VLOOKUP(A158,'Données projet'!$A$191:$I$211,7,0)),0%,VLOOKUP(A158,'Données projet'!$A$191:$I$211,7,0))</f>
        <v>0</v>
      </c>
      <c r="EV158" s="162" t="str">
        <f>EXP(-LN(2)/35)*EV157+(1-EXP(-LN(2)/35))/(LN(2)/35)*ER158*ES158*VLOOKUP('Données projet'!$B$15,'Paramètres'!$A$1:$I$88,3,0)*0.475*44/12</f>
        <v>#N/A</v>
      </c>
      <c r="EW158" s="162" t="str">
        <f>EXP(-LN(2)/25)*EW157+(1-EXP(-LN(2)/25))/(LN(2)/25)*Calculateur!ER158*Calculateur!ET158*VLOOKUP('Données projet'!$B$15,'Paramètres'!$A$1:$I$88,3,0)*0.475*44/12</f>
        <v>#N/A</v>
      </c>
      <c r="EX158" s="162" t="str">
        <f>EXP(-LN(2)/2)*EX157+(1-EXP(-LN(2)/2))/(LN(2)/2)*ER158*EU158*VLOOKUP('Données projet'!$B$15,'Paramètres'!$A$1:$I$88,3,0)*0.475*44/12</f>
        <v>#N/A</v>
      </c>
      <c r="EY158" s="163" t="str">
        <f t="shared" si="22"/>
        <v>#N/A</v>
      </c>
      <c r="EZ158" s="159">
        <f>('Scénario référence'!$F$8+'Scénario référence'!$F$9+'Scénario référence'!$B$17+'Scénario référence'!$B$9+'Scénario référence'!$B$10)*70+IF((45+25*(1-EXP(-0.0175*A158)))&lt;70,'Scénario référence'!$B$16*(45+25*(1-EXP(-0.0175*A158))),70*'Scénario référence'!$B$16)+IF((32+38*(1-EXP(-0.0175*A158)))&lt;70,'Scénario référence'!$B$18*(32+38*(1-EXP(-0.0175*A158))),70*'Scénario référence'!$B$18)</f>
        <v>70</v>
      </c>
      <c r="FA158" s="151">
        <f>IF(A158&gt;30,10,('Scénario référence'!$B$16+'Scénario référence'!$B$17+'Scénario référence'!$B$18+'Scénario référence'!$B$9+'Scénario référence'!$B$10)*A158*10/30+('Scénario référence'!$F$8+'Scénario référence'!$F$9)*10)</f>
        <v>10</v>
      </c>
      <c r="FB158" s="151" t="str">
        <f>VLOOKUP(A158,'Données projet'!$A$217:$I$237,2,0)</f>
        <v>#N/A</v>
      </c>
      <c r="FC158" s="151" t="str">
        <f>VLOOKUP(A158,'Données projet'!$A$217:$I$237,9,0)</f>
        <v>#N/A</v>
      </c>
      <c r="FD158" s="151" t="str">
        <f t="array" ref="FD158">INDEX(FC:FC,MIN(IF(ISNUMBER(FC158:FC354),ROW(FC158:FC354),"")))</f>
        <v/>
      </c>
      <c r="FE158" s="151">
        <f>IF('Données projet'!$A$218&gt;35,FE157+FD158-FM157,IF(A158&lt;'Données projet'!$A$218,$FB$205^A158,IF(A158='Données projet'!$A$218,'Données projet'!$B$218,FE157+FD158-FM157)))</f>
        <v>0</v>
      </c>
      <c r="FF158" s="158" t="str">
        <f>FE158*VLOOKUP('Données projet'!$B$16,'Paramètres'!$A$1:$I$88,3,0)*VLOOKUP('Données projet'!$B$16,'Paramètres'!$A$1:$I$88,5,0)</f>
        <v>#N/A</v>
      </c>
      <c r="FG158" s="150" t="str">
        <f t="shared" si="48"/>
        <v>#N/A</v>
      </c>
      <c r="FH158" s="161" t="str">
        <f t="shared" si="23"/>
        <v>#N/A</v>
      </c>
      <c r="FI158" s="153" t="str">
        <f t="shared" si="24"/>
        <v>#N/A</v>
      </c>
      <c r="FJ158" s="153" t="str">
        <f>AVERAGE(OFFSET($FI$3,0,0,'Données projet'!$E$16+1,1))-AVERAGE(OFFSET($H$3,0,0,'Données projet'!$E$16+1,1))</f>
        <v>#N/A</v>
      </c>
      <c r="FK158" s="153" t="str">
        <f t="shared" si="49"/>
        <v>#N/A</v>
      </c>
      <c r="FL158" s="154">
        <f>IF(ISNA(VLOOKUP(A158,'Données projet'!$A$217:$I$237,3,0)),0,VLOOKUP(A158,'Données projet'!$A$217:$I$237,3,0))</f>
        <v>0</v>
      </c>
      <c r="FM158" s="154">
        <f>IF(ISNA(VLOOKUP(A158,'Données projet'!$A$217:$I$237,4,0)),0,VLOOKUP(A158,'Données projet'!$A$217:$I$237,4,0))</f>
        <v>0</v>
      </c>
      <c r="FN158" s="155">
        <f>IF(ISNA(VLOOKUP(A158,'Données projet'!$A$217:$I$237,5,0)),0%,VLOOKUP(A158,'Données projet'!$A$217:$I$237,5,0)*VLOOKUP('Données projet'!$B$16,'Paramètres'!$A$1:$I$88,7,0))</f>
        <v>0</v>
      </c>
      <c r="FO158" s="155">
        <f>IF(ISNA(VLOOKUP(A158,'Données projet'!$A$217:$I$237,6,0)),0%,VLOOKUP(A158,'Données projet'!$A$217:$I$237,6,0)*VLOOKUP('Données projet'!$B$16,'Paramètres'!$A$1:$I$88,7,0))</f>
        <v>0</v>
      </c>
      <c r="FP158" s="155">
        <f>IF(ISNA(VLOOKUP(A158,'Données projet'!$A$217:$I$237,7,0)),0%,VLOOKUP(A158,'Données projet'!$A$217:$I$237,7,0))</f>
        <v>0</v>
      </c>
      <c r="FQ158" s="162" t="str">
        <f>EXP(-LN(2)/35)*FQ157+(1-EXP(-LN(2)/35))/(LN(2)/35)*FM158*FN158*VLOOKUP('Données projet'!$B$16,'Paramètres'!$A$1:$I$88,3,0)*0.475*44/12</f>
        <v>#N/A</v>
      </c>
      <c r="FR158" s="162" t="str">
        <f>EXP(-LN(2)/25)*FR157+(1-EXP(-LN(2)/25))/(LN(2)/25)*Calculateur!FM158*Calculateur!FO158*VLOOKUP('Données projet'!$B$16,'Paramètres'!$A$1:$I$88,3,0)*0.475*44/12</f>
        <v>#N/A</v>
      </c>
      <c r="FS158" s="162" t="str">
        <f>EXP(-LN(2)/2)*FS157+(1-EXP(-LN(2)/2))/(LN(2)/2)*FM158*FP158*VLOOKUP('Données projet'!$B$16,'Paramètres'!$A$1:$I$88,3,0)*0.475*44/12</f>
        <v>#N/A</v>
      </c>
      <c r="FT158" s="163" t="str">
        <f t="shared" si="25"/>
        <v>#N/A</v>
      </c>
      <c r="FU158" s="159">
        <f>('Scénario référence'!$F$8+'Scénario référence'!$F$9+'Scénario référence'!$B$17+'Scénario référence'!$B$9+'Scénario référence'!$B$10)*70+IF((45+25*(1-EXP(-0.0175*A158)))&lt;70,'Scénario référence'!$B$16*(45+25*(1-EXP(-0.0175*A158))),70*'Scénario référence'!$B$16)+IF((32+38*(1-EXP(-0.0175*A158)))&lt;70,'Scénario référence'!$B$18*(32+38*(1-EXP(-0.0175*A158))),70*'Scénario référence'!$B$18)</f>
        <v>70</v>
      </c>
      <c r="FV158" s="151">
        <f>IF(A158&gt;30,10,('Scénario référence'!$B$16+'Scénario référence'!$B$17+'Scénario référence'!$B$18+'Scénario référence'!$B$9+'Scénario référence'!$B$10)*A158*10/30+('Scénario référence'!$F$8+'Scénario référence'!$F$9)*10)</f>
        <v>10</v>
      </c>
      <c r="FW158" s="151" t="str">
        <f>VLOOKUP(A158,'Données projet'!$A$243:$I$263,2,0)</f>
        <v>#N/A</v>
      </c>
      <c r="FX158" s="151" t="str">
        <f>VLOOKUP(A158,'Données projet'!$A$243:$I$263,9,0)</f>
        <v>#N/A</v>
      </c>
      <c r="FY158" s="151" t="str">
        <f t="array" ref="FY158">INDEX(FX:FX,MIN(IF(ISNUMBER(FX158:FX354),ROW(FX158:FX354),"")))</f>
        <v/>
      </c>
      <c r="FZ158" s="151">
        <f>IF('Données projet'!$A$244&gt;35,FZ157+FY158-GH157,IF(A158&lt;'Données projet'!$A$244,$FW$205^A158,IF(A158='Données projet'!$A$244,'Données projet'!$B$244,FZ157+FY158-GH157)))</f>
        <v>0</v>
      </c>
      <c r="GA158" s="158" t="str">
        <f>FZ158*VLOOKUP('Données projet'!$B$17,'Paramètres'!$A$1:$I$88,3,0)*VLOOKUP('Données projet'!$B$17,'Paramètres'!$A$1:$I$88,5,0)</f>
        <v>#N/A</v>
      </c>
      <c r="GB158" s="150" t="str">
        <f t="shared" si="50"/>
        <v>#N/A</v>
      </c>
      <c r="GC158" s="161" t="str">
        <f t="shared" si="26"/>
        <v>#N/A</v>
      </c>
      <c r="GD158" s="153" t="str">
        <f t="shared" si="27"/>
        <v>#N/A</v>
      </c>
      <c r="GE158" s="153" t="str">
        <f>AVERAGE(OFFSET($GD$3,0,0,'Données projet'!$E$17+1,1))-AVERAGE(OFFSET($H$3,0,0,'Données projet'!$E$17+1,1))</f>
        <v>#N/A</v>
      </c>
      <c r="GF158" s="153" t="str">
        <f t="shared" si="51"/>
        <v>#N/A</v>
      </c>
      <c r="GG158" s="154">
        <f>IF(ISNA(VLOOKUP(A158,'Données projet'!$A$243:$I$263,3,0)),0,VLOOKUP(A158,'Données projet'!$A$243:$I$263,3,0))</f>
        <v>0</v>
      </c>
      <c r="GH158" s="154">
        <f>IF(ISNA(VLOOKUP(A158,'Données projet'!$A$243:$I$263,4,0)),0,VLOOKUP(A158,'Données projet'!$A$243:$I$263,4,0))</f>
        <v>0</v>
      </c>
      <c r="GI158" s="155">
        <f>IF(ISNA(VLOOKUP(A158,'Données projet'!$A$243:$I$263,5,0)),0%,VLOOKUP(A158,'Données projet'!$A$243:$I$263,5,0)*VLOOKUP('Données projet'!$B$17,'Paramètres'!$A$1:$I$88,7,0))</f>
        <v>0</v>
      </c>
      <c r="GJ158" s="155">
        <f>IF(ISNA(VLOOKUP(A158,'Données projet'!$A$243:$I$263,6,0)),0%,VLOOKUP(A158,'Données projet'!$A$243:$I$263,6,0)*VLOOKUP('Données projet'!$B$17,'Paramètres'!$A$1:$I$88,7,0))</f>
        <v>0</v>
      </c>
      <c r="GK158" s="155">
        <f>IF(ISNA(VLOOKUP(A158,'Données projet'!$A$243:$I$263,7,0)),0%,VLOOKUP(A158,'Données projet'!$A$243:$I$263,7,0))</f>
        <v>0</v>
      </c>
      <c r="GL158" s="162" t="str">
        <f>EXP(-LN(2)/35)*GL157+(1-EXP(-LN(2)/35))/(LN(2)/35)*GH158*GI158*VLOOKUP('Données projet'!$B$17,'Paramètres'!$A$1:$I$88,3,0)*0.475*44/12</f>
        <v>#N/A</v>
      </c>
      <c r="GM158" s="162" t="str">
        <f>EXP(-LN(2)/25)*GM157+(1-EXP(-LN(2)/25))/(LN(2)/25)*Calculateur!GH158*Calculateur!GJ158*VLOOKUP('Données projet'!$B$17,'Paramètres'!$A$1:$I$88,3,0)*0.475*44/12</f>
        <v>#N/A</v>
      </c>
      <c r="GN158" s="162" t="str">
        <f>EXP(-LN(2)/2)*GN157+(1-EXP(-LN(2)/2))/(LN(2)/2)*GH158*GK158*VLOOKUP('Données projet'!$B$17,'Paramètres'!$A$1:$I$88,3,0)*0.475*44/12</f>
        <v>#N/A</v>
      </c>
      <c r="GO158" s="162" t="str">
        <f t="shared" si="28"/>
        <v>#N/A</v>
      </c>
      <c r="GP158" s="159">
        <f>('Scénario référence'!$F$8+'Scénario référence'!$F$9+'Scénario référence'!$B$17+'Scénario référence'!$B$9+'Scénario référence'!$B$10)*70+IF((45+25*(1-EXP(-0.0175*A158)))&lt;70,'Scénario référence'!$B$16*(45+25*(1-EXP(-0.0175*A158))),70*'Scénario référence'!$B$16)+IF((32+38*(1-EXP(-0.0175*A158)))&lt;70,'Scénario référence'!$B$18*(32+38*(1-EXP(-0.0175*A158))),70*'Scénario référence'!$B$18)</f>
        <v>70</v>
      </c>
      <c r="GQ158" s="151">
        <f>IF(A158&gt;30,10,('Scénario référence'!$B$16+'Scénario référence'!$B$17+'Scénario référence'!$B$18+'Scénario référence'!$B$9+'Scénario référence'!$B$10)*A158*10/30+('Scénario référence'!$F$8+'Scénario référence'!$F$9)*10)</f>
        <v>10</v>
      </c>
      <c r="GR158" s="151" t="str">
        <f>VLOOKUP(A158,'Données projet'!$A$269:$I$289,2,0)</f>
        <v>#N/A</v>
      </c>
      <c r="GS158" s="151" t="str">
        <f>VLOOKUP(A158,'Données projet'!$A$269:$I$289,9,0)</f>
        <v>#N/A</v>
      </c>
      <c r="GT158" s="151" t="str">
        <f t="array" ref="GT158">INDEX(GS:GS,MIN(IF(ISNUMBER(GS158:GS354),ROW(GS158:GS354),"")))</f>
        <v/>
      </c>
      <c r="GU158" s="151">
        <f>IF('Données projet'!$A$270&gt;35,GU157+GT158-HC157,IF(A158&lt;'Données projet'!$A$270,$GR$205^A158,IF(A158='Données projet'!$A$270,'Données projet'!$B$270,GU157+GT158-HC157)))</f>
        <v>0</v>
      </c>
      <c r="GV158" s="158" t="str">
        <f>GU158*VLOOKUP('Données projet'!$B$18,'Paramètres'!$A$1:$I$88,3,0)*VLOOKUP('Données projet'!$B$18,'Paramètres'!$A$1:$I$88,5,0)</f>
        <v>#N/A</v>
      </c>
      <c r="GW158" s="150" t="str">
        <f t="shared" si="52"/>
        <v>#N/A</v>
      </c>
      <c r="GX158" s="161" t="str">
        <f t="shared" si="29"/>
        <v>#N/A</v>
      </c>
      <c r="GY158" s="153" t="str">
        <f t="shared" si="30"/>
        <v>#N/A</v>
      </c>
      <c r="GZ158" s="153" t="str">
        <f>AVERAGE(OFFSET($GY$3,0,0,'Données projet'!$E$18+1,1))-AVERAGE(OFFSET($H$3,0,0,'Données projet'!$E$18+1,1))</f>
        <v>#N/A</v>
      </c>
      <c r="HA158" s="153" t="str">
        <f t="shared" si="53"/>
        <v>#N/A</v>
      </c>
      <c r="HB158" s="154">
        <f>IF(ISNA(VLOOKUP(A158,'Données projet'!$A$269:$I$289,3,0)),0,VLOOKUP(A158,'Données projet'!$A$269:$I$289,3,0))</f>
        <v>0</v>
      </c>
      <c r="HC158" s="154">
        <f>IF(ISNA(VLOOKUP(A158,'Données projet'!$A$269:$I$289,4,0)),0,VLOOKUP(A158,'Données projet'!$A$269:$I$289,4,0))</f>
        <v>0</v>
      </c>
      <c r="HD158" s="155">
        <f>IF(ISNA(VLOOKUP(A158,'Données projet'!$A$269:$I$289,5,0)),0%,VLOOKUP(A158,'Données projet'!$A$269:$I$289,5,0)*VLOOKUP('Données projet'!$B$18,'Paramètres'!$A$1:$I$88,7,0))</f>
        <v>0</v>
      </c>
      <c r="HE158" s="155">
        <f>IF(ISNA(VLOOKUP(A158,'Données projet'!$A$269:$I$289,6,0)),0%,VLOOKUP(A158,'Données projet'!$A$269:$I$289,6,0)*VLOOKUP('Données projet'!$B$18,'Paramètres'!$A$1:$I$88,7,0))</f>
        <v>0</v>
      </c>
      <c r="HF158" s="155">
        <f>IF(ISNA(VLOOKUP(A158,'Données projet'!$A$269:$I$289,7,0)),0%,VLOOKUP(A158,'Données projet'!$A$269:$I$289,7,0))</f>
        <v>0</v>
      </c>
      <c r="HG158" s="162" t="str">
        <f>EXP(-LN(2)/35)*HG157+(1-EXP(-LN(2)/35))/(LN(2)/35)*HC158*HD158*VLOOKUP('Données projet'!$B$18,'Paramètres'!$A$1:$I$88,3,0)*0.475*44/12</f>
        <v>#N/A</v>
      </c>
      <c r="HH158" s="162" t="str">
        <f>EXP(-LN(2)/25)*HH157+(1-EXP(-LN(2)/25))/(LN(2)/25)*Calculateur!HC158*Calculateur!HE158*VLOOKUP('Données projet'!$B$18,'Paramètres'!$A$1:$I$88,3,0)*0.475*44/12</f>
        <v>#N/A</v>
      </c>
      <c r="HI158" s="162" t="str">
        <f>EXP(-LN(2)/2)*HI157+(1-EXP(-LN(2)/2))/(LN(2)/2)*HC158*HF158*VLOOKUP('Données projet'!$B$18,'Paramètres'!$A$1:$I$88,3,0)*0.475*44/12</f>
        <v>#N/A</v>
      </c>
      <c r="HJ158" s="163" t="str">
        <f t="shared" si="31"/>
        <v>#N/A</v>
      </c>
    </row>
    <row r="159" ht="15.75" customHeight="1">
      <c r="A159" s="145">
        <f t="shared" si="32"/>
        <v>156</v>
      </c>
      <c r="B159" s="146">
        <f>'Scénario référence'!$B$16*5+'Scénario référence'!$B$17*0+'Scénario référence'!$B$18*5</f>
        <v>0</v>
      </c>
      <c r="C159" s="160">
        <f>Calculateur!C158+'Scénario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59" s="147">
        <f t="shared" si="33"/>
        <v>0</v>
      </c>
      <c r="E159" s="147">
        <f>'Scénario référence'!$B$16*45+('Scénario référence'!$B$17+'Scénario référence'!$F$8+'Scénario référence'!$F$9+'Scénario référence'!$B$10+'Scénario référence'!$B$9)*70+'Scénario référence'!$B$18*32</f>
        <v>70</v>
      </c>
      <c r="F159" s="147">
        <f>IF(OR('Scénario référence'!$F$8&gt;0,'Scénario référence'!$F$9&gt;0),('Scénario référence'!$F$8+'Scénario référence'!$F$9)*10,0)</f>
        <v>0</v>
      </c>
      <c r="G159" s="147">
        <f>'Scénario référence'!$B$8*B159*44/12+'Scénario référence'!$B$9*(C159+D159)/0.475*44/12+'Scénario référence'!$B$10*(C159+D159)/0.475*44/12+'Scénario référence'!$F$8*(C159+D159)/0.475*44/12+'Scénario référence'!$F$9*(C159+D159)/0.475*44/12</f>
        <v>0</v>
      </c>
      <c r="H159" s="148">
        <f t="shared" si="1"/>
        <v>256.6666667</v>
      </c>
      <c r="I159" s="149">
        <f>('Scénario référence'!$F$8+'Scénario référence'!$F$9+'Scénario référence'!$B$17+'Scénario référence'!$B$9+'Scénario référence'!$B$10)*70+IF((45+25*(1-EXP(-0.0175*A159)))&lt;70,'Scénario référence'!$B$16*(45+25*(1-EXP(-0.0175*A159))),70*'Scénario référence'!$B$16)+IF((32+38*(1-EXP(-0.0175*A159)))&lt;70,'Scénario référence'!$B$18*(32+38*(1-EXP(-0.0175*A159))),70*'Scénario référence'!$B$18)</f>
        <v>70</v>
      </c>
      <c r="J159" s="150">
        <f>IF(A159&gt;30,10,('Scénario référence'!$B$16+'Scénario référence'!$B$17+'Scénario référence'!$B$18+'Scénario référence'!$B$9+'Scénario référence'!$B$10)*A159*10/30+('Scénario référence'!$F$8+'Scénario référence'!$F$9)*10)</f>
        <v>10</v>
      </c>
      <c r="K159" s="151" t="str">
        <f>VLOOKUP(A159,'Données projet'!$A$35:$I$55,2,0)</f>
        <v>#N/A</v>
      </c>
      <c r="L159" s="151" t="str">
        <f>VLOOKUP(A159,'Données projet'!$A$35:$I$55,9,0)</f>
        <v>#N/A</v>
      </c>
      <c r="M159" s="151" t="str">
        <f t="array" ref="M159">INDEX(L:L,MIN(IF(ISNUMBER(L159:L355),ROW(L159:L355),"")))</f>
        <v/>
      </c>
      <c r="N159" s="150">
        <f>IF('Données projet'!$A$36&gt;35,N158+M159-V158,IF(A159&lt;'Données projet'!$A$36,$K$205^A159,IF(A159='Données projet'!$A$36,'Données projet'!$B$36,N158+M159-V158)))</f>
        <v>307</v>
      </c>
      <c r="O159" s="150">
        <f>N159*VLOOKUP('Données projet'!$B$9,'Paramètres'!$A$1:$I$88,3,0)*VLOOKUP('Données projet'!$B$9,'Paramètres'!$A$1:$I$88,5,0)</f>
        <v>277.7736</v>
      </c>
      <c r="P159" s="150">
        <f t="shared" si="34"/>
        <v>66.49628818</v>
      </c>
      <c r="Q159" s="161">
        <f t="shared" si="2"/>
        <v>599.6033886</v>
      </c>
      <c r="R159" s="153">
        <f t="shared" si="3"/>
        <v>892.9367219</v>
      </c>
      <c r="S159" s="153">
        <f>AVERAGE(OFFSET($R$3,0,0,'Données projet'!$E$9+1,1))-AVERAGE(OFFSET($H$3,0,0,'Données projet'!$E$9+1,1))</f>
        <v>439.1985427</v>
      </c>
      <c r="T159" s="153">
        <f t="shared" si="35"/>
        <v>278.2174123</v>
      </c>
      <c r="U159" s="154">
        <f>IF(ISNA(VLOOKUP(A159,'Données projet'!$A$35:$I$55,3,0)),0,VLOOKUP(A159,'Données projet'!$A$35:$I$55,3,0))</f>
        <v>0</v>
      </c>
      <c r="V159" s="154">
        <f>IF(ISNA(VLOOKUP(A159,'Données projet'!$A$35:$I$55,4,0)),0,VLOOKUP(A159,'Données projet'!$A$35:$I$55,4,0))</f>
        <v>0</v>
      </c>
      <c r="W159" s="155">
        <f>IF(ISNA(VLOOKUP(A159,'Données projet'!$A$35:$I$55,5,0)),0%,VLOOKUP(A159,'Données projet'!$A$35:$I$55,5,0)*VLOOKUP('Données projet'!$B$9,'Paramètres'!$A$1:$I$88,7,0))</f>
        <v>0</v>
      </c>
      <c r="X159" s="155">
        <f>IF(ISNA(VLOOKUP(A159,'Données projet'!$A$35:$I$55,6,0)),0%,VLOOKUP(A159,'Données projet'!$A$35:$I$55,6,0)*VLOOKUP('Données projet'!$B$9,'Paramètres'!$A$1:$I$88,7,0))</f>
        <v>0</v>
      </c>
      <c r="Y159" s="155">
        <f>IF(ISNA(VLOOKUP(A159,'Données projet'!$A$35:$I$55,7,0)),0%,VLOOKUP(A159,'Données projet'!$A$35:$I$55,7,0))</f>
        <v>0</v>
      </c>
      <c r="Z159" s="162">
        <f>EXP(-LN(2)/35)*Z158+(1-EXP(-LN(2)/35))/(LN(2)/35)*V159*W159*VLOOKUP('Données projet'!$B$9,'Paramètres'!$A$1:$I$88,3,0)*0.475*44/12</f>
        <v>0</v>
      </c>
      <c r="AA159" s="162">
        <f>EXP(-LN(2)/25)*AA158+(1-EXP(-LN(2)/25))/(LN(2)/25)*Calculateur!V159*Calculateur!X159*VLOOKUP('Données projet'!$B$9,'Paramètres'!$A$1:$I$88,3,0)*0.475*44/12</f>
        <v>0.1364021139</v>
      </c>
      <c r="AB159" s="162">
        <f>EXP(-LN(2)/2)*AB158+(1-EXP(-LN(2)/2))/(LN(2)/2)*V159*Y159*VLOOKUP('Données projet'!$B$9,'Paramètres'!$A$1:$I$88,3,0)*0.475*44/12</f>
        <v>0</v>
      </c>
      <c r="AC159" s="163">
        <f t="shared" si="4"/>
        <v>0.1364021139</v>
      </c>
      <c r="AD159" s="150">
        <f>('Scénario référence'!$F$8+'Scénario référence'!$F$9+'Scénario référence'!$B$17+'Scénario référence'!$B$9+'Scénario référence'!$B$10)*70+IF((45+25*(1-EXP(-0.0175*A159)))&lt;70,'Scénario référence'!$B$16*(45+25*(1-EXP(-0.0175*A159))),70*'Scénario référence'!$B$16)+IF((32+38*(1-EXP(-0.0175*A159)))&lt;70,'Scénario référence'!$B$18*(32+38*(1-EXP(-0.0175*A159))),70*'Scénario référence'!$B$18)</f>
        <v>70</v>
      </c>
      <c r="AE159" s="150">
        <f>IF(A159&gt;30,10,('Scénario référence'!$B$16+'Scénario référence'!$B$17+'Scénario référence'!$B$18+'Scénario référence'!$B$9+'Scénario référence'!$B$10)*A159*10/30+('Scénario référence'!$F$8+'Scénario référence'!$F$9)*10)</f>
        <v>10</v>
      </c>
      <c r="AF159" s="151" t="str">
        <f>VLOOKUP(A159,'Données projet'!$A$61:$I$81,2,0)</f>
        <v>#N/A</v>
      </c>
      <c r="AG159" s="151" t="str">
        <f>VLOOKUP(A159,'Données projet'!$A$61:$I$81,9,0)</f>
        <v>#N/A</v>
      </c>
      <c r="AH159" s="151" t="str">
        <f t="array" ref="AH159">INDEX(AG:AG,MIN(IF(ISNUMBER(AG159:AG355),ROW(AG159:AG355),"")))</f>
        <v/>
      </c>
      <c r="AI159" s="150">
        <f>IF('Données projet'!$A$62&gt;35,AI158+AH159-AQ158,IF(A159&lt;'Données projet'!$A$62,$AF$205^A159,IF(A159='Données projet'!$A$62,'Données projet'!$B$62,AI158+AH159-AQ158)))</f>
        <v>369</v>
      </c>
      <c r="AJ159" s="150">
        <f>AI159*VLOOKUP('Données projet'!$B$10,'Paramètres'!$A$1:$I$88,3,0)*VLOOKUP('Données projet'!$B$10,'Paramètres'!$A$1:$I$88,5,0)</f>
        <v>293.5764</v>
      </c>
      <c r="AK159" s="150">
        <f t="shared" si="36"/>
        <v>69.82813851</v>
      </c>
      <c r="AL159" s="161">
        <f t="shared" si="5"/>
        <v>632.9295712</v>
      </c>
      <c r="AM159" s="153">
        <f t="shared" si="6"/>
        <v>926.2629046</v>
      </c>
      <c r="AN159" s="153">
        <f>AVERAGE(OFFSET($AM$3,0,0,'Données projet'!$E$10+1,1))-AVERAGE(OFFSET($H$3,0,0,'Données projet'!$E$10+1,1))</f>
        <v>405.6113614</v>
      </c>
      <c r="AO159" s="153">
        <f t="shared" si="37"/>
        <v>393.0787141</v>
      </c>
      <c r="AP159" s="154">
        <f>IF(ISNA(VLOOKUP(A159,'Données projet'!$A$61:$I$81,3,0)),0,VLOOKUP(A159,'Données projet'!$A$61:$I$81,3,0))</f>
        <v>0</v>
      </c>
      <c r="AQ159" s="154">
        <f>IF(ISNA(VLOOKUP(A159,'Données projet'!$A$61:$I$81,4,0)),0,VLOOKUP(A159,'Données projet'!$A$61:$I$81,4,0))</f>
        <v>0</v>
      </c>
      <c r="AR159" s="155">
        <f>IF(ISNA(VLOOKUP(A159,'Données projet'!$A$61:$I$81,5,0)),0%,VLOOKUP(A159,'Données projet'!$A$61:$I$81,5,0)*VLOOKUP('Données projet'!$B$10,'Paramètres'!$A$1:$I$88,7,0))</f>
        <v>0</v>
      </c>
      <c r="AS159" s="155">
        <f>IF(ISNA(VLOOKUP(A159,'Données projet'!$A$61:$I$81,6,0)),0%,VLOOKUP(A159,'Données projet'!$A$61:$I$81,6,0)*VLOOKUP('Données projet'!$B$10,'Paramètres'!$A$1:$I$88,7,0))</f>
        <v>0</v>
      </c>
      <c r="AT159" s="155">
        <f>IF(ISNA(VLOOKUP(A159,'Données projet'!$A$61:$I$81,7,0)),0%,VLOOKUP(A159,'Données projet'!$A$61:$I$81,7,0))</f>
        <v>0</v>
      </c>
      <c r="AU159" s="162">
        <f>EXP(-LN(2)/35)*AU158+(1-EXP(-LN(2)/35))/(LN(2)/35)*AQ159*AR159*VLOOKUP('Données projet'!$B$10,'Paramètres'!$A$1:$I$88,3,0)*0.475*44/12</f>
        <v>0</v>
      </c>
      <c r="AV159" s="162">
        <f>EXP(-LN(2)/25)*AV158+(1-EXP(-LN(2)/25))/(LN(2)/25)*Calculateur!AQ159*Calculateur!AS159*VLOOKUP('Données projet'!$B$10,'Paramètres'!$A$1:$I$88,3,0)*0.475*44/12</f>
        <v>0.5543728656</v>
      </c>
      <c r="AW159" s="162">
        <f>EXP(-LN(2)/2)*AW158+(1-EXP(-LN(2)/2))/(LN(2)/2)*AQ159*AT159*VLOOKUP('Données projet'!$B$10,'Paramètres'!$A$1:$I$88,3,0)*0.475*44/12</f>
        <v>0</v>
      </c>
      <c r="AX159" s="162">
        <f t="shared" si="7"/>
        <v>0.5543728656</v>
      </c>
      <c r="AY159" s="157">
        <f>('Scénario référence'!$F$8+'Scénario référence'!$F$9+'Scénario référence'!$B$17+'Scénario référence'!$B$9+'Scénario référence'!$B$10)*70+IF((45+25*(1-EXP(-0.0175*A159)))&lt;70,'Scénario référence'!$B$16*(45+25*(1-EXP(-0.0175*A159))),70*'Scénario référence'!$B$16)+IF((32+38*(1-EXP(-0.0175*A159)))&lt;70,'Scénario référence'!$B$18*(32+38*(1-EXP(-0.0175*A159))),70*'Scénario référence'!$B$18)</f>
        <v>70</v>
      </c>
      <c r="AZ159" s="151">
        <f>IF(A159&gt;30,10,('Scénario référence'!$B$16+'Scénario référence'!$B$17+'Scénario référence'!$B$18+'Scénario référence'!$B$9+'Scénario référence'!$B$10)*A159*10/30+('Scénario référence'!$F$8+'Scénario référence'!$F$9)*10)</f>
        <v>10</v>
      </c>
      <c r="BA159" s="151" t="str">
        <f>VLOOKUP(A159,'Données projet'!$A$87:$I$107,2,0)</f>
        <v>#N/A</v>
      </c>
      <c r="BB159" s="151" t="str">
        <f>VLOOKUP(A159,'Données projet'!$A$87:$I$107,9,0)</f>
        <v>#N/A</v>
      </c>
      <c r="BC159" s="151" t="str">
        <f t="array" ref="BC159">INDEX(BB:BB,MIN(IF(ISNUMBER(BB159:BB355),ROW(BB159:BB355),"")))</f>
        <v/>
      </c>
      <c r="BD159" s="150">
        <f>IF('Données projet'!$A$88&gt;35,BD158+BC159-BL158,IF(A159&lt;'Données projet'!$A$88,$BA$205^A159,IF(A159='Données projet'!$A$88,'Données projet'!$B$88,BD158+BC159-BL158)))</f>
        <v>0</v>
      </c>
      <c r="BE159" s="150">
        <f>BD159*VLOOKUP('Données projet'!$B$11,'Paramètres'!$A$1:$I$88,3,0)*VLOOKUP('Données projet'!$B$11,'Paramètres'!$A$1:$I$88,5,0)</f>
        <v>0</v>
      </c>
      <c r="BF159" s="150" t="str">
        <f t="shared" si="38"/>
        <v>#NUM!</v>
      </c>
      <c r="BG159" s="161" t="str">
        <f t="shared" si="8"/>
        <v>#NUM!</v>
      </c>
      <c r="BH159" s="153" t="str">
        <f t="shared" si="9"/>
        <v>#NUM!</v>
      </c>
      <c r="BI159" s="153">
        <f>AVERAGE(OFFSET($BH$3,0,0,'Données projet'!$E$11+1,1))-AVERAGE(OFFSET($H$3,0,0,'Données projet'!$E$11+1,1))</f>
        <v>0</v>
      </c>
      <c r="BJ159" s="153">
        <f t="shared" si="39"/>
        <v>0</v>
      </c>
      <c r="BK159" s="154">
        <f>IF(ISNA(VLOOKUP(A159,'Données projet'!$A$87:$I$107,3,0)),0,VLOOKUP(A159,'Données projet'!$A$87:$I$107,3,0))</f>
        <v>0</v>
      </c>
      <c r="BL159" s="154">
        <f>IF(ISNA(VLOOKUP(A159,'Données projet'!$A$87:$I$107,4,0)),0,VLOOKUP(A159,'Données projet'!$A$87:$I$107,4,0))</f>
        <v>0</v>
      </c>
      <c r="BM159" s="155">
        <f>IF(ISNA(VLOOKUP(A159,'Données projet'!$A$87:$I$107,5,0)),0%,VLOOKUP(A159,'Données projet'!$A$87:$I$107,5,0)*VLOOKUP('Données projet'!$B$11,'Paramètres'!$A$1:$I$88,7,0))</f>
        <v>0</v>
      </c>
      <c r="BN159" s="155">
        <f>IF(ISNA(VLOOKUP(A159,'Données projet'!$A$87:$I$107,6,0)),0%,VLOOKUP(A159,'Données projet'!$A$87:$I$107,6,0)*VLOOKUP('Données projet'!$B$11,'Paramètres'!$A$1:$I$88,7,0))</f>
        <v>0</v>
      </c>
      <c r="BO159" s="155">
        <f>IF(ISNA(VLOOKUP(A159,'Données projet'!$A$87:$I$107,7,0)),0%,VLOOKUP(A159,'Données projet'!$A$87:$I$107,7,0))</f>
        <v>0</v>
      </c>
      <c r="BP159" s="162">
        <f>EXP(-LN(2)/35)*BP158+(1-EXP(-LN(2)/35))/(LN(2)/35)*BL159*BM159*VLOOKUP('Données projet'!$B$11,'Paramètres'!$A$1:$I$88,3,0)*0.475*44/12</f>
        <v>0</v>
      </c>
      <c r="BQ159" s="162">
        <f>EXP(-LN(2)/25)*BQ158+(1-EXP(-LN(2)/25))/(LN(2)/25)*Calculateur!BL159*Calculateur!BN159*VLOOKUP('Données projet'!$B$11,'Paramètres'!$A$1:$I$88,3,0)*0.475*44/12</f>
        <v>0</v>
      </c>
      <c r="BR159" s="162">
        <f>EXP(-LN(2)/2)*BR158+(1-EXP(-LN(2)/2))/(LN(2)/2)*BL159*BO159*VLOOKUP('Données projet'!$B$11,'Paramètres'!$A$1:$I$88,3,0)*0.475*44/12</f>
        <v>0</v>
      </c>
      <c r="BS159" s="163">
        <f t="shared" si="10"/>
        <v>0</v>
      </c>
      <c r="BT159" s="159">
        <f>('Scénario référence'!$F$8+'Scénario référence'!$F$9+'Scénario référence'!$B$17+'Scénario référence'!$B$9+'Scénario référence'!$B$10)*70+IF((45+25*(1-EXP(-0.0175*A159)))&lt;70,'Scénario référence'!$B$16*(45+25*(1-EXP(-0.0175*A159))),70*'Scénario référence'!$B$16)+IF((32+38*(1-EXP(-0.0175*A159)))&lt;70,'Scénario référence'!$B$18*(32+38*(1-EXP(-0.0175*A159))),70*'Scénario référence'!$B$18)</f>
        <v>70</v>
      </c>
      <c r="BU159" s="151">
        <f>IF(A159&gt;30,10,('Scénario référence'!$B$16+'Scénario référence'!$B$17+'Scénario référence'!$B$18+'Scénario référence'!$B$9+'Scénario référence'!$B$10)*A159*10/30+('Scénario référence'!$F$8+'Scénario référence'!$F$9)*10)</f>
        <v>10</v>
      </c>
      <c r="BV159" s="151" t="str">
        <f>VLOOKUP(A159,'Données projet'!$A$113:$I$133,2,0)</f>
        <v>#N/A</v>
      </c>
      <c r="BW159" s="151" t="str">
        <f>VLOOKUP(A159,'Données projet'!$A$113:$I$133,9,0)</f>
        <v>#N/A</v>
      </c>
      <c r="BX159" s="151" t="str">
        <f t="array" ref="BX159">INDEX(BW:BW,MIN(IF(ISNUMBER(BW159:BW355),ROW(BW159:BW355),"")))</f>
        <v/>
      </c>
      <c r="BY159" s="150">
        <f>IF('Données projet'!$A$114&gt;35,BY158+BX159-CG158,IF(A159&lt;'Données projet'!$A$114,$BV$205^A159,IF(A159='Données projet'!$A$114,'Données projet'!$B$114,BY158+BX159-CG158)))</f>
        <v>0</v>
      </c>
      <c r="BZ159" s="150" t="str">
        <f>BY159*VLOOKUP('Données projet'!$B$12,'Paramètres'!$A$1:$I$88,3,0)*VLOOKUP('Données projet'!$B$12,'Paramètres'!$A$1:$I$88,5,0)</f>
        <v>#N/A</v>
      </c>
      <c r="CA159" s="150" t="str">
        <f t="shared" si="40"/>
        <v>#N/A</v>
      </c>
      <c r="CB159" s="161" t="str">
        <f t="shared" si="11"/>
        <v>#N/A</v>
      </c>
      <c r="CC159" s="153" t="str">
        <f t="shared" si="12"/>
        <v>#N/A</v>
      </c>
      <c r="CD159" s="153" t="str">
        <f>AVERAGE(OFFSET($CC$3,0,0,'Données projet'!$E$12+1,1))-AVERAGE(OFFSET($H$3,0,0,'Données projet'!$E$12+1,1))</f>
        <v>#N/A</v>
      </c>
      <c r="CE159" s="153" t="str">
        <f t="shared" si="41"/>
        <v>#N/A</v>
      </c>
      <c r="CF159" s="154">
        <f>IF(ISNA(VLOOKUP(A159,'Données projet'!$A$113:$I$133,3,0)),0,VLOOKUP(A159,'Données projet'!$A$113:$I$133,3,0))</f>
        <v>0</v>
      </c>
      <c r="CG159" s="154">
        <f>IF(ISNA(VLOOKUP(A159,'Données projet'!$A$113:$I$133,4,0)),0,VLOOKUP(A159,'Données projet'!$A$113:$I$133,4,0))</f>
        <v>0</v>
      </c>
      <c r="CH159" s="155">
        <f>IF(ISNA(VLOOKUP(A159,'Données projet'!$A$113:$I$133,5,0)),0%,VLOOKUP(A159,'Données projet'!$A$113:$I$133,5,0)*VLOOKUP('Données projet'!$B$12,'Paramètres'!$A$1:$I$88,7,0))</f>
        <v>0</v>
      </c>
      <c r="CI159" s="155">
        <f>IF(ISNA(VLOOKUP(A159,'Données projet'!$A$113:$I$133,6,0)),0%,VLOOKUP(A159,'Données projet'!$A$113:$I$133,6,0)*VLOOKUP('Données projet'!$B$12,'Paramètres'!$A$1:$I$88,7,0))</f>
        <v>0</v>
      </c>
      <c r="CJ159" s="155">
        <f>IF(ISNA(VLOOKUP(A159,'Données projet'!$A$113:$I$133,7,0)),0%,VLOOKUP(A159,'Données projet'!$A$113:$I$133,7,0))</f>
        <v>0</v>
      </c>
      <c r="CK159" s="162" t="str">
        <f>EXP(-LN(2)/35)*CK158+(1-EXP(-LN(2)/35))/(LN(2)/35)*CG159*CH159*VLOOKUP('Données projet'!$B$12,'Paramètres'!$A$1:$I$88,3,0)*0.475*44/12</f>
        <v>#N/A</v>
      </c>
      <c r="CL159" s="162" t="str">
        <f>EXP(-LN(2)/25)*CL158+(1-EXP(-LN(2)/25))/(LN(2)/25)*Calculateur!CG159*Calculateur!CI159*VLOOKUP('Données projet'!$B$12,'Paramètres'!$A$1:$I$88,3,0)*0.475*44/12</f>
        <v>#N/A</v>
      </c>
      <c r="CM159" s="162" t="str">
        <f>EXP(-LN(2)/2)*CM158+(1-EXP(-LN(2)/2))/(LN(2)/2)*CG159*CJ159*VLOOKUP('Données projet'!$B$12,'Paramètres'!$A$1:$I$88,3,0)*0.475*44/12</f>
        <v>#N/A</v>
      </c>
      <c r="CN159" s="163" t="str">
        <f t="shared" si="13"/>
        <v>#N/A</v>
      </c>
      <c r="CO159" s="159">
        <f>('Scénario référence'!$F$8+'Scénario référence'!$F$9+'Scénario référence'!$B$17+'Scénario référence'!$B$9+'Scénario référence'!$B$10)*70+IF((45+25*(1-EXP(-0.0175*A159)))&lt;70,'Scénario référence'!$B$16*(45+25*(1-EXP(-0.0175*A159))),70*'Scénario référence'!$B$16)+IF((32+38*(1-EXP(-0.0175*A159)))&lt;70,'Scénario référence'!$B$18*(32+38*(1-EXP(-0.0175*A159))),70*'Scénario référence'!$B$18)</f>
        <v>70</v>
      </c>
      <c r="CP159" s="151">
        <f>IF(A159&gt;30,10,('Scénario référence'!$B$16+'Scénario référence'!$B$17+'Scénario référence'!$B$18+'Scénario référence'!$B$9+'Scénario référence'!$B$10)*A159*10/30+('Scénario référence'!$F$8+'Scénario référence'!$F$9)*10)</f>
        <v>10</v>
      </c>
      <c r="CQ159" s="151" t="str">
        <f>VLOOKUP(A159,'Données projet'!$A$139:$I$159,2,0)</f>
        <v>#N/A</v>
      </c>
      <c r="CR159" s="151" t="str">
        <f>VLOOKUP(A159,'Données projet'!$A$139:$I$159,9,0)</f>
        <v>#N/A</v>
      </c>
      <c r="CS159" s="151" t="str">
        <f t="array" ref="CS159">INDEX(CR:CR,MIN(IF(ISNUMBER(CR159:CR355),ROW(CR159:CR355),"")))</f>
        <v/>
      </c>
      <c r="CT159" s="151">
        <f>IF('Données projet'!$A$140&gt;35,CT158+CS159-DB158,IF(A159&lt;'Données projet'!$A$140,$CQ$205^A159,IF(A159='Données projet'!$A$140,'Données projet'!$B$140,CT158+CS159-DB158)))</f>
        <v>0</v>
      </c>
      <c r="CU159" s="158" t="str">
        <f>CT159*VLOOKUP('Données projet'!$B$13,'Paramètres'!$A$1:$I$88,3,0)*VLOOKUP('Données projet'!$B$13,'Paramètres'!$A$1:$I$88,5,0)</f>
        <v>#N/A</v>
      </c>
      <c r="CV159" s="150" t="str">
        <f t="shared" si="42"/>
        <v>#N/A</v>
      </c>
      <c r="CW159" s="161" t="str">
        <f t="shared" si="14"/>
        <v>#N/A</v>
      </c>
      <c r="CX159" s="153" t="str">
        <f t="shared" si="15"/>
        <v>#N/A</v>
      </c>
      <c r="CY159" s="153" t="str">
        <f>AVERAGE(OFFSET($CX$3,0,0,'Données projet'!$E$13+1,1))-AVERAGE(OFFSET($H$3,0,0,'Données projet'!$E$13+1,1))</f>
        <v>#N/A</v>
      </c>
      <c r="CZ159" s="153" t="str">
        <f t="shared" si="43"/>
        <v>#N/A</v>
      </c>
      <c r="DA159" s="154">
        <f>IF(ISNA(VLOOKUP(A159,'Données projet'!$A$139:$I$159,3,0)),0,VLOOKUP(A159,'Données projet'!$A$139:$I$159,3,0))</f>
        <v>0</v>
      </c>
      <c r="DB159" s="154">
        <f>IF(ISNA(VLOOKUP(A159,'Données projet'!$A$139:$I$159,4,0)),0,VLOOKUP(A159,'Données projet'!$A$139:$I$159,4,0))</f>
        <v>0</v>
      </c>
      <c r="DC159" s="155">
        <f>IF(ISNA(VLOOKUP(A159,'Données projet'!$A$139:$I$159,5,0)),0%,VLOOKUP(A159,'Données projet'!$A$139:$I$159,5,0)*VLOOKUP('Données projet'!$B$13,'Paramètres'!$A$1:$I$88,7,0))</f>
        <v>0</v>
      </c>
      <c r="DD159" s="155">
        <f>IF(ISNA(VLOOKUP(A159,'Données projet'!$A$139:$I$159,6,0)),0%,VLOOKUP(A159,'Données projet'!$A$139:$I$159,6,0)*VLOOKUP('Données projet'!$B$13,'Paramètres'!$A$1:$I$88,7,0))</f>
        <v>0</v>
      </c>
      <c r="DE159" s="155">
        <f>IF(ISNA(VLOOKUP(A159,'Données projet'!$A$139:$I$159,7,0)),0%,VLOOKUP(A159,'Données projet'!$A$139:$I$159,7,0))</f>
        <v>0</v>
      </c>
      <c r="DF159" s="162" t="str">
        <f>EXP(-LN(2)/35)*DF158+(1-EXP(-LN(2)/35))/(LN(2)/35)*DB159*DC159*VLOOKUP('Données projet'!$B$13,'Paramètres'!$A$1:$I$88,3,0)*0.475*44/12</f>
        <v>#N/A</v>
      </c>
      <c r="DG159" s="162" t="str">
        <f>EXP(-LN(2)/25)*DG158+(1-EXP(-LN(2)/25))/(LN(2)/25)*Calculateur!DB159*Calculateur!DD159*VLOOKUP('Données projet'!$B$13,'Paramètres'!$A$1:$I$88,3,0)*0.475*44/12</f>
        <v>#N/A</v>
      </c>
      <c r="DH159" s="162" t="str">
        <f>EXP(-LN(2)/2)*DH158+(1-EXP(-LN(2)/2))/(LN(2)/2)*DB159*DE159*VLOOKUP('Données projet'!$B$13,'Paramètres'!$A$1:$I$88,3,0)*0.475*44/12</f>
        <v>#N/A</v>
      </c>
      <c r="DI159" s="163" t="str">
        <f t="shared" si="16"/>
        <v>#N/A</v>
      </c>
      <c r="DJ159" s="159">
        <f>('Scénario référence'!$F$8+'Scénario référence'!$F$9+'Scénario référence'!$B$17+'Scénario référence'!$B$9+'Scénario référence'!$B$10)*70+IF((45+25*(1-EXP(-0.0175*A159)))&lt;70,'Scénario référence'!$B$16*(45+25*(1-EXP(-0.0175*A159))),70*'Scénario référence'!$B$16)+IF((32+38*(1-EXP(-0.0175*A159)))&lt;70,'Scénario référence'!$B$18*(32+38*(1-EXP(-0.0175*A159))),70*'Scénario référence'!$B$18)</f>
        <v>70</v>
      </c>
      <c r="DK159" s="151">
        <f>IF(A159&gt;30,10,('Scénario référence'!$B$16+'Scénario référence'!$B$17+'Scénario référence'!$B$18+'Scénario référence'!$B$9+'Scénario référence'!$B$10)*A159*10/30+('Scénario référence'!$F$8+'Scénario référence'!$F$9)*10)</f>
        <v>10</v>
      </c>
      <c r="DL159" s="151" t="str">
        <f>VLOOKUP(A159,'Données projet'!$A$165:$I$185,2,0)</f>
        <v>#N/A</v>
      </c>
      <c r="DM159" s="151" t="str">
        <f>VLOOKUP(A159,'Données projet'!$A$165:$I$185,9,0)</f>
        <v>#N/A</v>
      </c>
      <c r="DN159" s="151" t="str">
        <f t="array" ref="DN159">INDEX(DM:DM,MIN(IF(ISNUMBER(DM159:DM355),ROW(DM159:DM355),"")))</f>
        <v/>
      </c>
      <c r="DO159" s="151">
        <f>IF('Données projet'!$A$166&gt;35,DO158+DN159-DW158,IF(A159&lt;'Données projet'!$A$166,$DL$205^A159,IF(A159='Données projet'!$A$166,'Données projet'!$B$166,DO158+DN159-DW158)))</f>
        <v>0</v>
      </c>
      <c r="DP159" s="158" t="str">
        <f>DO159*VLOOKUP('Données projet'!$B$14,'Paramètres'!$A$1:$I$88,3,0)*VLOOKUP('Données projet'!$B$14,'Paramètres'!$A$1:$I$88,5,0)</f>
        <v>#N/A</v>
      </c>
      <c r="DQ159" s="150" t="str">
        <f t="shared" si="44"/>
        <v>#N/A</v>
      </c>
      <c r="DR159" s="161" t="str">
        <f t="shared" si="17"/>
        <v>#N/A</v>
      </c>
      <c r="DS159" s="153" t="str">
        <f t="shared" si="18"/>
        <v>#N/A</v>
      </c>
      <c r="DT159" s="153" t="str">
        <f>AVERAGE(OFFSET($DS$3,0,0,'Données projet'!$E$14+1,1))-AVERAGE(OFFSET($H$3,0,0,'Données projet'!$E$14+1,1))</f>
        <v>#N/A</v>
      </c>
      <c r="DU159" s="153" t="str">
        <f t="shared" si="45"/>
        <v>#N/A</v>
      </c>
      <c r="DV159" s="154">
        <f>IF(ISNA(VLOOKUP(A159,'Données projet'!$A$165:$I$185,3,0)),0,VLOOKUP(A159,'Données projet'!$A$165:$I$185,3,0))</f>
        <v>0</v>
      </c>
      <c r="DW159" s="154">
        <f>IF(ISNA(VLOOKUP(A159,'Données projet'!$A$165:$I$185,4,0)),0,VLOOKUP(A159,'Données projet'!$A$165:$I$185,4,0))</f>
        <v>0</v>
      </c>
      <c r="DX159" s="155">
        <f>IF(ISNA(VLOOKUP(A159,'Données projet'!$A$165:$I$185,5,0)),0%,VLOOKUP(A159,'Données projet'!$A$165:$I$185,5,0)*VLOOKUP('Données projet'!$B$14,'Paramètres'!$A$1:$I$88,7,0))</f>
        <v>0</v>
      </c>
      <c r="DY159" s="155">
        <f>IF(ISNA(VLOOKUP(A159,'Données projet'!$A$165:$I$185,6,0)),0%,VLOOKUP(A159,'Données projet'!$A$165:$I$185,6,0)*VLOOKUP('Données projet'!$B$14,'Paramètres'!$A$1:$I$88,7,0))</f>
        <v>0</v>
      </c>
      <c r="DZ159" s="155">
        <f>IF(ISNA(VLOOKUP(A159,'Données projet'!$A$165:$I$185,7,0)),0%,VLOOKUP(A159,'Données projet'!$A$165:$I$185,7,0))</f>
        <v>0</v>
      </c>
      <c r="EA159" s="162" t="str">
        <f>EXP(-LN(2)/35)*EA158+(1-EXP(-LN(2)/35))/(LN(2)/35)*DW159*DX159*VLOOKUP('Données projet'!$B$14,'Paramètres'!$A$1:$I$88,3,0)*0.475*44/12</f>
        <v>#N/A</v>
      </c>
      <c r="EB159" s="162" t="str">
        <f>EXP(-LN(2)/25)*EB158+(1-EXP(-LN(2)/25))/(LN(2)/25)*Calculateur!DW159*Calculateur!DY159*VLOOKUP('Données projet'!$B$14,'Paramètres'!$A$1:$I$88,3,0)*0.475*44/12</f>
        <v>#N/A</v>
      </c>
      <c r="EC159" s="162" t="str">
        <f>EXP(-LN(2)/2)*EC158+(1-EXP(-LN(2)/2))/(LN(2)/2)*DW159*DZ159*VLOOKUP('Données projet'!$B$14,'Paramètres'!$A$1:$I$88,3,0)*0.475*44/12</f>
        <v>#N/A</v>
      </c>
      <c r="ED159" s="163" t="str">
        <f t="shared" si="19"/>
        <v>#N/A</v>
      </c>
      <c r="EE159" s="159">
        <f>('Scénario référence'!$F$8+'Scénario référence'!$F$9+'Scénario référence'!$B$17+'Scénario référence'!$B$9+'Scénario référence'!$B$10)*70+IF((45+25*(1-EXP(-0.0175*A159)))&lt;70,'Scénario référence'!$B$16*(45+25*(1-EXP(-0.0175*A159))),70*'Scénario référence'!$B$16)+IF((32+38*(1-EXP(-0.0175*A159)))&lt;70,'Scénario référence'!$B$18*(32+38*(1-EXP(-0.0175*A159))),70*'Scénario référence'!$B$18)</f>
        <v>70</v>
      </c>
      <c r="EF159" s="151">
        <f>IF(A159&gt;30,10,('Scénario référence'!$B$16+'Scénario référence'!$B$17+'Scénario référence'!$B$18+'Scénario référence'!$B$9+'Scénario référence'!$B$10)*A159*10/30+('Scénario référence'!$F$8+'Scénario référence'!$F$9)*10)</f>
        <v>10</v>
      </c>
      <c r="EG159" s="151" t="str">
        <f>VLOOKUP(A159,'Données projet'!$A$191:$I$211,2,0)</f>
        <v>#N/A</v>
      </c>
      <c r="EH159" s="151" t="str">
        <f>VLOOKUP(A159,'Données projet'!$A$191:$I$211,9,0)</f>
        <v>#N/A</v>
      </c>
      <c r="EI159" s="151" t="str">
        <f t="array" ref="EI159">INDEX(EH:EH,MIN(IF(ISNUMBER(EH159:EH355),ROW(EH159:EH355),"")))</f>
        <v/>
      </c>
      <c r="EJ159" s="151">
        <f>IF('Données projet'!$A$192&gt;35,EJ158+EI159-ER158,IF(A159&lt;'Données projet'!$A$192,$EG$205^A159,IF(A159='Données projet'!$A$192,'Données projet'!$B$192,EJ158+EI159-ER158)))</f>
        <v>0</v>
      </c>
      <c r="EK159" s="158" t="str">
        <f>EJ159*VLOOKUP('Données projet'!$B$15,'Paramètres'!$A$1:$I$88,3,0)*VLOOKUP('Données projet'!$B$15,'Paramètres'!$A$1:$I$88,5,0)</f>
        <v>#N/A</v>
      </c>
      <c r="EL159" s="150" t="str">
        <f t="shared" si="46"/>
        <v>#N/A</v>
      </c>
      <c r="EM159" s="161" t="str">
        <f t="shared" si="20"/>
        <v>#N/A</v>
      </c>
      <c r="EN159" s="153" t="str">
        <f t="shared" si="21"/>
        <v>#N/A</v>
      </c>
      <c r="EO159" s="153" t="str">
        <f>AVERAGE(OFFSET($EN$3,0,0,'Données projet'!$E$15+1,1))-AVERAGE(OFFSET($H$3,0,0,'Données projet'!$E$15+1,1))</f>
        <v>#N/A</v>
      </c>
      <c r="EP159" s="153" t="str">
        <f t="shared" si="47"/>
        <v>#N/A</v>
      </c>
      <c r="EQ159" s="154">
        <f>IF(ISNA(VLOOKUP(A159,'Données projet'!$A$191:$I$211,3,0)),0,VLOOKUP(A159,'Données projet'!$A$191:$I$211,3,0))</f>
        <v>0</v>
      </c>
      <c r="ER159" s="154">
        <f>IF(ISNA(VLOOKUP(A159,'Données projet'!$A$191:$I$211,4,0)),0,VLOOKUP(A159,'Données projet'!$A$191:$I$211,4,0))</f>
        <v>0</v>
      </c>
      <c r="ES159" s="155">
        <f>IF(ISNA(VLOOKUP(A159,'Données projet'!$A$191:$I$211,5,0)),0%,VLOOKUP(A159,'Données projet'!$A$191:$I$211,5,0)*VLOOKUP('Données projet'!$B$15,'Paramètres'!$A$1:$I$88,7,0))</f>
        <v>0</v>
      </c>
      <c r="ET159" s="155">
        <f>IF(ISNA(VLOOKUP(A159,'Données projet'!$A$191:$I$211,6,0)),0%,VLOOKUP(A159,'Données projet'!$A$191:$I$211,6,0)*VLOOKUP('Données projet'!$B$15,'Paramètres'!$A$1:$I$88,7,0))</f>
        <v>0</v>
      </c>
      <c r="EU159" s="155">
        <f>IF(ISNA(VLOOKUP(A159,'Données projet'!$A$191:$I$211,7,0)),0%,VLOOKUP(A159,'Données projet'!$A$191:$I$211,7,0))</f>
        <v>0</v>
      </c>
      <c r="EV159" s="162" t="str">
        <f>EXP(-LN(2)/35)*EV158+(1-EXP(-LN(2)/35))/(LN(2)/35)*ER159*ES159*VLOOKUP('Données projet'!$B$15,'Paramètres'!$A$1:$I$88,3,0)*0.475*44/12</f>
        <v>#N/A</v>
      </c>
      <c r="EW159" s="162" t="str">
        <f>EXP(-LN(2)/25)*EW158+(1-EXP(-LN(2)/25))/(LN(2)/25)*Calculateur!ER159*Calculateur!ET159*VLOOKUP('Données projet'!$B$15,'Paramètres'!$A$1:$I$88,3,0)*0.475*44/12</f>
        <v>#N/A</v>
      </c>
      <c r="EX159" s="162" t="str">
        <f>EXP(-LN(2)/2)*EX158+(1-EXP(-LN(2)/2))/(LN(2)/2)*ER159*EU159*VLOOKUP('Données projet'!$B$15,'Paramètres'!$A$1:$I$88,3,0)*0.475*44/12</f>
        <v>#N/A</v>
      </c>
      <c r="EY159" s="163" t="str">
        <f t="shared" si="22"/>
        <v>#N/A</v>
      </c>
      <c r="EZ159" s="159">
        <f>('Scénario référence'!$F$8+'Scénario référence'!$F$9+'Scénario référence'!$B$17+'Scénario référence'!$B$9+'Scénario référence'!$B$10)*70+IF((45+25*(1-EXP(-0.0175*A159)))&lt;70,'Scénario référence'!$B$16*(45+25*(1-EXP(-0.0175*A159))),70*'Scénario référence'!$B$16)+IF((32+38*(1-EXP(-0.0175*A159)))&lt;70,'Scénario référence'!$B$18*(32+38*(1-EXP(-0.0175*A159))),70*'Scénario référence'!$B$18)</f>
        <v>70</v>
      </c>
      <c r="FA159" s="151">
        <f>IF(A159&gt;30,10,('Scénario référence'!$B$16+'Scénario référence'!$B$17+'Scénario référence'!$B$18+'Scénario référence'!$B$9+'Scénario référence'!$B$10)*A159*10/30+('Scénario référence'!$F$8+'Scénario référence'!$F$9)*10)</f>
        <v>10</v>
      </c>
      <c r="FB159" s="151" t="str">
        <f>VLOOKUP(A159,'Données projet'!$A$217:$I$237,2,0)</f>
        <v>#N/A</v>
      </c>
      <c r="FC159" s="151" t="str">
        <f>VLOOKUP(A159,'Données projet'!$A$217:$I$237,9,0)</f>
        <v>#N/A</v>
      </c>
      <c r="FD159" s="151" t="str">
        <f t="array" ref="FD159">INDEX(FC:FC,MIN(IF(ISNUMBER(FC159:FC355),ROW(FC159:FC355),"")))</f>
        <v/>
      </c>
      <c r="FE159" s="151">
        <f>IF('Données projet'!$A$218&gt;35,FE158+FD159-FM158,IF(A159&lt;'Données projet'!$A$218,$FB$205^A159,IF(A159='Données projet'!$A$218,'Données projet'!$B$218,FE158+FD159-FM158)))</f>
        <v>0</v>
      </c>
      <c r="FF159" s="158" t="str">
        <f>FE159*VLOOKUP('Données projet'!$B$16,'Paramètres'!$A$1:$I$88,3,0)*VLOOKUP('Données projet'!$B$16,'Paramètres'!$A$1:$I$88,5,0)</f>
        <v>#N/A</v>
      </c>
      <c r="FG159" s="150" t="str">
        <f t="shared" si="48"/>
        <v>#N/A</v>
      </c>
      <c r="FH159" s="161" t="str">
        <f t="shared" si="23"/>
        <v>#N/A</v>
      </c>
      <c r="FI159" s="153" t="str">
        <f t="shared" si="24"/>
        <v>#N/A</v>
      </c>
      <c r="FJ159" s="153" t="str">
        <f>AVERAGE(OFFSET($FI$3,0,0,'Données projet'!$E$16+1,1))-AVERAGE(OFFSET($H$3,0,0,'Données projet'!$E$16+1,1))</f>
        <v>#N/A</v>
      </c>
      <c r="FK159" s="153" t="str">
        <f t="shared" si="49"/>
        <v>#N/A</v>
      </c>
      <c r="FL159" s="154">
        <f>IF(ISNA(VLOOKUP(A159,'Données projet'!$A$217:$I$237,3,0)),0,VLOOKUP(A159,'Données projet'!$A$217:$I$237,3,0))</f>
        <v>0</v>
      </c>
      <c r="FM159" s="154">
        <f>IF(ISNA(VLOOKUP(A159,'Données projet'!$A$217:$I$237,4,0)),0,VLOOKUP(A159,'Données projet'!$A$217:$I$237,4,0))</f>
        <v>0</v>
      </c>
      <c r="FN159" s="155">
        <f>IF(ISNA(VLOOKUP(A159,'Données projet'!$A$217:$I$237,5,0)),0%,VLOOKUP(A159,'Données projet'!$A$217:$I$237,5,0)*VLOOKUP('Données projet'!$B$16,'Paramètres'!$A$1:$I$88,7,0))</f>
        <v>0</v>
      </c>
      <c r="FO159" s="155">
        <f>IF(ISNA(VLOOKUP(A159,'Données projet'!$A$217:$I$237,6,0)),0%,VLOOKUP(A159,'Données projet'!$A$217:$I$237,6,0)*VLOOKUP('Données projet'!$B$16,'Paramètres'!$A$1:$I$88,7,0))</f>
        <v>0</v>
      </c>
      <c r="FP159" s="155">
        <f>IF(ISNA(VLOOKUP(A159,'Données projet'!$A$217:$I$237,7,0)),0%,VLOOKUP(A159,'Données projet'!$A$217:$I$237,7,0))</f>
        <v>0</v>
      </c>
      <c r="FQ159" s="162" t="str">
        <f>EXP(-LN(2)/35)*FQ158+(1-EXP(-LN(2)/35))/(LN(2)/35)*FM159*FN159*VLOOKUP('Données projet'!$B$16,'Paramètres'!$A$1:$I$88,3,0)*0.475*44/12</f>
        <v>#N/A</v>
      </c>
      <c r="FR159" s="162" t="str">
        <f>EXP(-LN(2)/25)*FR158+(1-EXP(-LN(2)/25))/(LN(2)/25)*Calculateur!FM159*Calculateur!FO159*VLOOKUP('Données projet'!$B$16,'Paramètres'!$A$1:$I$88,3,0)*0.475*44/12</f>
        <v>#N/A</v>
      </c>
      <c r="FS159" s="162" t="str">
        <f>EXP(-LN(2)/2)*FS158+(1-EXP(-LN(2)/2))/(LN(2)/2)*FM159*FP159*VLOOKUP('Données projet'!$B$16,'Paramètres'!$A$1:$I$88,3,0)*0.475*44/12</f>
        <v>#N/A</v>
      </c>
      <c r="FT159" s="163" t="str">
        <f t="shared" si="25"/>
        <v>#N/A</v>
      </c>
      <c r="FU159" s="159">
        <f>('Scénario référence'!$F$8+'Scénario référence'!$F$9+'Scénario référence'!$B$17+'Scénario référence'!$B$9+'Scénario référence'!$B$10)*70+IF((45+25*(1-EXP(-0.0175*A159)))&lt;70,'Scénario référence'!$B$16*(45+25*(1-EXP(-0.0175*A159))),70*'Scénario référence'!$B$16)+IF((32+38*(1-EXP(-0.0175*A159)))&lt;70,'Scénario référence'!$B$18*(32+38*(1-EXP(-0.0175*A159))),70*'Scénario référence'!$B$18)</f>
        <v>70</v>
      </c>
      <c r="FV159" s="151">
        <f>IF(A159&gt;30,10,('Scénario référence'!$B$16+'Scénario référence'!$B$17+'Scénario référence'!$B$18+'Scénario référence'!$B$9+'Scénario référence'!$B$10)*A159*10/30+('Scénario référence'!$F$8+'Scénario référence'!$F$9)*10)</f>
        <v>10</v>
      </c>
      <c r="FW159" s="151" t="str">
        <f>VLOOKUP(A159,'Données projet'!$A$243:$I$263,2,0)</f>
        <v>#N/A</v>
      </c>
      <c r="FX159" s="151" t="str">
        <f>VLOOKUP(A159,'Données projet'!$A$243:$I$263,9,0)</f>
        <v>#N/A</v>
      </c>
      <c r="FY159" s="151" t="str">
        <f t="array" ref="FY159">INDEX(FX:FX,MIN(IF(ISNUMBER(FX159:FX355),ROW(FX159:FX355),"")))</f>
        <v/>
      </c>
      <c r="FZ159" s="151">
        <f>IF('Données projet'!$A$244&gt;35,FZ158+FY159-GH158,IF(A159&lt;'Données projet'!$A$244,$FW$205^A159,IF(A159='Données projet'!$A$244,'Données projet'!$B$244,FZ158+FY159-GH158)))</f>
        <v>0</v>
      </c>
      <c r="GA159" s="158" t="str">
        <f>FZ159*VLOOKUP('Données projet'!$B$17,'Paramètres'!$A$1:$I$88,3,0)*VLOOKUP('Données projet'!$B$17,'Paramètres'!$A$1:$I$88,5,0)</f>
        <v>#N/A</v>
      </c>
      <c r="GB159" s="150" t="str">
        <f t="shared" si="50"/>
        <v>#N/A</v>
      </c>
      <c r="GC159" s="161" t="str">
        <f t="shared" si="26"/>
        <v>#N/A</v>
      </c>
      <c r="GD159" s="153" t="str">
        <f t="shared" si="27"/>
        <v>#N/A</v>
      </c>
      <c r="GE159" s="153" t="str">
        <f>AVERAGE(OFFSET($GD$3,0,0,'Données projet'!$E$17+1,1))-AVERAGE(OFFSET($H$3,0,0,'Données projet'!$E$17+1,1))</f>
        <v>#N/A</v>
      </c>
      <c r="GF159" s="153" t="str">
        <f t="shared" si="51"/>
        <v>#N/A</v>
      </c>
      <c r="GG159" s="154">
        <f>IF(ISNA(VLOOKUP(A159,'Données projet'!$A$243:$I$263,3,0)),0,VLOOKUP(A159,'Données projet'!$A$243:$I$263,3,0))</f>
        <v>0</v>
      </c>
      <c r="GH159" s="154">
        <f>IF(ISNA(VLOOKUP(A159,'Données projet'!$A$243:$I$263,4,0)),0,VLOOKUP(A159,'Données projet'!$A$243:$I$263,4,0))</f>
        <v>0</v>
      </c>
      <c r="GI159" s="155">
        <f>IF(ISNA(VLOOKUP(A159,'Données projet'!$A$243:$I$263,5,0)),0%,VLOOKUP(A159,'Données projet'!$A$243:$I$263,5,0)*VLOOKUP('Données projet'!$B$17,'Paramètres'!$A$1:$I$88,7,0))</f>
        <v>0</v>
      </c>
      <c r="GJ159" s="155">
        <f>IF(ISNA(VLOOKUP(A159,'Données projet'!$A$243:$I$263,6,0)),0%,VLOOKUP(A159,'Données projet'!$A$243:$I$263,6,0)*VLOOKUP('Données projet'!$B$17,'Paramètres'!$A$1:$I$88,7,0))</f>
        <v>0</v>
      </c>
      <c r="GK159" s="155">
        <f>IF(ISNA(VLOOKUP(A159,'Données projet'!$A$243:$I$263,7,0)),0%,VLOOKUP(A159,'Données projet'!$A$243:$I$263,7,0))</f>
        <v>0</v>
      </c>
      <c r="GL159" s="162" t="str">
        <f>EXP(-LN(2)/35)*GL158+(1-EXP(-LN(2)/35))/(LN(2)/35)*GH159*GI159*VLOOKUP('Données projet'!$B$17,'Paramètres'!$A$1:$I$88,3,0)*0.475*44/12</f>
        <v>#N/A</v>
      </c>
      <c r="GM159" s="162" t="str">
        <f>EXP(-LN(2)/25)*GM158+(1-EXP(-LN(2)/25))/(LN(2)/25)*Calculateur!GH159*Calculateur!GJ159*VLOOKUP('Données projet'!$B$17,'Paramètres'!$A$1:$I$88,3,0)*0.475*44/12</f>
        <v>#N/A</v>
      </c>
      <c r="GN159" s="162" t="str">
        <f>EXP(-LN(2)/2)*GN158+(1-EXP(-LN(2)/2))/(LN(2)/2)*GH159*GK159*VLOOKUP('Données projet'!$B$17,'Paramètres'!$A$1:$I$88,3,0)*0.475*44/12</f>
        <v>#N/A</v>
      </c>
      <c r="GO159" s="162" t="str">
        <f t="shared" si="28"/>
        <v>#N/A</v>
      </c>
      <c r="GP159" s="159">
        <f>('Scénario référence'!$F$8+'Scénario référence'!$F$9+'Scénario référence'!$B$17+'Scénario référence'!$B$9+'Scénario référence'!$B$10)*70+IF((45+25*(1-EXP(-0.0175*A159)))&lt;70,'Scénario référence'!$B$16*(45+25*(1-EXP(-0.0175*A159))),70*'Scénario référence'!$B$16)+IF((32+38*(1-EXP(-0.0175*A159)))&lt;70,'Scénario référence'!$B$18*(32+38*(1-EXP(-0.0175*A159))),70*'Scénario référence'!$B$18)</f>
        <v>70</v>
      </c>
      <c r="GQ159" s="151">
        <f>IF(A159&gt;30,10,('Scénario référence'!$B$16+'Scénario référence'!$B$17+'Scénario référence'!$B$18+'Scénario référence'!$B$9+'Scénario référence'!$B$10)*A159*10/30+('Scénario référence'!$F$8+'Scénario référence'!$F$9)*10)</f>
        <v>10</v>
      </c>
      <c r="GR159" s="151" t="str">
        <f>VLOOKUP(A159,'Données projet'!$A$269:$I$289,2,0)</f>
        <v>#N/A</v>
      </c>
      <c r="GS159" s="151" t="str">
        <f>VLOOKUP(A159,'Données projet'!$A$269:$I$289,9,0)</f>
        <v>#N/A</v>
      </c>
      <c r="GT159" s="151" t="str">
        <f t="array" ref="GT159">INDEX(GS:GS,MIN(IF(ISNUMBER(GS159:GS355),ROW(GS159:GS355),"")))</f>
        <v/>
      </c>
      <c r="GU159" s="151">
        <f>IF('Données projet'!$A$270&gt;35,GU158+GT159-HC158,IF(A159&lt;'Données projet'!$A$270,$GR$205^A159,IF(A159='Données projet'!$A$270,'Données projet'!$B$270,GU158+GT159-HC158)))</f>
        <v>0</v>
      </c>
      <c r="GV159" s="158" t="str">
        <f>GU159*VLOOKUP('Données projet'!$B$18,'Paramètres'!$A$1:$I$88,3,0)*VLOOKUP('Données projet'!$B$18,'Paramètres'!$A$1:$I$88,5,0)</f>
        <v>#N/A</v>
      </c>
      <c r="GW159" s="150" t="str">
        <f t="shared" si="52"/>
        <v>#N/A</v>
      </c>
      <c r="GX159" s="161" t="str">
        <f t="shared" si="29"/>
        <v>#N/A</v>
      </c>
      <c r="GY159" s="153" t="str">
        <f t="shared" si="30"/>
        <v>#N/A</v>
      </c>
      <c r="GZ159" s="153" t="str">
        <f>AVERAGE(OFFSET($GY$3,0,0,'Données projet'!$E$18+1,1))-AVERAGE(OFFSET($H$3,0,0,'Données projet'!$E$18+1,1))</f>
        <v>#N/A</v>
      </c>
      <c r="HA159" s="153" t="str">
        <f t="shared" si="53"/>
        <v>#N/A</v>
      </c>
      <c r="HB159" s="154">
        <f>IF(ISNA(VLOOKUP(A159,'Données projet'!$A$269:$I$289,3,0)),0,VLOOKUP(A159,'Données projet'!$A$269:$I$289,3,0))</f>
        <v>0</v>
      </c>
      <c r="HC159" s="154">
        <f>IF(ISNA(VLOOKUP(A159,'Données projet'!$A$269:$I$289,4,0)),0,VLOOKUP(A159,'Données projet'!$A$269:$I$289,4,0))</f>
        <v>0</v>
      </c>
      <c r="HD159" s="155">
        <f>IF(ISNA(VLOOKUP(A159,'Données projet'!$A$269:$I$289,5,0)),0%,VLOOKUP(A159,'Données projet'!$A$269:$I$289,5,0)*VLOOKUP('Données projet'!$B$18,'Paramètres'!$A$1:$I$88,7,0))</f>
        <v>0</v>
      </c>
      <c r="HE159" s="155">
        <f>IF(ISNA(VLOOKUP(A159,'Données projet'!$A$269:$I$289,6,0)),0%,VLOOKUP(A159,'Données projet'!$A$269:$I$289,6,0)*VLOOKUP('Données projet'!$B$18,'Paramètres'!$A$1:$I$88,7,0))</f>
        <v>0</v>
      </c>
      <c r="HF159" s="155">
        <f>IF(ISNA(VLOOKUP(A159,'Données projet'!$A$269:$I$289,7,0)),0%,VLOOKUP(A159,'Données projet'!$A$269:$I$289,7,0))</f>
        <v>0</v>
      </c>
      <c r="HG159" s="162" t="str">
        <f>EXP(-LN(2)/35)*HG158+(1-EXP(-LN(2)/35))/(LN(2)/35)*HC159*HD159*VLOOKUP('Données projet'!$B$18,'Paramètres'!$A$1:$I$88,3,0)*0.475*44/12</f>
        <v>#N/A</v>
      </c>
      <c r="HH159" s="162" t="str">
        <f>EXP(-LN(2)/25)*HH158+(1-EXP(-LN(2)/25))/(LN(2)/25)*Calculateur!HC159*Calculateur!HE159*VLOOKUP('Données projet'!$B$18,'Paramètres'!$A$1:$I$88,3,0)*0.475*44/12</f>
        <v>#N/A</v>
      </c>
      <c r="HI159" s="162" t="str">
        <f>EXP(-LN(2)/2)*HI158+(1-EXP(-LN(2)/2))/(LN(2)/2)*HC159*HF159*VLOOKUP('Données projet'!$B$18,'Paramètres'!$A$1:$I$88,3,0)*0.475*44/12</f>
        <v>#N/A</v>
      </c>
      <c r="HJ159" s="163" t="str">
        <f t="shared" si="31"/>
        <v>#N/A</v>
      </c>
    </row>
    <row r="160" ht="15.75" customHeight="1">
      <c r="A160" s="145">
        <f t="shared" si="32"/>
        <v>157</v>
      </c>
      <c r="B160" s="146">
        <f>'Scénario référence'!$B$16*5+'Scénario référence'!$B$17*0+'Scénario référence'!$B$18*5</f>
        <v>0</v>
      </c>
      <c r="C160" s="160">
        <f>Calculateur!C159+'Scénario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60" s="147">
        <f t="shared" si="33"/>
        <v>0</v>
      </c>
      <c r="E160" s="147">
        <f>'Scénario référence'!$B$16*45+('Scénario référence'!$B$17+'Scénario référence'!$F$8+'Scénario référence'!$F$9+'Scénario référence'!$B$10+'Scénario référence'!$B$9)*70+'Scénario référence'!$B$18*32</f>
        <v>70</v>
      </c>
      <c r="F160" s="147">
        <f>IF(OR('Scénario référence'!$F$8&gt;0,'Scénario référence'!$F$9&gt;0),('Scénario référence'!$F$8+'Scénario référence'!$F$9)*10,0)</f>
        <v>0</v>
      </c>
      <c r="G160" s="147">
        <f>'Scénario référence'!$B$8*B160*44/12+'Scénario référence'!$B$9*(C160+D160)/0.475*44/12+'Scénario référence'!$B$10*(C160+D160)/0.475*44/12+'Scénario référence'!$F$8*(C160+D160)/0.475*44/12+'Scénario référence'!$F$9*(C160+D160)/0.475*44/12</f>
        <v>0</v>
      </c>
      <c r="H160" s="148">
        <f t="shared" si="1"/>
        <v>256.6666667</v>
      </c>
      <c r="I160" s="149">
        <f>('Scénario référence'!$F$8+'Scénario référence'!$F$9+'Scénario référence'!$B$17+'Scénario référence'!$B$9+'Scénario référence'!$B$10)*70+IF((45+25*(1-EXP(-0.0175*A160)))&lt;70,'Scénario référence'!$B$16*(45+25*(1-EXP(-0.0175*A160))),70*'Scénario référence'!$B$16)+IF((32+38*(1-EXP(-0.0175*A160)))&lt;70,'Scénario référence'!$B$18*(32+38*(1-EXP(-0.0175*A160))),70*'Scénario référence'!$B$18)</f>
        <v>70</v>
      </c>
      <c r="J160" s="150">
        <f>IF(A160&gt;30,10,('Scénario référence'!$B$16+'Scénario référence'!$B$17+'Scénario référence'!$B$18+'Scénario référence'!$B$9+'Scénario référence'!$B$10)*A160*10/30+('Scénario référence'!$F$8+'Scénario référence'!$F$9)*10)</f>
        <v>10</v>
      </c>
      <c r="K160" s="151" t="str">
        <f>VLOOKUP(A160,'Données projet'!$A$35:$I$55,2,0)</f>
        <v>#N/A</v>
      </c>
      <c r="L160" s="151" t="str">
        <f>VLOOKUP(A160,'Données projet'!$A$35:$I$55,9,0)</f>
        <v>#N/A</v>
      </c>
      <c r="M160" s="151" t="str">
        <f t="array" ref="M160">INDEX(L:L,MIN(IF(ISNUMBER(L160:L356),ROW(L160:L356),"")))</f>
        <v/>
      </c>
      <c r="N160" s="150">
        <f>IF('Données projet'!$A$36&gt;35,N159+M160-V159,IF(A160&lt;'Données projet'!$A$36,$K$205^A160,IF(A160='Données projet'!$A$36,'Données projet'!$B$36,N159+M160-V159)))</f>
        <v>307</v>
      </c>
      <c r="O160" s="150">
        <f>N160*VLOOKUP('Données projet'!$B$9,'Paramètres'!$A$1:$I$88,3,0)*VLOOKUP('Données projet'!$B$9,'Paramètres'!$A$1:$I$88,5,0)</f>
        <v>277.7736</v>
      </c>
      <c r="P160" s="150">
        <f t="shared" si="34"/>
        <v>66.49628818</v>
      </c>
      <c r="Q160" s="161">
        <f t="shared" si="2"/>
        <v>599.6033886</v>
      </c>
      <c r="R160" s="153">
        <f t="shared" si="3"/>
        <v>892.9367219</v>
      </c>
      <c r="S160" s="153">
        <f>AVERAGE(OFFSET($R$3,0,0,'Données projet'!$E$9+1,1))-AVERAGE(OFFSET($H$3,0,0,'Données projet'!$E$9+1,1))</f>
        <v>439.1985427</v>
      </c>
      <c r="T160" s="153">
        <f t="shared" si="35"/>
        <v>278.2174123</v>
      </c>
      <c r="U160" s="154">
        <f>IF(ISNA(VLOOKUP(A160,'Données projet'!$A$35:$I$55,3,0)),0,VLOOKUP(A160,'Données projet'!$A$35:$I$55,3,0))</f>
        <v>0</v>
      </c>
      <c r="V160" s="154">
        <f>IF(ISNA(VLOOKUP(A160,'Données projet'!$A$35:$I$55,4,0)),0,VLOOKUP(A160,'Données projet'!$A$35:$I$55,4,0))</f>
        <v>0</v>
      </c>
      <c r="W160" s="155">
        <f>IF(ISNA(VLOOKUP(A160,'Données projet'!$A$35:$I$55,5,0)),0%,VLOOKUP(A160,'Données projet'!$A$35:$I$55,5,0)*VLOOKUP('Données projet'!$B$9,'Paramètres'!$A$1:$I$88,7,0))</f>
        <v>0</v>
      </c>
      <c r="X160" s="155">
        <f>IF(ISNA(VLOOKUP(A160,'Données projet'!$A$35:$I$55,6,0)),0%,VLOOKUP(A160,'Données projet'!$A$35:$I$55,6,0)*VLOOKUP('Données projet'!$B$9,'Paramètres'!$A$1:$I$88,7,0))</f>
        <v>0</v>
      </c>
      <c r="Y160" s="155">
        <f>IF(ISNA(VLOOKUP(A160,'Données projet'!$A$35:$I$55,7,0)),0%,VLOOKUP(A160,'Données projet'!$A$35:$I$55,7,0))</f>
        <v>0</v>
      </c>
      <c r="Z160" s="162">
        <f>EXP(-LN(2)/35)*Z159+(1-EXP(-LN(2)/35))/(LN(2)/35)*V160*W160*VLOOKUP('Données projet'!$B$9,'Paramètres'!$A$1:$I$88,3,0)*0.475*44/12</f>
        <v>0</v>
      </c>
      <c r="AA160" s="162">
        <f>EXP(-LN(2)/25)*AA159+(1-EXP(-LN(2)/25))/(LN(2)/25)*Calculateur!V160*Calculateur!X160*VLOOKUP('Données projet'!$B$9,'Paramètres'!$A$1:$I$88,3,0)*0.475*44/12</f>
        <v>0.1326721909</v>
      </c>
      <c r="AB160" s="162">
        <f>EXP(-LN(2)/2)*AB159+(1-EXP(-LN(2)/2))/(LN(2)/2)*V160*Y160*VLOOKUP('Données projet'!$B$9,'Paramètres'!$A$1:$I$88,3,0)*0.475*44/12</f>
        <v>0</v>
      </c>
      <c r="AC160" s="163">
        <f t="shared" si="4"/>
        <v>0.1326721909</v>
      </c>
      <c r="AD160" s="150">
        <f>('Scénario référence'!$F$8+'Scénario référence'!$F$9+'Scénario référence'!$B$17+'Scénario référence'!$B$9+'Scénario référence'!$B$10)*70+IF((45+25*(1-EXP(-0.0175*A160)))&lt;70,'Scénario référence'!$B$16*(45+25*(1-EXP(-0.0175*A160))),70*'Scénario référence'!$B$16)+IF((32+38*(1-EXP(-0.0175*A160)))&lt;70,'Scénario référence'!$B$18*(32+38*(1-EXP(-0.0175*A160))),70*'Scénario référence'!$B$18)</f>
        <v>70</v>
      </c>
      <c r="AE160" s="150">
        <f>IF(A160&gt;30,10,('Scénario référence'!$B$16+'Scénario référence'!$B$17+'Scénario référence'!$B$18+'Scénario référence'!$B$9+'Scénario référence'!$B$10)*A160*10/30+('Scénario référence'!$F$8+'Scénario référence'!$F$9)*10)</f>
        <v>10</v>
      </c>
      <c r="AF160" s="151" t="str">
        <f>VLOOKUP(A160,'Données projet'!$A$61:$I$81,2,0)</f>
        <v>#N/A</v>
      </c>
      <c r="AG160" s="151" t="str">
        <f>VLOOKUP(A160,'Données projet'!$A$61:$I$81,9,0)</f>
        <v>#N/A</v>
      </c>
      <c r="AH160" s="151" t="str">
        <f t="array" ref="AH160">INDEX(AG:AG,MIN(IF(ISNUMBER(AG160:AG356),ROW(AG160:AG356),"")))</f>
        <v/>
      </c>
      <c r="AI160" s="150">
        <f>IF('Données projet'!$A$62&gt;35,AI159+AH160-AQ159,IF(A160&lt;'Données projet'!$A$62,$AF$205^A160,IF(A160='Données projet'!$A$62,'Données projet'!$B$62,AI159+AH160-AQ159)))</f>
        <v>369</v>
      </c>
      <c r="AJ160" s="150">
        <f>AI160*VLOOKUP('Données projet'!$B$10,'Paramètres'!$A$1:$I$88,3,0)*VLOOKUP('Données projet'!$B$10,'Paramètres'!$A$1:$I$88,5,0)</f>
        <v>293.5764</v>
      </c>
      <c r="AK160" s="150">
        <f t="shared" si="36"/>
        <v>69.82813851</v>
      </c>
      <c r="AL160" s="161">
        <f t="shared" si="5"/>
        <v>632.9295712</v>
      </c>
      <c r="AM160" s="153">
        <f t="shared" si="6"/>
        <v>926.2629046</v>
      </c>
      <c r="AN160" s="153">
        <f>AVERAGE(OFFSET($AM$3,0,0,'Données projet'!$E$10+1,1))-AVERAGE(OFFSET($H$3,0,0,'Données projet'!$E$10+1,1))</f>
        <v>405.6113614</v>
      </c>
      <c r="AO160" s="153">
        <f t="shared" si="37"/>
        <v>393.0787141</v>
      </c>
      <c r="AP160" s="154">
        <f>IF(ISNA(VLOOKUP(A160,'Données projet'!$A$61:$I$81,3,0)),0,VLOOKUP(A160,'Données projet'!$A$61:$I$81,3,0))</f>
        <v>0</v>
      </c>
      <c r="AQ160" s="154">
        <f>IF(ISNA(VLOOKUP(A160,'Données projet'!$A$61:$I$81,4,0)),0,VLOOKUP(A160,'Données projet'!$A$61:$I$81,4,0))</f>
        <v>0</v>
      </c>
      <c r="AR160" s="155">
        <f>IF(ISNA(VLOOKUP(A160,'Données projet'!$A$61:$I$81,5,0)),0%,VLOOKUP(A160,'Données projet'!$A$61:$I$81,5,0)*VLOOKUP('Données projet'!$B$10,'Paramètres'!$A$1:$I$88,7,0))</f>
        <v>0</v>
      </c>
      <c r="AS160" s="155">
        <f>IF(ISNA(VLOOKUP(A160,'Données projet'!$A$61:$I$81,6,0)),0%,VLOOKUP(A160,'Données projet'!$A$61:$I$81,6,0)*VLOOKUP('Données projet'!$B$10,'Paramètres'!$A$1:$I$88,7,0))</f>
        <v>0</v>
      </c>
      <c r="AT160" s="155">
        <f>IF(ISNA(VLOOKUP(A160,'Données projet'!$A$61:$I$81,7,0)),0%,VLOOKUP(A160,'Données projet'!$A$61:$I$81,7,0))</f>
        <v>0</v>
      </c>
      <c r="AU160" s="162">
        <f>EXP(-LN(2)/35)*AU159+(1-EXP(-LN(2)/35))/(LN(2)/35)*AQ160*AR160*VLOOKUP('Données projet'!$B$10,'Paramètres'!$A$1:$I$88,3,0)*0.475*44/12</f>
        <v>0</v>
      </c>
      <c r="AV160" s="162">
        <f>EXP(-LN(2)/25)*AV159+(1-EXP(-LN(2)/25))/(LN(2)/25)*Calculateur!AQ160*Calculateur!AS160*VLOOKUP('Données projet'!$B$10,'Paramètres'!$A$1:$I$88,3,0)*0.475*44/12</f>
        <v>0.5392135104</v>
      </c>
      <c r="AW160" s="162">
        <f>EXP(-LN(2)/2)*AW159+(1-EXP(-LN(2)/2))/(LN(2)/2)*AQ160*AT160*VLOOKUP('Données projet'!$B$10,'Paramètres'!$A$1:$I$88,3,0)*0.475*44/12</f>
        <v>0</v>
      </c>
      <c r="AX160" s="162">
        <f t="shared" si="7"/>
        <v>0.5392135104</v>
      </c>
      <c r="AY160" s="157">
        <f>('Scénario référence'!$F$8+'Scénario référence'!$F$9+'Scénario référence'!$B$17+'Scénario référence'!$B$9+'Scénario référence'!$B$10)*70+IF((45+25*(1-EXP(-0.0175*A160)))&lt;70,'Scénario référence'!$B$16*(45+25*(1-EXP(-0.0175*A160))),70*'Scénario référence'!$B$16)+IF((32+38*(1-EXP(-0.0175*A160)))&lt;70,'Scénario référence'!$B$18*(32+38*(1-EXP(-0.0175*A160))),70*'Scénario référence'!$B$18)</f>
        <v>70</v>
      </c>
      <c r="AZ160" s="151">
        <f>IF(A160&gt;30,10,('Scénario référence'!$B$16+'Scénario référence'!$B$17+'Scénario référence'!$B$18+'Scénario référence'!$B$9+'Scénario référence'!$B$10)*A160*10/30+('Scénario référence'!$F$8+'Scénario référence'!$F$9)*10)</f>
        <v>10</v>
      </c>
      <c r="BA160" s="151" t="str">
        <f>VLOOKUP(A160,'Données projet'!$A$87:$I$107,2,0)</f>
        <v>#N/A</v>
      </c>
      <c r="BB160" s="151" t="str">
        <f>VLOOKUP(A160,'Données projet'!$A$87:$I$107,9,0)</f>
        <v>#N/A</v>
      </c>
      <c r="BC160" s="151" t="str">
        <f t="array" ref="BC160">INDEX(BB:BB,MIN(IF(ISNUMBER(BB160:BB356),ROW(BB160:BB356),"")))</f>
        <v/>
      </c>
      <c r="BD160" s="150">
        <f>IF('Données projet'!$A$88&gt;35,BD159+BC160-BL159,IF(A160&lt;'Données projet'!$A$88,$BA$205^A160,IF(A160='Données projet'!$A$88,'Données projet'!$B$88,BD159+BC160-BL159)))</f>
        <v>0</v>
      </c>
      <c r="BE160" s="150">
        <f>BD160*VLOOKUP('Données projet'!$B$11,'Paramètres'!$A$1:$I$88,3,0)*VLOOKUP('Données projet'!$B$11,'Paramètres'!$A$1:$I$88,5,0)</f>
        <v>0</v>
      </c>
      <c r="BF160" s="150" t="str">
        <f t="shared" si="38"/>
        <v>#NUM!</v>
      </c>
      <c r="BG160" s="161" t="str">
        <f t="shared" si="8"/>
        <v>#NUM!</v>
      </c>
      <c r="BH160" s="153" t="str">
        <f t="shared" si="9"/>
        <v>#NUM!</v>
      </c>
      <c r="BI160" s="153">
        <f>AVERAGE(OFFSET($BH$3,0,0,'Données projet'!$E$11+1,1))-AVERAGE(OFFSET($H$3,0,0,'Données projet'!$E$11+1,1))</f>
        <v>0</v>
      </c>
      <c r="BJ160" s="153">
        <f t="shared" si="39"/>
        <v>0</v>
      </c>
      <c r="BK160" s="154">
        <f>IF(ISNA(VLOOKUP(A160,'Données projet'!$A$87:$I$107,3,0)),0,VLOOKUP(A160,'Données projet'!$A$87:$I$107,3,0))</f>
        <v>0</v>
      </c>
      <c r="BL160" s="154">
        <f>IF(ISNA(VLOOKUP(A160,'Données projet'!$A$87:$I$107,4,0)),0,VLOOKUP(A160,'Données projet'!$A$87:$I$107,4,0))</f>
        <v>0</v>
      </c>
      <c r="BM160" s="155">
        <f>IF(ISNA(VLOOKUP(A160,'Données projet'!$A$87:$I$107,5,0)),0%,VLOOKUP(A160,'Données projet'!$A$87:$I$107,5,0)*VLOOKUP('Données projet'!$B$11,'Paramètres'!$A$1:$I$88,7,0))</f>
        <v>0</v>
      </c>
      <c r="BN160" s="155">
        <f>IF(ISNA(VLOOKUP(A160,'Données projet'!$A$87:$I$107,6,0)),0%,VLOOKUP(A160,'Données projet'!$A$87:$I$107,6,0)*VLOOKUP('Données projet'!$B$11,'Paramètres'!$A$1:$I$88,7,0))</f>
        <v>0</v>
      </c>
      <c r="BO160" s="155">
        <f>IF(ISNA(VLOOKUP(A160,'Données projet'!$A$87:$I$107,7,0)),0%,VLOOKUP(A160,'Données projet'!$A$87:$I$107,7,0))</f>
        <v>0</v>
      </c>
      <c r="BP160" s="162">
        <f>EXP(-LN(2)/35)*BP159+(1-EXP(-LN(2)/35))/(LN(2)/35)*BL160*BM160*VLOOKUP('Données projet'!$B$11,'Paramètres'!$A$1:$I$88,3,0)*0.475*44/12</f>
        <v>0</v>
      </c>
      <c r="BQ160" s="162">
        <f>EXP(-LN(2)/25)*BQ159+(1-EXP(-LN(2)/25))/(LN(2)/25)*Calculateur!BL160*Calculateur!BN160*VLOOKUP('Données projet'!$B$11,'Paramètres'!$A$1:$I$88,3,0)*0.475*44/12</f>
        <v>0</v>
      </c>
      <c r="BR160" s="162">
        <f>EXP(-LN(2)/2)*BR159+(1-EXP(-LN(2)/2))/(LN(2)/2)*BL160*BO160*VLOOKUP('Données projet'!$B$11,'Paramètres'!$A$1:$I$88,3,0)*0.475*44/12</f>
        <v>0</v>
      </c>
      <c r="BS160" s="163">
        <f t="shared" si="10"/>
        <v>0</v>
      </c>
      <c r="BT160" s="159">
        <f>('Scénario référence'!$F$8+'Scénario référence'!$F$9+'Scénario référence'!$B$17+'Scénario référence'!$B$9+'Scénario référence'!$B$10)*70+IF((45+25*(1-EXP(-0.0175*A160)))&lt;70,'Scénario référence'!$B$16*(45+25*(1-EXP(-0.0175*A160))),70*'Scénario référence'!$B$16)+IF((32+38*(1-EXP(-0.0175*A160)))&lt;70,'Scénario référence'!$B$18*(32+38*(1-EXP(-0.0175*A160))),70*'Scénario référence'!$B$18)</f>
        <v>70</v>
      </c>
      <c r="BU160" s="151">
        <f>IF(A160&gt;30,10,('Scénario référence'!$B$16+'Scénario référence'!$B$17+'Scénario référence'!$B$18+'Scénario référence'!$B$9+'Scénario référence'!$B$10)*A160*10/30+('Scénario référence'!$F$8+'Scénario référence'!$F$9)*10)</f>
        <v>10</v>
      </c>
      <c r="BV160" s="151" t="str">
        <f>VLOOKUP(A160,'Données projet'!$A$113:$I$133,2,0)</f>
        <v>#N/A</v>
      </c>
      <c r="BW160" s="151" t="str">
        <f>VLOOKUP(A160,'Données projet'!$A$113:$I$133,9,0)</f>
        <v>#N/A</v>
      </c>
      <c r="BX160" s="151" t="str">
        <f t="array" ref="BX160">INDEX(BW:BW,MIN(IF(ISNUMBER(BW160:BW356),ROW(BW160:BW356),"")))</f>
        <v/>
      </c>
      <c r="BY160" s="150">
        <f>IF('Données projet'!$A$114&gt;35,BY159+BX160-CG159,IF(A160&lt;'Données projet'!$A$114,$BV$205^A160,IF(A160='Données projet'!$A$114,'Données projet'!$B$114,BY159+BX160-CG159)))</f>
        <v>0</v>
      </c>
      <c r="BZ160" s="150" t="str">
        <f>BY160*VLOOKUP('Données projet'!$B$12,'Paramètres'!$A$1:$I$88,3,0)*VLOOKUP('Données projet'!$B$12,'Paramètres'!$A$1:$I$88,5,0)</f>
        <v>#N/A</v>
      </c>
      <c r="CA160" s="150" t="str">
        <f t="shared" si="40"/>
        <v>#N/A</v>
      </c>
      <c r="CB160" s="161" t="str">
        <f t="shared" si="11"/>
        <v>#N/A</v>
      </c>
      <c r="CC160" s="153" t="str">
        <f t="shared" si="12"/>
        <v>#N/A</v>
      </c>
      <c r="CD160" s="153" t="str">
        <f>AVERAGE(OFFSET($CC$3,0,0,'Données projet'!$E$12+1,1))-AVERAGE(OFFSET($H$3,0,0,'Données projet'!$E$12+1,1))</f>
        <v>#N/A</v>
      </c>
      <c r="CE160" s="153" t="str">
        <f t="shared" si="41"/>
        <v>#N/A</v>
      </c>
      <c r="CF160" s="154">
        <f>IF(ISNA(VLOOKUP(A160,'Données projet'!$A$113:$I$133,3,0)),0,VLOOKUP(A160,'Données projet'!$A$113:$I$133,3,0))</f>
        <v>0</v>
      </c>
      <c r="CG160" s="154">
        <f>IF(ISNA(VLOOKUP(A160,'Données projet'!$A$113:$I$133,4,0)),0,VLOOKUP(A160,'Données projet'!$A$113:$I$133,4,0))</f>
        <v>0</v>
      </c>
      <c r="CH160" s="155">
        <f>IF(ISNA(VLOOKUP(A160,'Données projet'!$A$113:$I$133,5,0)),0%,VLOOKUP(A160,'Données projet'!$A$113:$I$133,5,0)*VLOOKUP('Données projet'!$B$12,'Paramètres'!$A$1:$I$88,7,0))</f>
        <v>0</v>
      </c>
      <c r="CI160" s="155">
        <f>IF(ISNA(VLOOKUP(A160,'Données projet'!$A$113:$I$133,6,0)),0%,VLOOKUP(A160,'Données projet'!$A$113:$I$133,6,0)*VLOOKUP('Données projet'!$B$12,'Paramètres'!$A$1:$I$88,7,0))</f>
        <v>0</v>
      </c>
      <c r="CJ160" s="155">
        <f>IF(ISNA(VLOOKUP(A160,'Données projet'!$A$113:$I$133,7,0)),0%,VLOOKUP(A160,'Données projet'!$A$113:$I$133,7,0))</f>
        <v>0</v>
      </c>
      <c r="CK160" s="162" t="str">
        <f>EXP(-LN(2)/35)*CK159+(1-EXP(-LN(2)/35))/(LN(2)/35)*CG160*CH160*VLOOKUP('Données projet'!$B$12,'Paramètres'!$A$1:$I$88,3,0)*0.475*44/12</f>
        <v>#N/A</v>
      </c>
      <c r="CL160" s="162" t="str">
        <f>EXP(-LN(2)/25)*CL159+(1-EXP(-LN(2)/25))/(LN(2)/25)*Calculateur!CG160*Calculateur!CI160*VLOOKUP('Données projet'!$B$12,'Paramètres'!$A$1:$I$88,3,0)*0.475*44/12</f>
        <v>#N/A</v>
      </c>
      <c r="CM160" s="162" t="str">
        <f>EXP(-LN(2)/2)*CM159+(1-EXP(-LN(2)/2))/(LN(2)/2)*CG160*CJ160*VLOOKUP('Données projet'!$B$12,'Paramètres'!$A$1:$I$88,3,0)*0.475*44/12</f>
        <v>#N/A</v>
      </c>
      <c r="CN160" s="163" t="str">
        <f t="shared" si="13"/>
        <v>#N/A</v>
      </c>
      <c r="CO160" s="159">
        <f>('Scénario référence'!$F$8+'Scénario référence'!$F$9+'Scénario référence'!$B$17+'Scénario référence'!$B$9+'Scénario référence'!$B$10)*70+IF((45+25*(1-EXP(-0.0175*A160)))&lt;70,'Scénario référence'!$B$16*(45+25*(1-EXP(-0.0175*A160))),70*'Scénario référence'!$B$16)+IF((32+38*(1-EXP(-0.0175*A160)))&lt;70,'Scénario référence'!$B$18*(32+38*(1-EXP(-0.0175*A160))),70*'Scénario référence'!$B$18)</f>
        <v>70</v>
      </c>
      <c r="CP160" s="151">
        <f>IF(A160&gt;30,10,('Scénario référence'!$B$16+'Scénario référence'!$B$17+'Scénario référence'!$B$18+'Scénario référence'!$B$9+'Scénario référence'!$B$10)*A160*10/30+('Scénario référence'!$F$8+'Scénario référence'!$F$9)*10)</f>
        <v>10</v>
      </c>
      <c r="CQ160" s="151" t="str">
        <f>VLOOKUP(A160,'Données projet'!$A$139:$I$159,2,0)</f>
        <v>#N/A</v>
      </c>
      <c r="CR160" s="151" t="str">
        <f>VLOOKUP(A160,'Données projet'!$A$139:$I$159,9,0)</f>
        <v>#N/A</v>
      </c>
      <c r="CS160" s="151" t="str">
        <f t="array" ref="CS160">INDEX(CR:CR,MIN(IF(ISNUMBER(CR160:CR356),ROW(CR160:CR356),"")))</f>
        <v/>
      </c>
      <c r="CT160" s="151">
        <f>IF('Données projet'!$A$140&gt;35,CT159+CS160-DB159,IF(A160&lt;'Données projet'!$A$140,$CQ$205^A160,IF(A160='Données projet'!$A$140,'Données projet'!$B$140,CT159+CS160-DB159)))</f>
        <v>0</v>
      </c>
      <c r="CU160" s="158" t="str">
        <f>CT160*VLOOKUP('Données projet'!$B$13,'Paramètres'!$A$1:$I$88,3,0)*VLOOKUP('Données projet'!$B$13,'Paramètres'!$A$1:$I$88,5,0)</f>
        <v>#N/A</v>
      </c>
      <c r="CV160" s="150" t="str">
        <f t="shared" si="42"/>
        <v>#N/A</v>
      </c>
      <c r="CW160" s="161" t="str">
        <f t="shared" si="14"/>
        <v>#N/A</v>
      </c>
      <c r="CX160" s="153" t="str">
        <f t="shared" si="15"/>
        <v>#N/A</v>
      </c>
      <c r="CY160" s="153" t="str">
        <f>AVERAGE(OFFSET($CX$3,0,0,'Données projet'!$E$13+1,1))-AVERAGE(OFFSET($H$3,0,0,'Données projet'!$E$13+1,1))</f>
        <v>#N/A</v>
      </c>
      <c r="CZ160" s="153" t="str">
        <f t="shared" si="43"/>
        <v>#N/A</v>
      </c>
      <c r="DA160" s="154">
        <f>IF(ISNA(VLOOKUP(A160,'Données projet'!$A$139:$I$159,3,0)),0,VLOOKUP(A160,'Données projet'!$A$139:$I$159,3,0))</f>
        <v>0</v>
      </c>
      <c r="DB160" s="154">
        <f>IF(ISNA(VLOOKUP(A160,'Données projet'!$A$139:$I$159,4,0)),0,VLOOKUP(A160,'Données projet'!$A$139:$I$159,4,0))</f>
        <v>0</v>
      </c>
      <c r="DC160" s="155">
        <f>IF(ISNA(VLOOKUP(A160,'Données projet'!$A$139:$I$159,5,0)),0%,VLOOKUP(A160,'Données projet'!$A$139:$I$159,5,0)*VLOOKUP('Données projet'!$B$13,'Paramètres'!$A$1:$I$88,7,0))</f>
        <v>0</v>
      </c>
      <c r="DD160" s="155">
        <f>IF(ISNA(VLOOKUP(A160,'Données projet'!$A$139:$I$159,6,0)),0%,VLOOKUP(A160,'Données projet'!$A$139:$I$159,6,0)*VLOOKUP('Données projet'!$B$13,'Paramètres'!$A$1:$I$88,7,0))</f>
        <v>0</v>
      </c>
      <c r="DE160" s="155">
        <f>IF(ISNA(VLOOKUP(A160,'Données projet'!$A$139:$I$159,7,0)),0%,VLOOKUP(A160,'Données projet'!$A$139:$I$159,7,0))</f>
        <v>0</v>
      </c>
      <c r="DF160" s="162" t="str">
        <f>EXP(-LN(2)/35)*DF159+(1-EXP(-LN(2)/35))/(LN(2)/35)*DB160*DC160*VLOOKUP('Données projet'!$B$13,'Paramètres'!$A$1:$I$88,3,0)*0.475*44/12</f>
        <v>#N/A</v>
      </c>
      <c r="DG160" s="162" t="str">
        <f>EXP(-LN(2)/25)*DG159+(1-EXP(-LN(2)/25))/(LN(2)/25)*Calculateur!DB160*Calculateur!DD160*VLOOKUP('Données projet'!$B$13,'Paramètres'!$A$1:$I$88,3,0)*0.475*44/12</f>
        <v>#N/A</v>
      </c>
      <c r="DH160" s="162" t="str">
        <f>EXP(-LN(2)/2)*DH159+(1-EXP(-LN(2)/2))/(LN(2)/2)*DB160*DE160*VLOOKUP('Données projet'!$B$13,'Paramètres'!$A$1:$I$88,3,0)*0.475*44/12</f>
        <v>#N/A</v>
      </c>
      <c r="DI160" s="163" t="str">
        <f t="shared" si="16"/>
        <v>#N/A</v>
      </c>
      <c r="DJ160" s="159">
        <f>('Scénario référence'!$F$8+'Scénario référence'!$F$9+'Scénario référence'!$B$17+'Scénario référence'!$B$9+'Scénario référence'!$B$10)*70+IF((45+25*(1-EXP(-0.0175*A160)))&lt;70,'Scénario référence'!$B$16*(45+25*(1-EXP(-0.0175*A160))),70*'Scénario référence'!$B$16)+IF((32+38*(1-EXP(-0.0175*A160)))&lt;70,'Scénario référence'!$B$18*(32+38*(1-EXP(-0.0175*A160))),70*'Scénario référence'!$B$18)</f>
        <v>70</v>
      </c>
      <c r="DK160" s="151">
        <f>IF(A160&gt;30,10,('Scénario référence'!$B$16+'Scénario référence'!$B$17+'Scénario référence'!$B$18+'Scénario référence'!$B$9+'Scénario référence'!$B$10)*A160*10/30+('Scénario référence'!$F$8+'Scénario référence'!$F$9)*10)</f>
        <v>10</v>
      </c>
      <c r="DL160" s="151" t="str">
        <f>VLOOKUP(A160,'Données projet'!$A$165:$I$185,2,0)</f>
        <v>#N/A</v>
      </c>
      <c r="DM160" s="151" t="str">
        <f>VLOOKUP(A160,'Données projet'!$A$165:$I$185,9,0)</f>
        <v>#N/A</v>
      </c>
      <c r="DN160" s="151" t="str">
        <f t="array" ref="DN160">INDEX(DM:DM,MIN(IF(ISNUMBER(DM160:DM356),ROW(DM160:DM356),"")))</f>
        <v/>
      </c>
      <c r="DO160" s="151">
        <f>IF('Données projet'!$A$166&gt;35,DO159+DN160-DW159,IF(A160&lt;'Données projet'!$A$166,$DL$205^A160,IF(A160='Données projet'!$A$166,'Données projet'!$B$166,DO159+DN160-DW159)))</f>
        <v>0</v>
      </c>
      <c r="DP160" s="158" t="str">
        <f>DO160*VLOOKUP('Données projet'!$B$14,'Paramètres'!$A$1:$I$88,3,0)*VLOOKUP('Données projet'!$B$14,'Paramètres'!$A$1:$I$88,5,0)</f>
        <v>#N/A</v>
      </c>
      <c r="DQ160" s="150" t="str">
        <f t="shared" si="44"/>
        <v>#N/A</v>
      </c>
      <c r="DR160" s="161" t="str">
        <f t="shared" si="17"/>
        <v>#N/A</v>
      </c>
      <c r="DS160" s="153" t="str">
        <f t="shared" si="18"/>
        <v>#N/A</v>
      </c>
      <c r="DT160" s="153" t="str">
        <f>AVERAGE(OFFSET($DS$3,0,0,'Données projet'!$E$14+1,1))-AVERAGE(OFFSET($H$3,0,0,'Données projet'!$E$14+1,1))</f>
        <v>#N/A</v>
      </c>
      <c r="DU160" s="153" t="str">
        <f t="shared" si="45"/>
        <v>#N/A</v>
      </c>
      <c r="DV160" s="154">
        <f>IF(ISNA(VLOOKUP(A160,'Données projet'!$A$165:$I$185,3,0)),0,VLOOKUP(A160,'Données projet'!$A$165:$I$185,3,0))</f>
        <v>0</v>
      </c>
      <c r="DW160" s="154">
        <f>IF(ISNA(VLOOKUP(A160,'Données projet'!$A$165:$I$185,4,0)),0,VLOOKUP(A160,'Données projet'!$A$165:$I$185,4,0))</f>
        <v>0</v>
      </c>
      <c r="DX160" s="155">
        <f>IF(ISNA(VLOOKUP(A160,'Données projet'!$A$165:$I$185,5,0)),0%,VLOOKUP(A160,'Données projet'!$A$165:$I$185,5,0)*VLOOKUP('Données projet'!$B$14,'Paramètres'!$A$1:$I$88,7,0))</f>
        <v>0</v>
      </c>
      <c r="DY160" s="155">
        <f>IF(ISNA(VLOOKUP(A160,'Données projet'!$A$165:$I$185,6,0)),0%,VLOOKUP(A160,'Données projet'!$A$165:$I$185,6,0)*VLOOKUP('Données projet'!$B$14,'Paramètres'!$A$1:$I$88,7,0))</f>
        <v>0</v>
      </c>
      <c r="DZ160" s="155">
        <f>IF(ISNA(VLOOKUP(A160,'Données projet'!$A$165:$I$185,7,0)),0%,VLOOKUP(A160,'Données projet'!$A$165:$I$185,7,0))</f>
        <v>0</v>
      </c>
      <c r="EA160" s="162" t="str">
        <f>EXP(-LN(2)/35)*EA159+(1-EXP(-LN(2)/35))/(LN(2)/35)*DW160*DX160*VLOOKUP('Données projet'!$B$14,'Paramètres'!$A$1:$I$88,3,0)*0.475*44/12</f>
        <v>#N/A</v>
      </c>
      <c r="EB160" s="162" t="str">
        <f>EXP(-LN(2)/25)*EB159+(1-EXP(-LN(2)/25))/(LN(2)/25)*Calculateur!DW160*Calculateur!DY160*VLOOKUP('Données projet'!$B$14,'Paramètres'!$A$1:$I$88,3,0)*0.475*44/12</f>
        <v>#N/A</v>
      </c>
      <c r="EC160" s="162" t="str">
        <f>EXP(-LN(2)/2)*EC159+(1-EXP(-LN(2)/2))/(LN(2)/2)*DW160*DZ160*VLOOKUP('Données projet'!$B$14,'Paramètres'!$A$1:$I$88,3,0)*0.475*44/12</f>
        <v>#N/A</v>
      </c>
      <c r="ED160" s="163" t="str">
        <f t="shared" si="19"/>
        <v>#N/A</v>
      </c>
      <c r="EE160" s="159">
        <f>('Scénario référence'!$F$8+'Scénario référence'!$F$9+'Scénario référence'!$B$17+'Scénario référence'!$B$9+'Scénario référence'!$B$10)*70+IF((45+25*(1-EXP(-0.0175*A160)))&lt;70,'Scénario référence'!$B$16*(45+25*(1-EXP(-0.0175*A160))),70*'Scénario référence'!$B$16)+IF((32+38*(1-EXP(-0.0175*A160)))&lt;70,'Scénario référence'!$B$18*(32+38*(1-EXP(-0.0175*A160))),70*'Scénario référence'!$B$18)</f>
        <v>70</v>
      </c>
      <c r="EF160" s="151">
        <f>IF(A160&gt;30,10,('Scénario référence'!$B$16+'Scénario référence'!$B$17+'Scénario référence'!$B$18+'Scénario référence'!$B$9+'Scénario référence'!$B$10)*A160*10/30+('Scénario référence'!$F$8+'Scénario référence'!$F$9)*10)</f>
        <v>10</v>
      </c>
      <c r="EG160" s="151" t="str">
        <f>VLOOKUP(A160,'Données projet'!$A$191:$I$211,2,0)</f>
        <v>#N/A</v>
      </c>
      <c r="EH160" s="151" t="str">
        <f>VLOOKUP(A160,'Données projet'!$A$191:$I$211,9,0)</f>
        <v>#N/A</v>
      </c>
      <c r="EI160" s="151" t="str">
        <f t="array" ref="EI160">INDEX(EH:EH,MIN(IF(ISNUMBER(EH160:EH356),ROW(EH160:EH356),"")))</f>
        <v/>
      </c>
      <c r="EJ160" s="151">
        <f>IF('Données projet'!$A$192&gt;35,EJ159+EI160-ER159,IF(A160&lt;'Données projet'!$A$192,$EG$205^A160,IF(A160='Données projet'!$A$192,'Données projet'!$B$192,EJ159+EI160-ER159)))</f>
        <v>0</v>
      </c>
      <c r="EK160" s="158" t="str">
        <f>EJ160*VLOOKUP('Données projet'!$B$15,'Paramètres'!$A$1:$I$88,3,0)*VLOOKUP('Données projet'!$B$15,'Paramètres'!$A$1:$I$88,5,0)</f>
        <v>#N/A</v>
      </c>
      <c r="EL160" s="150" t="str">
        <f t="shared" si="46"/>
        <v>#N/A</v>
      </c>
      <c r="EM160" s="161" t="str">
        <f t="shared" si="20"/>
        <v>#N/A</v>
      </c>
      <c r="EN160" s="153" t="str">
        <f t="shared" si="21"/>
        <v>#N/A</v>
      </c>
      <c r="EO160" s="153" t="str">
        <f>AVERAGE(OFFSET($EN$3,0,0,'Données projet'!$E$15+1,1))-AVERAGE(OFFSET($H$3,0,0,'Données projet'!$E$15+1,1))</f>
        <v>#N/A</v>
      </c>
      <c r="EP160" s="153" t="str">
        <f t="shared" si="47"/>
        <v>#N/A</v>
      </c>
      <c r="EQ160" s="154">
        <f>IF(ISNA(VLOOKUP(A160,'Données projet'!$A$191:$I$211,3,0)),0,VLOOKUP(A160,'Données projet'!$A$191:$I$211,3,0))</f>
        <v>0</v>
      </c>
      <c r="ER160" s="154">
        <f>IF(ISNA(VLOOKUP(A160,'Données projet'!$A$191:$I$211,4,0)),0,VLOOKUP(A160,'Données projet'!$A$191:$I$211,4,0))</f>
        <v>0</v>
      </c>
      <c r="ES160" s="155">
        <f>IF(ISNA(VLOOKUP(A160,'Données projet'!$A$191:$I$211,5,0)),0%,VLOOKUP(A160,'Données projet'!$A$191:$I$211,5,0)*VLOOKUP('Données projet'!$B$15,'Paramètres'!$A$1:$I$88,7,0))</f>
        <v>0</v>
      </c>
      <c r="ET160" s="155">
        <f>IF(ISNA(VLOOKUP(A160,'Données projet'!$A$191:$I$211,6,0)),0%,VLOOKUP(A160,'Données projet'!$A$191:$I$211,6,0)*VLOOKUP('Données projet'!$B$15,'Paramètres'!$A$1:$I$88,7,0))</f>
        <v>0</v>
      </c>
      <c r="EU160" s="155">
        <f>IF(ISNA(VLOOKUP(A160,'Données projet'!$A$191:$I$211,7,0)),0%,VLOOKUP(A160,'Données projet'!$A$191:$I$211,7,0))</f>
        <v>0</v>
      </c>
      <c r="EV160" s="162" t="str">
        <f>EXP(-LN(2)/35)*EV159+(1-EXP(-LN(2)/35))/(LN(2)/35)*ER160*ES160*VLOOKUP('Données projet'!$B$15,'Paramètres'!$A$1:$I$88,3,0)*0.475*44/12</f>
        <v>#N/A</v>
      </c>
      <c r="EW160" s="162" t="str">
        <f>EXP(-LN(2)/25)*EW159+(1-EXP(-LN(2)/25))/(LN(2)/25)*Calculateur!ER160*Calculateur!ET160*VLOOKUP('Données projet'!$B$15,'Paramètres'!$A$1:$I$88,3,0)*0.475*44/12</f>
        <v>#N/A</v>
      </c>
      <c r="EX160" s="162" t="str">
        <f>EXP(-LN(2)/2)*EX159+(1-EXP(-LN(2)/2))/(LN(2)/2)*ER160*EU160*VLOOKUP('Données projet'!$B$15,'Paramètres'!$A$1:$I$88,3,0)*0.475*44/12</f>
        <v>#N/A</v>
      </c>
      <c r="EY160" s="163" t="str">
        <f t="shared" si="22"/>
        <v>#N/A</v>
      </c>
      <c r="EZ160" s="159">
        <f>('Scénario référence'!$F$8+'Scénario référence'!$F$9+'Scénario référence'!$B$17+'Scénario référence'!$B$9+'Scénario référence'!$B$10)*70+IF((45+25*(1-EXP(-0.0175*A160)))&lt;70,'Scénario référence'!$B$16*(45+25*(1-EXP(-0.0175*A160))),70*'Scénario référence'!$B$16)+IF((32+38*(1-EXP(-0.0175*A160)))&lt;70,'Scénario référence'!$B$18*(32+38*(1-EXP(-0.0175*A160))),70*'Scénario référence'!$B$18)</f>
        <v>70</v>
      </c>
      <c r="FA160" s="151">
        <f>IF(A160&gt;30,10,('Scénario référence'!$B$16+'Scénario référence'!$B$17+'Scénario référence'!$B$18+'Scénario référence'!$B$9+'Scénario référence'!$B$10)*A160*10/30+('Scénario référence'!$F$8+'Scénario référence'!$F$9)*10)</f>
        <v>10</v>
      </c>
      <c r="FB160" s="151" t="str">
        <f>VLOOKUP(A160,'Données projet'!$A$217:$I$237,2,0)</f>
        <v>#N/A</v>
      </c>
      <c r="FC160" s="151" t="str">
        <f>VLOOKUP(A160,'Données projet'!$A$217:$I$237,9,0)</f>
        <v>#N/A</v>
      </c>
      <c r="FD160" s="151" t="str">
        <f t="array" ref="FD160">INDEX(FC:FC,MIN(IF(ISNUMBER(FC160:FC356),ROW(FC160:FC356),"")))</f>
        <v/>
      </c>
      <c r="FE160" s="151">
        <f>IF('Données projet'!$A$218&gt;35,FE159+FD160-FM159,IF(A160&lt;'Données projet'!$A$218,$FB$205^A160,IF(A160='Données projet'!$A$218,'Données projet'!$B$218,FE159+FD160-FM159)))</f>
        <v>0</v>
      </c>
      <c r="FF160" s="158" t="str">
        <f>FE160*VLOOKUP('Données projet'!$B$16,'Paramètres'!$A$1:$I$88,3,0)*VLOOKUP('Données projet'!$B$16,'Paramètres'!$A$1:$I$88,5,0)</f>
        <v>#N/A</v>
      </c>
      <c r="FG160" s="150" t="str">
        <f t="shared" si="48"/>
        <v>#N/A</v>
      </c>
      <c r="FH160" s="161" t="str">
        <f t="shared" si="23"/>
        <v>#N/A</v>
      </c>
      <c r="FI160" s="153" t="str">
        <f t="shared" si="24"/>
        <v>#N/A</v>
      </c>
      <c r="FJ160" s="153" t="str">
        <f>AVERAGE(OFFSET($FI$3,0,0,'Données projet'!$E$16+1,1))-AVERAGE(OFFSET($H$3,0,0,'Données projet'!$E$16+1,1))</f>
        <v>#N/A</v>
      </c>
      <c r="FK160" s="153" t="str">
        <f t="shared" si="49"/>
        <v>#N/A</v>
      </c>
      <c r="FL160" s="154">
        <f>IF(ISNA(VLOOKUP(A160,'Données projet'!$A$217:$I$237,3,0)),0,VLOOKUP(A160,'Données projet'!$A$217:$I$237,3,0))</f>
        <v>0</v>
      </c>
      <c r="FM160" s="154">
        <f>IF(ISNA(VLOOKUP(A160,'Données projet'!$A$217:$I$237,4,0)),0,VLOOKUP(A160,'Données projet'!$A$217:$I$237,4,0))</f>
        <v>0</v>
      </c>
      <c r="FN160" s="155">
        <f>IF(ISNA(VLOOKUP(A160,'Données projet'!$A$217:$I$237,5,0)),0%,VLOOKUP(A160,'Données projet'!$A$217:$I$237,5,0)*VLOOKUP('Données projet'!$B$16,'Paramètres'!$A$1:$I$88,7,0))</f>
        <v>0</v>
      </c>
      <c r="FO160" s="155">
        <f>IF(ISNA(VLOOKUP(A160,'Données projet'!$A$217:$I$237,6,0)),0%,VLOOKUP(A160,'Données projet'!$A$217:$I$237,6,0)*VLOOKUP('Données projet'!$B$16,'Paramètres'!$A$1:$I$88,7,0))</f>
        <v>0</v>
      </c>
      <c r="FP160" s="155">
        <f>IF(ISNA(VLOOKUP(A160,'Données projet'!$A$217:$I$237,7,0)),0%,VLOOKUP(A160,'Données projet'!$A$217:$I$237,7,0))</f>
        <v>0</v>
      </c>
      <c r="FQ160" s="162" t="str">
        <f>EXP(-LN(2)/35)*FQ159+(1-EXP(-LN(2)/35))/(LN(2)/35)*FM160*FN160*VLOOKUP('Données projet'!$B$16,'Paramètres'!$A$1:$I$88,3,0)*0.475*44/12</f>
        <v>#N/A</v>
      </c>
      <c r="FR160" s="162" t="str">
        <f>EXP(-LN(2)/25)*FR159+(1-EXP(-LN(2)/25))/(LN(2)/25)*Calculateur!FM160*Calculateur!FO160*VLOOKUP('Données projet'!$B$16,'Paramètres'!$A$1:$I$88,3,0)*0.475*44/12</f>
        <v>#N/A</v>
      </c>
      <c r="FS160" s="162" t="str">
        <f>EXP(-LN(2)/2)*FS159+(1-EXP(-LN(2)/2))/(LN(2)/2)*FM160*FP160*VLOOKUP('Données projet'!$B$16,'Paramètres'!$A$1:$I$88,3,0)*0.475*44/12</f>
        <v>#N/A</v>
      </c>
      <c r="FT160" s="163" t="str">
        <f t="shared" si="25"/>
        <v>#N/A</v>
      </c>
      <c r="FU160" s="159">
        <f>('Scénario référence'!$F$8+'Scénario référence'!$F$9+'Scénario référence'!$B$17+'Scénario référence'!$B$9+'Scénario référence'!$B$10)*70+IF((45+25*(1-EXP(-0.0175*A160)))&lt;70,'Scénario référence'!$B$16*(45+25*(1-EXP(-0.0175*A160))),70*'Scénario référence'!$B$16)+IF((32+38*(1-EXP(-0.0175*A160)))&lt;70,'Scénario référence'!$B$18*(32+38*(1-EXP(-0.0175*A160))),70*'Scénario référence'!$B$18)</f>
        <v>70</v>
      </c>
      <c r="FV160" s="151">
        <f>IF(A160&gt;30,10,('Scénario référence'!$B$16+'Scénario référence'!$B$17+'Scénario référence'!$B$18+'Scénario référence'!$B$9+'Scénario référence'!$B$10)*A160*10/30+('Scénario référence'!$F$8+'Scénario référence'!$F$9)*10)</f>
        <v>10</v>
      </c>
      <c r="FW160" s="151" t="str">
        <f>VLOOKUP(A160,'Données projet'!$A$243:$I$263,2,0)</f>
        <v>#N/A</v>
      </c>
      <c r="FX160" s="151" t="str">
        <f>VLOOKUP(A160,'Données projet'!$A$243:$I$263,9,0)</f>
        <v>#N/A</v>
      </c>
      <c r="FY160" s="151" t="str">
        <f t="array" ref="FY160">INDEX(FX:FX,MIN(IF(ISNUMBER(FX160:FX356),ROW(FX160:FX356),"")))</f>
        <v/>
      </c>
      <c r="FZ160" s="151">
        <f>IF('Données projet'!$A$244&gt;35,FZ159+FY160-GH159,IF(A160&lt;'Données projet'!$A$244,$FW$205^A160,IF(A160='Données projet'!$A$244,'Données projet'!$B$244,FZ159+FY160-GH159)))</f>
        <v>0</v>
      </c>
      <c r="GA160" s="158" t="str">
        <f>FZ160*VLOOKUP('Données projet'!$B$17,'Paramètres'!$A$1:$I$88,3,0)*VLOOKUP('Données projet'!$B$17,'Paramètres'!$A$1:$I$88,5,0)</f>
        <v>#N/A</v>
      </c>
      <c r="GB160" s="150" t="str">
        <f t="shared" si="50"/>
        <v>#N/A</v>
      </c>
      <c r="GC160" s="161" t="str">
        <f t="shared" si="26"/>
        <v>#N/A</v>
      </c>
      <c r="GD160" s="153" t="str">
        <f t="shared" si="27"/>
        <v>#N/A</v>
      </c>
      <c r="GE160" s="153" t="str">
        <f>AVERAGE(OFFSET($GD$3,0,0,'Données projet'!$E$17+1,1))-AVERAGE(OFFSET($H$3,0,0,'Données projet'!$E$17+1,1))</f>
        <v>#N/A</v>
      </c>
      <c r="GF160" s="153" t="str">
        <f t="shared" si="51"/>
        <v>#N/A</v>
      </c>
      <c r="GG160" s="154">
        <f>IF(ISNA(VLOOKUP(A160,'Données projet'!$A$243:$I$263,3,0)),0,VLOOKUP(A160,'Données projet'!$A$243:$I$263,3,0))</f>
        <v>0</v>
      </c>
      <c r="GH160" s="154">
        <f>IF(ISNA(VLOOKUP(A160,'Données projet'!$A$243:$I$263,4,0)),0,VLOOKUP(A160,'Données projet'!$A$243:$I$263,4,0))</f>
        <v>0</v>
      </c>
      <c r="GI160" s="155">
        <f>IF(ISNA(VLOOKUP(A160,'Données projet'!$A$243:$I$263,5,0)),0%,VLOOKUP(A160,'Données projet'!$A$243:$I$263,5,0)*VLOOKUP('Données projet'!$B$17,'Paramètres'!$A$1:$I$88,7,0))</f>
        <v>0</v>
      </c>
      <c r="GJ160" s="155">
        <f>IF(ISNA(VLOOKUP(A160,'Données projet'!$A$243:$I$263,6,0)),0%,VLOOKUP(A160,'Données projet'!$A$243:$I$263,6,0)*VLOOKUP('Données projet'!$B$17,'Paramètres'!$A$1:$I$88,7,0))</f>
        <v>0</v>
      </c>
      <c r="GK160" s="155">
        <f>IF(ISNA(VLOOKUP(A160,'Données projet'!$A$243:$I$263,7,0)),0%,VLOOKUP(A160,'Données projet'!$A$243:$I$263,7,0))</f>
        <v>0</v>
      </c>
      <c r="GL160" s="162" t="str">
        <f>EXP(-LN(2)/35)*GL159+(1-EXP(-LN(2)/35))/(LN(2)/35)*GH160*GI160*VLOOKUP('Données projet'!$B$17,'Paramètres'!$A$1:$I$88,3,0)*0.475*44/12</f>
        <v>#N/A</v>
      </c>
      <c r="GM160" s="162" t="str">
        <f>EXP(-LN(2)/25)*GM159+(1-EXP(-LN(2)/25))/(LN(2)/25)*Calculateur!GH160*Calculateur!GJ160*VLOOKUP('Données projet'!$B$17,'Paramètres'!$A$1:$I$88,3,0)*0.475*44/12</f>
        <v>#N/A</v>
      </c>
      <c r="GN160" s="162" t="str">
        <f>EXP(-LN(2)/2)*GN159+(1-EXP(-LN(2)/2))/(LN(2)/2)*GH160*GK160*VLOOKUP('Données projet'!$B$17,'Paramètres'!$A$1:$I$88,3,0)*0.475*44/12</f>
        <v>#N/A</v>
      </c>
      <c r="GO160" s="162" t="str">
        <f t="shared" si="28"/>
        <v>#N/A</v>
      </c>
      <c r="GP160" s="159">
        <f>('Scénario référence'!$F$8+'Scénario référence'!$F$9+'Scénario référence'!$B$17+'Scénario référence'!$B$9+'Scénario référence'!$B$10)*70+IF((45+25*(1-EXP(-0.0175*A160)))&lt;70,'Scénario référence'!$B$16*(45+25*(1-EXP(-0.0175*A160))),70*'Scénario référence'!$B$16)+IF((32+38*(1-EXP(-0.0175*A160)))&lt;70,'Scénario référence'!$B$18*(32+38*(1-EXP(-0.0175*A160))),70*'Scénario référence'!$B$18)</f>
        <v>70</v>
      </c>
      <c r="GQ160" s="151">
        <f>IF(A160&gt;30,10,('Scénario référence'!$B$16+'Scénario référence'!$B$17+'Scénario référence'!$B$18+'Scénario référence'!$B$9+'Scénario référence'!$B$10)*A160*10/30+('Scénario référence'!$F$8+'Scénario référence'!$F$9)*10)</f>
        <v>10</v>
      </c>
      <c r="GR160" s="151" t="str">
        <f>VLOOKUP(A160,'Données projet'!$A$269:$I$289,2,0)</f>
        <v>#N/A</v>
      </c>
      <c r="GS160" s="151" t="str">
        <f>VLOOKUP(A160,'Données projet'!$A$269:$I$289,9,0)</f>
        <v>#N/A</v>
      </c>
      <c r="GT160" s="151" t="str">
        <f t="array" ref="GT160">INDEX(GS:GS,MIN(IF(ISNUMBER(GS160:GS356),ROW(GS160:GS356),"")))</f>
        <v/>
      </c>
      <c r="GU160" s="151">
        <f>IF('Données projet'!$A$270&gt;35,GU159+GT160-HC159,IF(A160&lt;'Données projet'!$A$270,$GR$205^A160,IF(A160='Données projet'!$A$270,'Données projet'!$B$270,GU159+GT160-HC159)))</f>
        <v>0</v>
      </c>
      <c r="GV160" s="158" t="str">
        <f>GU160*VLOOKUP('Données projet'!$B$18,'Paramètres'!$A$1:$I$88,3,0)*VLOOKUP('Données projet'!$B$18,'Paramètres'!$A$1:$I$88,5,0)</f>
        <v>#N/A</v>
      </c>
      <c r="GW160" s="150" t="str">
        <f t="shared" si="52"/>
        <v>#N/A</v>
      </c>
      <c r="GX160" s="161" t="str">
        <f t="shared" si="29"/>
        <v>#N/A</v>
      </c>
      <c r="GY160" s="153" t="str">
        <f t="shared" si="30"/>
        <v>#N/A</v>
      </c>
      <c r="GZ160" s="153" t="str">
        <f>AVERAGE(OFFSET($GY$3,0,0,'Données projet'!$E$18+1,1))-AVERAGE(OFFSET($H$3,0,0,'Données projet'!$E$18+1,1))</f>
        <v>#N/A</v>
      </c>
      <c r="HA160" s="153" t="str">
        <f t="shared" si="53"/>
        <v>#N/A</v>
      </c>
      <c r="HB160" s="154">
        <f>IF(ISNA(VLOOKUP(A160,'Données projet'!$A$269:$I$289,3,0)),0,VLOOKUP(A160,'Données projet'!$A$269:$I$289,3,0))</f>
        <v>0</v>
      </c>
      <c r="HC160" s="154">
        <f>IF(ISNA(VLOOKUP(A160,'Données projet'!$A$269:$I$289,4,0)),0,VLOOKUP(A160,'Données projet'!$A$269:$I$289,4,0))</f>
        <v>0</v>
      </c>
      <c r="HD160" s="155">
        <f>IF(ISNA(VLOOKUP(A160,'Données projet'!$A$269:$I$289,5,0)),0%,VLOOKUP(A160,'Données projet'!$A$269:$I$289,5,0)*VLOOKUP('Données projet'!$B$18,'Paramètres'!$A$1:$I$88,7,0))</f>
        <v>0</v>
      </c>
      <c r="HE160" s="155">
        <f>IF(ISNA(VLOOKUP(A160,'Données projet'!$A$269:$I$289,6,0)),0%,VLOOKUP(A160,'Données projet'!$A$269:$I$289,6,0)*VLOOKUP('Données projet'!$B$18,'Paramètres'!$A$1:$I$88,7,0))</f>
        <v>0</v>
      </c>
      <c r="HF160" s="155">
        <f>IF(ISNA(VLOOKUP(A160,'Données projet'!$A$269:$I$289,7,0)),0%,VLOOKUP(A160,'Données projet'!$A$269:$I$289,7,0))</f>
        <v>0</v>
      </c>
      <c r="HG160" s="162" t="str">
        <f>EXP(-LN(2)/35)*HG159+(1-EXP(-LN(2)/35))/(LN(2)/35)*HC160*HD160*VLOOKUP('Données projet'!$B$18,'Paramètres'!$A$1:$I$88,3,0)*0.475*44/12</f>
        <v>#N/A</v>
      </c>
      <c r="HH160" s="162" t="str">
        <f>EXP(-LN(2)/25)*HH159+(1-EXP(-LN(2)/25))/(LN(2)/25)*Calculateur!HC160*Calculateur!HE160*VLOOKUP('Données projet'!$B$18,'Paramètres'!$A$1:$I$88,3,0)*0.475*44/12</f>
        <v>#N/A</v>
      </c>
      <c r="HI160" s="162" t="str">
        <f>EXP(-LN(2)/2)*HI159+(1-EXP(-LN(2)/2))/(LN(2)/2)*HC160*HF160*VLOOKUP('Données projet'!$B$18,'Paramètres'!$A$1:$I$88,3,0)*0.475*44/12</f>
        <v>#N/A</v>
      </c>
      <c r="HJ160" s="163" t="str">
        <f t="shared" si="31"/>
        <v>#N/A</v>
      </c>
    </row>
    <row r="161" ht="15.75" customHeight="1">
      <c r="A161" s="145">
        <f t="shared" si="32"/>
        <v>158</v>
      </c>
      <c r="B161" s="146">
        <f>'Scénario référence'!$B$16*5+'Scénario référence'!$B$17*0+'Scénario référence'!$B$18*5</f>
        <v>0</v>
      </c>
      <c r="C161" s="160">
        <f>Calculateur!C160+'Scénario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61" s="147">
        <f t="shared" si="33"/>
        <v>0</v>
      </c>
      <c r="E161" s="147">
        <f>'Scénario référence'!$B$16*45+('Scénario référence'!$B$17+'Scénario référence'!$F$8+'Scénario référence'!$F$9+'Scénario référence'!$B$10+'Scénario référence'!$B$9)*70+'Scénario référence'!$B$18*32</f>
        <v>70</v>
      </c>
      <c r="F161" s="147">
        <f>IF(OR('Scénario référence'!$F$8&gt;0,'Scénario référence'!$F$9&gt;0),('Scénario référence'!$F$8+'Scénario référence'!$F$9)*10,0)</f>
        <v>0</v>
      </c>
      <c r="G161" s="147">
        <f>'Scénario référence'!$B$8*B161*44/12+'Scénario référence'!$B$9*(C161+D161)/0.475*44/12+'Scénario référence'!$B$10*(C161+D161)/0.475*44/12+'Scénario référence'!$F$8*(C161+D161)/0.475*44/12+'Scénario référence'!$F$9*(C161+D161)/0.475*44/12</f>
        <v>0</v>
      </c>
      <c r="H161" s="148">
        <f t="shared" si="1"/>
        <v>256.6666667</v>
      </c>
      <c r="I161" s="149">
        <f>('Scénario référence'!$F$8+'Scénario référence'!$F$9+'Scénario référence'!$B$17+'Scénario référence'!$B$9+'Scénario référence'!$B$10)*70+IF((45+25*(1-EXP(-0.0175*A161)))&lt;70,'Scénario référence'!$B$16*(45+25*(1-EXP(-0.0175*A161))),70*'Scénario référence'!$B$16)+IF((32+38*(1-EXP(-0.0175*A161)))&lt;70,'Scénario référence'!$B$18*(32+38*(1-EXP(-0.0175*A161))),70*'Scénario référence'!$B$18)</f>
        <v>70</v>
      </c>
      <c r="J161" s="150">
        <f>IF(A161&gt;30,10,('Scénario référence'!$B$16+'Scénario référence'!$B$17+'Scénario référence'!$B$18+'Scénario référence'!$B$9+'Scénario référence'!$B$10)*A161*10/30+('Scénario référence'!$F$8+'Scénario référence'!$F$9)*10)</f>
        <v>10</v>
      </c>
      <c r="K161" s="151" t="str">
        <f>VLOOKUP(A161,'Données projet'!$A$35:$I$55,2,0)</f>
        <v>#N/A</v>
      </c>
      <c r="L161" s="151" t="str">
        <f>VLOOKUP(A161,'Données projet'!$A$35:$I$55,9,0)</f>
        <v>#N/A</v>
      </c>
      <c r="M161" s="151" t="str">
        <f t="array" ref="M161">INDEX(L:L,MIN(IF(ISNUMBER(L161:L357),ROW(L161:L357),"")))</f>
        <v/>
      </c>
      <c r="N161" s="150">
        <f>IF('Données projet'!$A$36&gt;35,N160+M161-V160,IF(A161&lt;'Données projet'!$A$36,$K$205^A161,IF(A161='Données projet'!$A$36,'Données projet'!$B$36,N160+M161-V160)))</f>
        <v>307</v>
      </c>
      <c r="O161" s="150">
        <f>N161*VLOOKUP('Données projet'!$B$9,'Paramètres'!$A$1:$I$88,3,0)*VLOOKUP('Données projet'!$B$9,'Paramètres'!$A$1:$I$88,5,0)</f>
        <v>277.7736</v>
      </c>
      <c r="P161" s="150">
        <f t="shared" si="34"/>
        <v>66.49628818</v>
      </c>
      <c r="Q161" s="161">
        <f t="shared" si="2"/>
        <v>599.6033886</v>
      </c>
      <c r="R161" s="153">
        <f t="shared" si="3"/>
        <v>892.9367219</v>
      </c>
      <c r="S161" s="153">
        <f>AVERAGE(OFFSET($R$3,0,0,'Données projet'!$E$9+1,1))-AVERAGE(OFFSET($H$3,0,0,'Données projet'!$E$9+1,1))</f>
        <v>439.1985427</v>
      </c>
      <c r="T161" s="153">
        <f t="shared" si="35"/>
        <v>278.2174123</v>
      </c>
      <c r="U161" s="154">
        <f>IF(ISNA(VLOOKUP(A161,'Données projet'!$A$35:$I$55,3,0)),0,VLOOKUP(A161,'Données projet'!$A$35:$I$55,3,0))</f>
        <v>0</v>
      </c>
      <c r="V161" s="154">
        <f>IF(ISNA(VLOOKUP(A161,'Données projet'!$A$35:$I$55,4,0)),0,VLOOKUP(A161,'Données projet'!$A$35:$I$55,4,0))</f>
        <v>0</v>
      </c>
      <c r="W161" s="155">
        <f>IF(ISNA(VLOOKUP(A161,'Données projet'!$A$35:$I$55,5,0)),0%,VLOOKUP(A161,'Données projet'!$A$35:$I$55,5,0)*VLOOKUP('Données projet'!$B$9,'Paramètres'!$A$1:$I$88,7,0))</f>
        <v>0</v>
      </c>
      <c r="X161" s="155">
        <f>IF(ISNA(VLOOKUP(A161,'Données projet'!$A$35:$I$55,6,0)),0%,VLOOKUP(A161,'Données projet'!$A$35:$I$55,6,0)*VLOOKUP('Données projet'!$B$9,'Paramètres'!$A$1:$I$88,7,0))</f>
        <v>0</v>
      </c>
      <c r="Y161" s="155">
        <f>IF(ISNA(VLOOKUP(A161,'Données projet'!$A$35:$I$55,7,0)),0%,VLOOKUP(A161,'Données projet'!$A$35:$I$55,7,0))</f>
        <v>0</v>
      </c>
      <c r="Z161" s="162">
        <f>EXP(-LN(2)/35)*Z160+(1-EXP(-LN(2)/35))/(LN(2)/35)*V161*W161*VLOOKUP('Données projet'!$B$9,'Paramètres'!$A$1:$I$88,3,0)*0.475*44/12</f>
        <v>0</v>
      </c>
      <c r="AA161" s="162">
        <f>EXP(-LN(2)/25)*AA160+(1-EXP(-LN(2)/25))/(LN(2)/25)*Calculateur!V161*Calculateur!X161*VLOOKUP('Données projet'!$B$9,'Paramètres'!$A$1:$I$88,3,0)*0.475*44/12</f>
        <v>0.1290442629</v>
      </c>
      <c r="AB161" s="162">
        <f>EXP(-LN(2)/2)*AB160+(1-EXP(-LN(2)/2))/(LN(2)/2)*V161*Y161*VLOOKUP('Données projet'!$B$9,'Paramètres'!$A$1:$I$88,3,0)*0.475*44/12</f>
        <v>0</v>
      </c>
      <c r="AC161" s="163">
        <f t="shared" si="4"/>
        <v>0.1290442629</v>
      </c>
      <c r="AD161" s="150">
        <f>('Scénario référence'!$F$8+'Scénario référence'!$F$9+'Scénario référence'!$B$17+'Scénario référence'!$B$9+'Scénario référence'!$B$10)*70+IF((45+25*(1-EXP(-0.0175*A161)))&lt;70,'Scénario référence'!$B$16*(45+25*(1-EXP(-0.0175*A161))),70*'Scénario référence'!$B$16)+IF((32+38*(1-EXP(-0.0175*A161)))&lt;70,'Scénario référence'!$B$18*(32+38*(1-EXP(-0.0175*A161))),70*'Scénario référence'!$B$18)</f>
        <v>70</v>
      </c>
      <c r="AE161" s="150">
        <f>IF(A161&gt;30,10,('Scénario référence'!$B$16+'Scénario référence'!$B$17+'Scénario référence'!$B$18+'Scénario référence'!$B$9+'Scénario référence'!$B$10)*A161*10/30+('Scénario référence'!$F$8+'Scénario référence'!$F$9)*10)</f>
        <v>10</v>
      </c>
      <c r="AF161" s="151" t="str">
        <f>VLOOKUP(A161,'Données projet'!$A$61:$I$81,2,0)</f>
        <v>#N/A</v>
      </c>
      <c r="AG161" s="151" t="str">
        <f>VLOOKUP(A161,'Données projet'!$A$61:$I$81,9,0)</f>
        <v>#N/A</v>
      </c>
      <c r="AH161" s="151" t="str">
        <f t="array" ref="AH161">INDEX(AG:AG,MIN(IF(ISNUMBER(AG161:AG357),ROW(AG161:AG357),"")))</f>
        <v/>
      </c>
      <c r="AI161" s="150">
        <f>IF('Données projet'!$A$62&gt;35,AI160+AH161-AQ160,IF(A161&lt;'Données projet'!$A$62,$AF$205^A161,IF(A161='Données projet'!$A$62,'Données projet'!$B$62,AI160+AH161-AQ160)))</f>
        <v>369</v>
      </c>
      <c r="AJ161" s="150">
        <f>AI161*VLOOKUP('Données projet'!$B$10,'Paramètres'!$A$1:$I$88,3,0)*VLOOKUP('Données projet'!$B$10,'Paramètres'!$A$1:$I$88,5,0)</f>
        <v>293.5764</v>
      </c>
      <c r="AK161" s="150">
        <f t="shared" si="36"/>
        <v>69.82813851</v>
      </c>
      <c r="AL161" s="161">
        <f t="shared" si="5"/>
        <v>632.9295712</v>
      </c>
      <c r="AM161" s="153">
        <f t="shared" si="6"/>
        <v>926.2629046</v>
      </c>
      <c r="AN161" s="153">
        <f>AVERAGE(OFFSET($AM$3,0,0,'Données projet'!$E$10+1,1))-AVERAGE(OFFSET($H$3,0,0,'Données projet'!$E$10+1,1))</f>
        <v>405.6113614</v>
      </c>
      <c r="AO161" s="153">
        <f t="shared" si="37"/>
        <v>393.0787141</v>
      </c>
      <c r="AP161" s="154">
        <f>IF(ISNA(VLOOKUP(A161,'Données projet'!$A$61:$I$81,3,0)),0,VLOOKUP(A161,'Données projet'!$A$61:$I$81,3,0))</f>
        <v>0</v>
      </c>
      <c r="AQ161" s="154">
        <f>IF(ISNA(VLOOKUP(A161,'Données projet'!$A$61:$I$81,4,0)),0,VLOOKUP(A161,'Données projet'!$A$61:$I$81,4,0))</f>
        <v>0</v>
      </c>
      <c r="AR161" s="155">
        <f>IF(ISNA(VLOOKUP(A161,'Données projet'!$A$61:$I$81,5,0)),0%,VLOOKUP(A161,'Données projet'!$A$61:$I$81,5,0)*VLOOKUP('Données projet'!$B$10,'Paramètres'!$A$1:$I$88,7,0))</f>
        <v>0</v>
      </c>
      <c r="AS161" s="155">
        <f>IF(ISNA(VLOOKUP(A161,'Données projet'!$A$61:$I$81,6,0)),0%,VLOOKUP(A161,'Données projet'!$A$61:$I$81,6,0)*VLOOKUP('Données projet'!$B$10,'Paramètres'!$A$1:$I$88,7,0))</f>
        <v>0</v>
      </c>
      <c r="AT161" s="155">
        <f>IF(ISNA(VLOOKUP(A161,'Données projet'!$A$61:$I$81,7,0)),0%,VLOOKUP(A161,'Données projet'!$A$61:$I$81,7,0))</f>
        <v>0</v>
      </c>
      <c r="AU161" s="162">
        <f>EXP(-LN(2)/35)*AU160+(1-EXP(-LN(2)/35))/(LN(2)/35)*AQ161*AR161*VLOOKUP('Données projet'!$B$10,'Paramètres'!$A$1:$I$88,3,0)*0.475*44/12</f>
        <v>0</v>
      </c>
      <c r="AV161" s="162">
        <f>EXP(-LN(2)/25)*AV160+(1-EXP(-LN(2)/25))/(LN(2)/25)*Calculateur!AQ161*Calculateur!AS161*VLOOKUP('Données projet'!$B$10,'Paramètres'!$A$1:$I$88,3,0)*0.475*44/12</f>
        <v>0.5244686886</v>
      </c>
      <c r="AW161" s="162">
        <f>EXP(-LN(2)/2)*AW160+(1-EXP(-LN(2)/2))/(LN(2)/2)*AQ161*AT161*VLOOKUP('Données projet'!$B$10,'Paramètres'!$A$1:$I$88,3,0)*0.475*44/12</f>
        <v>0</v>
      </c>
      <c r="AX161" s="162">
        <f t="shared" si="7"/>
        <v>0.5244686886</v>
      </c>
      <c r="AY161" s="157">
        <f>('Scénario référence'!$F$8+'Scénario référence'!$F$9+'Scénario référence'!$B$17+'Scénario référence'!$B$9+'Scénario référence'!$B$10)*70+IF((45+25*(1-EXP(-0.0175*A161)))&lt;70,'Scénario référence'!$B$16*(45+25*(1-EXP(-0.0175*A161))),70*'Scénario référence'!$B$16)+IF((32+38*(1-EXP(-0.0175*A161)))&lt;70,'Scénario référence'!$B$18*(32+38*(1-EXP(-0.0175*A161))),70*'Scénario référence'!$B$18)</f>
        <v>70</v>
      </c>
      <c r="AZ161" s="151">
        <f>IF(A161&gt;30,10,('Scénario référence'!$B$16+'Scénario référence'!$B$17+'Scénario référence'!$B$18+'Scénario référence'!$B$9+'Scénario référence'!$B$10)*A161*10/30+('Scénario référence'!$F$8+'Scénario référence'!$F$9)*10)</f>
        <v>10</v>
      </c>
      <c r="BA161" s="151" t="str">
        <f>VLOOKUP(A161,'Données projet'!$A$87:$I$107,2,0)</f>
        <v>#N/A</v>
      </c>
      <c r="BB161" s="151" t="str">
        <f>VLOOKUP(A161,'Données projet'!$A$87:$I$107,9,0)</f>
        <v>#N/A</v>
      </c>
      <c r="BC161" s="151" t="str">
        <f t="array" ref="BC161">INDEX(BB:BB,MIN(IF(ISNUMBER(BB161:BB357),ROW(BB161:BB357),"")))</f>
        <v/>
      </c>
      <c r="BD161" s="150">
        <f>IF('Données projet'!$A$88&gt;35,BD160+BC161-BL160,IF(A161&lt;'Données projet'!$A$88,$BA$205^A161,IF(A161='Données projet'!$A$88,'Données projet'!$B$88,BD160+BC161-BL160)))</f>
        <v>0</v>
      </c>
      <c r="BE161" s="150">
        <f>BD161*VLOOKUP('Données projet'!$B$11,'Paramètres'!$A$1:$I$88,3,0)*VLOOKUP('Données projet'!$B$11,'Paramètres'!$A$1:$I$88,5,0)</f>
        <v>0</v>
      </c>
      <c r="BF161" s="150" t="str">
        <f t="shared" si="38"/>
        <v>#NUM!</v>
      </c>
      <c r="BG161" s="161" t="str">
        <f t="shared" si="8"/>
        <v>#NUM!</v>
      </c>
      <c r="BH161" s="153" t="str">
        <f t="shared" si="9"/>
        <v>#NUM!</v>
      </c>
      <c r="BI161" s="153">
        <f>AVERAGE(OFFSET($BH$3,0,0,'Données projet'!$E$11+1,1))-AVERAGE(OFFSET($H$3,0,0,'Données projet'!$E$11+1,1))</f>
        <v>0</v>
      </c>
      <c r="BJ161" s="153">
        <f t="shared" si="39"/>
        <v>0</v>
      </c>
      <c r="BK161" s="154">
        <f>IF(ISNA(VLOOKUP(A161,'Données projet'!$A$87:$I$107,3,0)),0,VLOOKUP(A161,'Données projet'!$A$87:$I$107,3,0))</f>
        <v>0</v>
      </c>
      <c r="BL161" s="154">
        <f>IF(ISNA(VLOOKUP(A161,'Données projet'!$A$87:$I$107,4,0)),0,VLOOKUP(A161,'Données projet'!$A$87:$I$107,4,0))</f>
        <v>0</v>
      </c>
      <c r="BM161" s="155">
        <f>IF(ISNA(VLOOKUP(A161,'Données projet'!$A$87:$I$107,5,0)),0%,VLOOKUP(A161,'Données projet'!$A$87:$I$107,5,0)*VLOOKUP('Données projet'!$B$11,'Paramètres'!$A$1:$I$88,7,0))</f>
        <v>0</v>
      </c>
      <c r="BN161" s="155">
        <f>IF(ISNA(VLOOKUP(A161,'Données projet'!$A$87:$I$107,6,0)),0%,VLOOKUP(A161,'Données projet'!$A$87:$I$107,6,0)*VLOOKUP('Données projet'!$B$11,'Paramètres'!$A$1:$I$88,7,0))</f>
        <v>0</v>
      </c>
      <c r="BO161" s="155">
        <f>IF(ISNA(VLOOKUP(A161,'Données projet'!$A$87:$I$107,7,0)),0%,VLOOKUP(A161,'Données projet'!$A$87:$I$107,7,0))</f>
        <v>0</v>
      </c>
      <c r="BP161" s="162">
        <f>EXP(-LN(2)/35)*BP160+(1-EXP(-LN(2)/35))/(LN(2)/35)*BL161*BM161*VLOOKUP('Données projet'!$B$11,'Paramètres'!$A$1:$I$88,3,0)*0.475*44/12</f>
        <v>0</v>
      </c>
      <c r="BQ161" s="162">
        <f>EXP(-LN(2)/25)*BQ160+(1-EXP(-LN(2)/25))/(LN(2)/25)*Calculateur!BL161*Calculateur!BN161*VLOOKUP('Données projet'!$B$11,'Paramètres'!$A$1:$I$88,3,0)*0.475*44/12</f>
        <v>0</v>
      </c>
      <c r="BR161" s="162">
        <f>EXP(-LN(2)/2)*BR160+(1-EXP(-LN(2)/2))/(LN(2)/2)*BL161*BO161*VLOOKUP('Données projet'!$B$11,'Paramètres'!$A$1:$I$88,3,0)*0.475*44/12</f>
        <v>0</v>
      </c>
      <c r="BS161" s="163">
        <f t="shared" si="10"/>
        <v>0</v>
      </c>
      <c r="BT161" s="159">
        <f>('Scénario référence'!$F$8+'Scénario référence'!$F$9+'Scénario référence'!$B$17+'Scénario référence'!$B$9+'Scénario référence'!$B$10)*70+IF((45+25*(1-EXP(-0.0175*A161)))&lt;70,'Scénario référence'!$B$16*(45+25*(1-EXP(-0.0175*A161))),70*'Scénario référence'!$B$16)+IF((32+38*(1-EXP(-0.0175*A161)))&lt;70,'Scénario référence'!$B$18*(32+38*(1-EXP(-0.0175*A161))),70*'Scénario référence'!$B$18)</f>
        <v>70</v>
      </c>
      <c r="BU161" s="151">
        <f>IF(A161&gt;30,10,('Scénario référence'!$B$16+'Scénario référence'!$B$17+'Scénario référence'!$B$18+'Scénario référence'!$B$9+'Scénario référence'!$B$10)*A161*10/30+('Scénario référence'!$F$8+'Scénario référence'!$F$9)*10)</f>
        <v>10</v>
      </c>
      <c r="BV161" s="151" t="str">
        <f>VLOOKUP(A161,'Données projet'!$A$113:$I$133,2,0)</f>
        <v>#N/A</v>
      </c>
      <c r="BW161" s="151" t="str">
        <f>VLOOKUP(A161,'Données projet'!$A$113:$I$133,9,0)</f>
        <v>#N/A</v>
      </c>
      <c r="BX161" s="151" t="str">
        <f t="array" ref="BX161">INDEX(BW:BW,MIN(IF(ISNUMBER(BW161:BW357),ROW(BW161:BW357),"")))</f>
        <v/>
      </c>
      <c r="BY161" s="150">
        <f>IF('Données projet'!$A$114&gt;35,BY160+BX161-CG160,IF(A161&lt;'Données projet'!$A$114,$BV$205^A161,IF(A161='Données projet'!$A$114,'Données projet'!$B$114,BY160+BX161-CG160)))</f>
        <v>0</v>
      </c>
      <c r="BZ161" s="150" t="str">
        <f>BY161*VLOOKUP('Données projet'!$B$12,'Paramètres'!$A$1:$I$88,3,0)*VLOOKUP('Données projet'!$B$12,'Paramètres'!$A$1:$I$88,5,0)</f>
        <v>#N/A</v>
      </c>
      <c r="CA161" s="150" t="str">
        <f t="shared" si="40"/>
        <v>#N/A</v>
      </c>
      <c r="CB161" s="161" t="str">
        <f t="shared" si="11"/>
        <v>#N/A</v>
      </c>
      <c r="CC161" s="153" t="str">
        <f t="shared" si="12"/>
        <v>#N/A</v>
      </c>
      <c r="CD161" s="153" t="str">
        <f>AVERAGE(OFFSET($CC$3,0,0,'Données projet'!$E$12+1,1))-AVERAGE(OFFSET($H$3,0,0,'Données projet'!$E$12+1,1))</f>
        <v>#N/A</v>
      </c>
      <c r="CE161" s="153" t="str">
        <f t="shared" si="41"/>
        <v>#N/A</v>
      </c>
      <c r="CF161" s="154">
        <f>IF(ISNA(VLOOKUP(A161,'Données projet'!$A$113:$I$133,3,0)),0,VLOOKUP(A161,'Données projet'!$A$113:$I$133,3,0))</f>
        <v>0</v>
      </c>
      <c r="CG161" s="154">
        <f>IF(ISNA(VLOOKUP(A161,'Données projet'!$A$113:$I$133,4,0)),0,VLOOKUP(A161,'Données projet'!$A$113:$I$133,4,0))</f>
        <v>0</v>
      </c>
      <c r="CH161" s="155">
        <f>IF(ISNA(VLOOKUP(A161,'Données projet'!$A$113:$I$133,5,0)),0%,VLOOKUP(A161,'Données projet'!$A$113:$I$133,5,0)*VLOOKUP('Données projet'!$B$12,'Paramètres'!$A$1:$I$88,7,0))</f>
        <v>0</v>
      </c>
      <c r="CI161" s="155">
        <f>IF(ISNA(VLOOKUP(A161,'Données projet'!$A$113:$I$133,6,0)),0%,VLOOKUP(A161,'Données projet'!$A$113:$I$133,6,0)*VLOOKUP('Données projet'!$B$12,'Paramètres'!$A$1:$I$88,7,0))</f>
        <v>0</v>
      </c>
      <c r="CJ161" s="155">
        <f>IF(ISNA(VLOOKUP(A161,'Données projet'!$A$113:$I$133,7,0)),0%,VLOOKUP(A161,'Données projet'!$A$113:$I$133,7,0))</f>
        <v>0</v>
      </c>
      <c r="CK161" s="162" t="str">
        <f>EXP(-LN(2)/35)*CK160+(1-EXP(-LN(2)/35))/(LN(2)/35)*CG161*CH161*VLOOKUP('Données projet'!$B$12,'Paramètres'!$A$1:$I$88,3,0)*0.475*44/12</f>
        <v>#N/A</v>
      </c>
      <c r="CL161" s="162" t="str">
        <f>EXP(-LN(2)/25)*CL160+(1-EXP(-LN(2)/25))/(LN(2)/25)*Calculateur!CG161*Calculateur!CI161*VLOOKUP('Données projet'!$B$12,'Paramètres'!$A$1:$I$88,3,0)*0.475*44/12</f>
        <v>#N/A</v>
      </c>
      <c r="CM161" s="162" t="str">
        <f>EXP(-LN(2)/2)*CM160+(1-EXP(-LN(2)/2))/(LN(2)/2)*CG161*CJ161*VLOOKUP('Données projet'!$B$12,'Paramètres'!$A$1:$I$88,3,0)*0.475*44/12</f>
        <v>#N/A</v>
      </c>
      <c r="CN161" s="163" t="str">
        <f t="shared" si="13"/>
        <v>#N/A</v>
      </c>
      <c r="CO161" s="159">
        <f>('Scénario référence'!$F$8+'Scénario référence'!$F$9+'Scénario référence'!$B$17+'Scénario référence'!$B$9+'Scénario référence'!$B$10)*70+IF((45+25*(1-EXP(-0.0175*A161)))&lt;70,'Scénario référence'!$B$16*(45+25*(1-EXP(-0.0175*A161))),70*'Scénario référence'!$B$16)+IF((32+38*(1-EXP(-0.0175*A161)))&lt;70,'Scénario référence'!$B$18*(32+38*(1-EXP(-0.0175*A161))),70*'Scénario référence'!$B$18)</f>
        <v>70</v>
      </c>
      <c r="CP161" s="151">
        <f>IF(A161&gt;30,10,('Scénario référence'!$B$16+'Scénario référence'!$B$17+'Scénario référence'!$B$18+'Scénario référence'!$B$9+'Scénario référence'!$B$10)*A161*10/30+('Scénario référence'!$F$8+'Scénario référence'!$F$9)*10)</f>
        <v>10</v>
      </c>
      <c r="CQ161" s="151" t="str">
        <f>VLOOKUP(A161,'Données projet'!$A$139:$I$159,2,0)</f>
        <v>#N/A</v>
      </c>
      <c r="CR161" s="151" t="str">
        <f>VLOOKUP(A161,'Données projet'!$A$139:$I$159,9,0)</f>
        <v>#N/A</v>
      </c>
      <c r="CS161" s="151" t="str">
        <f t="array" ref="CS161">INDEX(CR:CR,MIN(IF(ISNUMBER(CR161:CR357),ROW(CR161:CR357),"")))</f>
        <v/>
      </c>
      <c r="CT161" s="151">
        <f>IF('Données projet'!$A$140&gt;35,CT160+CS161-DB160,IF(A161&lt;'Données projet'!$A$140,$CQ$205^A161,IF(A161='Données projet'!$A$140,'Données projet'!$B$140,CT160+CS161-DB160)))</f>
        <v>0</v>
      </c>
      <c r="CU161" s="158" t="str">
        <f>CT161*VLOOKUP('Données projet'!$B$13,'Paramètres'!$A$1:$I$88,3,0)*VLOOKUP('Données projet'!$B$13,'Paramètres'!$A$1:$I$88,5,0)</f>
        <v>#N/A</v>
      </c>
      <c r="CV161" s="150" t="str">
        <f t="shared" si="42"/>
        <v>#N/A</v>
      </c>
      <c r="CW161" s="161" t="str">
        <f t="shared" si="14"/>
        <v>#N/A</v>
      </c>
      <c r="CX161" s="153" t="str">
        <f t="shared" si="15"/>
        <v>#N/A</v>
      </c>
      <c r="CY161" s="153" t="str">
        <f>AVERAGE(OFFSET($CX$3,0,0,'Données projet'!$E$13+1,1))-AVERAGE(OFFSET($H$3,0,0,'Données projet'!$E$13+1,1))</f>
        <v>#N/A</v>
      </c>
      <c r="CZ161" s="153" t="str">
        <f t="shared" si="43"/>
        <v>#N/A</v>
      </c>
      <c r="DA161" s="154">
        <f>IF(ISNA(VLOOKUP(A161,'Données projet'!$A$139:$I$159,3,0)),0,VLOOKUP(A161,'Données projet'!$A$139:$I$159,3,0))</f>
        <v>0</v>
      </c>
      <c r="DB161" s="154">
        <f>IF(ISNA(VLOOKUP(A161,'Données projet'!$A$139:$I$159,4,0)),0,VLOOKUP(A161,'Données projet'!$A$139:$I$159,4,0))</f>
        <v>0</v>
      </c>
      <c r="DC161" s="155">
        <f>IF(ISNA(VLOOKUP(A161,'Données projet'!$A$139:$I$159,5,0)),0%,VLOOKUP(A161,'Données projet'!$A$139:$I$159,5,0)*VLOOKUP('Données projet'!$B$13,'Paramètres'!$A$1:$I$88,7,0))</f>
        <v>0</v>
      </c>
      <c r="DD161" s="155">
        <f>IF(ISNA(VLOOKUP(A161,'Données projet'!$A$139:$I$159,6,0)),0%,VLOOKUP(A161,'Données projet'!$A$139:$I$159,6,0)*VLOOKUP('Données projet'!$B$13,'Paramètres'!$A$1:$I$88,7,0))</f>
        <v>0</v>
      </c>
      <c r="DE161" s="155">
        <f>IF(ISNA(VLOOKUP(A161,'Données projet'!$A$139:$I$159,7,0)),0%,VLOOKUP(A161,'Données projet'!$A$139:$I$159,7,0))</f>
        <v>0</v>
      </c>
      <c r="DF161" s="162" t="str">
        <f>EXP(-LN(2)/35)*DF160+(1-EXP(-LN(2)/35))/(LN(2)/35)*DB161*DC161*VLOOKUP('Données projet'!$B$13,'Paramètres'!$A$1:$I$88,3,0)*0.475*44/12</f>
        <v>#N/A</v>
      </c>
      <c r="DG161" s="162" t="str">
        <f>EXP(-LN(2)/25)*DG160+(1-EXP(-LN(2)/25))/(LN(2)/25)*Calculateur!DB161*Calculateur!DD161*VLOOKUP('Données projet'!$B$13,'Paramètres'!$A$1:$I$88,3,0)*0.475*44/12</f>
        <v>#N/A</v>
      </c>
      <c r="DH161" s="162" t="str">
        <f>EXP(-LN(2)/2)*DH160+(1-EXP(-LN(2)/2))/(LN(2)/2)*DB161*DE161*VLOOKUP('Données projet'!$B$13,'Paramètres'!$A$1:$I$88,3,0)*0.475*44/12</f>
        <v>#N/A</v>
      </c>
      <c r="DI161" s="163" t="str">
        <f t="shared" si="16"/>
        <v>#N/A</v>
      </c>
      <c r="DJ161" s="159">
        <f>('Scénario référence'!$F$8+'Scénario référence'!$F$9+'Scénario référence'!$B$17+'Scénario référence'!$B$9+'Scénario référence'!$B$10)*70+IF((45+25*(1-EXP(-0.0175*A161)))&lt;70,'Scénario référence'!$B$16*(45+25*(1-EXP(-0.0175*A161))),70*'Scénario référence'!$B$16)+IF((32+38*(1-EXP(-0.0175*A161)))&lt;70,'Scénario référence'!$B$18*(32+38*(1-EXP(-0.0175*A161))),70*'Scénario référence'!$B$18)</f>
        <v>70</v>
      </c>
      <c r="DK161" s="151">
        <f>IF(A161&gt;30,10,('Scénario référence'!$B$16+'Scénario référence'!$B$17+'Scénario référence'!$B$18+'Scénario référence'!$B$9+'Scénario référence'!$B$10)*A161*10/30+('Scénario référence'!$F$8+'Scénario référence'!$F$9)*10)</f>
        <v>10</v>
      </c>
      <c r="DL161" s="151" t="str">
        <f>VLOOKUP(A161,'Données projet'!$A$165:$I$185,2,0)</f>
        <v>#N/A</v>
      </c>
      <c r="DM161" s="151" t="str">
        <f>VLOOKUP(A161,'Données projet'!$A$165:$I$185,9,0)</f>
        <v>#N/A</v>
      </c>
      <c r="DN161" s="151" t="str">
        <f t="array" ref="DN161">INDEX(DM:DM,MIN(IF(ISNUMBER(DM161:DM357),ROW(DM161:DM357),"")))</f>
        <v/>
      </c>
      <c r="DO161" s="151">
        <f>IF('Données projet'!$A$166&gt;35,DO160+DN161-DW160,IF(A161&lt;'Données projet'!$A$166,$DL$205^A161,IF(A161='Données projet'!$A$166,'Données projet'!$B$166,DO160+DN161-DW160)))</f>
        <v>0</v>
      </c>
      <c r="DP161" s="158" t="str">
        <f>DO161*VLOOKUP('Données projet'!$B$14,'Paramètres'!$A$1:$I$88,3,0)*VLOOKUP('Données projet'!$B$14,'Paramètres'!$A$1:$I$88,5,0)</f>
        <v>#N/A</v>
      </c>
      <c r="DQ161" s="150" t="str">
        <f t="shared" si="44"/>
        <v>#N/A</v>
      </c>
      <c r="DR161" s="161" t="str">
        <f t="shared" si="17"/>
        <v>#N/A</v>
      </c>
      <c r="DS161" s="153" t="str">
        <f t="shared" si="18"/>
        <v>#N/A</v>
      </c>
      <c r="DT161" s="153" t="str">
        <f>AVERAGE(OFFSET($DS$3,0,0,'Données projet'!$E$14+1,1))-AVERAGE(OFFSET($H$3,0,0,'Données projet'!$E$14+1,1))</f>
        <v>#N/A</v>
      </c>
      <c r="DU161" s="153" t="str">
        <f t="shared" si="45"/>
        <v>#N/A</v>
      </c>
      <c r="DV161" s="154">
        <f>IF(ISNA(VLOOKUP(A161,'Données projet'!$A$165:$I$185,3,0)),0,VLOOKUP(A161,'Données projet'!$A$165:$I$185,3,0))</f>
        <v>0</v>
      </c>
      <c r="DW161" s="154">
        <f>IF(ISNA(VLOOKUP(A161,'Données projet'!$A$165:$I$185,4,0)),0,VLOOKUP(A161,'Données projet'!$A$165:$I$185,4,0))</f>
        <v>0</v>
      </c>
      <c r="DX161" s="155">
        <f>IF(ISNA(VLOOKUP(A161,'Données projet'!$A$165:$I$185,5,0)),0%,VLOOKUP(A161,'Données projet'!$A$165:$I$185,5,0)*VLOOKUP('Données projet'!$B$14,'Paramètres'!$A$1:$I$88,7,0))</f>
        <v>0</v>
      </c>
      <c r="DY161" s="155">
        <f>IF(ISNA(VLOOKUP(A161,'Données projet'!$A$165:$I$185,6,0)),0%,VLOOKUP(A161,'Données projet'!$A$165:$I$185,6,0)*VLOOKUP('Données projet'!$B$14,'Paramètres'!$A$1:$I$88,7,0))</f>
        <v>0</v>
      </c>
      <c r="DZ161" s="155">
        <f>IF(ISNA(VLOOKUP(A161,'Données projet'!$A$165:$I$185,7,0)),0%,VLOOKUP(A161,'Données projet'!$A$165:$I$185,7,0))</f>
        <v>0</v>
      </c>
      <c r="EA161" s="162" t="str">
        <f>EXP(-LN(2)/35)*EA160+(1-EXP(-LN(2)/35))/(LN(2)/35)*DW161*DX161*VLOOKUP('Données projet'!$B$14,'Paramètres'!$A$1:$I$88,3,0)*0.475*44/12</f>
        <v>#N/A</v>
      </c>
      <c r="EB161" s="162" t="str">
        <f>EXP(-LN(2)/25)*EB160+(1-EXP(-LN(2)/25))/(LN(2)/25)*Calculateur!DW161*Calculateur!DY161*VLOOKUP('Données projet'!$B$14,'Paramètres'!$A$1:$I$88,3,0)*0.475*44/12</f>
        <v>#N/A</v>
      </c>
      <c r="EC161" s="162" t="str">
        <f>EXP(-LN(2)/2)*EC160+(1-EXP(-LN(2)/2))/(LN(2)/2)*DW161*DZ161*VLOOKUP('Données projet'!$B$14,'Paramètres'!$A$1:$I$88,3,0)*0.475*44/12</f>
        <v>#N/A</v>
      </c>
      <c r="ED161" s="163" t="str">
        <f t="shared" si="19"/>
        <v>#N/A</v>
      </c>
      <c r="EE161" s="159">
        <f>('Scénario référence'!$F$8+'Scénario référence'!$F$9+'Scénario référence'!$B$17+'Scénario référence'!$B$9+'Scénario référence'!$B$10)*70+IF((45+25*(1-EXP(-0.0175*A161)))&lt;70,'Scénario référence'!$B$16*(45+25*(1-EXP(-0.0175*A161))),70*'Scénario référence'!$B$16)+IF((32+38*(1-EXP(-0.0175*A161)))&lt;70,'Scénario référence'!$B$18*(32+38*(1-EXP(-0.0175*A161))),70*'Scénario référence'!$B$18)</f>
        <v>70</v>
      </c>
      <c r="EF161" s="151">
        <f>IF(A161&gt;30,10,('Scénario référence'!$B$16+'Scénario référence'!$B$17+'Scénario référence'!$B$18+'Scénario référence'!$B$9+'Scénario référence'!$B$10)*A161*10/30+('Scénario référence'!$F$8+'Scénario référence'!$F$9)*10)</f>
        <v>10</v>
      </c>
      <c r="EG161" s="151" t="str">
        <f>VLOOKUP(A161,'Données projet'!$A$191:$I$211,2,0)</f>
        <v>#N/A</v>
      </c>
      <c r="EH161" s="151" t="str">
        <f>VLOOKUP(A161,'Données projet'!$A$191:$I$211,9,0)</f>
        <v>#N/A</v>
      </c>
      <c r="EI161" s="151" t="str">
        <f t="array" ref="EI161">INDEX(EH:EH,MIN(IF(ISNUMBER(EH161:EH357),ROW(EH161:EH357),"")))</f>
        <v/>
      </c>
      <c r="EJ161" s="151">
        <f>IF('Données projet'!$A$192&gt;35,EJ160+EI161-ER160,IF(A161&lt;'Données projet'!$A$192,$EG$205^A161,IF(A161='Données projet'!$A$192,'Données projet'!$B$192,EJ160+EI161-ER160)))</f>
        <v>0</v>
      </c>
      <c r="EK161" s="158" t="str">
        <f>EJ161*VLOOKUP('Données projet'!$B$15,'Paramètres'!$A$1:$I$88,3,0)*VLOOKUP('Données projet'!$B$15,'Paramètres'!$A$1:$I$88,5,0)</f>
        <v>#N/A</v>
      </c>
      <c r="EL161" s="150" t="str">
        <f t="shared" si="46"/>
        <v>#N/A</v>
      </c>
      <c r="EM161" s="161" t="str">
        <f t="shared" si="20"/>
        <v>#N/A</v>
      </c>
      <c r="EN161" s="153" t="str">
        <f t="shared" si="21"/>
        <v>#N/A</v>
      </c>
      <c r="EO161" s="153" t="str">
        <f>AVERAGE(OFFSET($EN$3,0,0,'Données projet'!$E$15+1,1))-AVERAGE(OFFSET($H$3,0,0,'Données projet'!$E$15+1,1))</f>
        <v>#N/A</v>
      </c>
      <c r="EP161" s="153" t="str">
        <f t="shared" si="47"/>
        <v>#N/A</v>
      </c>
      <c r="EQ161" s="154">
        <f>IF(ISNA(VLOOKUP(A161,'Données projet'!$A$191:$I$211,3,0)),0,VLOOKUP(A161,'Données projet'!$A$191:$I$211,3,0))</f>
        <v>0</v>
      </c>
      <c r="ER161" s="154">
        <f>IF(ISNA(VLOOKUP(A161,'Données projet'!$A$191:$I$211,4,0)),0,VLOOKUP(A161,'Données projet'!$A$191:$I$211,4,0))</f>
        <v>0</v>
      </c>
      <c r="ES161" s="155">
        <f>IF(ISNA(VLOOKUP(A161,'Données projet'!$A$191:$I$211,5,0)),0%,VLOOKUP(A161,'Données projet'!$A$191:$I$211,5,0)*VLOOKUP('Données projet'!$B$15,'Paramètres'!$A$1:$I$88,7,0))</f>
        <v>0</v>
      </c>
      <c r="ET161" s="155">
        <f>IF(ISNA(VLOOKUP(A161,'Données projet'!$A$191:$I$211,6,0)),0%,VLOOKUP(A161,'Données projet'!$A$191:$I$211,6,0)*VLOOKUP('Données projet'!$B$15,'Paramètres'!$A$1:$I$88,7,0))</f>
        <v>0</v>
      </c>
      <c r="EU161" s="155">
        <f>IF(ISNA(VLOOKUP(A161,'Données projet'!$A$191:$I$211,7,0)),0%,VLOOKUP(A161,'Données projet'!$A$191:$I$211,7,0))</f>
        <v>0</v>
      </c>
      <c r="EV161" s="162" t="str">
        <f>EXP(-LN(2)/35)*EV160+(1-EXP(-LN(2)/35))/(LN(2)/35)*ER161*ES161*VLOOKUP('Données projet'!$B$15,'Paramètres'!$A$1:$I$88,3,0)*0.475*44/12</f>
        <v>#N/A</v>
      </c>
      <c r="EW161" s="162" t="str">
        <f>EXP(-LN(2)/25)*EW160+(1-EXP(-LN(2)/25))/(LN(2)/25)*Calculateur!ER161*Calculateur!ET161*VLOOKUP('Données projet'!$B$15,'Paramètres'!$A$1:$I$88,3,0)*0.475*44/12</f>
        <v>#N/A</v>
      </c>
      <c r="EX161" s="162" t="str">
        <f>EXP(-LN(2)/2)*EX160+(1-EXP(-LN(2)/2))/(LN(2)/2)*ER161*EU161*VLOOKUP('Données projet'!$B$15,'Paramètres'!$A$1:$I$88,3,0)*0.475*44/12</f>
        <v>#N/A</v>
      </c>
      <c r="EY161" s="163" t="str">
        <f t="shared" si="22"/>
        <v>#N/A</v>
      </c>
      <c r="EZ161" s="159">
        <f>('Scénario référence'!$F$8+'Scénario référence'!$F$9+'Scénario référence'!$B$17+'Scénario référence'!$B$9+'Scénario référence'!$B$10)*70+IF((45+25*(1-EXP(-0.0175*A161)))&lt;70,'Scénario référence'!$B$16*(45+25*(1-EXP(-0.0175*A161))),70*'Scénario référence'!$B$16)+IF((32+38*(1-EXP(-0.0175*A161)))&lt;70,'Scénario référence'!$B$18*(32+38*(1-EXP(-0.0175*A161))),70*'Scénario référence'!$B$18)</f>
        <v>70</v>
      </c>
      <c r="FA161" s="151">
        <f>IF(A161&gt;30,10,('Scénario référence'!$B$16+'Scénario référence'!$B$17+'Scénario référence'!$B$18+'Scénario référence'!$B$9+'Scénario référence'!$B$10)*A161*10/30+('Scénario référence'!$F$8+'Scénario référence'!$F$9)*10)</f>
        <v>10</v>
      </c>
      <c r="FB161" s="151" t="str">
        <f>VLOOKUP(A161,'Données projet'!$A$217:$I$237,2,0)</f>
        <v>#N/A</v>
      </c>
      <c r="FC161" s="151" t="str">
        <f>VLOOKUP(A161,'Données projet'!$A$217:$I$237,9,0)</f>
        <v>#N/A</v>
      </c>
      <c r="FD161" s="151" t="str">
        <f t="array" ref="FD161">INDEX(FC:FC,MIN(IF(ISNUMBER(FC161:FC357),ROW(FC161:FC357),"")))</f>
        <v/>
      </c>
      <c r="FE161" s="151">
        <f>IF('Données projet'!$A$218&gt;35,FE160+FD161-FM160,IF(A161&lt;'Données projet'!$A$218,$FB$205^A161,IF(A161='Données projet'!$A$218,'Données projet'!$B$218,FE160+FD161-FM160)))</f>
        <v>0</v>
      </c>
      <c r="FF161" s="158" t="str">
        <f>FE161*VLOOKUP('Données projet'!$B$16,'Paramètres'!$A$1:$I$88,3,0)*VLOOKUP('Données projet'!$B$16,'Paramètres'!$A$1:$I$88,5,0)</f>
        <v>#N/A</v>
      </c>
      <c r="FG161" s="150" t="str">
        <f t="shared" si="48"/>
        <v>#N/A</v>
      </c>
      <c r="FH161" s="161" t="str">
        <f t="shared" si="23"/>
        <v>#N/A</v>
      </c>
      <c r="FI161" s="153" t="str">
        <f t="shared" si="24"/>
        <v>#N/A</v>
      </c>
      <c r="FJ161" s="153" t="str">
        <f>AVERAGE(OFFSET($FI$3,0,0,'Données projet'!$E$16+1,1))-AVERAGE(OFFSET($H$3,0,0,'Données projet'!$E$16+1,1))</f>
        <v>#N/A</v>
      </c>
      <c r="FK161" s="153" t="str">
        <f t="shared" si="49"/>
        <v>#N/A</v>
      </c>
      <c r="FL161" s="154">
        <f>IF(ISNA(VLOOKUP(A161,'Données projet'!$A$217:$I$237,3,0)),0,VLOOKUP(A161,'Données projet'!$A$217:$I$237,3,0))</f>
        <v>0</v>
      </c>
      <c r="FM161" s="154">
        <f>IF(ISNA(VLOOKUP(A161,'Données projet'!$A$217:$I$237,4,0)),0,VLOOKUP(A161,'Données projet'!$A$217:$I$237,4,0))</f>
        <v>0</v>
      </c>
      <c r="FN161" s="155">
        <f>IF(ISNA(VLOOKUP(A161,'Données projet'!$A$217:$I$237,5,0)),0%,VLOOKUP(A161,'Données projet'!$A$217:$I$237,5,0)*VLOOKUP('Données projet'!$B$16,'Paramètres'!$A$1:$I$88,7,0))</f>
        <v>0</v>
      </c>
      <c r="FO161" s="155">
        <f>IF(ISNA(VLOOKUP(A161,'Données projet'!$A$217:$I$237,6,0)),0%,VLOOKUP(A161,'Données projet'!$A$217:$I$237,6,0)*VLOOKUP('Données projet'!$B$16,'Paramètres'!$A$1:$I$88,7,0))</f>
        <v>0</v>
      </c>
      <c r="FP161" s="155">
        <f>IF(ISNA(VLOOKUP(A161,'Données projet'!$A$217:$I$237,7,0)),0%,VLOOKUP(A161,'Données projet'!$A$217:$I$237,7,0))</f>
        <v>0</v>
      </c>
      <c r="FQ161" s="162" t="str">
        <f>EXP(-LN(2)/35)*FQ160+(1-EXP(-LN(2)/35))/(LN(2)/35)*FM161*FN161*VLOOKUP('Données projet'!$B$16,'Paramètres'!$A$1:$I$88,3,0)*0.475*44/12</f>
        <v>#N/A</v>
      </c>
      <c r="FR161" s="162" t="str">
        <f>EXP(-LN(2)/25)*FR160+(1-EXP(-LN(2)/25))/(LN(2)/25)*Calculateur!FM161*Calculateur!FO161*VLOOKUP('Données projet'!$B$16,'Paramètres'!$A$1:$I$88,3,0)*0.475*44/12</f>
        <v>#N/A</v>
      </c>
      <c r="FS161" s="162" t="str">
        <f>EXP(-LN(2)/2)*FS160+(1-EXP(-LN(2)/2))/(LN(2)/2)*FM161*FP161*VLOOKUP('Données projet'!$B$16,'Paramètres'!$A$1:$I$88,3,0)*0.475*44/12</f>
        <v>#N/A</v>
      </c>
      <c r="FT161" s="163" t="str">
        <f t="shared" si="25"/>
        <v>#N/A</v>
      </c>
      <c r="FU161" s="159">
        <f>('Scénario référence'!$F$8+'Scénario référence'!$F$9+'Scénario référence'!$B$17+'Scénario référence'!$B$9+'Scénario référence'!$B$10)*70+IF((45+25*(1-EXP(-0.0175*A161)))&lt;70,'Scénario référence'!$B$16*(45+25*(1-EXP(-0.0175*A161))),70*'Scénario référence'!$B$16)+IF((32+38*(1-EXP(-0.0175*A161)))&lt;70,'Scénario référence'!$B$18*(32+38*(1-EXP(-0.0175*A161))),70*'Scénario référence'!$B$18)</f>
        <v>70</v>
      </c>
      <c r="FV161" s="151">
        <f>IF(A161&gt;30,10,('Scénario référence'!$B$16+'Scénario référence'!$B$17+'Scénario référence'!$B$18+'Scénario référence'!$B$9+'Scénario référence'!$B$10)*A161*10/30+('Scénario référence'!$F$8+'Scénario référence'!$F$9)*10)</f>
        <v>10</v>
      </c>
      <c r="FW161" s="151" t="str">
        <f>VLOOKUP(A161,'Données projet'!$A$243:$I$263,2,0)</f>
        <v>#N/A</v>
      </c>
      <c r="FX161" s="151" t="str">
        <f>VLOOKUP(A161,'Données projet'!$A$243:$I$263,9,0)</f>
        <v>#N/A</v>
      </c>
      <c r="FY161" s="151" t="str">
        <f t="array" ref="FY161">INDEX(FX:FX,MIN(IF(ISNUMBER(FX161:FX357),ROW(FX161:FX357),"")))</f>
        <v/>
      </c>
      <c r="FZ161" s="151">
        <f>IF('Données projet'!$A$244&gt;35,FZ160+FY161-GH160,IF(A161&lt;'Données projet'!$A$244,$FW$205^A161,IF(A161='Données projet'!$A$244,'Données projet'!$B$244,FZ160+FY161-GH160)))</f>
        <v>0</v>
      </c>
      <c r="GA161" s="158" t="str">
        <f>FZ161*VLOOKUP('Données projet'!$B$17,'Paramètres'!$A$1:$I$88,3,0)*VLOOKUP('Données projet'!$B$17,'Paramètres'!$A$1:$I$88,5,0)</f>
        <v>#N/A</v>
      </c>
      <c r="GB161" s="150" t="str">
        <f t="shared" si="50"/>
        <v>#N/A</v>
      </c>
      <c r="GC161" s="161" t="str">
        <f t="shared" si="26"/>
        <v>#N/A</v>
      </c>
      <c r="GD161" s="153" t="str">
        <f t="shared" si="27"/>
        <v>#N/A</v>
      </c>
      <c r="GE161" s="153" t="str">
        <f>AVERAGE(OFFSET($GD$3,0,0,'Données projet'!$E$17+1,1))-AVERAGE(OFFSET($H$3,0,0,'Données projet'!$E$17+1,1))</f>
        <v>#N/A</v>
      </c>
      <c r="GF161" s="153" t="str">
        <f t="shared" si="51"/>
        <v>#N/A</v>
      </c>
      <c r="GG161" s="154">
        <f>IF(ISNA(VLOOKUP(A161,'Données projet'!$A$243:$I$263,3,0)),0,VLOOKUP(A161,'Données projet'!$A$243:$I$263,3,0))</f>
        <v>0</v>
      </c>
      <c r="GH161" s="154">
        <f>IF(ISNA(VLOOKUP(A161,'Données projet'!$A$243:$I$263,4,0)),0,VLOOKUP(A161,'Données projet'!$A$243:$I$263,4,0))</f>
        <v>0</v>
      </c>
      <c r="GI161" s="155">
        <f>IF(ISNA(VLOOKUP(A161,'Données projet'!$A$243:$I$263,5,0)),0%,VLOOKUP(A161,'Données projet'!$A$243:$I$263,5,0)*VLOOKUP('Données projet'!$B$17,'Paramètres'!$A$1:$I$88,7,0))</f>
        <v>0</v>
      </c>
      <c r="GJ161" s="155">
        <f>IF(ISNA(VLOOKUP(A161,'Données projet'!$A$243:$I$263,6,0)),0%,VLOOKUP(A161,'Données projet'!$A$243:$I$263,6,0)*VLOOKUP('Données projet'!$B$17,'Paramètres'!$A$1:$I$88,7,0))</f>
        <v>0</v>
      </c>
      <c r="GK161" s="155">
        <f>IF(ISNA(VLOOKUP(A161,'Données projet'!$A$243:$I$263,7,0)),0%,VLOOKUP(A161,'Données projet'!$A$243:$I$263,7,0))</f>
        <v>0</v>
      </c>
      <c r="GL161" s="162" t="str">
        <f>EXP(-LN(2)/35)*GL160+(1-EXP(-LN(2)/35))/(LN(2)/35)*GH161*GI161*VLOOKUP('Données projet'!$B$17,'Paramètres'!$A$1:$I$88,3,0)*0.475*44/12</f>
        <v>#N/A</v>
      </c>
      <c r="GM161" s="162" t="str">
        <f>EXP(-LN(2)/25)*GM160+(1-EXP(-LN(2)/25))/(LN(2)/25)*Calculateur!GH161*Calculateur!GJ161*VLOOKUP('Données projet'!$B$17,'Paramètres'!$A$1:$I$88,3,0)*0.475*44/12</f>
        <v>#N/A</v>
      </c>
      <c r="GN161" s="162" t="str">
        <f>EXP(-LN(2)/2)*GN160+(1-EXP(-LN(2)/2))/(LN(2)/2)*GH161*GK161*VLOOKUP('Données projet'!$B$17,'Paramètres'!$A$1:$I$88,3,0)*0.475*44/12</f>
        <v>#N/A</v>
      </c>
      <c r="GO161" s="162" t="str">
        <f t="shared" si="28"/>
        <v>#N/A</v>
      </c>
      <c r="GP161" s="159">
        <f>('Scénario référence'!$F$8+'Scénario référence'!$F$9+'Scénario référence'!$B$17+'Scénario référence'!$B$9+'Scénario référence'!$B$10)*70+IF((45+25*(1-EXP(-0.0175*A161)))&lt;70,'Scénario référence'!$B$16*(45+25*(1-EXP(-0.0175*A161))),70*'Scénario référence'!$B$16)+IF((32+38*(1-EXP(-0.0175*A161)))&lt;70,'Scénario référence'!$B$18*(32+38*(1-EXP(-0.0175*A161))),70*'Scénario référence'!$B$18)</f>
        <v>70</v>
      </c>
      <c r="GQ161" s="151">
        <f>IF(A161&gt;30,10,('Scénario référence'!$B$16+'Scénario référence'!$B$17+'Scénario référence'!$B$18+'Scénario référence'!$B$9+'Scénario référence'!$B$10)*A161*10/30+('Scénario référence'!$F$8+'Scénario référence'!$F$9)*10)</f>
        <v>10</v>
      </c>
      <c r="GR161" s="151" t="str">
        <f>VLOOKUP(A161,'Données projet'!$A$269:$I$289,2,0)</f>
        <v>#N/A</v>
      </c>
      <c r="GS161" s="151" t="str">
        <f>VLOOKUP(A161,'Données projet'!$A$269:$I$289,9,0)</f>
        <v>#N/A</v>
      </c>
      <c r="GT161" s="151" t="str">
        <f t="array" ref="GT161">INDEX(GS:GS,MIN(IF(ISNUMBER(GS161:GS357),ROW(GS161:GS357),"")))</f>
        <v/>
      </c>
      <c r="GU161" s="151">
        <f>IF('Données projet'!$A$270&gt;35,GU160+GT161-HC160,IF(A161&lt;'Données projet'!$A$270,$GR$205^A161,IF(A161='Données projet'!$A$270,'Données projet'!$B$270,GU160+GT161-HC160)))</f>
        <v>0</v>
      </c>
      <c r="GV161" s="158" t="str">
        <f>GU161*VLOOKUP('Données projet'!$B$18,'Paramètres'!$A$1:$I$88,3,0)*VLOOKUP('Données projet'!$B$18,'Paramètres'!$A$1:$I$88,5,0)</f>
        <v>#N/A</v>
      </c>
      <c r="GW161" s="150" t="str">
        <f t="shared" si="52"/>
        <v>#N/A</v>
      </c>
      <c r="GX161" s="161" t="str">
        <f t="shared" si="29"/>
        <v>#N/A</v>
      </c>
      <c r="GY161" s="153" t="str">
        <f t="shared" si="30"/>
        <v>#N/A</v>
      </c>
      <c r="GZ161" s="153" t="str">
        <f>AVERAGE(OFFSET($GY$3,0,0,'Données projet'!$E$18+1,1))-AVERAGE(OFFSET($H$3,0,0,'Données projet'!$E$18+1,1))</f>
        <v>#N/A</v>
      </c>
      <c r="HA161" s="153" t="str">
        <f t="shared" si="53"/>
        <v>#N/A</v>
      </c>
      <c r="HB161" s="154">
        <f>IF(ISNA(VLOOKUP(A161,'Données projet'!$A$269:$I$289,3,0)),0,VLOOKUP(A161,'Données projet'!$A$269:$I$289,3,0))</f>
        <v>0</v>
      </c>
      <c r="HC161" s="154">
        <f>IF(ISNA(VLOOKUP(A161,'Données projet'!$A$269:$I$289,4,0)),0,VLOOKUP(A161,'Données projet'!$A$269:$I$289,4,0))</f>
        <v>0</v>
      </c>
      <c r="HD161" s="155">
        <f>IF(ISNA(VLOOKUP(A161,'Données projet'!$A$269:$I$289,5,0)),0%,VLOOKUP(A161,'Données projet'!$A$269:$I$289,5,0)*VLOOKUP('Données projet'!$B$18,'Paramètres'!$A$1:$I$88,7,0))</f>
        <v>0</v>
      </c>
      <c r="HE161" s="155">
        <f>IF(ISNA(VLOOKUP(A161,'Données projet'!$A$269:$I$289,6,0)),0%,VLOOKUP(A161,'Données projet'!$A$269:$I$289,6,0)*VLOOKUP('Données projet'!$B$18,'Paramètres'!$A$1:$I$88,7,0))</f>
        <v>0</v>
      </c>
      <c r="HF161" s="155">
        <f>IF(ISNA(VLOOKUP(A161,'Données projet'!$A$269:$I$289,7,0)),0%,VLOOKUP(A161,'Données projet'!$A$269:$I$289,7,0))</f>
        <v>0</v>
      </c>
      <c r="HG161" s="162" t="str">
        <f>EXP(-LN(2)/35)*HG160+(1-EXP(-LN(2)/35))/(LN(2)/35)*HC161*HD161*VLOOKUP('Données projet'!$B$18,'Paramètres'!$A$1:$I$88,3,0)*0.475*44/12</f>
        <v>#N/A</v>
      </c>
      <c r="HH161" s="162" t="str">
        <f>EXP(-LN(2)/25)*HH160+(1-EXP(-LN(2)/25))/(LN(2)/25)*Calculateur!HC161*Calculateur!HE161*VLOOKUP('Données projet'!$B$18,'Paramètres'!$A$1:$I$88,3,0)*0.475*44/12</f>
        <v>#N/A</v>
      </c>
      <c r="HI161" s="162" t="str">
        <f>EXP(-LN(2)/2)*HI160+(1-EXP(-LN(2)/2))/(LN(2)/2)*HC161*HF161*VLOOKUP('Données projet'!$B$18,'Paramètres'!$A$1:$I$88,3,0)*0.475*44/12</f>
        <v>#N/A</v>
      </c>
      <c r="HJ161" s="163" t="str">
        <f t="shared" si="31"/>
        <v>#N/A</v>
      </c>
    </row>
    <row r="162" ht="15.75" customHeight="1">
      <c r="A162" s="145">
        <f t="shared" si="32"/>
        <v>159</v>
      </c>
      <c r="B162" s="146">
        <f>'Scénario référence'!$B$16*5+'Scénario référence'!$B$17*0+'Scénario référence'!$B$18*5</f>
        <v>0</v>
      </c>
      <c r="C162" s="160">
        <f>Calculateur!C161+'Scénario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62" s="147">
        <f t="shared" si="33"/>
        <v>0</v>
      </c>
      <c r="E162" s="147">
        <f>'Scénario référence'!$B$16*45+('Scénario référence'!$B$17+'Scénario référence'!$F$8+'Scénario référence'!$F$9+'Scénario référence'!$B$10+'Scénario référence'!$B$9)*70+'Scénario référence'!$B$18*32</f>
        <v>70</v>
      </c>
      <c r="F162" s="147">
        <f>IF(OR('Scénario référence'!$F$8&gt;0,'Scénario référence'!$F$9&gt;0),('Scénario référence'!$F$8+'Scénario référence'!$F$9)*10,0)</f>
        <v>0</v>
      </c>
      <c r="G162" s="147">
        <f>'Scénario référence'!$B$8*B162*44/12+'Scénario référence'!$B$9*(C162+D162)/0.475*44/12+'Scénario référence'!$B$10*(C162+D162)/0.475*44/12+'Scénario référence'!$F$8*(C162+D162)/0.475*44/12+'Scénario référence'!$F$9*(C162+D162)/0.475*44/12</f>
        <v>0</v>
      </c>
      <c r="H162" s="148">
        <f t="shared" si="1"/>
        <v>256.6666667</v>
      </c>
      <c r="I162" s="149">
        <f>('Scénario référence'!$F$8+'Scénario référence'!$F$9+'Scénario référence'!$B$17+'Scénario référence'!$B$9+'Scénario référence'!$B$10)*70+IF((45+25*(1-EXP(-0.0175*A162)))&lt;70,'Scénario référence'!$B$16*(45+25*(1-EXP(-0.0175*A162))),70*'Scénario référence'!$B$16)+IF((32+38*(1-EXP(-0.0175*A162)))&lt;70,'Scénario référence'!$B$18*(32+38*(1-EXP(-0.0175*A162))),70*'Scénario référence'!$B$18)</f>
        <v>70</v>
      </c>
      <c r="J162" s="150">
        <f>IF(A162&gt;30,10,('Scénario référence'!$B$16+'Scénario référence'!$B$17+'Scénario référence'!$B$18+'Scénario référence'!$B$9+'Scénario référence'!$B$10)*A162*10/30+('Scénario référence'!$F$8+'Scénario référence'!$F$9)*10)</f>
        <v>10</v>
      </c>
      <c r="K162" s="151" t="str">
        <f>VLOOKUP(A162,'Données projet'!$A$35:$I$55,2,0)</f>
        <v>#N/A</v>
      </c>
      <c r="L162" s="151" t="str">
        <f>VLOOKUP(A162,'Données projet'!$A$35:$I$55,9,0)</f>
        <v>#N/A</v>
      </c>
      <c r="M162" s="151" t="str">
        <f t="array" ref="M162">INDEX(L:L,MIN(IF(ISNUMBER(L162:L358),ROW(L162:L358),"")))</f>
        <v/>
      </c>
      <c r="N162" s="150">
        <f>IF('Données projet'!$A$36&gt;35,N161+M162-V161,IF(A162&lt;'Données projet'!$A$36,$K$205^A162,IF(A162='Données projet'!$A$36,'Données projet'!$B$36,N161+M162-V161)))</f>
        <v>307</v>
      </c>
      <c r="O162" s="150">
        <f>N162*VLOOKUP('Données projet'!$B$9,'Paramètres'!$A$1:$I$88,3,0)*VLOOKUP('Données projet'!$B$9,'Paramètres'!$A$1:$I$88,5,0)</f>
        <v>277.7736</v>
      </c>
      <c r="P162" s="150">
        <f t="shared" si="34"/>
        <v>66.49628818</v>
      </c>
      <c r="Q162" s="161">
        <f t="shared" si="2"/>
        <v>599.6033886</v>
      </c>
      <c r="R162" s="153">
        <f t="shared" si="3"/>
        <v>892.9367219</v>
      </c>
      <c r="S162" s="153">
        <f>AVERAGE(OFFSET($R$3,0,0,'Données projet'!$E$9+1,1))-AVERAGE(OFFSET($H$3,0,0,'Données projet'!$E$9+1,1))</f>
        <v>439.1985427</v>
      </c>
      <c r="T162" s="153">
        <f t="shared" si="35"/>
        <v>278.2174123</v>
      </c>
      <c r="U162" s="154">
        <f>IF(ISNA(VLOOKUP(A162,'Données projet'!$A$35:$I$55,3,0)),0,VLOOKUP(A162,'Données projet'!$A$35:$I$55,3,0))</f>
        <v>0</v>
      </c>
      <c r="V162" s="154">
        <f>IF(ISNA(VLOOKUP(A162,'Données projet'!$A$35:$I$55,4,0)),0,VLOOKUP(A162,'Données projet'!$A$35:$I$55,4,0))</f>
        <v>0</v>
      </c>
      <c r="W162" s="155">
        <f>IF(ISNA(VLOOKUP(A162,'Données projet'!$A$35:$I$55,5,0)),0%,VLOOKUP(A162,'Données projet'!$A$35:$I$55,5,0)*VLOOKUP('Données projet'!$B$9,'Paramètres'!$A$1:$I$88,7,0))</f>
        <v>0</v>
      </c>
      <c r="X162" s="155">
        <f>IF(ISNA(VLOOKUP(A162,'Données projet'!$A$35:$I$55,6,0)),0%,VLOOKUP(A162,'Données projet'!$A$35:$I$55,6,0)*VLOOKUP('Données projet'!$B$9,'Paramètres'!$A$1:$I$88,7,0))</f>
        <v>0</v>
      </c>
      <c r="Y162" s="155">
        <f>IF(ISNA(VLOOKUP(A162,'Données projet'!$A$35:$I$55,7,0)),0%,VLOOKUP(A162,'Données projet'!$A$35:$I$55,7,0))</f>
        <v>0</v>
      </c>
      <c r="Z162" s="162">
        <f>EXP(-LN(2)/35)*Z161+(1-EXP(-LN(2)/35))/(LN(2)/35)*V162*W162*VLOOKUP('Données projet'!$B$9,'Paramètres'!$A$1:$I$88,3,0)*0.475*44/12</f>
        <v>0</v>
      </c>
      <c r="AA162" s="162">
        <f>EXP(-LN(2)/25)*AA161+(1-EXP(-LN(2)/25))/(LN(2)/25)*Calculateur!V162*Calculateur!X162*VLOOKUP('Données projet'!$B$9,'Paramètres'!$A$1:$I$88,3,0)*0.475*44/12</f>
        <v>0.1255155407</v>
      </c>
      <c r="AB162" s="162">
        <f>EXP(-LN(2)/2)*AB161+(1-EXP(-LN(2)/2))/(LN(2)/2)*V162*Y162*VLOOKUP('Données projet'!$B$9,'Paramètres'!$A$1:$I$88,3,0)*0.475*44/12</f>
        <v>0</v>
      </c>
      <c r="AC162" s="163">
        <f t="shared" si="4"/>
        <v>0.1255155407</v>
      </c>
      <c r="AD162" s="150">
        <f>('Scénario référence'!$F$8+'Scénario référence'!$F$9+'Scénario référence'!$B$17+'Scénario référence'!$B$9+'Scénario référence'!$B$10)*70+IF((45+25*(1-EXP(-0.0175*A162)))&lt;70,'Scénario référence'!$B$16*(45+25*(1-EXP(-0.0175*A162))),70*'Scénario référence'!$B$16)+IF((32+38*(1-EXP(-0.0175*A162)))&lt;70,'Scénario référence'!$B$18*(32+38*(1-EXP(-0.0175*A162))),70*'Scénario référence'!$B$18)</f>
        <v>70</v>
      </c>
      <c r="AE162" s="150">
        <f>IF(A162&gt;30,10,('Scénario référence'!$B$16+'Scénario référence'!$B$17+'Scénario référence'!$B$18+'Scénario référence'!$B$9+'Scénario référence'!$B$10)*A162*10/30+('Scénario référence'!$F$8+'Scénario référence'!$F$9)*10)</f>
        <v>10</v>
      </c>
      <c r="AF162" s="151" t="str">
        <f>VLOOKUP(A162,'Données projet'!$A$61:$I$81,2,0)</f>
        <v>#N/A</v>
      </c>
      <c r="AG162" s="151" t="str">
        <f>VLOOKUP(A162,'Données projet'!$A$61:$I$81,9,0)</f>
        <v>#N/A</v>
      </c>
      <c r="AH162" s="151" t="str">
        <f t="array" ref="AH162">INDEX(AG:AG,MIN(IF(ISNUMBER(AG162:AG358),ROW(AG162:AG358),"")))</f>
        <v/>
      </c>
      <c r="AI162" s="150">
        <f>IF('Données projet'!$A$62&gt;35,AI161+AH162-AQ161,IF(A162&lt;'Données projet'!$A$62,$AF$205^A162,IF(A162='Données projet'!$A$62,'Données projet'!$B$62,AI161+AH162-AQ161)))</f>
        <v>369</v>
      </c>
      <c r="AJ162" s="150">
        <f>AI162*VLOOKUP('Données projet'!$B$10,'Paramètres'!$A$1:$I$88,3,0)*VLOOKUP('Données projet'!$B$10,'Paramètres'!$A$1:$I$88,5,0)</f>
        <v>293.5764</v>
      </c>
      <c r="AK162" s="150">
        <f t="shared" si="36"/>
        <v>69.82813851</v>
      </c>
      <c r="AL162" s="161">
        <f t="shared" si="5"/>
        <v>632.9295712</v>
      </c>
      <c r="AM162" s="153">
        <f t="shared" si="6"/>
        <v>926.2629046</v>
      </c>
      <c r="AN162" s="153">
        <f>AVERAGE(OFFSET($AM$3,0,0,'Données projet'!$E$10+1,1))-AVERAGE(OFFSET($H$3,0,0,'Données projet'!$E$10+1,1))</f>
        <v>405.6113614</v>
      </c>
      <c r="AO162" s="153">
        <f t="shared" si="37"/>
        <v>393.0787141</v>
      </c>
      <c r="AP162" s="154">
        <f>IF(ISNA(VLOOKUP(A162,'Données projet'!$A$61:$I$81,3,0)),0,VLOOKUP(A162,'Données projet'!$A$61:$I$81,3,0))</f>
        <v>0</v>
      </c>
      <c r="AQ162" s="154">
        <f>IF(ISNA(VLOOKUP(A162,'Données projet'!$A$61:$I$81,4,0)),0,VLOOKUP(A162,'Données projet'!$A$61:$I$81,4,0))</f>
        <v>0</v>
      </c>
      <c r="AR162" s="155">
        <f>IF(ISNA(VLOOKUP(A162,'Données projet'!$A$61:$I$81,5,0)),0%,VLOOKUP(A162,'Données projet'!$A$61:$I$81,5,0)*VLOOKUP('Données projet'!$B$10,'Paramètres'!$A$1:$I$88,7,0))</f>
        <v>0</v>
      </c>
      <c r="AS162" s="155">
        <f>IF(ISNA(VLOOKUP(A162,'Données projet'!$A$61:$I$81,6,0)),0%,VLOOKUP(A162,'Données projet'!$A$61:$I$81,6,0)*VLOOKUP('Données projet'!$B$10,'Paramètres'!$A$1:$I$88,7,0))</f>
        <v>0</v>
      </c>
      <c r="AT162" s="155">
        <f>IF(ISNA(VLOOKUP(A162,'Données projet'!$A$61:$I$81,7,0)),0%,VLOOKUP(A162,'Données projet'!$A$61:$I$81,7,0))</f>
        <v>0</v>
      </c>
      <c r="AU162" s="162">
        <f>EXP(-LN(2)/35)*AU161+(1-EXP(-LN(2)/35))/(LN(2)/35)*AQ162*AR162*VLOOKUP('Données projet'!$B$10,'Paramètres'!$A$1:$I$88,3,0)*0.475*44/12</f>
        <v>0</v>
      </c>
      <c r="AV162" s="162">
        <f>EXP(-LN(2)/25)*AV161+(1-EXP(-LN(2)/25))/(LN(2)/25)*Calculateur!AQ162*Calculateur!AS162*VLOOKUP('Données projet'!$B$10,'Paramètres'!$A$1:$I$88,3,0)*0.475*44/12</f>
        <v>0.5101270648</v>
      </c>
      <c r="AW162" s="162">
        <f>EXP(-LN(2)/2)*AW161+(1-EXP(-LN(2)/2))/(LN(2)/2)*AQ162*AT162*VLOOKUP('Données projet'!$B$10,'Paramètres'!$A$1:$I$88,3,0)*0.475*44/12</f>
        <v>0</v>
      </c>
      <c r="AX162" s="162">
        <f t="shared" si="7"/>
        <v>0.5101270648</v>
      </c>
      <c r="AY162" s="157">
        <f>('Scénario référence'!$F$8+'Scénario référence'!$F$9+'Scénario référence'!$B$17+'Scénario référence'!$B$9+'Scénario référence'!$B$10)*70+IF((45+25*(1-EXP(-0.0175*A162)))&lt;70,'Scénario référence'!$B$16*(45+25*(1-EXP(-0.0175*A162))),70*'Scénario référence'!$B$16)+IF((32+38*(1-EXP(-0.0175*A162)))&lt;70,'Scénario référence'!$B$18*(32+38*(1-EXP(-0.0175*A162))),70*'Scénario référence'!$B$18)</f>
        <v>70</v>
      </c>
      <c r="AZ162" s="151">
        <f>IF(A162&gt;30,10,('Scénario référence'!$B$16+'Scénario référence'!$B$17+'Scénario référence'!$B$18+'Scénario référence'!$B$9+'Scénario référence'!$B$10)*A162*10/30+('Scénario référence'!$F$8+'Scénario référence'!$F$9)*10)</f>
        <v>10</v>
      </c>
      <c r="BA162" s="151" t="str">
        <f>VLOOKUP(A162,'Données projet'!$A$87:$I$107,2,0)</f>
        <v>#N/A</v>
      </c>
      <c r="BB162" s="151" t="str">
        <f>VLOOKUP(A162,'Données projet'!$A$87:$I$107,9,0)</f>
        <v>#N/A</v>
      </c>
      <c r="BC162" s="151" t="str">
        <f t="array" ref="BC162">INDEX(BB:BB,MIN(IF(ISNUMBER(BB162:BB358),ROW(BB162:BB358),"")))</f>
        <v/>
      </c>
      <c r="BD162" s="150">
        <f>IF('Données projet'!$A$88&gt;35,BD161+BC162-BL161,IF(A162&lt;'Données projet'!$A$88,$BA$205^A162,IF(A162='Données projet'!$A$88,'Données projet'!$B$88,BD161+BC162-BL161)))</f>
        <v>0</v>
      </c>
      <c r="BE162" s="150">
        <f>BD162*VLOOKUP('Données projet'!$B$11,'Paramètres'!$A$1:$I$88,3,0)*VLOOKUP('Données projet'!$B$11,'Paramètres'!$A$1:$I$88,5,0)</f>
        <v>0</v>
      </c>
      <c r="BF162" s="150" t="str">
        <f t="shared" si="38"/>
        <v>#NUM!</v>
      </c>
      <c r="BG162" s="161" t="str">
        <f t="shared" si="8"/>
        <v>#NUM!</v>
      </c>
      <c r="BH162" s="153" t="str">
        <f t="shared" si="9"/>
        <v>#NUM!</v>
      </c>
      <c r="BI162" s="153">
        <f>AVERAGE(OFFSET($BH$3,0,0,'Données projet'!$E$11+1,1))-AVERAGE(OFFSET($H$3,0,0,'Données projet'!$E$11+1,1))</f>
        <v>0</v>
      </c>
      <c r="BJ162" s="153">
        <f t="shared" si="39"/>
        <v>0</v>
      </c>
      <c r="BK162" s="154">
        <f>IF(ISNA(VLOOKUP(A162,'Données projet'!$A$87:$I$107,3,0)),0,VLOOKUP(A162,'Données projet'!$A$87:$I$107,3,0))</f>
        <v>0</v>
      </c>
      <c r="BL162" s="154">
        <f>IF(ISNA(VLOOKUP(A162,'Données projet'!$A$87:$I$107,4,0)),0,VLOOKUP(A162,'Données projet'!$A$87:$I$107,4,0))</f>
        <v>0</v>
      </c>
      <c r="BM162" s="155">
        <f>IF(ISNA(VLOOKUP(A162,'Données projet'!$A$87:$I$107,5,0)),0%,VLOOKUP(A162,'Données projet'!$A$87:$I$107,5,0)*VLOOKUP('Données projet'!$B$11,'Paramètres'!$A$1:$I$88,7,0))</f>
        <v>0</v>
      </c>
      <c r="BN162" s="155">
        <f>IF(ISNA(VLOOKUP(A162,'Données projet'!$A$87:$I$107,6,0)),0%,VLOOKUP(A162,'Données projet'!$A$87:$I$107,6,0)*VLOOKUP('Données projet'!$B$11,'Paramètres'!$A$1:$I$88,7,0))</f>
        <v>0</v>
      </c>
      <c r="BO162" s="155">
        <f>IF(ISNA(VLOOKUP(A162,'Données projet'!$A$87:$I$107,7,0)),0%,VLOOKUP(A162,'Données projet'!$A$87:$I$107,7,0))</f>
        <v>0</v>
      </c>
      <c r="BP162" s="162">
        <f>EXP(-LN(2)/35)*BP161+(1-EXP(-LN(2)/35))/(LN(2)/35)*BL162*BM162*VLOOKUP('Données projet'!$B$11,'Paramètres'!$A$1:$I$88,3,0)*0.475*44/12</f>
        <v>0</v>
      </c>
      <c r="BQ162" s="162">
        <f>EXP(-LN(2)/25)*BQ161+(1-EXP(-LN(2)/25))/(LN(2)/25)*Calculateur!BL162*Calculateur!BN162*VLOOKUP('Données projet'!$B$11,'Paramètres'!$A$1:$I$88,3,0)*0.475*44/12</f>
        <v>0</v>
      </c>
      <c r="BR162" s="162">
        <f>EXP(-LN(2)/2)*BR161+(1-EXP(-LN(2)/2))/(LN(2)/2)*BL162*BO162*VLOOKUP('Données projet'!$B$11,'Paramètres'!$A$1:$I$88,3,0)*0.475*44/12</f>
        <v>0</v>
      </c>
      <c r="BS162" s="163">
        <f t="shared" si="10"/>
        <v>0</v>
      </c>
      <c r="BT162" s="159">
        <f>('Scénario référence'!$F$8+'Scénario référence'!$F$9+'Scénario référence'!$B$17+'Scénario référence'!$B$9+'Scénario référence'!$B$10)*70+IF((45+25*(1-EXP(-0.0175*A162)))&lt;70,'Scénario référence'!$B$16*(45+25*(1-EXP(-0.0175*A162))),70*'Scénario référence'!$B$16)+IF((32+38*(1-EXP(-0.0175*A162)))&lt;70,'Scénario référence'!$B$18*(32+38*(1-EXP(-0.0175*A162))),70*'Scénario référence'!$B$18)</f>
        <v>70</v>
      </c>
      <c r="BU162" s="151">
        <f>IF(A162&gt;30,10,('Scénario référence'!$B$16+'Scénario référence'!$B$17+'Scénario référence'!$B$18+'Scénario référence'!$B$9+'Scénario référence'!$B$10)*A162*10/30+('Scénario référence'!$F$8+'Scénario référence'!$F$9)*10)</f>
        <v>10</v>
      </c>
      <c r="BV162" s="151" t="str">
        <f>VLOOKUP(A162,'Données projet'!$A$113:$I$133,2,0)</f>
        <v>#N/A</v>
      </c>
      <c r="BW162" s="151" t="str">
        <f>VLOOKUP(A162,'Données projet'!$A$113:$I$133,9,0)</f>
        <v>#N/A</v>
      </c>
      <c r="BX162" s="151" t="str">
        <f t="array" ref="BX162">INDEX(BW:BW,MIN(IF(ISNUMBER(BW162:BW358),ROW(BW162:BW358),"")))</f>
        <v/>
      </c>
      <c r="BY162" s="150">
        <f>IF('Données projet'!$A$114&gt;35,BY161+BX162-CG161,IF(A162&lt;'Données projet'!$A$114,$BV$205^A162,IF(A162='Données projet'!$A$114,'Données projet'!$B$114,BY161+BX162-CG161)))</f>
        <v>0</v>
      </c>
      <c r="BZ162" s="150" t="str">
        <f>BY162*VLOOKUP('Données projet'!$B$12,'Paramètres'!$A$1:$I$88,3,0)*VLOOKUP('Données projet'!$B$12,'Paramètres'!$A$1:$I$88,5,0)</f>
        <v>#N/A</v>
      </c>
      <c r="CA162" s="150" t="str">
        <f t="shared" si="40"/>
        <v>#N/A</v>
      </c>
      <c r="CB162" s="161" t="str">
        <f t="shared" si="11"/>
        <v>#N/A</v>
      </c>
      <c r="CC162" s="153" t="str">
        <f t="shared" si="12"/>
        <v>#N/A</v>
      </c>
      <c r="CD162" s="153" t="str">
        <f>AVERAGE(OFFSET($CC$3,0,0,'Données projet'!$E$12+1,1))-AVERAGE(OFFSET($H$3,0,0,'Données projet'!$E$12+1,1))</f>
        <v>#N/A</v>
      </c>
      <c r="CE162" s="153" t="str">
        <f t="shared" si="41"/>
        <v>#N/A</v>
      </c>
      <c r="CF162" s="154">
        <f>IF(ISNA(VLOOKUP(A162,'Données projet'!$A$113:$I$133,3,0)),0,VLOOKUP(A162,'Données projet'!$A$113:$I$133,3,0))</f>
        <v>0</v>
      </c>
      <c r="CG162" s="154">
        <f>IF(ISNA(VLOOKUP(A162,'Données projet'!$A$113:$I$133,4,0)),0,VLOOKUP(A162,'Données projet'!$A$113:$I$133,4,0))</f>
        <v>0</v>
      </c>
      <c r="CH162" s="155">
        <f>IF(ISNA(VLOOKUP(A162,'Données projet'!$A$113:$I$133,5,0)),0%,VLOOKUP(A162,'Données projet'!$A$113:$I$133,5,0)*VLOOKUP('Données projet'!$B$12,'Paramètres'!$A$1:$I$88,7,0))</f>
        <v>0</v>
      </c>
      <c r="CI162" s="155">
        <f>IF(ISNA(VLOOKUP(A162,'Données projet'!$A$113:$I$133,6,0)),0%,VLOOKUP(A162,'Données projet'!$A$113:$I$133,6,0)*VLOOKUP('Données projet'!$B$12,'Paramètres'!$A$1:$I$88,7,0))</f>
        <v>0</v>
      </c>
      <c r="CJ162" s="155">
        <f>IF(ISNA(VLOOKUP(A162,'Données projet'!$A$113:$I$133,7,0)),0%,VLOOKUP(A162,'Données projet'!$A$113:$I$133,7,0))</f>
        <v>0</v>
      </c>
      <c r="CK162" s="162" t="str">
        <f>EXP(-LN(2)/35)*CK161+(1-EXP(-LN(2)/35))/(LN(2)/35)*CG162*CH162*VLOOKUP('Données projet'!$B$12,'Paramètres'!$A$1:$I$88,3,0)*0.475*44/12</f>
        <v>#N/A</v>
      </c>
      <c r="CL162" s="162" t="str">
        <f>EXP(-LN(2)/25)*CL161+(1-EXP(-LN(2)/25))/(LN(2)/25)*Calculateur!CG162*Calculateur!CI162*VLOOKUP('Données projet'!$B$12,'Paramètres'!$A$1:$I$88,3,0)*0.475*44/12</f>
        <v>#N/A</v>
      </c>
      <c r="CM162" s="162" t="str">
        <f>EXP(-LN(2)/2)*CM161+(1-EXP(-LN(2)/2))/(LN(2)/2)*CG162*CJ162*VLOOKUP('Données projet'!$B$12,'Paramètres'!$A$1:$I$88,3,0)*0.475*44/12</f>
        <v>#N/A</v>
      </c>
      <c r="CN162" s="163" t="str">
        <f t="shared" si="13"/>
        <v>#N/A</v>
      </c>
      <c r="CO162" s="159">
        <f>('Scénario référence'!$F$8+'Scénario référence'!$F$9+'Scénario référence'!$B$17+'Scénario référence'!$B$9+'Scénario référence'!$B$10)*70+IF((45+25*(1-EXP(-0.0175*A162)))&lt;70,'Scénario référence'!$B$16*(45+25*(1-EXP(-0.0175*A162))),70*'Scénario référence'!$B$16)+IF((32+38*(1-EXP(-0.0175*A162)))&lt;70,'Scénario référence'!$B$18*(32+38*(1-EXP(-0.0175*A162))),70*'Scénario référence'!$B$18)</f>
        <v>70</v>
      </c>
      <c r="CP162" s="151">
        <f>IF(A162&gt;30,10,('Scénario référence'!$B$16+'Scénario référence'!$B$17+'Scénario référence'!$B$18+'Scénario référence'!$B$9+'Scénario référence'!$B$10)*A162*10/30+('Scénario référence'!$F$8+'Scénario référence'!$F$9)*10)</f>
        <v>10</v>
      </c>
      <c r="CQ162" s="151" t="str">
        <f>VLOOKUP(A162,'Données projet'!$A$139:$I$159,2,0)</f>
        <v>#N/A</v>
      </c>
      <c r="CR162" s="151" t="str">
        <f>VLOOKUP(A162,'Données projet'!$A$139:$I$159,9,0)</f>
        <v>#N/A</v>
      </c>
      <c r="CS162" s="151" t="str">
        <f t="array" ref="CS162">INDEX(CR:CR,MIN(IF(ISNUMBER(CR162:CR358),ROW(CR162:CR358),"")))</f>
        <v/>
      </c>
      <c r="CT162" s="151">
        <f>IF('Données projet'!$A$140&gt;35,CT161+CS162-DB161,IF(A162&lt;'Données projet'!$A$140,$CQ$205^A162,IF(A162='Données projet'!$A$140,'Données projet'!$B$140,CT161+CS162-DB161)))</f>
        <v>0</v>
      </c>
      <c r="CU162" s="158" t="str">
        <f>CT162*VLOOKUP('Données projet'!$B$13,'Paramètres'!$A$1:$I$88,3,0)*VLOOKUP('Données projet'!$B$13,'Paramètres'!$A$1:$I$88,5,0)</f>
        <v>#N/A</v>
      </c>
      <c r="CV162" s="150" t="str">
        <f t="shared" si="42"/>
        <v>#N/A</v>
      </c>
      <c r="CW162" s="161" t="str">
        <f t="shared" si="14"/>
        <v>#N/A</v>
      </c>
      <c r="CX162" s="153" t="str">
        <f t="shared" si="15"/>
        <v>#N/A</v>
      </c>
      <c r="CY162" s="153" t="str">
        <f>AVERAGE(OFFSET($CX$3,0,0,'Données projet'!$E$13+1,1))-AVERAGE(OFFSET($H$3,0,0,'Données projet'!$E$13+1,1))</f>
        <v>#N/A</v>
      </c>
      <c r="CZ162" s="153" t="str">
        <f t="shared" si="43"/>
        <v>#N/A</v>
      </c>
      <c r="DA162" s="154">
        <f>IF(ISNA(VLOOKUP(A162,'Données projet'!$A$139:$I$159,3,0)),0,VLOOKUP(A162,'Données projet'!$A$139:$I$159,3,0))</f>
        <v>0</v>
      </c>
      <c r="DB162" s="154">
        <f>IF(ISNA(VLOOKUP(A162,'Données projet'!$A$139:$I$159,4,0)),0,VLOOKUP(A162,'Données projet'!$A$139:$I$159,4,0))</f>
        <v>0</v>
      </c>
      <c r="DC162" s="155">
        <f>IF(ISNA(VLOOKUP(A162,'Données projet'!$A$139:$I$159,5,0)),0%,VLOOKUP(A162,'Données projet'!$A$139:$I$159,5,0)*VLOOKUP('Données projet'!$B$13,'Paramètres'!$A$1:$I$88,7,0))</f>
        <v>0</v>
      </c>
      <c r="DD162" s="155">
        <f>IF(ISNA(VLOOKUP(A162,'Données projet'!$A$139:$I$159,6,0)),0%,VLOOKUP(A162,'Données projet'!$A$139:$I$159,6,0)*VLOOKUP('Données projet'!$B$13,'Paramètres'!$A$1:$I$88,7,0))</f>
        <v>0</v>
      </c>
      <c r="DE162" s="155">
        <f>IF(ISNA(VLOOKUP(A162,'Données projet'!$A$139:$I$159,7,0)),0%,VLOOKUP(A162,'Données projet'!$A$139:$I$159,7,0))</f>
        <v>0</v>
      </c>
      <c r="DF162" s="162" t="str">
        <f>EXP(-LN(2)/35)*DF161+(1-EXP(-LN(2)/35))/(LN(2)/35)*DB162*DC162*VLOOKUP('Données projet'!$B$13,'Paramètres'!$A$1:$I$88,3,0)*0.475*44/12</f>
        <v>#N/A</v>
      </c>
      <c r="DG162" s="162" t="str">
        <f>EXP(-LN(2)/25)*DG161+(1-EXP(-LN(2)/25))/(LN(2)/25)*Calculateur!DB162*Calculateur!DD162*VLOOKUP('Données projet'!$B$13,'Paramètres'!$A$1:$I$88,3,0)*0.475*44/12</f>
        <v>#N/A</v>
      </c>
      <c r="DH162" s="162" t="str">
        <f>EXP(-LN(2)/2)*DH161+(1-EXP(-LN(2)/2))/(LN(2)/2)*DB162*DE162*VLOOKUP('Données projet'!$B$13,'Paramètres'!$A$1:$I$88,3,0)*0.475*44/12</f>
        <v>#N/A</v>
      </c>
      <c r="DI162" s="163" t="str">
        <f t="shared" si="16"/>
        <v>#N/A</v>
      </c>
      <c r="DJ162" s="159">
        <f>('Scénario référence'!$F$8+'Scénario référence'!$F$9+'Scénario référence'!$B$17+'Scénario référence'!$B$9+'Scénario référence'!$B$10)*70+IF((45+25*(1-EXP(-0.0175*A162)))&lt;70,'Scénario référence'!$B$16*(45+25*(1-EXP(-0.0175*A162))),70*'Scénario référence'!$B$16)+IF((32+38*(1-EXP(-0.0175*A162)))&lt;70,'Scénario référence'!$B$18*(32+38*(1-EXP(-0.0175*A162))),70*'Scénario référence'!$B$18)</f>
        <v>70</v>
      </c>
      <c r="DK162" s="151">
        <f>IF(A162&gt;30,10,('Scénario référence'!$B$16+'Scénario référence'!$B$17+'Scénario référence'!$B$18+'Scénario référence'!$B$9+'Scénario référence'!$B$10)*A162*10/30+('Scénario référence'!$F$8+'Scénario référence'!$F$9)*10)</f>
        <v>10</v>
      </c>
      <c r="DL162" s="151" t="str">
        <f>VLOOKUP(A162,'Données projet'!$A$165:$I$185,2,0)</f>
        <v>#N/A</v>
      </c>
      <c r="DM162" s="151" t="str">
        <f>VLOOKUP(A162,'Données projet'!$A$165:$I$185,9,0)</f>
        <v>#N/A</v>
      </c>
      <c r="DN162" s="151" t="str">
        <f t="array" ref="DN162">INDEX(DM:DM,MIN(IF(ISNUMBER(DM162:DM358),ROW(DM162:DM358),"")))</f>
        <v/>
      </c>
      <c r="DO162" s="151">
        <f>IF('Données projet'!$A$166&gt;35,DO161+DN162-DW161,IF(A162&lt;'Données projet'!$A$166,$DL$205^A162,IF(A162='Données projet'!$A$166,'Données projet'!$B$166,DO161+DN162-DW161)))</f>
        <v>0</v>
      </c>
      <c r="DP162" s="158" t="str">
        <f>DO162*VLOOKUP('Données projet'!$B$14,'Paramètres'!$A$1:$I$88,3,0)*VLOOKUP('Données projet'!$B$14,'Paramètres'!$A$1:$I$88,5,0)</f>
        <v>#N/A</v>
      </c>
      <c r="DQ162" s="150" t="str">
        <f t="shared" si="44"/>
        <v>#N/A</v>
      </c>
      <c r="DR162" s="161" t="str">
        <f t="shared" si="17"/>
        <v>#N/A</v>
      </c>
      <c r="DS162" s="153" t="str">
        <f t="shared" si="18"/>
        <v>#N/A</v>
      </c>
      <c r="DT162" s="153" t="str">
        <f>AVERAGE(OFFSET($DS$3,0,0,'Données projet'!$E$14+1,1))-AVERAGE(OFFSET($H$3,0,0,'Données projet'!$E$14+1,1))</f>
        <v>#N/A</v>
      </c>
      <c r="DU162" s="153" t="str">
        <f t="shared" si="45"/>
        <v>#N/A</v>
      </c>
      <c r="DV162" s="154">
        <f>IF(ISNA(VLOOKUP(A162,'Données projet'!$A$165:$I$185,3,0)),0,VLOOKUP(A162,'Données projet'!$A$165:$I$185,3,0))</f>
        <v>0</v>
      </c>
      <c r="DW162" s="154">
        <f>IF(ISNA(VLOOKUP(A162,'Données projet'!$A$165:$I$185,4,0)),0,VLOOKUP(A162,'Données projet'!$A$165:$I$185,4,0))</f>
        <v>0</v>
      </c>
      <c r="DX162" s="155">
        <f>IF(ISNA(VLOOKUP(A162,'Données projet'!$A$165:$I$185,5,0)),0%,VLOOKUP(A162,'Données projet'!$A$165:$I$185,5,0)*VLOOKUP('Données projet'!$B$14,'Paramètres'!$A$1:$I$88,7,0))</f>
        <v>0</v>
      </c>
      <c r="DY162" s="155">
        <f>IF(ISNA(VLOOKUP(A162,'Données projet'!$A$165:$I$185,6,0)),0%,VLOOKUP(A162,'Données projet'!$A$165:$I$185,6,0)*VLOOKUP('Données projet'!$B$14,'Paramètres'!$A$1:$I$88,7,0))</f>
        <v>0</v>
      </c>
      <c r="DZ162" s="155">
        <f>IF(ISNA(VLOOKUP(A162,'Données projet'!$A$165:$I$185,7,0)),0%,VLOOKUP(A162,'Données projet'!$A$165:$I$185,7,0))</f>
        <v>0</v>
      </c>
      <c r="EA162" s="162" t="str">
        <f>EXP(-LN(2)/35)*EA161+(1-EXP(-LN(2)/35))/(LN(2)/35)*DW162*DX162*VLOOKUP('Données projet'!$B$14,'Paramètres'!$A$1:$I$88,3,0)*0.475*44/12</f>
        <v>#N/A</v>
      </c>
      <c r="EB162" s="162" t="str">
        <f>EXP(-LN(2)/25)*EB161+(1-EXP(-LN(2)/25))/(LN(2)/25)*Calculateur!DW162*Calculateur!DY162*VLOOKUP('Données projet'!$B$14,'Paramètres'!$A$1:$I$88,3,0)*0.475*44/12</f>
        <v>#N/A</v>
      </c>
      <c r="EC162" s="162" t="str">
        <f>EXP(-LN(2)/2)*EC161+(1-EXP(-LN(2)/2))/(LN(2)/2)*DW162*DZ162*VLOOKUP('Données projet'!$B$14,'Paramètres'!$A$1:$I$88,3,0)*0.475*44/12</f>
        <v>#N/A</v>
      </c>
      <c r="ED162" s="163" t="str">
        <f t="shared" si="19"/>
        <v>#N/A</v>
      </c>
      <c r="EE162" s="159">
        <f>('Scénario référence'!$F$8+'Scénario référence'!$F$9+'Scénario référence'!$B$17+'Scénario référence'!$B$9+'Scénario référence'!$B$10)*70+IF((45+25*(1-EXP(-0.0175*A162)))&lt;70,'Scénario référence'!$B$16*(45+25*(1-EXP(-0.0175*A162))),70*'Scénario référence'!$B$16)+IF((32+38*(1-EXP(-0.0175*A162)))&lt;70,'Scénario référence'!$B$18*(32+38*(1-EXP(-0.0175*A162))),70*'Scénario référence'!$B$18)</f>
        <v>70</v>
      </c>
      <c r="EF162" s="151">
        <f>IF(A162&gt;30,10,('Scénario référence'!$B$16+'Scénario référence'!$B$17+'Scénario référence'!$B$18+'Scénario référence'!$B$9+'Scénario référence'!$B$10)*A162*10/30+('Scénario référence'!$F$8+'Scénario référence'!$F$9)*10)</f>
        <v>10</v>
      </c>
      <c r="EG162" s="151" t="str">
        <f>VLOOKUP(A162,'Données projet'!$A$191:$I$211,2,0)</f>
        <v>#N/A</v>
      </c>
      <c r="EH162" s="151" t="str">
        <f>VLOOKUP(A162,'Données projet'!$A$191:$I$211,9,0)</f>
        <v>#N/A</v>
      </c>
      <c r="EI162" s="151" t="str">
        <f t="array" ref="EI162">INDEX(EH:EH,MIN(IF(ISNUMBER(EH162:EH358),ROW(EH162:EH358),"")))</f>
        <v/>
      </c>
      <c r="EJ162" s="151">
        <f>IF('Données projet'!$A$192&gt;35,EJ161+EI162-ER161,IF(A162&lt;'Données projet'!$A$192,$EG$205^A162,IF(A162='Données projet'!$A$192,'Données projet'!$B$192,EJ161+EI162-ER161)))</f>
        <v>0</v>
      </c>
      <c r="EK162" s="158" t="str">
        <f>EJ162*VLOOKUP('Données projet'!$B$15,'Paramètres'!$A$1:$I$88,3,0)*VLOOKUP('Données projet'!$B$15,'Paramètres'!$A$1:$I$88,5,0)</f>
        <v>#N/A</v>
      </c>
      <c r="EL162" s="150" t="str">
        <f t="shared" si="46"/>
        <v>#N/A</v>
      </c>
      <c r="EM162" s="161" t="str">
        <f t="shared" si="20"/>
        <v>#N/A</v>
      </c>
      <c r="EN162" s="153" t="str">
        <f t="shared" si="21"/>
        <v>#N/A</v>
      </c>
      <c r="EO162" s="153" t="str">
        <f>AVERAGE(OFFSET($EN$3,0,0,'Données projet'!$E$15+1,1))-AVERAGE(OFFSET($H$3,0,0,'Données projet'!$E$15+1,1))</f>
        <v>#N/A</v>
      </c>
      <c r="EP162" s="153" t="str">
        <f t="shared" si="47"/>
        <v>#N/A</v>
      </c>
      <c r="EQ162" s="154">
        <f>IF(ISNA(VLOOKUP(A162,'Données projet'!$A$191:$I$211,3,0)),0,VLOOKUP(A162,'Données projet'!$A$191:$I$211,3,0))</f>
        <v>0</v>
      </c>
      <c r="ER162" s="154">
        <f>IF(ISNA(VLOOKUP(A162,'Données projet'!$A$191:$I$211,4,0)),0,VLOOKUP(A162,'Données projet'!$A$191:$I$211,4,0))</f>
        <v>0</v>
      </c>
      <c r="ES162" s="155">
        <f>IF(ISNA(VLOOKUP(A162,'Données projet'!$A$191:$I$211,5,0)),0%,VLOOKUP(A162,'Données projet'!$A$191:$I$211,5,0)*VLOOKUP('Données projet'!$B$15,'Paramètres'!$A$1:$I$88,7,0))</f>
        <v>0</v>
      </c>
      <c r="ET162" s="155">
        <f>IF(ISNA(VLOOKUP(A162,'Données projet'!$A$191:$I$211,6,0)),0%,VLOOKUP(A162,'Données projet'!$A$191:$I$211,6,0)*VLOOKUP('Données projet'!$B$15,'Paramètres'!$A$1:$I$88,7,0))</f>
        <v>0</v>
      </c>
      <c r="EU162" s="155">
        <f>IF(ISNA(VLOOKUP(A162,'Données projet'!$A$191:$I$211,7,0)),0%,VLOOKUP(A162,'Données projet'!$A$191:$I$211,7,0))</f>
        <v>0</v>
      </c>
      <c r="EV162" s="162" t="str">
        <f>EXP(-LN(2)/35)*EV161+(1-EXP(-LN(2)/35))/(LN(2)/35)*ER162*ES162*VLOOKUP('Données projet'!$B$15,'Paramètres'!$A$1:$I$88,3,0)*0.475*44/12</f>
        <v>#N/A</v>
      </c>
      <c r="EW162" s="162" t="str">
        <f>EXP(-LN(2)/25)*EW161+(1-EXP(-LN(2)/25))/(LN(2)/25)*Calculateur!ER162*Calculateur!ET162*VLOOKUP('Données projet'!$B$15,'Paramètres'!$A$1:$I$88,3,0)*0.475*44/12</f>
        <v>#N/A</v>
      </c>
      <c r="EX162" s="162" t="str">
        <f>EXP(-LN(2)/2)*EX161+(1-EXP(-LN(2)/2))/(LN(2)/2)*ER162*EU162*VLOOKUP('Données projet'!$B$15,'Paramètres'!$A$1:$I$88,3,0)*0.475*44/12</f>
        <v>#N/A</v>
      </c>
      <c r="EY162" s="163" t="str">
        <f t="shared" si="22"/>
        <v>#N/A</v>
      </c>
      <c r="EZ162" s="159">
        <f>('Scénario référence'!$F$8+'Scénario référence'!$F$9+'Scénario référence'!$B$17+'Scénario référence'!$B$9+'Scénario référence'!$B$10)*70+IF((45+25*(1-EXP(-0.0175*A162)))&lt;70,'Scénario référence'!$B$16*(45+25*(1-EXP(-0.0175*A162))),70*'Scénario référence'!$B$16)+IF((32+38*(1-EXP(-0.0175*A162)))&lt;70,'Scénario référence'!$B$18*(32+38*(1-EXP(-0.0175*A162))),70*'Scénario référence'!$B$18)</f>
        <v>70</v>
      </c>
      <c r="FA162" s="151">
        <f>IF(A162&gt;30,10,('Scénario référence'!$B$16+'Scénario référence'!$B$17+'Scénario référence'!$B$18+'Scénario référence'!$B$9+'Scénario référence'!$B$10)*A162*10/30+('Scénario référence'!$F$8+'Scénario référence'!$F$9)*10)</f>
        <v>10</v>
      </c>
      <c r="FB162" s="151" t="str">
        <f>VLOOKUP(A162,'Données projet'!$A$217:$I$237,2,0)</f>
        <v>#N/A</v>
      </c>
      <c r="FC162" s="151" t="str">
        <f>VLOOKUP(A162,'Données projet'!$A$217:$I$237,9,0)</f>
        <v>#N/A</v>
      </c>
      <c r="FD162" s="151" t="str">
        <f t="array" ref="FD162">INDEX(FC:FC,MIN(IF(ISNUMBER(FC162:FC358),ROW(FC162:FC358),"")))</f>
        <v/>
      </c>
      <c r="FE162" s="151">
        <f>IF('Données projet'!$A$218&gt;35,FE161+FD162-FM161,IF(A162&lt;'Données projet'!$A$218,$FB$205^A162,IF(A162='Données projet'!$A$218,'Données projet'!$B$218,FE161+FD162-FM161)))</f>
        <v>0</v>
      </c>
      <c r="FF162" s="158" t="str">
        <f>FE162*VLOOKUP('Données projet'!$B$16,'Paramètres'!$A$1:$I$88,3,0)*VLOOKUP('Données projet'!$B$16,'Paramètres'!$A$1:$I$88,5,0)</f>
        <v>#N/A</v>
      </c>
      <c r="FG162" s="150" t="str">
        <f t="shared" si="48"/>
        <v>#N/A</v>
      </c>
      <c r="FH162" s="161" t="str">
        <f t="shared" si="23"/>
        <v>#N/A</v>
      </c>
      <c r="FI162" s="153" t="str">
        <f t="shared" si="24"/>
        <v>#N/A</v>
      </c>
      <c r="FJ162" s="153" t="str">
        <f>AVERAGE(OFFSET($FI$3,0,0,'Données projet'!$E$16+1,1))-AVERAGE(OFFSET($H$3,0,0,'Données projet'!$E$16+1,1))</f>
        <v>#N/A</v>
      </c>
      <c r="FK162" s="153" t="str">
        <f t="shared" si="49"/>
        <v>#N/A</v>
      </c>
      <c r="FL162" s="154">
        <f>IF(ISNA(VLOOKUP(A162,'Données projet'!$A$217:$I$237,3,0)),0,VLOOKUP(A162,'Données projet'!$A$217:$I$237,3,0))</f>
        <v>0</v>
      </c>
      <c r="FM162" s="154">
        <f>IF(ISNA(VLOOKUP(A162,'Données projet'!$A$217:$I$237,4,0)),0,VLOOKUP(A162,'Données projet'!$A$217:$I$237,4,0))</f>
        <v>0</v>
      </c>
      <c r="FN162" s="155">
        <f>IF(ISNA(VLOOKUP(A162,'Données projet'!$A$217:$I$237,5,0)),0%,VLOOKUP(A162,'Données projet'!$A$217:$I$237,5,0)*VLOOKUP('Données projet'!$B$16,'Paramètres'!$A$1:$I$88,7,0))</f>
        <v>0</v>
      </c>
      <c r="FO162" s="155">
        <f>IF(ISNA(VLOOKUP(A162,'Données projet'!$A$217:$I$237,6,0)),0%,VLOOKUP(A162,'Données projet'!$A$217:$I$237,6,0)*VLOOKUP('Données projet'!$B$16,'Paramètres'!$A$1:$I$88,7,0))</f>
        <v>0</v>
      </c>
      <c r="FP162" s="155">
        <f>IF(ISNA(VLOOKUP(A162,'Données projet'!$A$217:$I$237,7,0)),0%,VLOOKUP(A162,'Données projet'!$A$217:$I$237,7,0))</f>
        <v>0</v>
      </c>
      <c r="FQ162" s="162" t="str">
        <f>EXP(-LN(2)/35)*FQ161+(1-EXP(-LN(2)/35))/(LN(2)/35)*FM162*FN162*VLOOKUP('Données projet'!$B$16,'Paramètres'!$A$1:$I$88,3,0)*0.475*44/12</f>
        <v>#N/A</v>
      </c>
      <c r="FR162" s="162" t="str">
        <f>EXP(-LN(2)/25)*FR161+(1-EXP(-LN(2)/25))/(LN(2)/25)*Calculateur!FM162*Calculateur!FO162*VLOOKUP('Données projet'!$B$16,'Paramètres'!$A$1:$I$88,3,0)*0.475*44/12</f>
        <v>#N/A</v>
      </c>
      <c r="FS162" s="162" t="str">
        <f>EXP(-LN(2)/2)*FS161+(1-EXP(-LN(2)/2))/(LN(2)/2)*FM162*FP162*VLOOKUP('Données projet'!$B$16,'Paramètres'!$A$1:$I$88,3,0)*0.475*44/12</f>
        <v>#N/A</v>
      </c>
      <c r="FT162" s="163" t="str">
        <f t="shared" si="25"/>
        <v>#N/A</v>
      </c>
      <c r="FU162" s="159">
        <f>('Scénario référence'!$F$8+'Scénario référence'!$F$9+'Scénario référence'!$B$17+'Scénario référence'!$B$9+'Scénario référence'!$B$10)*70+IF((45+25*(1-EXP(-0.0175*A162)))&lt;70,'Scénario référence'!$B$16*(45+25*(1-EXP(-0.0175*A162))),70*'Scénario référence'!$B$16)+IF((32+38*(1-EXP(-0.0175*A162)))&lt;70,'Scénario référence'!$B$18*(32+38*(1-EXP(-0.0175*A162))),70*'Scénario référence'!$B$18)</f>
        <v>70</v>
      </c>
      <c r="FV162" s="151">
        <f>IF(A162&gt;30,10,('Scénario référence'!$B$16+'Scénario référence'!$B$17+'Scénario référence'!$B$18+'Scénario référence'!$B$9+'Scénario référence'!$B$10)*A162*10/30+('Scénario référence'!$F$8+'Scénario référence'!$F$9)*10)</f>
        <v>10</v>
      </c>
      <c r="FW162" s="151" t="str">
        <f>VLOOKUP(A162,'Données projet'!$A$243:$I$263,2,0)</f>
        <v>#N/A</v>
      </c>
      <c r="FX162" s="151" t="str">
        <f>VLOOKUP(A162,'Données projet'!$A$243:$I$263,9,0)</f>
        <v>#N/A</v>
      </c>
      <c r="FY162" s="151" t="str">
        <f t="array" ref="FY162">INDEX(FX:FX,MIN(IF(ISNUMBER(FX162:FX358),ROW(FX162:FX358),"")))</f>
        <v/>
      </c>
      <c r="FZ162" s="151">
        <f>IF('Données projet'!$A$244&gt;35,FZ161+FY162-GH161,IF(A162&lt;'Données projet'!$A$244,$FW$205^A162,IF(A162='Données projet'!$A$244,'Données projet'!$B$244,FZ161+FY162-GH161)))</f>
        <v>0</v>
      </c>
      <c r="GA162" s="158" t="str">
        <f>FZ162*VLOOKUP('Données projet'!$B$17,'Paramètres'!$A$1:$I$88,3,0)*VLOOKUP('Données projet'!$B$17,'Paramètres'!$A$1:$I$88,5,0)</f>
        <v>#N/A</v>
      </c>
      <c r="GB162" s="150" t="str">
        <f t="shared" si="50"/>
        <v>#N/A</v>
      </c>
      <c r="GC162" s="161" t="str">
        <f t="shared" si="26"/>
        <v>#N/A</v>
      </c>
      <c r="GD162" s="153" t="str">
        <f t="shared" si="27"/>
        <v>#N/A</v>
      </c>
      <c r="GE162" s="153" t="str">
        <f>AVERAGE(OFFSET($GD$3,0,0,'Données projet'!$E$17+1,1))-AVERAGE(OFFSET($H$3,0,0,'Données projet'!$E$17+1,1))</f>
        <v>#N/A</v>
      </c>
      <c r="GF162" s="153" t="str">
        <f t="shared" si="51"/>
        <v>#N/A</v>
      </c>
      <c r="GG162" s="154">
        <f>IF(ISNA(VLOOKUP(A162,'Données projet'!$A$243:$I$263,3,0)),0,VLOOKUP(A162,'Données projet'!$A$243:$I$263,3,0))</f>
        <v>0</v>
      </c>
      <c r="GH162" s="154">
        <f>IF(ISNA(VLOOKUP(A162,'Données projet'!$A$243:$I$263,4,0)),0,VLOOKUP(A162,'Données projet'!$A$243:$I$263,4,0))</f>
        <v>0</v>
      </c>
      <c r="GI162" s="155">
        <f>IF(ISNA(VLOOKUP(A162,'Données projet'!$A$243:$I$263,5,0)),0%,VLOOKUP(A162,'Données projet'!$A$243:$I$263,5,0)*VLOOKUP('Données projet'!$B$17,'Paramètres'!$A$1:$I$88,7,0))</f>
        <v>0</v>
      </c>
      <c r="GJ162" s="155">
        <f>IF(ISNA(VLOOKUP(A162,'Données projet'!$A$243:$I$263,6,0)),0%,VLOOKUP(A162,'Données projet'!$A$243:$I$263,6,0)*VLOOKUP('Données projet'!$B$17,'Paramètres'!$A$1:$I$88,7,0))</f>
        <v>0</v>
      </c>
      <c r="GK162" s="155">
        <f>IF(ISNA(VLOOKUP(A162,'Données projet'!$A$243:$I$263,7,0)),0%,VLOOKUP(A162,'Données projet'!$A$243:$I$263,7,0))</f>
        <v>0</v>
      </c>
      <c r="GL162" s="162" t="str">
        <f>EXP(-LN(2)/35)*GL161+(1-EXP(-LN(2)/35))/(LN(2)/35)*GH162*GI162*VLOOKUP('Données projet'!$B$17,'Paramètres'!$A$1:$I$88,3,0)*0.475*44/12</f>
        <v>#N/A</v>
      </c>
      <c r="GM162" s="162" t="str">
        <f>EXP(-LN(2)/25)*GM161+(1-EXP(-LN(2)/25))/(LN(2)/25)*Calculateur!GH162*Calculateur!GJ162*VLOOKUP('Données projet'!$B$17,'Paramètres'!$A$1:$I$88,3,0)*0.475*44/12</f>
        <v>#N/A</v>
      </c>
      <c r="GN162" s="162" t="str">
        <f>EXP(-LN(2)/2)*GN161+(1-EXP(-LN(2)/2))/(LN(2)/2)*GH162*GK162*VLOOKUP('Données projet'!$B$17,'Paramètres'!$A$1:$I$88,3,0)*0.475*44/12</f>
        <v>#N/A</v>
      </c>
      <c r="GO162" s="162" t="str">
        <f t="shared" si="28"/>
        <v>#N/A</v>
      </c>
      <c r="GP162" s="159">
        <f>('Scénario référence'!$F$8+'Scénario référence'!$F$9+'Scénario référence'!$B$17+'Scénario référence'!$B$9+'Scénario référence'!$B$10)*70+IF((45+25*(1-EXP(-0.0175*A162)))&lt;70,'Scénario référence'!$B$16*(45+25*(1-EXP(-0.0175*A162))),70*'Scénario référence'!$B$16)+IF((32+38*(1-EXP(-0.0175*A162)))&lt;70,'Scénario référence'!$B$18*(32+38*(1-EXP(-0.0175*A162))),70*'Scénario référence'!$B$18)</f>
        <v>70</v>
      </c>
      <c r="GQ162" s="151">
        <f>IF(A162&gt;30,10,('Scénario référence'!$B$16+'Scénario référence'!$B$17+'Scénario référence'!$B$18+'Scénario référence'!$B$9+'Scénario référence'!$B$10)*A162*10/30+('Scénario référence'!$F$8+'Scénario référence'!$F$9)*10)</f>
        <v>10</v>
      </c>
      <c r="GR162" s="151" t="str">
        <f>VLOOKUP(A162,'Données projet'!$A$269:$I$289,2,0)</f>
        <v>#N/A</v>
      </c>
      <c r="GS162" s="151" t="str">
        <f>VLOOKUP(A162,'Données projet'!$A$269:$I$289,9,0)</f>
        <v>#N/A</v>
      </c>
      <c r="GT162" s="151" t="str">
        <f t="array" ref="GT162">INDEX(GS:GS,MIN(IF(ISNUMBER(GS162:GS358),ROW(GS162:GS358),"")))</f>
        <v/>
      </c>
      <c r="GU162" s="151">
        <f>IF('Données projet'!$A$270&gt;35,GU161+GT162-HC161,IF(A162&lt;'Données projet'!$A$270,$GR$205^A162,IF(A162='Données projet'!$A$270,'Données projet'!$B$270,GU161+GT162-HC161)))</f>
        <v>0</v>
      </c>
      <c r="GV162" s="158" t="str">
        <f>GU162*VLOOKUP('Données projet'!$B$18,'Paramètres'!$A$1:$I$88,3,0)*VLOOKUP('Données projet'!$B$18,'Paramètres'!$A$1:$I$88,5,0)</f>
        <v>#N/A</v>
      </c>
      <c r="GW162" s="150" t="str">
        <f t="shared" si="52"/>
        <v>#N/A</v>
      </c>
      <c r="GX162" s="161" t="str">
        <f t="shared" si="29"/>
        <v>#N/A</v>
      </c>
      <c r="GY162" s="153" t="str">
        <f t="shared" si="30"/>
        <v>#N/A</v>
      </c>
      <c r="GZ162" s="153" t="str">
        <f>AVERAGE(OFFSET($GY$3,0,0,'Données projet'!$E$18+1,1))-AVERAGE(OFFSET($H$3,0,0,'Données projet'!$E$18+1,1))</f>
        <v>#N/A</v>
      </c>
      <c r="HA162" s="153" t="str">
        <f t="shared" si="53"/>
        <v>#N/A</v>
      </c>
      <c r="HB162" s="154">
        <f>IF(ISNA(VLOOKUP(A162,'Données projet'!$A$269:$I$289,3,0)),0,VLOOKUP(A162,'Données projet'!$A$269:$I$289,3,0))</f>
        <v>0</v>
      </c>
      <c r="HC162" s="154">
        <f>IF(ISNA(VLOOKUP(A162,'Données projet'!$A$269:$I$289,4,0)),0,VLOOKUP(A162,'Données projet'!$A$269:$I$289,4,0))</f>
        <v>0</v>
      </c>
      <c r="HD162" s="155">
        <f>IF(ISNA(VLOOKUP(A162,'Données projet'!$A$269:$I$289,5,0)),0%,VLOOKUP(A162,'Données projet'!$A$269:$I$289,5,0)*VLOOKUP('Données projet'!$B$18,'Paramètres'!$A$1:$I$88,7,0))</f>
        <v>0</v>
      </c>
      <c r="HE162" s="155">
        <f>IF(ISNA(VLOOKUP(A162,'Données projet'!$A$269:$I$289,6,0)),0%,VLOOKUP(A162,'Données projet'!$A$269:$I$289,6,0)*VLOOKUP('Données projet'!$B$18,'Paramètres'!$A$1:$I$88,7,0))</f>
        <v>0</v>
      </c>
      <c r="HF162" s="155">
        <f>IF(ISNA(VLOOKUP(A162,'Données projet'!$A$269:$I$289,7,0)),0%,VLOOKUP(A162,'Données projet'!$A$269:$I$289,7,0))</f>
        <v>0</v>
      </c>
      <c r="HG162" s="162" t="str">
        <f>EXP(-LN(2)/35)*HG161+(1-EXP(-LN(2)/35))/(LN(2)/35)*HC162*HD162*VLOOKUP('Données projet'!$B$18,'Paramètres'!$A$1:$I$88,3,0)*0.475*44/12</f>
        <v>#N/A</v>
      </c>
      <c r="HH162" s="162" t="str">
        <f>EXP(-LN(2)/25)*HH161+(1-EXP(-LN(2)/25))/(LN(2)/25)*Calculateur!HC162*Calculateur!HE162*VLOOKUP('Données projet'!$B$18,'Paramètres'!$A$1:$I$88,3,0)*0.475*44/12</f>
        <v>#N/A</v>
      </c>
      <c r="HI162" s="162" t="str">
        <f>EXP(-LN(2)/2)*HI161+(1-EXP(-LN(2)/2))/(LN(2)/2)*HC162*HF162*VLOOKUP('Données projet'!$B$18,'Paramètres'!$A$1:$I$88,3,0)*0.475*44/12</f>
        <v>#N/A</v>
      </c>
      <c r="HJ162" s="163" t="str">
        <f t="shared" si="31"/>
        <v>#N/A</v>
      </c>
    </row>
    <row r="163" ht="15.75" customHeight="1">
      <c r="A163" s="145">
        <f t="shared" si="32"/>
        <v>160</v>
      </c>
      <c r="B163" s="146">
        <f>'Scénario référence'!$B$16*5+'Scénario référence'!$B$17*0+'Scénario référence'!$B$18*5</f>
        <v>0</v>
      </c>
      <c r="C163" s="160">
        <f>Calculateur!C162+'Scénario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63" s="147">
        <f t="shared" si="33"/>
        <v>0</v>
      </c>
      <c r="E163" s="147">
        <f>'Scénario référence'!$B$16*45+('Scénario référence'!$B$17+'Scénario référence'!$F$8+'Scénario référence'!$F$9+'Scénario référence'!$B$10+'Scénario référence'!$B$9)*70+'Scénario référence'!$B$18*32</f>
        <v>70</v>
      </c>
      <c r="F163" s="147">
        <f>IF(OR('Scénario référence'!$F$8&gt;0,'Scénario référence'!$F$9&gt;0),('Scénario référence'!$F$8+'Scénario référence'!$F$9)*10,0)</f>
        <v>0</v>
      </c>
      <c r="G163" s="147">
        <f>'Scénario référence'!$B$8*B163*44/12+'Scénario référence'!$B$9*(C163+D163)/0.475*44/12+'Scénario référence'!$B$10*(C163+D163)/0.475*44/12+'Scénario référence'!$F$8*(C163+D163)/0.475*44/12+'Scénario référence'!$F$9*(C163+D163)/0.475*44/12</f>
        <v>0</v>
      </c>
      <c r="H163" s="148">
        <f t="shared" si="1"/>
        <v>256.6666667</v>
      </c>
      <c r="I163" s="149">
        <f>('Scénario référence'!$F$8+'Scénario référence'!$F$9+'Scénario référence'!$B$17+'Scénario référence'!$B$9+'Scénario référence'!$B$10)*70+IF((45+25*(1-EXP(-0.0175*A163)))&lt;70,'Scénario référence'!$B$16*(45+25*(1-EXP(-0.0175*A163))),70*'Scénario référence'!$B$16)+IF((32+38*(1-EXP(-0.0175*A163)))&lt;70,'Scénario référence'!$B$18*(32+38*(1-EXP(-0.0175*A163))),70*'Scénario référence'!$B$18)</f>
        <v>70</v>
      </c>
      <c r="J163" s="150">
        <f>IF(A163&gt;30,10,('Scénario référence'!$B$16+'Scénario référence'!$B$17+'Scénario référence'!$B$18+'Scénario référence'!$B$9+'Scénario référence'!$B$10)*A163*10/30+('Scénario référence'!$F$8+'Scénario référence'!$F$9)*10)</f>
        <v>10</v>
      </c>
      <c r="K163" s="151" t="str">
        <f>VLOOKUP(A163,'Données projet'!$A$35:$I$55,2,0)</f>
        <v>#N/A</v>
      </c>
      <c r="L163" s="151" t="str">
        <f>VLOOKUP(A163,'Données projet'!$A$35:$I$55,9,0)</f>
        <v>#N/A</v>
      </c>
      <c r="M163" s="151" t="str">
        <f t="array" ref="M163">INDEX(L:L,MIN(IF(ISNUMBER(L163:L359),ROW(L163:L359),"")))</f>
        <v/>
      </c>
      <c r="N163" s="150">
        <f>IF('Données projet'!$A$36&gt;35,N162+M163-V162,IF(A163&lt;'Données projet'!$A$36,$K$205^A163,IF(A163='Données projet'!$A$36,'Données projet'!$B$36,N162+M163-V162)))</f>
        <v>307</v>
      </c>
      <c r="O163" s="150">
        <f>N163*VLOOKUP('Données projet'!$B$9,'Paramètres'!$A$1:$I$88,3,0)*VLOOKUP('Données projet'!$B$9,'Paramètres'!$A$1:$I$88,5,0)</f>
        <v>277.7736</v>
      </c>
      <c r="P163" s="150">
        <f t="shared" si="34"/>
        <v>66.49628818</v>
      </c>
      <c r="Q163" s="161">
        <f t="shared" si="2"/>
        <v>599.6033886</v>
      </c>
      <c r="R163" s="153">
        <f t="shared" si="3"/>
        <v>892.9367219</v>
      </c>
      <c r="S163" s="153">
        <f>AVERAGE(OFFSET($R$3,0,0,'Données projet'!$E$9+1,1))-AVERAGE(OFFSET($H$3,0,0,'Données projet'!$E$9+1,1))</f>
        <v>439.1985427</v>
      </c>
      <c r="T163" s="153">
        <f t="shared" si="35"/>
        <v>278.2174123</v>
      </c>
      <c r="U163" s="154">
        <f>IF(ISNA(VLOOKUP(A163,'Données projet'!$A$35:$I$55,3,0)),0,VLOOKUP(A163,'Données projet'!$A$35:$I$55,3,0))</f>
        <v>0</v>
      </c>
      <c r="V163" s="154">
        <f>IF(ISNA(VLOOKUP(A163,'Données projet'!$A$35:$I$55,4,0)),0,VLOOKUP(A163,'Données projet'!$A$35:$I$55,4,0))</f>
        <v>0</v>
      </c>
      <c r="W163" s="155">
        <f>IF(ISNA(VLOOKUP(A163,'Données projet'!$A$35:$I$55,5,0)),0%,VLOOKUP(A163,'Données projet'!$A$35:$I$55,5,0)*VLOOKUP('Données projet'!$B$9,'Paramètres'!$A$1:$I$88,7,0))</f>
        <v>0</v>
      </c>
      <c r="X163" s="155">
        <f>IF(ISNA(VLOOKUP(A163,'Données projet'!$A$35:$I$55,6,0)),0%,VLOOKUP(A163,'Données projet'!$A$35:$I$55,6,0)*VLOOKUP('Données projet'!$B$9,'Paramètres'!$A$1:$I$88,7,0))</f>
        <v>0</v>
      </c>
      <c r="Y163" s="155">
        <f>IF(ISNA(VLOOKUP(A163,'Données projet'!$A$35:$I$55,7,0)),0%,VLOOKUP(A163,'Données projet'!$A$35:$I$55,7,0))</f>
        <v>0</v>
      </c>
      <c r="Z163" s="162">
        <f>EXP(-LN(2)/35)*Z162+(1-EXP(-LN(2)/35))/(LN(2)/35)*V163*W163*VLOOKUP('Données projet'!$B$9,'Paramètres'!$A$1:$I$88,3,0)*0.475*44/12</f>
        <v>0</v>
      </c>
      <c r="AA163" s="162">
        <f>EXP(-LN(2)/25)*AA162+(1-EXP(-LN(2)/25))/(LN(2)/25)*Calculateur!V163*Calculateur!X163*VLOOKUP('Données projet'!$B$9,'Paramètres'!$A$1:$I$88,3,0)*0.475*44/12</f>
        <v>0.1220833116</v>
      </c>
      <c r="AB163" s="162">
        <f>EXP(-LN(2)/2)*AB162+(1-EXP(-LN(2)/2))/(LN(2)/2)*V163*Y163*VLOOKUP('Données projet'!$B$9,'Paramètres'!$A$1:$I$88,3,0)*0.475*44/12</f>
        <v>0</v>
      </c>
      <c r="AC163" s="163">
        <f t="shared" si="4"/>
        <v>0.1220833116</v>
      </c>
      <c r="AD163" s="150">
        <f>('Scénario référence'!$F$8+'Scénario référence'!$F$9+'Scénario référence'!$B$17+'Scénario référence'!$B$9+'Scénario référence'!$B$10)*70+IF((45+25*(1-EXP(-0.0175*A163)))&lt;70,'Scénario référence'!$B$16*(45+25*(1-EXP(-0.0175*A163))),70*'Scénario référence'!$B$16)+IF((32+38*(1-EXP(-0.0175*A163)))&lt;70,'Scénario référence'!$B$18*(32+38*(1-EXP(-0.0175*A163))),70*'Scénario référence'!$B$18)</f>
        <v>70</v>
      </c>
      <c r="AE163" s="150">
        <f>IF(A163&gt;30,10,('Scénario référence'!$B$16+'Scénario référence'!$B$17+'Scénario référence'!$B$18+'Scénario référence'!$B$9+'Scénario référence'!$B$10)*A163*10/30+('Scénario référence'!$F$8+'Scénario référence'!$F$9)*10)</f>
        <v>10</v>
      </c>
      <c r="AF163" s="151" t="str">
        <f>VLOOKUP(A163,'Données projet'!$A$61:$I$81,2,0)</f>
        <v>#N/A</v>
      </c>
      <c r="AG163" s="151" t="str">
        <f>VLOOKUP(A163,'Données projet'!$A$61:$I$81,9,0)</f>
        <v>#N/A</v>
      </c>
      <c r="AH163" s="151" t="str">
        <f t="array" ref="AH163">INDEX(AG:AG,MIN(IF(ISNUMBER(AG163:AG359),ROW(AG163:AG359),"")))</f>
        <v/>
      </c>
      <c r="AI163" s="150">
        <f>IF('Données projet'!$A$62&gt;35,AI162+AH163-AQ162,IF(A163&lt;'Données projet'!$A$62,$AF$205^A163,IF(A163='Données projet'!$A$62,'Données projet'!$B$62,AI162+AH163-AQ162)))</f>
        <v>369</v>
      </c>
      <c r="AJ163" s="150">
        <f>AI163*VLOOKUP('Données projet'!$B$10,'Paramètres'!$A$1:$I$88,3,0)*VLOOKUP('Données projet'!$B$10,'Paramètres'!$A$1:$I$88,5,0)</f>
        <v>293.5764</v>
      </c>
      <c r="AK163" s="150">
        <f t="shared" si="36"/>
        <v>69.82813851</v>
      </c>
      <c r="AL163" s="161">
        <f t="shared" si="5"/>
        <v>632.9295712</v>
      </c>
      <c r="AM163" s="153">
        <f t="shared" si="6"/>
        <v>926.2629046</v>
      </c>
      <c r="AN163" s="153">
        <f>AVERAGE(OFFSET($AM$3,0,0,'Données projet'!$E$10+1,1))-AVERAGE(OFFSET($H$3,0,0,'Données projet'!$E$10+1,1))</f>
        <v>405.6113614</v>
      </c>
      <c r="AO163" s="153">
        <f t="shared" si="37"/>
        <v>393.0787141</v>
      </c>
      <c r="AP163" s="154">
        <f>IF(ISNA(VLOOKUP(A163,'Données projet'!$A$61:$I$81,3,0)),0,VLOOKUP(A163,'Données projet'!$A$61:$I$81,3,0))</f>
        <v>0</v>
      </c>
      <c r="AQ163" s="154">
        <f>IF(ISNA(VLOOKUP(A163,'Données projet'!$A$61:$I$81,4,0)),0,VLOOKUP(A163,'Données projet'!$A$61:$I$81,4,0))</f>
        <v>0</v>
      </c>
      <c r="AR163" s="155">
        <f>IF(ISNA(VLOOKUP(A163,'Données projet'!$A$61:$I$81,5,0)),0%,VLOOKUP(A163,'Données projet'!$A$61:$I$81,5,0)*VLOOKUP('Données projet'!$B$10,'Paramètres'!$A$1:$I$88,7,0))</f>
        <v>0</v>
      </c>
      <c r="AS163" s="155">
        <f>IF(ISNA(VLOOKUP(A163,'Données projet'!$A$61:$I$81,6,0)),0%,VLOOKUP(A163,'Données projet'!$A$61:$I$81,6,0)*VLOOKUP('Données projet'!$B$10,'Paramètres'!$A$1:$I$88,7,0))</f>
        <v>0</v>
      </c>
      <c r="AT163" s="155">
        <f>IF(ISNA(VLOOKUP(A163,'Données projet'!$A$61:$I$81,7,0)),0%,VLOOKUP(A163,'Données projet'!$A$61:$I$81,7,0))</f>
        <v>0</v>
      </c>
      <c r="AU163" s="162">
        <f>EXP(-LN(2)/35)*AU162+(1-EXP(-LN(2)/35))/(LN(2)/35)*AQ163*AR163*VLOOKUP('Données projet'!$B$10,'Paramètres'!$A$1:$I$88,3,0)*0.475*44/12</f>
        <v>0</v>
      </c>
      <c r="AV163" s="162">
        <f>EXP(-LN(2)/25)*AV162+(1-EXP(-LN(2)/25))/(LN(2)/25)*Calculateur!AQ163*Calculateur!AS163*VLOOKUP('Données projet'!$B$10,'Paramètres'!$A$1:$I$88,3,0)*0.475*44/12</f>
        <v>0.4961776134</v>
      </c>
      <c r="AW163" s="162">
        <f>EXP(-LN(2)/2)*AW162+(1-EXP(-LN(2)/2))/(LN(2)/2)*AQ163*AT163*VLOOKUP('Données projet'!$B$10,'Paramètres'!$A$1:$I$88,3,0)*0.475*44/12</f>
        <v>0</v>
      </c>
      <c r="AX163" s="162">
        <f t="shared" si="7"/>
        <v>0.4961776134</v>
      </c>
      <c r="AY163" s="157">
        <f>('Scénario référence'!$F$8+'Scénario référence'!$F$9+'Scénario référence'!$B$17+'Scénario référence'!$B$9+'Scénario référence'!$B$10)*70+IF((45+25*(1-EXP(-0.0175*A163)))&lt;70,'Scénario référence'!$B$16*(45+25*(1-EXP(-0.0175*A163))),70*'Scénario référence'!$B$16)+IF((32+38*(1-EXP(-0.0175*A163)))&lt;70,'Scénario référence'!$B$18*(32+38*(1-EXP(-0.0175*A163))),70*'Scénario référence'!$B$18)</f>
        <v>70</v>
      </c>
      <c r="AZ163" s="151">
        <f>IF(A163&gt;30,10,('Scénario référence'!$B$16+'Scénario référence'!$B$17+'Scénario référence'!$B$18+'Scénario référence'!$B$9+'Scénario référence'!$B$10)*A163*10/30+('Scénario référence'!$F$8+'Scénario référence'!$F$9)*10)</f>
        <v>10</v>
      </c>
      <c r="BA163" s="151" t="str">
        <f>VLOOKUP(A163,'Données projet'!$A$87:$I$107,2,0)</f>
        <v>#N/A</v>
      </c>
      <c r="BB163" s="151" t="str">
        <f>VLOOKUP(A163,'Données projet'!$A$87:$I$107,9,0)</f>
        <v>#N/A</v>
      </c>
      <c r="BC163" s="151" t="str">
        <f t="array" ref="BC163">INDEX(BB:BB,MIN(IF(ISNUMBER(BB163:BB359),ROW(BB163:BB359),"")))</f>
        <v/>
      </c>
      <c r="BD163" s="150">
        <f>IF('Données projet'!$A$88&gt;35,BD162+BC163-BL162,IF(A163&lt;'Données projet'!$A$88,$BA$205^A163,IF(A163='Données projet'!$A$88,'Données projet'!$B$88,BD162+BC163-BL162)))</f>
        <v>0</v>
      </c>
      <c r="BE163" s="150">
        <f>BD163*VLOOKUP('Données projet'!$B$11,'Paramètres'!$A$1:$I$88,3,0)*VLOOKUP('Données projet'!$B$11,'Paramètres'!$A$1:$I$88,5,0)</f>
        <v>0</v>
      </c>
      <c r="BF163" s="150" t="str">
        <f t="shared" si="38"/>
        <v>#NUM!</v>
      </c>
      <c r="BG163" s="161" t="str">
        <f t="shared" si="8"/>
        <v>#NUM!</v>
      </c>
      <c r="BH163" s="153" t="str">
        <f t="shared" si="9"/>
        <v>#NUM!</v>
      </c>
      <c r="BI163" s="153">
        <f>AVERAGE(OFFSET($BH$3,0,0,'Données projet'!$E$11+1,1))-AVERAGE(OFFSET($H$3,0,0,'Données projet'!$E$11+1,1))</f>
        <v>0</v>
      </c>
      <c r="BJ163" s="153">
        <f t="shared" si="39"/>
        <v>0</v>
      </c>
      <c r="BK163" s="154">
        <f>IF(ISNA(VLOOKUP(A163,'Données projet'!$A$87:$I$107,3,0)),0,VLOOKUP(A163,'Données projet'!$A$87:$I$107,3,0))</f>
        <v>0</v>
      </c>
      <c r="BL163" s="154">
        <f>IF(ISNA(VLOOKUP(A163,'Données projet'!$A$87:$I$107,4,0)),0,VLOOKUP(A163,'Données projet'!$A$87:$I$107,4,0))</f>
        <v>0</v>
      </c>
      <c r="BM163" s="155">
        <f>IF(ISNA(VLOOKUP(A163,'Données projet'!$A$87:$I$107,5,0)),0%,VLOOKUP(A163,'Données projet'!$A$87:$I$107,5,0)*VLOOKUP('Données projet'!$B$11,'Paramètres'!$A$1:$I$88,7,0))</f>
        <v>0</v>
      </c>
      <c r="BN163" s="155">
        <f>IF(ISNA(VLOOKUP(A163,'Données projet'!$A$87:$I$107,6,0)),0%,VLOOKUP(A163,'Données projet'!$A$87:$I$107,6,0)*VLOOKUP('Données projet'!$B$11,'Paramètres'!$A$1:$I$88,7,0))</f>
        <v>0</v>
      </c>
      <c r="BO163" s="155">
        <f>IF(ISNA(VLOOKUP(A163,'Données projet'!$A$87:$I$107,7,0)),0%,VLOOKUP(A163,'Données projet'!$A$87:$I$107,7,0))</f>
        <v>0</v>
      </c>
      <c r="BP163" s="162">
        <f>EXP(-LN(2)/35)*BP162+(1-EXP(-LN(2)/35))/(LN(2)/35)*BL163*BM163*VLOOKUP('Données projet'!$B$11,'Paramètres'!$A$1:$I$88,3,0)*0.475*44/12</f>
        <v>0</v>
      </c>
      <c r="BQ163" s="162">
        <f>EXP(-LN(2)/25)*BQ162+(1-EXP(-LN(2)/25))/(LN(2)/25)*Calculateur!BL163*Calculateur!BN163*VLOOKUP('Données projet'!$B$11,'Paramètres'!$A$1:$I$88,3,0)*0.475*44/12</f>
        <v>0</v>
      </c>
      <c r="BR163" s="162">
        <f>EXP(-LN(2)/2)*BR162+(1-EXP(-LN(2)/2))/(LN(2)/2)*BL163*BO163*VLOOKUP('Données projet'!$B$11,'Paramètres'!$A$1:$I$88,3,0)*0.475*44/12</f>
        <v>0</v>
      </c>
      <c r="BS163" s="163">
        <f t="shared" si="10"/>
        <v>0</v>
      </c>
      <c r="BT163" s="159">
        <f>('Scénario référence'!$F$8+'Scénario référence'!$F$9+'Scénario référence'!$B$17+'Scénario référence'!$B$9+'Scénario référence'!$B$10)*70+IF((45+25*(1-EXP(-0.0175*A163)))&lt;70,'Scénario référence'!$B$16*(45+25*(1-EXP(-0.0175*A163))),70*'Scénario référence'!$B$16)+IF((32+38*(1-EXP(-0.0175*A163)))&lt;70,'Scénario référence'!$B$18*(32+38*(1-EXP(-0.0175*A163))),70*'Scénario référence'!$B$18)</f>
        <v>70</v>
      </c>
      <c r="BU163" s="151">
        <f>IF(A163&gt;30,10,('Scénario référence'!$B$16+'Scénario référence'!$B$17+'Scénario référence'!$B$18+'Scénario référence'!$B$9+'Scénario référence'!$B$10)*A163*10/30+('Scénario référence'!$F$8+'Scénario référence'!$F$9)*10)</f>
        <v>10</v>
      </c>
      <c r="BV163" s="151" t="str">
        <f>VLOOKUP(A163,'Données projet'!$A$113:$I$133,2,0)</f>
        <v>#N/A</v>
      </c>
      <c r="BW163" s="151" t="str">
        <f>VLOOKUP(A163,'Données projet'!$A$113:$I$133,9,0)</f>
        <v>#N/A</v>
      </c>
      <c r="BX163" s="151" t="str">
        <f t="array" ref="BX163">INDEX(BW:BW,MIN(IF(ISNUMBER(BW163:BW359),ROW(BW163:BW359),"")))</f>
        <v/>
      </c>
      <c r="BY163" s="150">
        <f>IF('Données projet'!$A$114&gt;35,BY162+BX163-CG162,IF(A163&lt;'Données projet'!$A$114,$BV$205^A163,IF(A163='Données projet'!$A$114,'Données projet'!$B$114,BY162+BX163-CG162)))</f>
        <v>0</v>
      </c>
      <c r="BZ163" s="150" t="str">
        <f>BY163*VLOOKUP('Données projet'!$B$12,'Paramètres'!$A$1:$I$88,3,0)*VLOOKUP('Données projet'!$B$12,'Paramètres'!$A$1:$I$88,5,0)</f>
        <v>#N/A</v>
      </c>
      <c r="CA163" s="150" t="str">
        <f t="shared" si="40"/>
        <v>#N/A</v>
      </c>
      <c r="CB163" s="161" t="str">
        <f t="shared" si="11"/>
        <v>#N/A</v>
      </c>
      <c r="CC163" s="153" t="str">
        <f t="shared" si="12"/>
        <v>#N/A</v>
      </c>
      <c r="CD163" s="153" t="str">
        <f>AVERAGE(OFFSET($CC$3,0,0,'Données projet'!$E$12+1,1))-AVERAGE(OFFSET($H$3,0,0,'Données projet'!$E$12+1,1))</f>
        <v>#N/A</v>
      </c>
      <c r="CE163" s="153" t="str">
        <f t="shared" si="41"/>
        <v>#N/A</v>
      </c>
      <c r="CF163" s="154">
        <f>IF(ISNA(VLOOKUP(A163,'Données projet'!$A$113:$I$133,3,0)),0,VLOOKUP(A163,'Données projet'!$A$113:$I$133,3,0))</f>
        <v>0</v>
      </c>
      <c r="CG163" s="154">
        <f>IF(ISNA(VLOOKUP(A163,'Données projet'!$A$113:$I$133,4,0)),0,VLOOKUP(A163,'Données projet'!$A$113:$I$133,4,0))</f>
        <v>0</v>
      </c>
      <c r="CH163" s="155">
        <f>IF(ISNA(VLOOKUP(A163,'Données projet'!$A$113:$I$133,5,0)),0%,VLOOKUP(A163,'Données projet'!$A$113:$I$133,5,0)*VLOOKUP('Données projet'!$B$12,'Paramètres'!$A$1:$I$88,7,0))</f>
        <v>0</v>
      </c>
      <c r="CI163" s="155">
        <f>IF(ISNA(VLOOKUP(A163,'Données projet'!$A$113:$I$133,6,0)),0%,VLOOKUP(A163,'Données projet'!$A$113:$I$133,6,0)*VLOOKUP('Données projet'!$B$12,'Paramètres'!$A$1:$I$88,7,0))</f>
        <v>0</v>
      </c>
      <c r="CJ163" s="155">
        <f>IF(ISNA(VLOOKUP(A163,'Données projet'!$A$113:$I$133,7,0)),0%,VLOOKUP(A163,'Données projet'!$A$113:$I$133,7,0))</f>
        <v>0</v>
      </c>
      <c r="CK163" s="162" t="str">
        <f>EXP(-LN(2)/35)*CK162+(1-EXP(-LN(2)/35))/(LN(2)/35)*CG163*CH163*VLOOKUP('Données projet'!$B$12,'Paramètres'!$A$1:$I$88,3,0)*0.475*44/12</f>
        <v>#N/A</v>
      </c>
      <c r="CL163" s="162" t="str">
        <f>EXP(-LN(2)/25)*CL162+(1-EXP(-LN(2)/25))/(LN(2)/25)*Calculateur!CG163*Calculateur!CI163*VLOOKUP('Données projet'!$B$12,'Paramètres'!$A$1:$I$88,3,0)*0.475*44/12</f>
        <v>#N/A</v>
      </c>
      <c r="CM163" s="162" t="str">
        <f>EXP(-LN(2)/2)*CM162+(1-EXP(-LN(2)/2))/(LN(2)/2)*CG163*CJ163*VLOOKUP('Données projet'!$B$12,'Paramètres'!$A$1:$I$88,3,0)*0.475*44/12</f>
        <v>#N/A</v>
      </c>
      <c r="CN163" s="163" t="str">
        <f t="shared" si="13"/>
        <v>#N/A</v>
      </c>
      <c r="CO163" s="159">
        <f>('Scénario référence'!$F$8+'Scénario référence'!$F$9+'Scénario référence'!$B$17+'Scénario référence'!$B$9+'Scénario référence'!$B$10)*70+IF((45+25*(1-EXP(-0.0175*A163)))&lt;70,'Scénario référence'!$B$16*(45+25*(1-EXP(-0.0175*A163))),70*'Scénario référence'!$B$16)+IF((32+38*(1-EXP(-0.0175*A163)))&lt;70,'Scénario référence'!$B$18*(32+38*(1-EXP(-0.0175*A163))),70*'Scénario référence'!$B$18)</f>
        <v>70</v>
      </c>
      <c r="CP163" s="151">
        <f>IF(A163&gt;30,10,('Scénario référence'!$B$16+'Scénario référence'!$B$17+'Scénario référence'!$B$18+'Scénario référence'!$B$9+'Scénario référence'!$B$10)*A163*10/30+('Scénario référence'!$F$8+'Scénario référence'!$F$9)*10)</f>
        <v>10</v>
      </c>
      <c r="CQ163" s="151" t="str">
        <f>VLOOKUP(A163,'Données projet'!$A$139:$I$159,2,0)</f>
        <v>#N/A</v>
      </c>
      <c r="CR163" s="151" t="str">
        <f>VLOOKUP(A163,'Données projet'!$A$139:$I$159,9,0)</f>
        <v>#N/A</v>
      </c>
      <c r="CS163" s="151" t="str">
        <f t="array" ref="CS163">INDEX(CR:CR,MIN(IF(ISNUMBER(CR163:CR359),ROW(CR163:CR359),"")))</f>
        <v/>
      </c>
      <c r="CT163" s="151">
        <f>IF('Données projet'!$A$140&gt;35,CT162+CS163-DB162,IF(A163&lt;'Données projet'!$A$140,$CQ$205^A163,IF(A163='Données projet'!$A$140,'Données projet'!$B$140,CT162+CS163-DB162)))</f>
        <v>0</v>
      </c>
      <c r="CU163" s="158" t="str">
        <f>CT163*VLOOKUP('Données projet'!$B$13,'Paramètres'!$A$1:$I$88,3,0)*VLOOKUP('Données projet'!$B$13,'Paramètres'!$A$1:$I$88,5,0)</f>
        <v>#N/A</v>
      </c>
      <c r="CV163" s="150" t="str">
        <f t="shared" si="42"/>
        <v>#N/A</v>
      </c>
      <c r="CW163" s="161" t="str">
        <f t="shared" si="14"/>
        <v>#N/A</v>
      </c>
      <c r="CX163" s="153" t="str">
        <f t="shared" si="15"/>
        <v>#N/A</v>
      </c>
      <c r="CY163" s="153" t="str">
        <f>AVERAGE(OFFSET($CX$3,0,0,'Données projet'!$E$13+1,1))-AVERAGE(OFFSET($H$3,0,0,'Données projet'!$E$13+1,1))</f>
        <v>#N/A</v>
      </c>
      <c r="CZ163" s="153" t="str">
        <f t="shared" si="43"/>
        <v>#N/A</v>
      </c>
      <c r="DA163" s="154">
        <f>IF(ISNA(VLOOKUP(A163,'Données projet'!$A$139:$I$159,3,0)),0,VLOOKUP(A163,'Données projet'!$A$139:$I$159,3,0))</f>
        <v>0</v>
      </c>
      <c r="DB163" s="154">
        <f>IF(ISNA(VLOOKUP(A163,'Données projet'!$A$139:$I$159,4,0)),0,VLOOKUP(A163,'Données projet'!$A$139:$I$159,4,0))</f>
        <v>0</v>
      </c>
      <c r="DC163" s="155">
        <f>IF(ISNA(VLOOKUP(A163,'Données projet'!$A$139:$I$159,5,0)),0%,VLOOKUP(A163,'Données projet'!$A$139:$I$159,5,0)*VLOOKUP('Données projet'!$B$13,'Paramètres'!$A$1:$I$88,7,0))</f>
        <v>0</v>
      </c>
      <c r="DD163" s="155">
        <f>IF(ISNA(VLOOKUP(A163,'Données projet'!$A$139:$I$159,6,0)),0%,VLOOKUP(A163,'Données projet'!$A$139:$I$159,6,0)*VLOOKUP('Données projet'!$B$13,'Paramètres'!$A$1:$I$88,7,0))</f>
        <v>0</v>
      </c>
      <c r="DE163" s="155">
        <f>IF(ISNA(VLOOKUP(A163,'Données projet'!$A$139:$I$159,7,0)),0%,VLOOKUP(A163,'Données projet'!$A$139:$I$159,7,0))</f>
        <v>0</v>
      </c>
      <c r="DF163" s="162" t="str">
        <f>EXP(-LN(2)/35)*DF162+(1-EXP(-LN(2)/35))/(LN(2)/35)*DB163*DC163*VLOOKUP('Données projet'!$B$13,'Paramètres'!$A$1:$I$88,3,0)*0.475*44/12</f>
        <v>#N/A</v>
      </c>
      <c r="DG163" s="162" t="str">
        <f>EXP(-LN(2)/25)*DG162+(1-EXP(-LN(2)/25))/(LN(2)/25)*Calculateur!DB163*Calculateur!DD163*VLOOKUP('Données projet'!$B$13,'Paramètres'!$A$1:$I$88,3,0)*0.475*44/12</f>
        <v>#N/A</v>
      </c>
      <c r="DH163" s="162" t="str">
        <f>EXP(-LN(2)/2)*DH162+(1-EXP(-LN(2)/2))/(LN(2)/2)*DB163*DE163*VLOOKUP('Données projet'!$B$13,'Paramètres'!$A$1:$I$88,3,0)*0.475*44/12</f>
        <v>#N/A</v>
      </c>
      <c r="DI163" s="163" t="str">
        <f t="shared" si="16"/>
        <v>#N/A</v>
      </c>
      <c r="DJ163" s="159">
        <f>('Scénario référence'!$F$8+'Scénario référence'!$F$9+'Scénario référence'!$B$17+'Scénario référence'!$B$9+'Scénario référence'!$B$10)*70+IF((45+25*(1-EXP(-0.0175*A163)))&lt;70,'Scénario référence'!$B$16*(45+25*(1-EXP(-0.0175*A163))),70*'Scénario référence'!$B$16)+IF((32+38*(1-EXP(-0.0175*A163)))&lt;70,'Scénario référence'!$B$18*(32+38*(1-EXP(-0.0175*A163))),70*'Scénario référence'!$B$18)</f>
        <v>70</v>
      </c>
      <c r="DK163" s="151">
        <f>IF(A163&gt;30,10,('Scénario référence'!$B$16+'Scénario référence'!$B$17+'Scénario référence'!$B$18+'Scénario référence'!$B$9+'Scénario référence'!$B$10)*A163*10/30+('Scénario référence'!$F$8+'Scénario référence'!$F$9)*10)</f>
        <v>10</v>
      </c>
      <c r="DL163" s="151" t="str">
        <f>VLOOKUP(A163,'Données projet'!$A$165:$I$185,2,0)</f>
        <v>#N/A</v>
      </c>
      <c r="DM163" s="151" t="str">
        <f>VLOOKUP(A163,'Données projet'!$A$165:$I$185,9,0)</f>
        <v>#N/A</v>
      </c>
      <c r="DN163" s="151" t="str">
        <f t="array" ref="DN163">INDEX(DM:DM,MIN(IF(ISNUMBER(DM163:DM359),ROW(DM163:DM359),"")))</f>
        <v/>
      </c>
      <c r="DO163" s="151">
        <f>IF('Données projet'!$A$166&gt;35,DO162+DN163-DW162,IF(A163&lt;'Données projet'!$A$166,$DL$205^A163,IF(A163='Données projet'!$A$166,'Données projet'!$B$166,DO162+DN163-DW162)))</f>
        <v>0</v>
      </c>
      <c r="DP163" s="158" t="str">
        <f>DO163*VLOOKUP('Données projet'!$B$14,'Paramètres'!$A$1:$I$88,3,0)*VLOOKUP('Données projet'!$B$14,'Paramètres'!$A$1:$I$88,5,0)</f>
        <v>#N/A</v>
      </c>
      <c r="DQ163" s="150" t="str">
        <f t="shared" si="44"/>
        <v>#N/A</v>
      </c>
      <c r="DR163" s="161" t="str">
        <f t="shared" si="17"/>
        <v>#N/A</v>
      </c>
      <c r="DS163" s="153" t="str">
        <f t="shared" si="18"/>
        <v>#N/A</v>
      </c>
      <c r="DT163" s="153" t="str">
        <f>AVERAGE(OFFSET($DS$3,0,0,'Données projet'!$E$14+1,1))-AVERAGE(OFFSET($H$3,0,0,'Données projet'!$E$14+1,1))</f>
        <v>#N/A</v>
      </c>
      <c r="DU163" s="153" t="str">
        <f t="shared" si="45"/>
        <v>#N/A</v>
      </c>
      <c r="DV163" s="154">
        <f>IF(ISNA(VLOOKUP(A163,'Données projet'!$A$165:$I$185,3,0)),0,VLOOKUP(A163,'Données projet'!$A$165:$I$185,3,0))</f>
        <v>0</v>
      </c>
      <c r="DW163" s="154">
        <f>IF(ISNA(VLOOKUP(A163,'Données projet'!$A$165:$I$185,4,0)),0,VLOOKUP(A163,'Données projet'!$A$165:$I$185,4,0))</f>
        <v>0</v>
      </c>
      <c r="DX163" s="155">
        <f>IF(ISNA(VLOOKUP(A163,'Données projet'!$A$165:$I$185,5,0)),0%,VLOOKUP(A163,'Données projet'!$A$165:$I$185,5,0)*VLOOKUP('Données projet'!$B$14,'Paramètres'!$A$1:$I$88,7,0))</f>
        <v>0</v>
      </c>
      <c r="DY163" s="155">
        <f>IF(ISNA(VLOOKUP(A163,'Données projet'!$A$165:$I$185,6,0)),0%,VLOOKUP(A163,'Données projet'!$A$165:$I$185,6,0)*VLOOKUP('Données projet'!$B$14,'Paramètres'!$A$1:$I$88,7,0))</f>
        <v>0</v>
      </c>
      <c r="DZ163" s="155">
        <f>IF(ISNA(VLOOKUP(A163,'Données projet'!$A$165:$I$185,7,0)),0%,VLOOKUP(A163,'Données projet'!$A$165:$I$185,7,0))</f>
        <v>0</v>
      </c>
      <c r="EA163" s="162" t="str">
        <f>EXP(-LN(2)/35)*EA162+(1-EXP(-LN(2)/35))/(LN(2)/35)*DW163*DX163*VLOOKUP('Données projet'!$B$14,'Paramètres'!$A$1:$I$88,3,0)*0.475*44/12</f>
        <v>#N/A</v>
      </c>
      <c r="EB163" s="162" t="str">
        <f>EXP(-LN(2)/25)*EB162+(1-EXP(-LN(2)/25))/(LN(2)/25)*Calculateur!DW163*Calculateur!DY163*VLOOKUP('Données projet'!$B$14,'Paramètres'!$A$1:$I$88,3,0)*0.475*44/12</f>
        <v>#N/A</v>
      </c>
      <c r="EC163" s="162" t="str">
        <f>EXP(-LN(2)/2)*EC162+(1-EXP(-LN(2)/2))/(LN(2)/2)*DW163*DZ163*VLOOKUP('Données projet'!$B$14,'Paramètres'!$A$1:$I$88,3,0)*0.475*44/12</f>
        <v>#N/A</v>
      </c>
      <c r="ED163" s="163" t="str">
        <f t="shared" si="19"/>
        <v>#N/A</v>
      </c>
      <c r="EE163" s="159">
        <f>('Scénario référence'!$F$8+'Scénario référence'!$F$9+'Scénario référence'!$B$17+'Scénario référence'!$B$9+'Scénario référence'!$B$10)*70+IF((45+25*(1-EXP(-0.0175*A163)))&lt;70,'Scénario référence'!$B$16*(45+25*(1-EXP(-0.0175*A163))),70*'Scénario référence'!$B$16)+IF((32+38*(1-EXP(-0.0175*A163)))&lt;70,'Scénario référence'!$B$18*(32+38*(1-EXP(-0.0175*A163))),70*'Scénario référence'!$B$18)</f>
        <v>70</v>
      </c>
      <c r="EF163" s="151">
        <f>IF(A163&gt;30,10,('Scénario référence'!$B$16+'Scénario référence'!$B$17+'Scénario référence'!$B$18+'Scénario référence'!$B$9+'Scénario référence'!$B$10)*A163*10/30+('Scénario référence'!$F$8+'Scénario référence'!$F$9)*10)</f>
        <v>10</v>
      </c>
      <c r="EG163" s="151" t="str">
        <f>VLOOKUP(A163,'Données projet'!$A$191:$I$211,2,0)</f>
        <v>#N/A</v>
      </c>
      <c r="EH163" s="151" t="str">
        <f>VLOOKUP(A163,'Données projet'!$A$191:$I$211,9,0)</f>
        <v>#N/A</v>
      </c>
      <c r="EI163" s="151" t="str">
        <f t="array" ref="EI163">INDEX(EH:EH,MIN(IF(ISNUMBER(EH163:EH359),ROW(EH163:EH359),"")))</f>
        <v/>
      </c>
      <c r="EJ163" s="151">
        <f>IF('Données projet'!$A$192&gt;35,EJ162+EI163-ER162,IF(A163&lt;'Données projet'!$A$192,$EG$205^A163,IF(A163='Données projet'!$A$192,'Données projet'!$B$192,EJ162+EI163-ER162)))</f>
        <v>0</v>
      </c>
      <c r="EK163" s="158" t="str">
        <f>EJ163*VLOOKUP('Données projet'!$B$15,'Paramètres'!$A$1:$I$88,3,0)*VLOOKUP('Données projet'!$B$15,'Paramètres'!$A$1:$I$88,5,0)</f>
        <v>#N/A</v>
      </c>
      <c r="EL163" s="150" t="str">
        <f t="shared" si="46"/>
        <v>#N/A</v>
      </c>
      <c r="EM163" s="161" t="str">
        <f t="shared" si="20"/>
        <v>#N/A</v>
      </c>
      <c r="EN163" s="153" t="str">
        <f t="shared" si="21"/>
        <v>#N/A</v>
      </c>
      <c r="EO163" s="153" t="str">
        <f>AVERAGE(OFFSET($EN$3,0,0,'Données projet'!$E$15+1,1))-AVERAGE(OFFSET($H$3,0,0,'Données projet'!$E$15+1,1))</f>
        <v>#N/A</v>
      </c>
      <c r="EP163" s="153" t="str">
        <f t="shared" si="47"/>
        <v>#N/A</v>
      </c>
      <c r="EQ163" s="154">
        <f>IF(ISNA(VLOOKUP(A163,'Données projet'!$A$191:$I$211,3,0)),0,VLOOKUP(A163,'Données projet'!$A$191:$I$211,3,0))</f>
        <v>0</v>
      </c>
      <c r="ER163" s="154">
        <f>IF(ISNA(VLOOKUP(A163,'Données projet'!$A$191:$I$211,4,0)),0,VLOOKUP(A163,'Données projet'!$A$191:$I$211,4,0))</f>
        <v>0</v>
      </c>
      <c r="ES163" s="155">
        <f>IF(ISNA(VLOOKUP(A163,'Données projet'!$A$191:$I$211,5,0)),0%,VLOOKUP(A163,'Données projet'!$A$191:$I$211,5,0)*VLOOKUP('Données projet'!$B$15,'Paramètres'!$A$1:$I$88,7,0))</f>
        <v>0</v>
      </c>
      <c r="ET163" s="155">
        <f>IF(ISNA(VLOOKUP(A163,'Données projet'!$A$191:$I$211,6,0)),0%,VLOOKUP(A163,'Données projet'!$A$191:$I$211,6,0)*VLOOKUP('Données projet'!$B$15,'Paramètres'!$A$1:$I$88,7,0))</f>
        <v>0</v>
      </c>
      <c r="EU163" s="155">
        <f>IF(ISNA(VLOOKUP(A163,'Données projet'!$A$191:$I$211,7,0)),0%,VLOOKUP(A163,'Données projet'!$A$191:$I$211,7,0))</f>
        <v>0</v>
      </c>
      <c r="EV163" s="162" t="str">
        <f>EXP(-LN(2)/35)*EV162+(1-EXP(-LN(2)/35))/(LN(2)/35)*ER163*ES163*VLOOKUP('Données projet'!$B$15,'Paramètres'!$A$1:$I$88,3,0)*0.475*44/12</f>
        <v>#N/A</v>
      </c>
      <c r="EW163" s="162" t="str">
        <f>EXP(-LN(2)/25)*EW162+(1-EXP(-LN(2)/25))/(LN(2)/25)*Calculateur!ER163*Calculateur!ET163*VLOOKUP('Données projet'!$B$15,'Paramètres'!$A$1:$I$88,3,0)*0.475*44/12</f>
        <v>#N/A</v>
      </c>
      <c r="EX163" s="162" t="str">
        <f>EXP(-LN(2)/2)*EX162+(1-EXP(-LN(2)/2))/(LN(2)/2)*ER163*EU163*VLOOKUP('Données projet'!$B$15,'Paramètres'!$A$1:$I$88,3,0)*0.475*44/12</f>
        <v>#N/A</v>
      </c>
      <c r="EY163" s="163" t="str">
        <f t="shared" si="22"/>
        <v>#N/A</v>
      </c>
      <c r="EZ163" s="159">
        <f>('Scénario référence'!$F$8+'Scénario référence'!$F$9+'Scénario référence'!$B$17+'Scénario référence'!$B$9+'Scénario référence'!$B$10)*70+IF((45+25*(1-EXP(-0.0175*A163)))&lt;70,'Scénario référence'!$B$16*(45+25*(1-EXP(-0.0175*A163))),70*'Scénario référence'!$B$16)+IF((32+38*(1-EXP(-0.0175*A163)))&lt;70,'Scénario référence'!$B$18*(32+38*(1-EXP(-0.0175*A163))),70*'Scénario référence'!$B$18)</f>
        <v>70</v>
      </c>
      <c r="FA163" s="151">
        <f>IF(A163&gt;30,10,('Scénario référence'!$B$16+'Scénario référence'!$B$17+'Scénario référence'!$B$18+'Scénario référence'!$B$9+'Scénario référence'!$B$10)*A163*10/30+('Scénario référence'!$F$8+'Scénario référence'!$F$9)*10)</f>
        <v>10</v>
      </c>
      <c r="FB163" s="151" t="str">
        <f>VLOOKUP(A163,'Données projet'!$A$217:$I$237,2,0)</f>
        <v>#N/A</v>
      </c>
      <c r="FC163" s="151" t="str">
        <f>VLOOKUP(A163,'Données projet'!$A$217:$I$237,9,0)</f>
        <v>#N/A</v>
      </c>
      <c r="FD163" s="151" t="str">
        <f t="array" ref="FD163">INDEX(FC:FC,MIN(IF(ISNUMBER(FC163:FC359),ROW(FC163:FC359),"")))</f>
        <v/>
      </c>
      <c r="FE163" s="151">
        <f>IF('Données projet'!$A$218&gt;35,FE162+FD163-FM162,IF(A163&lt;'Données projet'!$A$218,$FB$205^A163,IF(A163='Données projet'!$A$218,'Données projet'!$B$218,FE162+FD163-FM162)))</f>
        <v>0</v>
      </c>
      <c r="FF163" s="158" t="str">
        <f>FE163*VLOOKUP('Données projet'!$B$16,'Paramètres'!$A$1:$I$88,3,0)*VLOOKUP('Données projet'!$B$16,'Paramètres'!$A$1:$I$88,5,0)</f>
        <v>#N/A</v>
      </c>
      <c r="FG163" s="150" t="str">
        <f t="shared" si="48"/>
        <v>#N/A</v>
      </c>
      <c r="FH163" s="161" t="str">
        <f t="shared" si="23"/>
        <v>#N/A</v>
      </c>
      <c r="FI163" s="153" t="str">
        <f t="shared" si="24"/>
        <v>#N/A</v>
      </c>
      <c r="FJ163" s="153" t="str">
        <f>AVERAGE(OFFSET($FI$3,0,0,'Données projet'!$E$16+1,1))-AVERAGE(OFFSET($H$3,0,0,'Données projet'!$E$16+1,1))</f>
        <v>#N/A</v>
      </c>
      <c r="FK163" s="153" t="str">
        <f t="shared" si="49"/>
        <v>#N/A</v>
      </c>
      <c r="FL163" s="154">
        <f>IF(ISNA(VLOOKUP(A163,'Données projet'!$A$217:$I$237,3,0)),0,VLOOKUP(A163,'Données projet'!$A$217:$I$237,3,0))</f>
        <v>0</v>
      </c>
      <c r="FM163" s="154">
        <f>IF(ISNA(VLOOKUP(A163,'Données projet'!$A$217:$I$237,4,0)),0,VLOOKUP(A163,'Données projet'!$A$217:$I$237,4,0))</f>
        <v>0</v>
      </c>
      <c r="FN163" s="155">
        <f>IF(ISNA(VLOOKUP(A163,'Données projet'!$A$217:$I$237,5,0)),0%,VLOOKUP(A163,'Données projet'!$A$217:$I$237,5,0)*VLOOKUP('Données projet'!$B$16,'Paramètres'!$A$1:$I$88,7,0))</f>
        <v>0</v>
      </c>
      <c r="FO163" s="155">
        <f>IF(ISNA(VLOOKUP(A163,'Données projet'!$A$217:$I$237,6,0)),0%,VLOOKUP(A163,'Données projet'!$A$217:$I$237,6,0)*VLOOKUP('Données projet'!$B$16,'Paramètres'!$A$1:$I$88,7,0))</f>
        <v>0</v>
      </c>
      <c r="FP163" s="155">
        <f>IF(ISNA(VLOOKUP(A163,'Données projet'!$A$217:$I$237,7,0)),0%,VLOOKUP(A163,'Données projet'!$A$217:$I$237,7,0))</f>
        <v>0</v>
      </c>
      <c r="FQ163" s="162" t="str">
        <f>EXP(-LN(2)/35)*FQ162+(1-EXP(-LN(2)/35))/(LN(2)/35)*FM163*FN163*VLOOKUP('Données projet'!$B$16,'Paramètres'!$A$1:$I$88,3,0)*0.475*44/12</f>
        <v>#N/A</v>
      </c>
      <c r="FR163" s="162" t="str">
        <f>EXP(-LN(2)/25)*FR162+(1-EXP(-LN(2)/25))/(LN(2)/25)*Calculateur!FM163*Calculateur!FO163*VLOOKUP('Données projet'!$B$16,'Paramètres'!$A$1:$I$88,3,0)*0.475*44/12</f>
        <v>#N/A</v>
      </c>
      <c r="FS163" s="162" t="str">
        <f>EXP(-LN(2)/2)*FS162+(1-EXP(-LN(2)/2))/(LN(2)/2)*FM163*FP163*VLOOKUP('Données projet'!$B$16,'Paramètres'!$A$1:$I$88,3,0)*0.475*44/12</f>
        <v>#N/A</v>
      </c>
      <c r="FT163" s="163" t="str">
        <f t="shared" si="25"/>
        <v>#N/A</v>
      </c>
      <c r="FU163" s="159">
        <f>('Scénario référence'!$F$8+'Scénario référence'!$F$9+'Scénario référence'!$B$17+'Scénario référence'!$B$9+'Scénario référence'!$B$10)*70+IF((45+25*(1-EXP(-0.0175*A163)))&lt;70,'Scénario référence'!$B$16*(45+25*(1-EXP(-0.0175*A163))),70*'Scénario référence'!$B$16)+IF((32+38*(1-EXP(-0.0175*A163)))&lt;70,'Scénario référence'!$B$18*(32+38*(1-EXP(-0.0175*A163))),70*'Scénario référence'!$B$18)</f>
        <v>70</v>
      </c>
      <c r="FV163" s="151">
        <f>IF(A163&gt;30,10,('Scénario référence'!$B$16+'Scénario référence'!$B$17+'Scénario référence'!$B$18+'Scénario référence'!$B$9+'Scénario référence'!$B$10)*A163*10/30+('Scénario référence'!$F$8+'Scénario référence'!$F$9)*10)</f>
        <v>10</v>
      </c>
      <c r="FW163" s="151" t="str">
        <f>VLOOKUP(A163,'Données projet'!$A$243:$I$263,2,0)</f>
        <v>#N/A</v>
      </c>
      <c r="FX163" s="151" t="str">
        <f>VLOOKUP(A163,'Données projet'!$A$243:$I$263,9,0)</f>
        <v>#N/A</v>
      </c>
      <c r="FY163" s="151" t="str">
        <f t="array" ref="FY163">INDEX(FX:FX,MIN(IF(ISNUMBER(FX163:FX359),ROW(FX163:FX359),"")))</f>
        <v/>
      </c>
      <c r="FZ163" s="151">
        <f>IF('Données projet'!$A$244&gt;35,FZ162+FY163-GH162,IF(A163&lt;'Données projet'!$A$244,$FW$205^A163,IF(A163='Données projet'!$A$244,'Données projet'!$B$244,FZ162+FY163-GH162)))</f>
        <v>0</v>
      </c>
      <c r="GA163" s="158" t="str">
        <f>FZ163*VLOOKUP('Données projet'!$B$17,'Paramètres'!$A$1:$I$88,3,0)*VLOOKUP('Données projet'!$B$17,'Paramètres'!$A$1:$I$88,5,0)</f>
        <v>#N/A</v>
      </c>
      <c r="GB163" s="150" t="str">
        <f t="shared" si="50"/>
        <v>#N/A</v>
      </c>
      <c r="GC163" s="161" t="str">
        <f t="shared" si="26"/>
        <v>#N/A</v>
      </c>
      <c r="GD163" s="153" t="str">
        <f t="shared" si="27"/>
        <v>#N/A</v>
      </c>
      <c r="GE163" s="153" t="str">
        <f>AVERAGE(OFFSET($GD$3,0,0,'Données projet'!$E$17+1,1))-AVERAGE(OFFSET($H$3,0,0,'Données projet'!$E$17+1,1))</f>
        <v>#N/A</v>
      </c>
      <c r="GF163" s="153" t="str">
        <f t="shared" si="51"/>
        <v>#N/A</v>
      </c>
      <c r="GG163" s="154">
        <f>IF(ISNA(VLOOKUP(A163,'Données projet'!$A$243:$I$263,3,0)),0,VLOOKUP(A163,'Données projet'!$A$243:$I$263,3,0))</f>
        <v>0</v>
      </c>
      <c r="GH163" s="154">
        <f>IF(ISNA(VLOOKUP(A163,'Données projet'!$A$243:$I$263,4,0)),0,VLOOKUP(A163,'Données projet'!$A$243:$I$263,4,0))</f>
        <v>0</v>
      </c>
      <c r="GI163" s="155">
        <f>IF(ISNA(VLOOKUP(A163,'Données projet'!$A$243:$I$263,5,0)),0%,VLOOKUP(A163,'Données projet'!$A$243:$I$263,5,0)*VLOOKUP('Données projet'!$B$17,'Paramètres'!$A$1:$I$88,7,0))</f>
        <v>0</v>
      </c>
      <c r="GJ163" s="155">
        <f>IF(ISNA(VLOOKUP(A163,'Données projet'!$A$243:$I$263,6,0)),0%,VLOOKUP(A163,'Données projet'!$A$243:$I$263,6,0)*VLOOKUP('Données projet'!$B$17,'Paramètres'!$A$1:$I$88,7,0))</f>
        <v>0</v>
      </c>
      <c r="GK163" s="155">
        <f>IF(ISNA(VLOOKUP(A163,'Données projet'!$A$243:$I$263,7,0)),0%,VLOOKUP(A163,'Données projet'!$A$243:$I$263,7,0))</f>
        <v>0</v>
      </c>
      <c r="GL163" s="162" t="str">
        <f>EXP(-LN(2)/35)*GL162+(1-EXP(-LN(2)/35))/(LN(2)/35)*GH163*GI163*VLOOKUP('Données projet'!$B$17,'Paramètres'!$A$1:$I$88,3,0)*0.475*44/12</f>
        <v>#N/A</v>
      </c>
      <c r="GM163" s="162" t="str">
        <f>EXP(-LN(2)/25)*GM162+(1-EXP(-LN(2)/25))/(LN(2)/25)*Calculateur!GH163*Calculateur!GJ163*VLOOKUP('Données projet'!$B$17,'Paramètres'!$A$1:$I$88,3,0)*0.475*44/12</f>
        <v>#N/A</v>
      </c>
      <c r="GN163" s="162" t="str">
        <f>EXP(-LN(2)/2)*GN162+(1-EXP(-LN(2)/2))/(LN(2)/2)*GH163*GK163*VLOOKUP('Données projet'!$B$17,'Paramètres'!$A$1:$I$88,3,0)*0.475*44/12</f>
        <v>#N/A</v>
      </c>
      <c r="GO163" s="162" t="str">
        <f t="shared" si="28"/>
        <v>#N/A</v>
      </c>
      <c r="GP163" s="159">
        <f>('Scénario référence'!$F$8+'Scénario référence'!$F$9+'Scénario référence'!$B$17+'Scénario référence'!$B$9+'Scénario référence'!$B$10)*70+IF((45+25*(1-EXP(-0.0175*A163)))&lt;70,'Scénario référence'!$B$16*(45+25*(1-EXP(-0.0175*A163))),70*'Scénario référence'!$B$16)+IF((32+38*(1-EXP(-0.0175*A163)))&lt;70,'Scénario référence'!$B$18*(32+38*(1-EXP(-0.0175*A163))),70*'Scénario référence'!$B$18)</f>
        <v>70</v>
      </c>
      <c r="GQ163" s="151">
        <f>IF(A163&gt;30,10,('Scénario référence'!$B$16+'Scénario référence'!$B$17+'Scénario référence'!$B$18+'Scénario référence'!$B$9+'Scénario référence'!$B$10)*A163*10/30+('Scénario référence'!$F$8+'Scénario référence'!$F$9)*10)</f>
        <v>10</v>
      </c>
      <c r="GR163" s="151" t="str">
        <f>VLOOKUP(A163,'Données projet'!$A$269:$I$289,2,0)</f>
        <v>#N/A</v>
      </c>
      <c r="GS163" s="151" t="str">
        <f>VLOOKUP(A163,'Données projet'!$A$269:$I$289,9,0)</f>
        <v>#N/A</v>
      </c>
      <c r="GT163" s="151" t="str">
        <f t="array" ref="GT163">INDEX(GS:GS,MIN(IF(ISNUMBER(GS163:GS359),ROW(GS163:GS359),"")))</f>
        <v/>
      </c>
      <c r="GU163" s="151">
        <f>IF('Données projet'!$A$270&gt;35,GU162+GT163-HC162,IF(A163&lt;'Données projet'!$A$270,$GR$205^A163,IF(A163='Données projet'!$A$270,'Données projet'!$B$270,GU162+GT163-HC162)))</f>
        <v>0</v>
      </c>
      <c r="GV163" s="158" t="str">
        <f>GU163*VLOOKUP('Données projet'!$B$18,'Paramètres'!$A$1:$I$88,3,0)*VLOOKUP('Données projet'!$B$18,'Paramètres'!$A$1:$I$88,5,0)</f>
        <v>#N/A</v>
      </c>
      <c r="GW163" s="150" t="str">
        <f t="shared" si="52"/>
        <v>#N/A</v>
      </c>
      <c r="GX163" s="161" t="str">
        <f t="shared" si="29"/>
        <v>#N/A</v>
      </c>
      <c r="GY163" s="153" t="str">
        <f t="shared" si="30"/>
        <v>#N/A</v>
      </c>
      <c r="GZ163" s="153" t="str">
        <f>AVERAGE(OFFSET($GY$3,0,0,'Données projet'!$E$18+1,1))-AVERAGE(OFFSET($H$3,0,0,'Données projet'!$E$18+1,1))</f>
        <v>#N/A</v>
      </c>
      <c r="HA163" s="153" t="str">
        <f t="shared" si="53"/>
        <v>#N/A</v>
      </c>
      <c r="HB163" s="154">
        <f>IF(ISNA(VLOOKUP(A163,'Données projet'!$A$269:$I$289,3,0)),0,VLOOKUP(A163,'Données projet'!$A$269:$I$289,3,0))</f>
        <v>0</v>
      </c>
      <c r="HC163" s="154">
        <f>IF(ISNA(VLOOKUP(A163,'Données projet'!$A$269:$I$289,4,0)),0,VLOOKUP(A163,'Données projet'!$A$269:$I$289,4,0))</f>
        <v>0</v>
      </c>
      <c r="HD163" s="155">
        <f>IF(ISNA(VLOOKUP(A163,'Données projet'!$A$269:$I$289,5,0)),0%,VLOOKUP(A163,'Données projet'!$A$269:$I$289,5,0)*VLOOKUP('Données projet'!$B$18,'Paramètres'!$A$1:$I$88,7,0))</f>
        <v>0</v>
      </c>
      <c r="HE163" s="155">
        <f>IF(ISNA(VLOOKUP(A163,'Données projet'!$A$269:$I$289,6,0)),0%,VLOOKUP(A163,'Données projet'!$A$269:$I$289,6,0)*VLOOKUP('Données projet'!$B$18,'Paramètres'!$A$1:$I$88,7,0))</f>
        <v>0</v>
      </c>
      <c r="HF163" s="155">
        <f>IF(ISNA(VLOOKUP(A163,'Données projet'!$A$269:$I$289,7,0)),0%,VLOOKUP(A163,'Données projet'!$A$269:$I$289,7,0))</f>
        <v>0</v>
      </c>
      <c r="HG163" s="162" t="str">
        <f>EXP(-LN(2)/35)*HG162+(1-EXP(-LN(2)/35))/(LN(2)/35)*HC163*HD163*VLOOKUP('Données projet'!$B$18,'Paramètres'!$A$1:$I$88,3,0)*0.475*44/12</f>
        <v>#N/A</v>
      </c>
      <c r="HH163" s="162" t="str">
        <f>EXP(-LN(2)/25)*HH162+(1-EXP(-LN(2)/25))/(LN(2)/25)*Calculateur!HC163*Calculateur!HE163*VLOOKUP('Données projet'!$B$18,'Paramètres'!$A$1:$I$88,3,0)*0.475*44/12</f>
        <v>#N/A</v>
      </c>
      <c r="HI163" s="162" t="str">
        <f>EXP(-LN(2)/2)*HI162+(1-EXP(-LN(2)/2))/(LN(2)/2)*HC163*HF163*VLOOKUP('Données projet'!$B$18,'Paramètres'!$A$1:$I$88,3,0)*0.475*44/12</f>
        <v>#N/A</v>
      </c>
      <c r="HJ163" s="163" t="str">
        <f t="shared" si="31"/>
        <v>#N/A</v>
      </c>
    </row>
    <row r="164" ht="15.75" customHeight="1">
      <c r="A164" s="145">
        <f t="shared" si="32"/>
        <v>161</v>
      </c>
      <c r="B164" s="146">
        <f>'Scénario référence'!$B$16*5+'Scénario référence'!$B$17*0+'Scénario référence'!$B$18*5</f>
        <v>0</v>
      </c>
      <c r="C164" s="160">
        <f>Calculateur!C163+'Scénario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64" s="147">
        <f t="shared" si="33"/>
        <v>0</v>
      </c>
      <c r="E164" s="147">
        <f>'Scénario référence'!$B$16*45+('Scénario référence'!$B$17+'Scénario référence'!$F$8+'Scénario référence'!$F$9+'Scénario référence'!$B$10+'Scénario référence'!$B$9)*70+'Scénario référence'!$B$18*32</f>
        <v>70</v>
      </c>
      <c r="F164" s="147">
        <f>IF(OR('Scénario référence'!$F$8&gt;0,'Scénario référence'!$F$9&gt;0),('Scénario référence'!$F$8+'Scénario référence'!$F$9)*10,0)</f>
        <v>0</v>
      </c>
      <c r="G164" s="147">
        <f>'Scénario référence'!$B$8*B164*44/12+'Scénario référence'!$B$9*(C164+D164)/0.475*44/12+'Scénario référence'!$B$10*(C164+D164)/0.475*44/12+'Scénario référence'!$F$8*(C164+D164)/0.475*44/12+'Scénario référence'!$F$9*(C164+D164)/0.475*44/12</f>
        <v>0</v>
      </c>
      <c r="H164" s="148">
        <f t="shared" si="1"/>
        <v>256.6666667</v>
      </c>
      <c r="I164" s="149">
        <f>('Scénario référence'!$F$8+'Scénario référence'!$F$9+'Scénario référence'!$B$17+'Scénario référence'!$B$9+'Scénario référence'!$B$10)*70+IF((45+25*(1-EXP(-0.0175*A164)))&lt;70,'Scénario référence'!$B$16*(45+25*(1-EXP(-0.0175*A164))),70*'Scénario référence'!$B$16)+IF((32+38*(1-EXP(-0.0175*A164)))&lt;70,'Scénario référence'!$B$18*(32+38*(1-EXP(-0.0175*A164))),70*'Scénario référence'!$B$18)</f>
        <v>70</v>
      </c>
      <c r="J164" s="150">
        <f>IF(A164&gt;30,10,('Scénario référence'!$B$16+'Scénario référence'!$B$17+'Scénario référence'!$B$18+'Scénario référence'!$B$9+'Scénario référence'!$B$10)*A164*10/30+('Scénario référence'!$F$8+'Scénario référence'!$F$9)*10)</f>
        <v>10</v>
      </c>
      <c r="K164" s="151" t="str">
        <f>VLOOKUP(A164,'Données projet'!$A$35:$I$55,2,0)</f>
        <v>#N/A</v>
      </c>
      <c r="L164" s="151" t="str">
        <f>VLOOKUP(A164,'Données projet'!$A$35:$I$55,9,0)</f>
        <v>#N/A</v>
      </c>
      <c r="M164" s="151" t="str">
        <f t="array" ref="M164">INDEX(L:L,MIN(IF(ISNUMBER(L164:L360),ROW(L164:L360),"")))</f>
        <v/>
      </c>
      <c r="N164" s="150">
        <f>IF('Données projet'!$A$36&gt;35,N163+M164-V163,IF(A164&lt;'Données projet'!$A$36,$K$205^A164,IF(A164='Données projet'!$A$36,'Données projet'!$B$36,N163+M164-V163)))</f>
        <v>307</v>
      </c>
      <c r="O164" s="150">
        <f>N164*VLOOKUP('Données projet'!$B$9,'Paramètres'!$A$1:$I$88,3,0)*VLOOKUP('Données projet'!$B$9,'Paramètres'!$A$1:$I$88,5,0)</f>
        <v>277.7736</v>
      </c>
      <c r="P164" s="150">
        <f t="shared" si="34"/>
        <v>66.49628818</v>
      </c>
      <c r="Q164" s="161">
        <f t="shared" si="2"/>
        <v>599.6033886</v>
      </c>
      <c r="R164" s="153">
        <f t="shared" si="3"/>
        <v>892.9367219</v>
      </c>
      <c r="S164" s="153">
        <f>AVERAGE(OFFSET($R$3,0,0,'Données projet'!$E$9+1,1))-AVERAGE(OFFSET($H$3,0,0,'Données projet'!$E$9+1,1))</f>
        <v>439.1985427</v>
      </c>
      <c r="T164" s="153">
        <f t="shared" si="35"/>
        <v>278.2174123</v>
      </c>
      <c r="U164" s="154">
        <f>IF(ISNA(VLOOKUP(A164,'Données projet'!$A$35:$I$55,3,0)),0,VLOOKUP(A164,'Données projet'!$A$35:$I$55,3,0))</f>
        <v>0</v>
      </c>
      <c r="V164" s="154">
        <f>IF(ISNA(VLOOKUP(A164,'Données projet'!$A$35:$I$55,4,0)),0,VLOOKUP(A164,'Données projet'!$A$35:$I$55,4,0))</f>
        <v>0</v>
      </c>
      <c r="W164" s="155">
        <f>IF(ISNA(VLOOKUP(A164,'Données projet'!$A$35:$I$55,5,0)),0%,VLOOKUP(A164,'Données projet'!$A$35:$I$55,5,0)*VLOOKUP('Données projet'!$B$9,'Paramètres'!$A$1:$I$88,7,0))</f>
        <v>0</v>
      </c>
      <c r="X164" s="155">
        <f>IF(ISNA(VLOOKUP(A164,'Données projet'!$A$35:$I$55,6,0)),0%,VLOOKUP(A164,'Données projet'!$A$35:$I$55,6,0)*VLOOKUP('Données projet'!$B$9,'Paramètres'!$A$1:$I$88,7,0))</f>
        <v>0</v>
      </c>
      <c r="Y164" s="155">
        <f>IF(ISNA(VLOOKUP(A164,'Données projet'!$A$35:$I$55,7,0)),0%,VLOOKUP(A164,'Données projet'!$A$35:$I$55,7,0))</f>
        <v>0</v>
      </c>
      <c r="Z164" s="162">
        <f>EXP(-LN(2)/35)*Z163+(1-EXP(-LN(2)/35))/(LN(2)/35)*V164*W164*VLOOKUP('Données projet'!$B$9,'Paramètres'!$A$1:$I$88,3,0)*0.475*44/12</f>
        <v>0</v>
      </c>
      <c r="AA164" s="162">
        <f>EXP(-LN(2)/25)*AA163+(1-EXP(-LN(2)/25))/(LN(2)/25)*Calculateur!V164*Calculateur!X164*VLOOKUP('Données projet'!$B$9,'Paramètres'!$A$1:$I$88,3,0)*0.475*44/12</f>
        <v>0.1187449371</v>
      </c>
      <c r="AB164" s="162">
        <f>EXP(-LN(2)/2)*AB163+(1-EXP(-LN(2)/2))/(LN(2)/2)*V164*Y164*VLOOKUP('Données projet'!$B$9,'Paramètres'!$A$1:$I$88,3,0)*0.475*44/12</f>
        <v>0</v>
      </c>
      <c r="AC164" s="163">
        <f t="shared" si="4"/>
        <v>0.1187449371</v>
      </c>
      <c r="AD164" s="150">
        <f>('Scénario référence'!$F$8+'Scénario référence'!$F$9+'Scénario référence'!$B$17+'Scénario référence'!$B$9+'Scénario référence'!$B$10)*70+IF((45+25*(1-EXP(-0.0175*A164)))&lt;70,'Scénario référence'!$B$16*(45+25*(1-EXP(-0.0175*A164))),70*'Scénario référence'!$B$16)+IF((32+38*(1-EXP(-0.0175*A164)))&lt;70,'Scénario référence'!$B$18*(32+38*(1-EXP(-0.0175*A164))),70*'Scénario référence'!$B$18)</f>
        <v>70</v>
      </c>
      <c r="AE164" s="150">
        <f>IF(A164&gt;30,10,('Scénario référence'!$B$16+'Scénario référence'!$B$17+'Scénario référence'!$B$18+'Scénario référence'!$B$9+'Scénario référence'!$B$10)*A164*10/30+('Scénario référence'!$F$8+'Scénario référence'!$F$9)*10)</f>
        <v>10</v>
      </c>
      <c r="AF164" s="151" t="str">
        <f>VLOOKUP(A164,'Données projet'!$A$61:$I$81,2,0)</f>
        <v>#N/A</v>
      </c>
      <c r="AG164" s="151" t="str">
        <f>VLOOKUP(A164,'Données projet'!$A$61:$I$81,9,0)</f>
        <v>#N/A</v>
      </c>
      <c r="AH164" s="151" t="str">
        <f t="array" ref="AH164">INDEX(AG:AG,MIN(IF(ISNUMBER(AG164:AG360),ROW(AG164:AG360),"")))</f>
        <v/>
      </c>
      <c r="AI164" s="150">
        <f>IF('Données projet'!$A$62&gt;35,AI163+AH164-AQ163,IF(A164&lt;'Données projet'!$A$62,$AF$205^A164,IF(A164='Données projet'!$A$62,'Données projet'!$B$62,AI163+AH164-AQ163)))</f>
        <v>369</v>
      </c>
      <c r="AJ164" s="150">
        <f>AI164*VLOOKUP('Données projet'!$B$10,'Paramètres'!$A$1:$I$88,3,0)*VLOOKUP('Données projet'!$B$10,'Paramètres'!$A$1:$I$88,5,0)</f>
        <v>293.5764</v>
      </c>
      <c r="AK164" s="150">
        <f t="shared" si="36"/>
        <v>69.82813851</v>
      </c>
      <c r="AL164" s="161">
        <f t="shared" si="5"/>
        <v>632.9295712</v>
      </c>
      <c r="AM164" s="153">
        <f t="shared" si="6"/>
        <v>926.2629046</v>
      </c>
      <c r="AN164" s="153">
        <f>AVERAGE(OFFSET($AM$3,0,0,'Données projet'!$E$10+1,1))-AVERAGE(OFFSET($H$3,0,0,'Données projet'!$E$10+1,1))</f>
        <v>405.6113614</v>
      </c>
      <c r="AO164" s="153">
        <f t="shared" si="37"/>
        <v>393.0787141</v>
      </c>
      <c r="AP164" s="154">
        <f>IF(ISNA(VLOOKUP(A164,'Données projet'!$A$61:$I$81,3,0)),0,VLOOKUP(A164,'Données projet'!$A$61:$I$81,3,0))</f>
        <v>0</v>
      </c>
      <c r="AQ164" s="154">
        <f>IF(ISNA(VLOOKUP(A164,'Données projet'!$A$61:$I$81,4,0)),0,VLOOKUP(A164,'Données projet'!$A$61:$I$81,4,0))</f>
        <v>0</v>
      </c>
      <c r="AR164" s="155">
        <f>IF(ISNA(VLOOKUP(A164,'Données projet'!$A$61:$I$81,5,0)),0%,VLOOKUP(A164,'Données projet'!$A$61:$I$81,5,0)*VLOOKUP('Données projet'!$B$10,'Paramètres'!$A$1:$I$88,7,0))</f>
        <v>0</v>
      </c>
      <c r="AS164" s="155">
        <f>IF(ISNA(VLOOKUP(A164,'Données projet'!$A$61:$I$81,6,0)),0%,VLOOKUP(A164,'Données projet'!$A$61:$I$81,6,0)*VLOOKUP('Données projet'!$B$10,'Paramètres'!$A$1:$I$88,7,0))</f>
        <v>0</v>
      </c>
      <c r="AT164" s="155">
        <f>IF(ISNA(VLOOKUP(A164,'Données projet'!$A$61:$I$81,7,0)),0%,VLOOKUP(A164,'Données projet'!$A$61:$I$81,7,0))</f>
        <v>0</v>
      </c>
      <c r="AU164" s="162">
        <f>EXP(-LN(2)/35)*AU163+(1-EXP(-LN(2)/35))/(LN(2)/35)*AQ164*AR164*VLOOKUP('Données projet'!$B$10,'Paramètres'!$A$1:$I$88,3,0)*0.475*44/12</f>
        <v>0</v>
      </c>
      <c r="AV164" s="162">
        <f>EXP(-LN(2)/25)*AV163+(1-EXP(-LN(2)/25))/(LN(2)/25)*Calculateur!AQ164*Calculateur!AS164*VLOOKUP('Données projet'!$B$10,'Paramètres'!$A$1:$I$88,3,0)*0.475*44/12</f>
        <v>0.4826096104</v>
      </c>
      <c r="AW164" s="162">
        <f>EXP(-LN(2)/2)*AW163+(1-EXP(-LN(2)/2))/(LN(2)/2)*AQ164*AT164*VLOOKUP('Données projet'!$B$10,'Paramètres'!$A$1:$I$88,3,0)*0.475*44/12</f>
        <v>0</v>
      </c>
      <c r="AX164" s="162">
        <f t="shared" si="7"/>
        <v>0.4826096104</v>
      </c>
      <c r="AY164" s="157">
        <f>('Scénario référence'!$F$8+'Scénario référence'!$F$9+'Scénario référence'!$B$17+'Scénario référence'!$B$9+'Scénario référence'!$B$10)*70+IF((45+25*(1-EXP(-0.0175*A164)))&lt;70,'Scénario référence'!$B$16*(45+25*(1-EXP(-0.0175*A164))),70*'Scénario référence'!$B$16)+IF((32+38*(1-EXP(-0.0175*A164)))&lt;70,'Scénario référence'!$B$18*(32+38*(1-EXP(-0.0175*A164))),70*'Scénario référence'!$B$18)</f>
        <v>70</v>
      </c>
      <c r="AZ164" s="151">
        <f>IF(A164&gt;30,10,('Scénario référence'!$B$16+'Scénario référence'!$B$17+'Scénario référence'!$B$18+'Scénario référence'!$B$9+'Scénario référence'!$B$10)*A164*10/30+('Scénario référence'!$F$8+'Scénario référence'!$F$9)*10)</f>
        <v>10</v>
      </c>
      <c r="BA164" s="151" t="str">
        <f>VLOOKUP(A164,'Données projet'!$A$87:$I$107,2,0)</f>
        <v>#N/A</v>
      </c>
      <c r="BB164" s="151" t="str">
        <f>VLOOKUP(A164,'Données projet'!$A$87:$I$107,9,0)</f>
        <v>#N/A</v>
      </c>
      <c r="BC164" s="151" t="str">
        <f t="array" ref="BC164">INDEX(BB:BB,MIN(IF(ISNUMBER(BB164:BB360),ROW(BB164:BB360),"")))</f>
        <v/>
      </c>
      <c r="BD164" s="150">
        <f>IF('Données projet'!$A$88&gt;35,BD163+BC164-BL163,IF(A164&lt;'Données projet'!$A$88,$BA$205^A164,IF(A164='Données projet'!$A$88,'Données projet'!$B$88,BD163+BC164-BL163)))</f>
        <v>0</v>
      </c>
      <c r="BE164" s="150">
        <f>BD164*VLOOKUP('Données projet'!$B$11,'Paramètres'!$A$1:$I$88,3,0)*VLOOKUP('Données projet'!$B$11,'Paramètres'!$A$1:$I$88,5,0)</f>
        <v>0</v>
      </c>
      <c r="BF164" s="150" t="str">
        <f t="shared" si="38"/>
        <v>#NUM!</v>
      </c>
      <c r="BG164" s="161" t="str">
        <f t="shared" si="8"/>
        <v>#NUM!</v>
      </c>
      <c r="BH164" s="153" t="str">
        <f t="shared" si="9"/>
        <v>#NUM!</v>
      </c>
      <c r="BI164" s="153">
        <f>AVERAGE(OFFSET($BH$3,0,0,'Données projet'!$E$11+1,1))-AVERAGE(OFFSET($H$3,0,0,'Données projet'!$E$11+1,1))</f>
        <v>0</v>
      </c>
      <c r="BJ164" s="153">
        <f t="shared" si="39"/>
        <v>0</v>
      </c>
      <c r="BK164" s="154">
        <f>IF(ISNA(VLOOKUP(A164,'Données projet'!$A$87:$I$107,3,0)),0,VLOOKUP(A164,'Données projet'!$A$87:$I$107,3,0))</f>
        <v>0</v>
      </c>
      <c r="BL164" s="154">
        <f>IF(ISNA(VLOOKUP(A164,'Données projet'!$A$87:$I$107,4,0)),0,VLOOKUP(A164,'Données projet'!$A$87:$I$107,4,0))</f>
        <v>0</v>
      </c>
      <c r="BM164" s="155">
        <f>IF(ISNA(VLOOKUP(A164,'Données projet'!$A$87:$I$107,5,0)),0%,VLOOKUP(A164,'Données projet'!$A$87:$I$107,5,0)*VLOOKUP('Données projet'!$B$11,'Paramètres'!$A$1:$I$88,7,0))</f>
        <v>0</v>
      </c>
      <c r="BN164" s="155">
        <f>IF(ISNA(VLOOKUP(A164,'Données projet'!$A$87:$I$107,6,0)),0%,VLOOKUP(A164,'Données projet'!$A$87:$I$107,6,0)*VLOOKUP('Données projet'!$B$11,'Paramètres'!$A$1:$I$88,7,0))</f>
        <v>0</v>
      </c>
      <c r="BO164" s="155">
        <f>IF(ISNA(VLOOKUP(A164,'Données projet'!$A$87:$I$107,7,0)),0%,VLOOKUP(A164,'Données projet'!$A$87:$I$107,7,0))</f>
        <v>0</v>
      </c>
      <c r="BP164" s="162">
        <f>EXP(-LN(2)/35)*BP163+(1-EXP(-LN(2)/35))/(LN(2)/35)*BL164*BM164*VLOOKUP('Données projet'!$B$11,'Paramètres'!$A$1:$I$88,3,0)*0.475*44/12</f>
        <v>0</v>
      </c>
      <c r="BQ164" s="162">
        <f>EXP(-LN(2)/25)*BQ163+(1-EXP(-LN(2)/25))/(LN(2)/25)*Calculateur!BL164*Calculateur!BN164*VLOOKUP('Données projet'!$B$11,'Paramètres'!$A$1:$I$88,3,0)*0.475*44/12</f>
        <v>0</v>
      </c>
      <c r="BR164" s="162">
        <f>EXP(-LN(2)/2)*BR163+(1-EXP(-LN(2)/2))/(LN(2)/2)*BL164*BO164*VLOOKUP('Données projet'!$B$11,'Paramètres'!$A$1:$I$88,3,0)*0.475*44/12</f>
        <v>0</v>
      </c>
      <c r="BS164" s="163">
        <f t="shared" si="10"/>
        <v>0</v>
      </c>
      <c r="BT164" s="159">
        <f>('Scénario référence'!$F$8+'Scénario référence'!$F$9+'Scénario référence'!$B$17+'Scénario référence'!$B$9+'Scénario référence'!$B$10)*70+IF((45+25*(1-EXP(-0.0175*A164)))&lt;70,'Scénario référence'!$B$16*(45+25*(1-EXP(-0.0175*A164))),70*'Scénario référence'!$B$16)+IF((32+38*(1-EXP(-0.0175*A164)))&lt;70,'Scénario référence'!$B$18*(32+38*(1-EXP(-0.0175*A164))),70*'Scénario référence'!$B$18)</f>
        <v>70</v>
      </c>
      <c r="BU164" s="151">
        <f>IF(A164&gt;30,10,('Scénario référence'!$B$16+'Scénario référence'!$B$17+'Scénario référence'!$B$18+'Scénario référence'!$B$9+'Scénario référence'!$B$10)*A164*10/30+('Scénario référence'!$F$8+'Scénario référence'!$F$9)*10)</f>
        <v>10</v>
      </c>
      <c r="BV164" s="151" t="str">
        <f>VLOOKUP(A164,'Données projet'!$A$113:$I$133,2,0)</f>
        <v>#N/A</v>
      </c>
      <c r="BW164" s="151" t="str">
        <f>VLOOKUP(A164,'Données projet'!$A$113:$I$133,9,0)</f>
        <v>#N/A</v>
      </c>
      <c r="BX164" s="151" t="str">
        <f t="array" ref="BX164">INDEX(BW:BW,MIN(IF(ISNUMBER(BW164:BW360),ROW(BW164:BW360),"")))</f>
        <v/>
      </c>
      <c r="BY164" s="150">
        <f>IF('Données projet'!$A$114&gt;35,BY163+BX164-CG163,IF(A164&lt;'Données projet'!$A$114,$BV$205^A164,IF(A164='Données projet'!$A$114,'Données projet'!$B$114,BY163+BX164-CG163)))</f>
        <v>0</v>
      </c>
      <c r="BZ164" s="150" t="str">
        <f>BY164*VLOOKUP('Données projet'!$B$12,'Paramètres'!$A$1:$I$88,3,0)*VLOOKUP('Données projet'!$B$12,'Paramètres'!$A$1:$I$88,5,0)</f>
        <v>#N/A</v>
      </c>
      <c r="CA164" s="150" t="str">
        <f t="shared" si="40"/>
        <v>#N/A</v>
      </c>
      <c r="CB164" s="161" t="str">
        <f t="shared" si="11"/>
        <v>#N/A</v>
      </c>
      <c r="CC164" s="153" t="str">
        <f t="shared" si="12"/>
        <v>#N/A</v>
      </c>
      <c r="CD164" s="153" t="str">
        <f>AVERAGE(OFFSET($CC$3,0,0,'Données projet'!$E$12+1,1))-AVERAGE(OFFSET($H$3,0,0,'Données projet'!$E$12+1,1))</f>
        <v>#N/A</v>
      </c>
      <c r="CE164" s="153" t="str">
        <f t="shared" si="41"/>
        <v>#N/A</v>
      </c>
      <c r="CF164" s="154">
        <f>IF(ISNA(VLOOKUP(A164,'Données projet'!$A$113:$I$133,3,0)),0,VLOOKUP(A164,'Données projet'!$A$113:$I$133,3,0))</f>
        <v>0</v>
      </c>
      <c r="CG164" s="154">
        <f>IF(ISNA(VLOOKUP(A164,'Données projet'!$A$113:$I$133,4,0)),0,VLOOKUP(A164,'Données projet'!$A$113:$I$133,4,0))</f>
        <v>0</v>
      </c>
      <c r="CH164" s="155">
        <f>IF(ISNA(VLOOKUP(A164,'Données projet'!$A$113:$I$133,5,0)),0%,VLOOKUP(A164,'Données projet'!$A$113:$I$133,5,0)*VLOOKUP('Données projet'!$B$12,'Paramètres'!$A$1:$I$88,7,0))</f>
        <v>0</v>
      </c>
      <c r="CI164" s="155">
        <f>IF(ISNA(VLOOKUP(A164,'Données projet'!$A$113:$I$133,6,0)),0%,VLOOKUP(A164,'Données projet'!$A$113:$I$133,6,0)*VLOOKUP('Données projet'!$B$12,'Paramètres'!$A$1:$I$88,7,0))</f>
        <v>0</v>
      </c>
      <c r="CJ164" s="155">
        <f>IF(ISNA(VLOOKUP(A164,'Données projet'!$A$113:$I$133,7,0)),0%,VLOOKUP(A164,'Données projet'!$A$113:$I$133,7,0))</f>
        <v>0</v>
      </c>
      <c r="CK164" s="162" t="str">
        <f>EXP(-LN(2)/35)*CK163+(1-EXP(-LN(2)/35))/(LN(2)/35)*CG164*CH164*VLOOKUP('Données projet'!$B$12,'Paramètres'!$A$1:$I$88,3,0)*0.475*44/12</f>
        <v>#N/A</v>
      </c>
      <c r="CL164" s="162" t="str">
        <f>EXP(-LN(2)/25)*CL163+(1-EXP(-LN(2)/25))/(LN(2)/25)*Calculateur!CG164*Calculateur!CI164*VLOOKUP('Données projet'!$B$12,'Paramètres'!$A$1:$I$88,3,0)*0.475*44/12</f>
        <v>#N/A</v>
      </c>
      <c r="CM164" s="162" t="str">
        <f>EXP(-LN(2)/2)*CM163+(1-EXP(-LN(2)/2))/(LN(2)/2)*CG164*CJ164*VLOOKUP('Données projet'!$B$12,'Paramètres'!$A$1:$I$88,3,0)*0.475*44/12</f>
        <v>#N/A</v>
      </c>
      <c r="CN164" s="163" t="str">
        <f t="shared" si="13"/>
        <v>#N/A</v>
      </c>
      <c r="CO164" s="159">
        <f>('Scénario référence'!$F$8+'Scénario référence'!$F$9+'Scénario référence'!$B$17+'Scénario référence'!$B$9+'Scénario référence'!$B$10)*70+IF((45+25*(1-EXP(-0.0175*A164)))&lt;70,'Scénario référence'!$B$16*(45+25*(1-EXP(-0.0175*A164))),70*'Scénario référence'!$B$16)+IF((32+38*(1-EXP(-0.0175*A164)))&lt;70,'Scénario référence'!$B$18*(32+38*(1-EXP(-0.0175*A164))),70*'Scénario référence'!$B$18)</f>
        <v>70</v>
      </c>
      <c r="CP164" s="151">
        <f>IF(A164&gt;30,10,('Scénario référence'!$B$16+'Scénario référence'!$B$17+'Scénario référence'!$B$18+'Scénario référence'!$B$9+'Scénario référence'!$B$10)*A164*10/30+('Scénario référence'!$F$8+'Scénario référence'!$F$9)*10)</f>
        <v>10</v>
      </c>
      <c r="CQ164" s="151" t="str">
        <f>VLOOKUP(A164,'Données projet'!$A$139:$I$159,2,0)</f>
        <v>#N/A</v>
      </c>
      <c r="CR164" s="151" t="str">
        <f>VLOOKUP(A164,'Données projet'!$A$139:$I$159,9,0)</f>
        <v>#N/A</v>
      </c>
      <c r="CS164" s="151" t="str">
        <f t="array" ref="CS164">INDEX(CR:CR,MIN(IF(ISNUMBER(CR164:CR360),ROW(CR164:CR360),"")))</f>
        <v/>
      </c>
      <c r="CT164" s="151">
        <f>IF('Données projet'!$A$140&gt;35,CT163+CS164-DB163,IF(A164&lt;'Données projet'!$A$140,$CQ$205^A164,IF(A164='Données projet'!$A$140,'Données projet'!$B$140,CT163+CS164-DB163)))</f>
        <v>0</v>
      </c>
      <c r="CU164" s="158" t="str">
        <f>CT164*VLOOKUP('Données projet'!$B$13,'Paramètres'!$A$1:$I$88,3,0)*VLOOKUP('Données projet'!$B$13,'Paramètres'!$A$1:$I$88,5,0)</f>
        <v>#N/A</v>
      </c>
      <c r="CV164" s="150" t="str">
        <f t="shared" si="42"/>
        <v>#N/A</v>
      </c>
      <c r="CW164" s="161" t="str">
        <f t="shared" si="14"/>
        <v>#N/A</v>
      </c>
      <c r="CX164" s="153" t="str">
        <f t="shared" si="15"/>
        <v>#N/A</v>
      </c>
      <c r="CY164" s="153" t="str">
        <f>AVERAGE(OFFSET($CX$3,0,0,'Données projet'!$E$13+1,1))-AVERAGE(OFFSET($H$3,0,0,'Données projet'!$E$13+1,1))</f>
        <v>#N/A</v>
      </c>
      <c r="CZ164" s="153" t="str">
        <f t="shared" si="43"/>
        <v>#N/A</v>
      </c>
      <c r="DA164" s="154">
        <f>IF(ISNA(VLOOKUP(A164,'Données projet'!$A$139:$I$159,3,0)),0,VLOOKUP(A164,'Données projet'!$A$139:$I$159,3,0))</f>
        <v>0</v>
      </c>
      <c r="DB164" s="154">
        <f>IF(ISNA(VLOOKUP(A164,'Données projet'!$A$139:$I$159,4,0)),0,VLOOKUP(A164,'Données projet'!$A$139:$I$159,4,0))</f>
        <v>0</v>
      </c>
      <c r="DC164" s="155">
        <f>IF(ISNA(VLOOKUP(A164,'Données projet'!$A$139:$I$159,5,0)),0%,VLOOKUP(A164,'Données projet'!$A$139:$I$159,5,0)*VLOOKUP('Données projet'!$B$13,'Paramètres'!$A$1:$I$88,7,0))</f>
        <v>0</v>
      </c>
      <c r="DD164" s="155">
        <f>IF(ISNA(VLOOKUP(A164,'Données projet'!$A$139:$I$159,6,0)),0%,VLOOKUP(A164,'Données projet'!$A$139:$I$159,6,0)*VLOOKUP('Données projet'!$B$13,'Paramètres'!$A$1:$I$88,7,0))</f>
        <v>0</v>
      </c>
      <c r="DE164" s="155">
        <f>IF(ISNA(VLOOKUP(A164,'Données projet'!$A$139:$I$159,7,0)),0%,VLOOKUP(A164,'Données projet'!$A$139:$I$159,7,0))</f>
        <v>0</v>
      </c>
      <c r="DF164" s="162" t="str">
        <f>EXP(-LN(2)/35)*DF163+(1-EXP(-LN(2)/35))/(LN(2)/35)*DB164*DC164*VLOOKUP('Données projet'!$B$13,'Paramètres'!$A$1:$I$88,3,0)*0.475*44/12</f>
        <v>#N/A</v>
      </c>
      <c r="DG164" s="162" t="str">
        <f>EXP(-LN(2)/25)*DG163+(1-EXP(-LN(2)/25))/(LN(2)/25)*Calculateur!DB164*Calculateur!DD164*VLOOKUP('Données projet'!$B$13,'Paramètres'!$A$1:$I$88,3,0)*0.475*44/12</f>
        <v>#N/A</v>
      </c>
      <c r="DH164" s="162" t="str">
        <f>EXP(-LN(2)/2)*DH163+(1-EXP(-LN(2)/2))/(LN(2)/2)*DB164*DE164*VLOOKUP('Données projet'!$B$13,'Paramètres'!$A$1:$I$88,3,0)*0.475*44/12</f>
        <v>#N/A</v>
      </c>
      <c r="DI164" s="163" t="str">
        <f t="shared" si="16"/>
        <v>#N/A</v>
      </c>
      <c r="DJ164" s="159">
        <f>('Scénario référence'!$F$8+'Scénario référence'!$F$9+'Scénario référence'!$B$17+'Scénario référence'!$B$9+'Scénario référence'!$B$10)*70+IF((45+25*(1-EXP(-0.0175*A164)))&lt;70,'Scénario référence'!$B$16*(45+25*(1-EXP(-0.0175*A164))),70*'Scénario référence'!$B$16)+IF((32+38*(1-EXP(-0.0175*A164)))&lt;70,'Scénario référence'!$B$18*(32+38*(1-EXP(-0.0175*A164))),70*'Scénario référence'!$B$18)</f>
        <v>70</v>
      </c>
      <c r="DK164" s="151">
        <f>IF(A164&gt;30,10,('Scénario référence'!$B$16+'Scénario référence'!$B$17+'Scénario référence'!$B$18+'Scénario référence'!$B$9+'Scénario référence'!$B$10)*A164*10/30+('Scénario référence'!$F$8+'Scénario référence'!$F$9)*10)</f>
        <v>10</v>
      </c>
      <c r="DL164" s="151" t="str">
        <f>VLOOKUP(A164,'Données projet'!$A$165:$I$185,2,0)</f>
        <v>#N/A</v>
      </c>
      <c r="DM164" s="151" t="str">
        <f>VLOOKUP(A164,'Données projet'!$A$165:$I$185,9,0)</f>
        <v>#N/A</v>
      </c>
      <c r="DN164" s="151" t="str">
        <f t="array" ref="DN164">INDEX(DM:DM,MIN(IF(ISNUMBER(DM164:DM360),ROW(DM164:DM360),"")))</f>
        <v/>
      </c>
      <c r="DO164" s="151">
        <f>IF('Données projet'!$A$166&gt;35,DO163+DN164-DW163,IF(A164&lt;'Données projet'!$A$166,$DL$205^A164,IF(A164='Données projet'!$A$166,'Données projet'!$B$166,DO163+DN164-DW163)))</f>
        <v>0</v>
      </c>
      <c r="DP164" s="158" t="str">
        <f>DO164*VLOOKUP('Données projet'!$B$14,'Paramètres'!$A$1:$I$88,3,0)*VLOOKUP('Données projet'!$B$14,'Paramètres'!$A$1:$I$88,5,0)</f>
        <v>#N/A</v>
      </c>
      <c r="DQ164" s="150" t="str">
        <f t="shared" si="44"/>
        <v>#N/A</v>
      </c>
      <c r="DR164" s="161" t="str">
        <f t="shared" si="17"/>
        <v>#N/A</v>
      </c>
      <c r="DS164" s="153" t="str">
        <f t="shared" si="18"/>
        <v>#N/A</v>
      </c>
      <c r="DT164" s="153" t="str">
        <f>AVERAGE(OFFSET($DS$3,0,0,'Données projet'!$E$14+1,1))-AVERAGE(OFFSET($H$3,0,0,'Données projet'!$E$14+1,1))</f>
        <v>#N/A</v>
      </c>
      <c r="DU164" s="153" t="str">
        <f t="shared" si="45"/>
        <v>#N/A</v>
      </c>
      <c r="DV164" s="154">
        <f>IF(ISNA(VLOOKUP(A164,'Données projet'!$A$165:$I$185,3,0)),0,VLOOKUP(A164,'Données projet'!$A$165:$I$185,3,0))</f>
        <v>0</v>
      </c>
      <c r="DW164" s="154">
        <f>IF(ISNA(VLOOKUP(A164,'Données projet'!$A$165:$I$185,4,0)),0,VLOOKUP(A164,'Données projet'!$A$165:$I$185,4,0))</f>
        <v>0</v>
      </c>
      <c r="DX164" s="155">
        <f>IF(ISNA(VLOOKUP(A164,'Données projet'!$A$165:$I$185,5,0)),0%,VLOOKUP(A164,'Données projet'!$A$165:$I$185,5,0)*VLOOKUP('Données projet'!$B$14,'Paramètres'!$A$1:$I$88,7,0))</f>
        <v>0</v>
      </c>
      <c r="DY164" s="155">
        <f>IF(ISNA(VLOOKUP(A164,'Données projet'!$A$165:$I$185,6,0)),0%,VLOOKUP(A164,'Données projet'!$A$165:$I$185,6,0)*VLOOKUP('Données projet'!$B$14,'Paramètres'!$A$1:$I$88,7,0))</f>
        <v>0</v>
      </c>
      <c r="DZ164" s="155">
        <f>IF(ISNA(VLOOKUP(A164,'Données projet'!$A$165:$I$185,7,0)),0%,VLOOKUP(A164,'Données projet'!$A$165:$I$185,7,0))</f>
        <v>0</v>
      </c>
      <c r="EA164" s="162" t="str">
        <f>EXP(-LN(2)/35)*EA163+(1-EXP(-LN(2)/35))/(LN(2)/35)*DW164*DX164*VLOOKUP('Données projet'!$B$14,'Paramètres'!$A$1:$I$88,3,0)*0.475*44/12</f>
        <v>#N/A</v>
      </c>
      <c r="EB164" s="162" t="str">
        <f>EXP(-LN(2)/25)*EB163+(1-EXP(-LN(2)/25))/(LN(2)/25)*Calculateur!DW164*Calculateur!DY164*VLOOKUP('Données projet'!$B$14,'Paramètres'!$A$1:$I$88,3,0)*0.475*44/12</f>
        <v>#N/A</v>
      </c>
      <c r="EC164" s="162" t="str">
        <f>EXP(-LN(2)/2)*EC163+(1-EXP(-LN(2)/2))/(LN(2)/2)*DW164*DZ164*VLOOKUP('Données projet'!$B$14,'Paramètres'!$A$1:$I$88,3,0)*0.475*44/12</f>
        <v>#N/A</v>
      </c>
      <c r="ED164" s="163" t="str">
        <f t="shared" si="19"/>
        <v>#N/A</v>
      </c>
      <c r="EE164" s="159">
        <f>('Scénario référence'!$F$8+'Scénario référence'!$F$9+'Scénario référence'!$B$17+'Scénario référence'!$B$9+'Scénario référence'!$B$10)*70+IF((45+25*(1-EXP(-0.0175*A164)))&lt;70,'Scénario référence'!$B$16*(45+25*(1-EXP(-0.0175*A164))),70*'Scénario référence'!$B$16)+IF((32+38*(1-EXP(-0.0175*A164)))&lt;70,'Scénario référence'!$B$18*(32+38*(1-EXP(-0.0175*A164))),70*'Scénario référence'!$B$18)</f>
        <v>70</v>
      </c>
      <c r="EF164" s="151">
        <f>IF(A164&gt;30,10,('Scénario référence'!$B$16+'Scénario référence'!$B$17+'Scénario référence'!$B$18+'Scénario référence'!$B$9+'Scénario référence'!$B$10)*A164*10/30+('Scénario référence'!$F$8+'Scénario référence'!$F$9)*10)</f>
        <v>10</v>
      </c>
      <c r="EG164" s="151" t="str">
        <f>VLOOKUP(A164,'Données projet'!$A$191:$I$211,2,0)</f>
        <v>#N/A</v>
      </c>
      <c r="EH164" s="151" t="str">
        <f>VLOOKUP(A164,'Données projet'!$A$191:$I$211,9,0)</f>
        <v>#N/A</v>
      </c>
      <c r="EI164" s="151" t="str">
        <f t="array" ref="EI164">INDEX(EH:EH,MIN(IF(ISNUMBER(EH164:EH360),ROW(EH164:EH360),"")))</f>
        <v/>
      </c>
      <c r="EJ164" s="151">
        <f>IF('Données projet'!$A$192&gt;35,EJ163+EI164-ER163,IF(A164&lt;'Données projet'!$A$192,$EG$205^A164,IF(A164='Données projet'!$A$192,'Données projet'!$B$192,EJ163+EI164-ER163)))</f>
        <v>0</v>
      </c>
      <c r="EK164" s="158" t="str">
        <f>EJ164*VLOOKUP('Données projet'!$B$15,'Paramètres'!$A$1:$I$88,3,0)*VLOOKUP('Données projet'!$B$15,'Paramètres'!$A$1:$I$88,5,0)</f>
        <v>#N/A</v>
      </c>
      <c r="EL164" s="150" t="str">
        <f t="shared" si="46"/>
        <v>#N/A</v>
      </c>
      <c r="EM164" s="161" t="str">
        <f t="shared" si="20"/>
        <v>#N/A</v>
      </c>
      <c r="EN164" s="153" t="str">
        <f t="shared" si="21"/>
        <v>#N/A</v>
      </c>
      <c r="EO164" s="153" t="str">
        <f>AVERAGE(OFFSET($EN$3,0,0,'Données projet'!$E$15+1,1))-AVERAGE(OFFSET($H$3,0,0,'Données projet'!$E$15+1,1))</f>
        <v>#N/A</v>
      </c>
      <c r="EP164" s="153" t="str">
        <f t="shared" si="47"/>
        <v>#N/A</v>
      </c>
      <c r="EQ164" s="154">
        <f>IF(ISNA(VLOOKUP(A164,'Données projet'!$A$191:$I$211,3,0)),0,VLOOKUP(A164,'Données projet'!$A$191:$I$211,3,0))</f>
        <v>0</v>
      </c>
      <c r="ER164" s="154">
        <f>IF(ISNA(VLOOKUP(A164,'Données projet'!$A$191:$I$211,4,0)),0,VLOOKUP(A164,'Données projet'!$A$191:$I$211,4,0))</f>
        <v>0</v>
      </c>
      <c r="ES164" s="155">
        <f>IF(ISNA(VLOOKUP(A164,'Données projet'!$A$191:$I$211,5,0)),0%,VLOOKUP(A164,'Données projet'!$A$191:$I$211,5,0)*VLOOKUP('Données projet'!$B$15,'Paramètres'!$A$1:$I$88,7,0))</f>
        <v>0</v>
      </c>
      <c r="ET164" s="155">
        <f>IF(ISNA(VLOOKUP(A164,'Données projet'!$A$191:$I$211,6,0)),0%,VLOOKUP(A164,'Données projet'!$A$191:$I$211,6,0)*VLOOKUP('Données projet'!$B$15,'Paramètres'!$A$1:$I$88,7,0))</f>
        <v>0</v>
      </c>
      <c r="EU164" s="155">
        <f>IF(ISNA(VLOOKUP(A164,'Données projet'!$A$191:$I$211,7,0)),0%,VLOOKUP(A164,'Données projet'!$A$191:$I$211,7,0))</f>
        <v>0</v>
      </c>
      <c r="EV164" s="162" t="str">
        <f>EXP(-LN(2)/35)*EV163+(1-EXP(-LN(2)/35))/(LN(2)/35)*ER164*ES164*VLOOKUP('Données projet'!$B$15,'Paramètres'!$A$1:$I$88,3,0)*0.475*44/12</f>
        <v>#N/A</v>
      </c>
      <c r="EW164" s="162" t="str">
        <f>EXP(-LN(2)/25)*EW163+(1-EXP(-LN(2)/25))/(LN(2)/25)*Calculateur!ER164*Calculateur!ET164*VLOOKUP('Données projet'!$B$15,'Paramètres'!$A$1:$I$88,3,0)*0.475*44/12</f>
        <v>#N/A</v>
      </c>
      <c r="EX164" s="162" t="str">
        <f>EXP(-LN(2)/2)*EX163+(1-EXP(-LN(2)/2))/(LN(2)/2)*ER164*EU164*VLOOKUP('Données projet'!$B$15,'Paramètres'!$A$1:$I$88,3,0)*0.475*44/12</f>
        <v>#N/A</v>
      </c>
      <c r="EY164" s="163" t="str">
        <f t="shared" si="22"/>
        <v>#N/A</v>
      </c>
      <c r="EZ164" s="159">
        <f>('Scénario référence'!$F$8+'Scénario référence'!$F$9+'Scénario référence'!$B$17+'Scénario référence'!$B$9+'Scénario référence'!$B$10)*70+IF((45+25*(1-EXP(-0.0175*A164)))&lt;70,'Scénario référence'!$B$16*(45+25*(1-EXP(-0.0175*A164))),70*'Scénario référence'!$B$16)+IF((32+38*(1-EXP(-0.0175*A164)))&lt;70,'Scénario référence'!$B$18*(32+38*(1-EXP(-0.0175*A164))),70*'Scénario référence'!$B$18)</f>
        <v>70</v>
      </c>
      <c r="FA164" s="151">
        <f>IF(A164&gt;30,10,('Scénario référence'!$B$16+'Scénario référence'!$B$17+'Scénario référence'!$B$18+'Scénario référence'!$B$9+'Scénario référence'!$B$10)*A164*10/30+('Scénario référence'!$F$8+'Scénario référence'!$F$9)*10)</f>
        <v>10</v>
      </c>
      <c r="FB164" s="151" t="str">
        <f>VLOOKUP(A164,'Données projet'!$A$217:$I$237,2,0)</f>
        <v>#N/A</v>
      </c>
      <c r="FC164" s="151" t="str">
        <f>VLOOKUP(A164,'Données projet'!$A$217:$I$237,9,0)</f>
        <v>#N/A</v>
      </c>
      <c r="FD164" s="151" t="str">
        <f t="array" ref="FD164">INDEX(FC:FC,MIN(IF(ISNUMBER(FC164:FC360),ROW(FC164:FC360),"")))</f>
        <v/>
      </c>
      <c r="FE164" s="151">
        <f>IF('Données projet'!$A$218&gt;35,FE163+FD164-FM163,IF(A164&lt;'Données projet'!$A$218,$FB$205^A164,IF(A164='Données projet'!$A$218,'Données projet'!$B$218,FE163+FD164-FM163)))</f>
        <v>0</v>
      </c>
      <c r="FF164" s="158" t="str">
        <f>FE164*VLOOKUP('Données projet'!$B$16,'Paramètres'!$A$1:$I$88,3,0)*VLOOKUP('Données projet'!$B$16,'Paramètres'!$A$1:$I$88,5,0)</f>
        <v>#N/A</v>
      </c>
      <c r="FG164" s="150" t="str">
        <f t="shared" si="48"/>
        <v>#N/A</v>
      </c>
      <c r="FH164" s="161" t="str">
        <f t="shared" si="23"/>
        <v>#N/A</v>
      </c>
      <c r="FI164" s="153" t="str">
        <f t="shared" si="24"/>
        <v>#N/A</v>
      </c>
      <c r="FJ164" s="153" t="str">
        <f>AVERAGE(OFFSET($FI$3,0,0,'Données projet'!$E$16+1,1))-AVERAGE(OFFSET($H$3,0,0,'Données projet'!$E$16+1,1))</f>
        <v>#N/A</v>
      </c>
      <c r="FK164" s="153" t="str">
        <f t="shared" si="49"/>
        <v>#N/A</v>
      </c>
      <c r="FL164" s="154">
        <f>IF(ISNA(VLOOKUP(A164,'Données projet'!$A$217:$I$237,3,0)),0,VLOOKUP(A164,'Données projet'!$A$217:$I$237,3,0))</f>
        <v>0</v>
      </c>
      <c r="FM164" s="154">
        <f>IF(ISNA(VLOOKUP(A164,'Données projet'!$A$217:$I$237,4,0)),0,VLOOKUP(A164,'Données projet'!$A$217:$I$237,4,0))</f>
        <v>0</v>
      </c>
      <c r="FN164" s="155">
        <f>IF(ISNA(VLOOKUP(A164,'Données projet'!$A$217:$I$237,5,0)),0%,VLOOKUP(A164,'Données projet'!$A$217:$I$237,5,0)*VLOOKUP('Données projet'!$B$16,'Paramètres'!$A$1:$I$88,7,0))</f>
        <v>0</v>
      </c>
      <c r="FO164" s="155">
        <f>IF(ISNA(VLOOKUP(A164,'Données projet'!$A$217:$I$237,6,0)),0%,VLOOKUP(A164,'Données projet'!$A$217:$I$237,6,0)*VLOOKUP('Données projet'!$B$16,'Paramètres'!$A$1:$I$88,7,0))</f>
        <v>0</v>
      </c>
      <c r="FP164" s="155">
        <f>IF(ISNA(VLOOKUP(A164,'Données projet'!$A$217:$I$237,7,0)),0%,VLOOKUP(A164,'Données projet'!$A$217:$I$237,7,0))</f>
        <v>0</v>
      </c>
      <c r="FQ164" s="162" t="str">
        <f>EXP(-LN(2)/35)*FQ163+(1-EXP(-LN(2)/35))/(LN(2)/35)*FM164*FN164*VLOOKUP('Données projet'!$B$16,'Paramètres'!$A$1:$I$88,3,0)*0.475*44/12</f>
        <v>#N/A</v>
      </c>
      <c r="FR164" s="162" t="str">
        <f>EXP(-LN(2)/25)*FR163+(1-EXP(-LN(2)/25))/(LN(2)/25)*Calculateur!FM164*Calculateur!FO164*VLOOKUP('Données projet'!$B$16,'Paramètres'!$A$1:$I$88,3,0)*0.475*44/12</f>
        <v>#N/A</v>
      </c>
      <c r="FS164" s="162" t="str">
        <f>EXP(-LN(2)/2)*FS163+(1-EXP(-LN(2)/2))/(LN(2)/2)*FM164*FP164*VLOOKUP('Données projet'!$B$16,'Paramètres'!$A$1:$I$88,3,0)*0.475*44/12</f>
        <v>#N/A</v>
      </c>
      <c r="FT164" s="163" t="str">
        <f t="shared" si="25"/>
        <v>#N/A</v>
      </c>
      <c r="FU164" s="159">
        <f>('Scénario référence'!$F$8+'Scénario référence'!$F$9+'Scénario référence'!$B$17+'Scénario référence'!$B$9+'Scénario référence'!$B$10)*70+IF((45+25*(1-EXP(-0.0175*A164)))&lt;70,'Scénario référence'!$B$16*(45+25*(1-EXP(-0.0175*A164))),70*'Scénario référence'!$B$16)+IF((32+38*(1-EXP(-0.0175*A164)))&lt;70,'Scénario référence'!$B$18*(32+38*(1-EXP(-0.0175*A164))),70*'Scénario référence'!$B$18)</f>
        <v>70</v>
      </c>
      <c r="FV164" s="151">
        <f>IF(A164&gt;30,10,('Scénario référence'!$B$16+'Scénario référence'!$B$17+'Scénario référence'!$B$18+'Scénario référence'!$B$9+'Scénario référence'!$B$10)*A164*10/30+('Scénario référence'!$F$8+'Scénario référence'!$F$9)*10)</f>
        <v>10</v>
      </c>
      <c r="FW164" s="151" t="str">
        <f>VLOOKUP(A164,'Données projet'!$A$243:$I$263,2,0)</f>
        <v>#N/A</v>
      </c>
      <c r="FX164" s="151" t="str">
        <f>VLOOKUP(A164,'Données projet'!$A$243:$I$263,9,0)</f>
        <v>#N/A</v>
      </c>
      <c r="FY164" s="151" t="str">
        <f t="array" ref="FY164">INDEX(FX:FX,MIN(IF(ISNUMBER(FX164:FX360),ROW(FX164:FX360),"")))</f>
        <v/>
      </c>
      <c r="FZ164" s="151">
        <f>IF('Données projet'!$A$244&gt;35,FZ163+FY164-GH163,IF(A164&lt;'Données projet'!$A$244,$FW$205^A164,IF(A164='Données projet'!$A$244,'Données projet'!$B$244,FZ163+FY164-GH163)))</f>
        <v>0</v>
      </c>
      <c r="GA164" s="158" t="str">
        <f>FZ164*VLOOKUP('Données projet'!$B$17,'Paramètres'!$A$1:$I$88,3,0)*VLOOKUP('Données projet'!$B$17,'Paramètres'!$A$1:$I$88,5,0)</f>
        <v>#N/A</v>
      </c>
      <c r="GB164" s="150" t="str">
        <f t="shared" si="50"/>
        <v>#N/A</v>
      </c>
      <c r="GC164" s="161" t="str">
        <f t="shared" si="26"/>
        <v>#N/A</v>
      </c>
      <c r="GD164" s="153" t="str">
        <f t="shared" si="27"/>
        <v>#N/A</v>
      </c>
      <c r="GE164" s="153" t="str">
        <f>AVERAGE(OFFSET($GD$3,0,0,'Données projet'!$E$17+1,1))-AVERAGE(OFFSET($H$3,0,0,'Données projet'!$E$17+1,1))</f>
        <v>#N/A</v>
      </c>
      <c r="GF164" s="153" t="str">
        <f t="shared" si="51"/>
        <v>#N/A</v>
      </c>
      <c r="GG164" s="154">
        <f>IF(ISNA(VLOOKUP(A164,'Données projet'!$A$243:$I$263,3,0)),0,VLOOKUP(A164,'Données projet'!$A$243:$I$263,3,0))</f>
        <v>0</v>
      </c>
      <c r="GH164" s="154">
        <f>IF(ISNA(VLOOKUP(A164,'Données projet'!$A$243:$I$263,4,0)),0,VLOOKUP(A164,'Données projet'!$A$243:$I$263,4,0))</f>
        <v>0</v>
      </c>
      <c r="GI164" s="155">
        <f>IF(ISNA(VLOOKUP(A164,'Données projet'!$A$243:$I$263,5,0)),0%,VLOOKUP(A164,'Données projet'!$A$243:$I$263,5,0)*VLOOKUP('Données projet'!$B$17,'Paramètres'!$A$1:$I$88,7,0))</f>
        <v>0</v>
      </c>
      <c r="GJ164" s="155">
        <f>IF(ISNA(VLOOKUP(A164,'Données projet'!$A$243:$I$263,6,0)),0%,VLOOKUP(A164,'Données projet'!$A$243:$I$263,6,0)*VLOOKUP('Données projet'!$B$17,'Paramètres'!$A$1:$I$88,7,0))</f>
        <v>0</v>
      </c>
      <c r="GK164" s="155">
        <f>IF(ISNA(VLOOKUP(A164,'Données projet'!$A$243:$I$263,7,0)),0%,VLOOKUP(A164,'Données projet'!$A$243:$I$263,7,0))</f>
        <v>0</v>
      </c>
      <c r="GL164" s="162" t="str">
        <f>EXP(-LN(2)/35)*GL163+(1-EXP(-LN(2)/35))/(LN(2)/35)*GH164*GI164*VLOOKUP('Données projet'!$B$17,'Paramètres'!$A$1:$I$88,3,0)*0.475*44/12</f>
        <v>#N/A</v>
      </c>
      <c r="GM164" s="162" t="str">
        <f>EXP(-LN(2)/25)*GM163+(1-EXP(-LN(2)/25))/(LN(2)/25)*Calculateur!GH164*Calculateur!GJ164*VLOOKUP('Données projet'!$B$17,'Paramètres'!$A$1:$I$88,3,0)*0.475*44/12</f>
        <v>#N/A</v>
      </c>
      <c r="GN164" s="162" t="str">
        <f>EXP(-LN(2)/2)*GN163+(1-EXP(-LN(2)/2))/(LN(2)/2)*GH164*GK164*VLOOKUP('Données projet'!$B$17,'Paramètres'!$A$1:$I$88,3,0)*0.475*44/12</f>
        <v>#N/A</v>
      </c>
      <c r="GO164" s="162" t="str">
        <f t="shared" si="28"/>
        <v>#N/A</v>
      </c>
      <c r="GP164" s="159">
        <f>('Scénario référence'!$F$8+'Scénario référence'!$F$9+'Scénario référence'!$B$17+'Scénario référence'!$B$9+'Scénario référence'!$B$10)*70+IF((45+25*(1-EXP(-0.0175*A164)))&lt;70,'Scénario référence'!$B$16*(45+25*(1-EXP(-0.0175*A164))),70*'Scénario référence'!$B$16)+IF((32+38*(1-EXP(-0.0175*A164)))&lt;70,'Scénario référence'!$B$18*(32+38*(1-EXP(-0.0175*A164))),70*'Scénario référence'!$B$18)</f>
        <v>70</v>
      </c>
      <c r="GQ164" s="151">
        <f>IF(A164&gt;30,10,('Scénario référence'!$B$16+'Scénario référence'!$B$17+'Scénario référence'!$B$18+'Scénario référence'!$B$9+'Scénario référence'!$B$10)*A164*10/30+('Scénario référence'!$F$8+'Scénario référence'!$F$9)*10)</f>
        <v>10</v>
      </c>
      <c r="GR164" s="151" t="str">
        <f>VLOOKUP(A164,'Données projet'!$A$269:$I$289,2,0)</f>
        <v>#N/A</v>
      </c>
      <c r="GS164" s="151" t="str">
        <f>VLOOKUP(A164,'Données projet'!$A$269:$I$289,9,0)</f>
        <v>#N/A</v>
      </c>
      <c r="GT164" s="151" t="str">
        <f t="array" ref="GT164">INDEX(GS:GS,MIN(IF(ISNUMBER(GS164:GS360),ROW(GS164:GS360),"")))</f>
        <v/>
      </c>
      <c r="GU164" s="151">
        <f>IF('Données projet'!$A$270&gt;35,GU163+GT164-HC163,IF(A164&lt;'Données projet'!$A$270,$GR$205^A164,IF(A164='Données projet'!$A$270,'Données projet'!$B$270,GU163+GT164-HC163)))</f>
        <v>0</v>
      </c>
      <c r="GV164" s="158" t="str">
        <f>GU164*VLOOKUP('Données projet'!$B$18,'Paramètres'!$A$1:$I$88,3,0)*VLOOKUP('Données projet'!$B$18,'Paramètres'!$A$1:$I$88,5,0)</f>
        <v>#N/A</v>
      </c>
      <c r="GW164" s="150" t="str">
        <f t="shared" si="52"/>
        <v>#N/A</v>
      </c>
      <c r="GX164" s="161" t="str">
        <f t="shared" si="29"/>
        <v>#N/A</v>
      </c>
      <c r="GY164" s="153" t="str">
        <f t="shared" si="30"/>
        <v>#N/A</v>
      </c>
      <c r="GZ164" s="153" t="str">
        <f>AVERAGE(OFFSET($GY$3,0,0,'Données projet'!$E$18+1,1))-AVERAGE(OFFSET($H$3,0,0,'Données projet'!$E$18+1,1))</f>
        <v>#N/A</v>
      </c>
      <c r="HA164" s="153" t="str">
        <f t="shared" si="53"/>
        <v>#N/A</v>
      </c>
      <c r="HB164" s="154">
        <f>IF(ISNA(VLOOKUP(A164,'Données projet'!$A$269:$I$289,3,0)),0,VLOOKUP(A164,'Données projet'!$A$269:$I$289,3,0))</f>
        <v>0</v>
      </c>
      <c r="HC164" s="154">
        <f>IF(ISNA(VLOOKUP(A164,'Données projet'!$A$269:$I$289,4,0)),0,VLOOKUP(A164,'Données projet'!$A$269:$I$289,4,0))</f>
        <v>0</v>
      </c>
      <c r="HD164" s="155">
        <f>IF(ISNA(VLOOKUP(A164,'Données projet'!$A$269:$I$289,5,0)),0%,VLOOKUP(A164,'Données projet'!$A$269:$I$289,5,0)*VLOOKUP('Données projet'!$B$18,'Paramètres'!$A$1:$I$88,7,0))</f>
        <v>0</v>
      </c>
      <c r="HE164" s="155">
        <f>IF(ISNA(VLOOKUP(A164,'Données projet'!$A$269:$I$289,6,0)),0%,VLOOKUP(A164,'Données projet'!$A$269:$I$289,6,0)*VLOOKUP('Données projet'!$B$18,'Paramètres'!$A$1:$I$88,7,0))</f>
        <v>0</v>
      </c>
      <c r="HF164" s="155">
        <f>IF(ISNA(VLOOKUP(A164,'Données projet'!$A$269:$I$289,7,0)),0%,VLOOKUP(A164,'Données projet'!$A$269:$I$289,7,0))</f>
        <v>0</v>
      </c>
      <c r="HG164" s="162" t="str">
        <f>EXP(-LN(2)/35)*HG163+(1-EXP(-LN(2)/35))/(LN(2)/35)*HC164*HD164*VLOOKUP('Données projet'!$B$18,'Paramètres'!$A$1:$I$88,3,0)*0.475*44/12</f>
        <v>#N/A</v>
      </c>
      <c r="HH164" s="162" t="str">
        <f>EXP(-LN(2)/25)*HH163+(1-EXP(-LN(2)/25))/(LN(2)/25)*Calculateur!HC164*Calculateur!HE164*VLOOKUP('Données projet'!$B$18,'Paramètres'!$A$1:$I$88,3,0)*0.475*44/12</f>
        <v>#N/A</v>
      </c>
      <c r="HI164" s="162" t="str">
        <f>EXP(-LN(2)/2)*HI163+(1-EXP(-LN(2)/2))/(LN(2)/2)*HC164*HF164*VLOOKUP('Données projet'!$B$18,'Paramètres'!$A$1:$I$88,3,0)*0.475*44/12</f>
        <v>#N/A</v>
      </c>
      <c r="HJ164" s="163" t="str">
        <f t="shared" si="31"/>
        <v>#N/A</v>
      </c>
    </row>
    <row r="165" ht="15.75" customHeight="1">
      <c r="A165" s="145">
        <f t="shared" si="32"/>
        <v>162</v>
      </c>
      <c r="B165" s="146">
        <f>'Scénario référence'!$B$16*5+'Scénario référence'!$B$17*0+'Scénario référence'!$B$18*5</f>
        <v>0</v>
      </c>
      <c r="C165" s="160">
        <f>Calculateur!C164+'Scénario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65" s="147">
        <f t="shared" si="33"/>
        <v>0</v>
      </c>
      <c r="E165" s="147">
        <f>'Scénario référence'!$B$16*45+('Scénario référence'!$B$17+'Scénario référence'!$F$8+'Scénario référence'!$F$9+'Scénario référence'!$B$10+'Scénario référence'!$B$9)*70+'Scénario référence'!$B$18*32</f>
        <v>70</v>
      </c>
      <c r="F165" s="147">
        <f>IF(OR('Scénario référence'!$F$8&gt;0,'Scénario référence'!$F$9&gt;0),('Scénario référence'!$F$8+'Scénario référence'!$F$9)*10,0)</f>
        <v>0</v>
      </c>
      <c r="G165" s="147">
        <f>'Scénario référence'!$B$8*B165*44/12+'Scénario référence'!$B$9*(C165+D165)/0.475*44/12+'Scénario référence'!$B$10*(C165+D165)/0.475*44/12+'Scénario référence'!$F$8*(C165+D165)/0.475*44/12+'Scénario référence'!$F$9*(C165+D165)/0.475*44/12</f>
        <v>0</v>
      </c>
      <c r="H165" s="148">
        <f t="shared" si="1"/>
        <v>256.6666667</v>
      </c>
      <c r="I165" s="149">
        <f>('Scénario référence'!$F$8+'Scénario référence'!$F$9+'Scénario référence'!$B$17+'Scénario référence'!$B$9+'Scénario référence'!$B$10)*70+IF((45+25*(1-EXP(-0.0175*A165)))&lt;70,'Scénario référence'!$B$16*(45+25*(1-EXP(-0.0175*A165))),70*'Scénario référence'!$B$16)+IF((32+38*(1-EXP(-0.0175*A165)))&lt;70,'Scénario référence'!$B$18*(32+38*(1-EXP(-0.0175*A165))),70*'Scénario référence'!$B$18)</f>
        <v>70</v>
      </c>
      <c r="J165" s="150">
        <f>IF(A165&gt;30,10,('Scénario référence'!$B$16+'Scénario référence'!$B$17+'Scénario référence'!$B$18+'Scénario référence'!$B$9+'Scénario référence'!$B$10)*A165*10/30+('Scénario référence'!$F$8+'Scénario référence'!$F$9)*10)</f>
        <v>10</v>
      </c>
      <c r="K165" s="151" t="str">
        <f>VLOOKUP(A165,'Données projet'!$A$35:$I$55,2,0)</f>
        <v>#N/A</v>
      </c>
      <c r="L165" s="151" t="str">
        <f>VLOOKUP(A165,'Données projet'!$A$35:$I$55,9,0)</f>
        <v>#N/A</v>
      </c>
      <c r="M165" s="151" t="str">
        <f t="array" ref="M165">INDEX(L:L,MIN(IF(ISNUMBER(L165:L361),ROW(L165:L361),"")))</f>
        <v/>
      </c>
      <c r="N165" s="150">
        <f>IF('Données projet'!$A$36&gt;35,N164+M165-V164,IF(A165&lt;'Données projet'!$A$36,$K$205^A165,IF(A165='Données projet'!$A$36,'Données projet'!$B$36,N164+M165-V164)))</f>
        <v>307</v>
      </c>
      <c r="O165" s="150">
        <f>N165*VLOOKUP('Données projet'!$B$9,'Paramètres'!$A$1:$I$88,3,0)*VLOOKUP('Données projet'!$B$9,'Paramètres'!$A$1:$I$88,5,0)</f>
        <v>277.7736</v>
      </c>
      <c r="P165" s="150">
        <f t="shared" si="34"/>
        <v>66.49628818</v>
      </c>
      <c r="Q165" s="161">
        <f t="shared" si="2"/>
        <v>599.6033886</v>
      </c>
      <c r="R165" s="153">
        <f t="shared" si="3"/>
        <v>892.9367219</v>
      </c>
      <c r="S165" s="153">
        <f>AVERAGE(OFFSET($R$3,0,0,'Données projet'!$E$9+1,1))-AVERAGE(OFFSET($H$3,0,0,'Données projet'!$E$9+1,1))</f>
        <v>439.1985427</v>
      </c>
      <c r="T165" s="153">
        <f t="shared" si="35"/>
        <v>278.2174123</v>
      </c>
      <c r="U165" s="154">
        <f>IF(ISNA(VLOOKUP(A165,'Données projet'!$A$35:$I$55,3,0)),0,VLOOKUP(A165,'Données projet'!$A$35:$I$55,3,0))</f>
        <v>0</v>
      </c>
      <c r="V165" s="154">
        <f>IF(ISNA(VLOOKUP(A165,'Données projet'!$A$35:$I$55,4,0)),0,VLOOKUP(A165,'Données projet'!$A$35:$I$55,4,0))</f>
        <v>0</v>
      </c>
      <c r="W165" s="155">
        <f>IF(ISNA(VLOOKUP(A165,'Données projet'!$A$35:$I$55,5,0)),0%,VLOOKUP(A165,'Données projet'!$A$35:$I$55,5,0)*VLOOKUP('Données projet'!$B$9,'Paramètres'!$A$1:$I$88,7,0))</f>
        <v>0</v>
      </c>
      <c r="X165" s="155">
        <f>IF(ISNA(VLOOKUP(A165,'Données projet'!$A$35:$I$55,6,0)),0%,VLOOKUP(A165,'Données projet'!$A$35:$I$55,6,0)*VLOOKUP('Données projet'!$B$9,'Paramètres'!$A$1:$I$88,7,0))</f>
        <v>0</v>
      </c>
      <c r="Y165" s="155">
        <f>IF(ISNA(VLOOKUP(A165,'Données projet'!$A$35:$I$55,7,0)),0%,VLOOKUP(A165,'Données projet'!$A$35:$I$55,7,0))</f>
        <v>0</v>
      </c>
      <c r="Z165" s="162">
        <f>EXP(-LN(2)/35)*Z164+(1-EXP(-LN(2)/35))/(LN(2)/35)*V165*W165*VLOOKUP('Données projet'!$B$9,'Paramètres'!$A$1:$I$88,3,0)*0.475*44/12</f>
        <v>0</v>
      </c>
      <c r="AA165" s="162">
        <f>EXP(-LN(2)/25)*AA164+(1-EXP(-LN(2)/25))/(LN(2)/25)*Calculateur!V165*Calculateur!X165*VLOOKUP('Données projet'!$B$9,'Paramètres'!$A$1:$I$88,3,0)*0.475*44/12</f>
        <v>0.1154978505</v>
      </c>
      <c r="AB165" s="162">
        <f>EXP(-LN(2)/2)*AB164+(1-EXP(-LN(2)/2))/(LN(2)/2)*V165*Y165*VLOOKUP('Données projet'!$B$9,'Paramètres'!$A$1:$I$88,3,0)*0.475*44/12</f>
        <v>0</v>
      </c>
      <c r="AC165" s="163">
        <f t="shared" si="4"/>
        <v>0.1154978505</v>
      </c>
      <c r="AD165" s="150">
        <f>('Scénario référence'!$F$8+'Scénario référence'!$F$9+'Scénario référence'!$B$17+'Scénario référence'!$B$9+'Scénario référence'!$B$10)*70+IF((45+25*(1-EXP(-0.0175*A165)))&lt;70,'Scénario référence'!$B$16*(45+25*(1-EXP(-0.0175*A165))),70*'Scénario référence'!$B$16)+IF((32+38*(1-EXP(-0.0175*A165)))&lt;70,'Scénario référence'!$B$18*(32+38*(1-EXP(-0.0175*A165))),70*'Scénario référence'!$B$18)</f>
        <v>70</v>
      </c>
      <c r="AE165" s="150">
        <f>IF(A165&gt;30,10,('Scénario référence'!$B$16+'Scénario référence'!$B$17+'Scénario référence'!$B$18+'Scénario référence'!$B$9+'Scénario référence'!$B$10)*A165*10/30+('Scénario référence'!$F$8+'Scénario référence'!$F$9)*10)</f>
        <v>10</v>
      </c>
      <c r="AF165" s="151" t="str">
        <f>VLOOKUP(A165,'Données projet'!$A$61:$I$81,2,0)</f>
        <v>#N/A</v>
      </c>
      <c r="AG165" s="151" t="str">
        <f>VLOOKUP(A165,'Données projet'!$A$61:$I$81,9,0)</f>
        <v>#N/A</v>
      </c>
      <c r="AH165" s="151" t="str">
        <f t="array" ref="AH165">INDEX(AG:AG,MIN(IF(ISNUMBER(AG165:AG361),ROW(AG165:AG361),"")))</f>
        <v/>
      </c>
      <c r="AI165" s="150">
        <f>IF('Données projet'!$A$62&gt;35,AI164+AH165-AQ164,IF(A165&lt;'Données projet'!$A$62,$AF$205^A165,IF(A165='Données projet'!$A$62,'Données projet'!$B$62,AI164+AH165-AQ164)))</f>
        <v>369</v>
      </c>
      <c r="AJ165" s="150">
        <f>AI165*VLOOKUP('Données projet'!$B$10,'Paramètres'!$A$1:$I$88,3,0)*VLOOKUP('Données projet'!$B$10,'Paramètres'!$A$1:$I$88,5,0)</f>
        <v>293.5764</v>
      </c>
      <c r="AK165" s="150">
        <f t="shared" si="36"/>
        <v>69.82813851</v>
      </c>
      <c r="AL165" s="161">
        <f t="shared" si="5"/>
        <v>632.9295712</v>
      </c>
      <c r="AM165" s="153">
        <f t="shared" si="6"/>
        <v>926.2629046</v>
      </c>
      <c r="AN165" s="153">
        <f>AVERAGE(OFFSET($AM$3,0,0,'Données projet'!$E$10+1,1))-AVERAGE(OFFSET($H$3,0,0,'Données projet'!$E$10+1,1))</f>
        <v>405.6113614</v>
      </c>
      <c r="AO165" s="153">
        <f t="shared" si="37"/>
        <v>393.0787141</v>
      </c>
      <c r="AP165" s="154">
        <f>IF(ISNA(VLOOKUP(A165,'Données projet'!$A$61:$I$81,3,0)),0,VLOOKUP(A165,'Données projet'!$A$61:$I$81,3,0))</f>
        <v>0</v>
      </c>
      <c r="AQ165" s="154">
        <f>IF(ISNA(VLOOKUP(A165,'Données projet'!$A$61:$I$81,4,0)),0,VLOOKUP(A165,'Données projet'!$A$61:$I$81,4,0))</f>
        <v>0</v>
      </c>
      <c r="AR165" s="155">
        <f>IF(ISNA(VLOOKUP(A165,'Données projet'!$A$61:$I$81,5,0)),0%,VLOOKUP(A165,'Données projet'!$A$61:$I$81,5,0)*VLOOKUP('Données projet'!$B$10,'Paramètres'!$A$1:$I$88,7,0))</f>
        <v>0</v>
      </c>
      <c r="AS165" s="155">
        <f>IF(ISNA(VLOOKUP(A165,'Données projet'!$A$61:$I$81,6,0)),0%,VLOOKUP(A165,'Données projet'!$A$61:$I$81,6,0)*VLOOKUP('Données projet'!$B$10,'Paramètres'!$A$1:$I$88,7,0))</f>
        <v>0</v>
      </c>
      <c r="AT165" s="155">
        <f>IF(ISNA(VLOOKUP(A165,'Données projet'!$A$61:$I$81,7,0)),0%,VLOOKUP(A165,'Données projet'!$A$61:$I$81,7,0))</f>
        <v>0</v>
      </c>
      <c r="AU165" s="162">
        <f>EXP(-LN(2)/35)*AU164+(1-EXP(-LN(2)/35))/(LN(2)/35)*AQ165*AR165*VLOOKUP('Données projet'!$B$10,'Paramètres'!$A$1:$I$88,3,0)*0.475*44/12</f>
        <v>0</v>
      </c>
      <c r="AV165" s="162">
        <f>EXP(-LN(2)/25)*AV164+(1-EXP(-LN(2)/25))/(LN(2)/25)*Calculateur!AQ165*Calculateur!AS165*VLOOKUP('Données projet'!$B$10,'Paramètres'!$A$1:$I$88,3,0)*0.475*44/12</f>
        <v>0.4694126253</v>
      </c>
      <c r="AW165" s="162">
        <f>EXP(-LN(2)/2)*AW164+(1-EXP(-LN(2)/2))/(LN(2)/2)*AQ165*AT165*VLOOKUP('Données projet'!$B$10,'Paramètres'!$A$1:$I$88,3,0)*0.475*44/12</f>
        <v>0</v>
      </c>
      <c r="AX165" s="162">
        <f t="shared" si="7"/>
        <v>0.4694126253</v>
      </c>
      <c r="AY165" s="157">
        <f>('Scénario référence'!$F$8+'Scénario référence'!$F$9+'Scénario référence'!$B$17+'Scénario référence'!$B$9+'Scénario référence'!$B$10)*70+IF((45+25*(1-EXP(-0.0175*A165)))&lt;70,'Scénario référence'!$B$16*(45+25*(1-EXP(-0.0175*A165))),70*'Scénario référence'!$B$16)+IF((32+38*(1-EXP(-0.0175*A165)))&lt;70,'Scénario référence'!$B$18*(32+38*(1-EXP(-0.0175*A165))),70*'Scénario référence'!$B$18)</f>
        <v>70</v>
      </c>
      <c r="AZ165" s="151">
        <f>IF(A165&gt;30,10,('Scénario référence'!$B$16+'Scénario référence'!$B$17+'Scénario référence'!$B$18+'Scénario référence'!$B$9+'Scénario référence'!$B$10)*A165*10/30+('Scénario référence'!$F$8+'Scénario référence'!$F$9)*10)</f>
        <v>10</v>
      </c>
      <c r="BA165" s="151" t="str">
        <f>VLOOKUP(A165,'Données projet'!$A$87:$I$107,2,0)</f>
        <v>#N/A</v>
      </c>
      <c r="BB165" s="151" t="str">
        <f>VLOOKUP(A165,'Données projet'!$A$87:$I$107,9,0)</f>
        <v>#N/A</v>
      </c>
      <c r="BC165" s="151" t="str">
        <f t="array" ref="BC165">INDEX(BB:BB,MIN(IF(ISNUMBER(BB165:BB361),ROW(BB165:BB361),"")))</f>
        <v/>
      </c>
      <c r="BD165" s="150">
        <f>IF('Données projet'!$A$88&gt;35,BD164+BC165-BL164,IF(A165&lt;'Données projet'!$A$88,$BA$205^A165,IF(A165='Données projet'!$A$88,'Données projet'!$B$88,BD164+BC165-BL164)))</f>
        <v>0</v>
      </c>
      <c r="BE165" s="150">
        <f>BD165*VLOOKUP('Données projet'!$B$11,'Paramètres'!$A$1:$I$88,3,0)*VLOOKUP('Données projet'!$B$11,'Paramètres'!$A$1:$I$88,5,0)</f>
        <v>0</v>
      </c>
      <c r="BF165" s="150" t="str">
        <f t="shared" si="38"/>
        <v>#NUM!</v>
      </c>
      <c r="BG165" s="161" t="str">
        <f t="shared" si="8"/>
        <v>#NUM!</v>
      </c>
      <c r="BH165" s="153" t="str">
        <f t="shared" si="9"/>
        <v>#NUM!</v>
      </c>
      <c r="BI165" s="153">
        <f>AVERAGE(OFFSET($BH$3,0,0,'Données projet'!$E$11+1,1))-AVERAGE(OFFSET($H$3,0,0,'Données projet'!$E$11+1,1))</f>
        <v>0</v>
      </c>
      <c r="BJ165" s="153">
        <f t="shared" si="39"/>
        <v>0</v>
      </c>
      <c r="BK165" s="154">
        <f>IF(ISNA(VLOOKUP(A165,'Données projet'!$A$87:$I$107,3,0)),0,VLOOKUP(A165,'Données projet'!$A$87:$I$107,3,0))</f>
        <v>0</v>
      </c>
      <c r="BL165" s="154">
        <f>IF(ISNA(VLOOKUP(A165,'Données projet'!$A$87:$I$107,4,0)),0,VLOOKUP(A165,'Données projet'!$A$87:$I$107,4,0))</f>
        <v>0</v>
      </c>
      <c r="BM165" s="155">
        <f>IF(ISNA(VLOOKUP(A165,'Données projet'!$A$87:$I$107,5,0)),0%,VLOOKUP(A165,'Données projet'!$A$87:$I$107,5,0)*VLOOKUP('Données projet'!$B$11,'Paramètres'!$A$1:$I$88,7,0))</f>
        <v>0</v>
      </c>
      <c r="BN165" s="155">
        <f>IF(ISNA(VLOOKUP(A165,'Données projet'!$A$87:$I$107,6,0)),0%,VLOOKUP(A165,'Données projet'!$A$87:$I$107,6,0)*VLOOKUP('Données projet'!$B$11,'Paramètres'!$A$1:$I$88,7,0))</f>
        <v>0</v>
      </c>
      <c r="BO165" s="155">
        <f>IF(ISNA(VLOOKUP(A165,'Données projet'!$A$87:$I$107,7,0)),0%,VLOOKUP(A165,'Données projet'!$A$87:$I$107,7,0))</f>
        <v>0</v>
      </c>
      <c r="BP165" s="162">
        <f>EXP(-LN(2)/35)*BP164+(1-EXP(-LN(2)/35))/(LN(2)/35)*BL165*BM165*VLOOKUP('Données projet'!$B$11,'Paramètres'!$A$1:$I$88,3,0)*0.475*44/12</f>
        <v>0</v>
      </c>
      <c r="BQ165" s="162">
        <f>EXP(-LN(2)/25)*BQ164+(1-EXP(-LN(2)/25))/(LN(2)/25)*Calculateur!BL165*Calculateur!BN165*VLOOKUP('Données projet'!$B$11,'Paramètres'!$A$1:$I$88,3,0)*0.475*44/12</f>
        <v>0</v>
      </c>
      <c r="BR165" s="162">
        <f>EXP(-LN(2)/2)*BR164+(1-EXP(-LN(2)/2))/(LN(2)/2)*BL165*BO165*VLOOKUP('Données projet'!$B$11,'Paramètres'!$A$1:$I$88,3,0)*0.475*44/12</f>
        <v>0</v>
      </c>
      <c r="BS165" s="163">
        <f t="shared" si="10"/>
        <v>0</v>
      </c>
      <c r="BT165" s="159">
        <f>('Scénario référence'!$F$8+'Scénario référence'!$F$9+'Scénario référence'!$B$17+'Scénario référence'!$B$9+'Scénario référence'!$B$10)*70+IF((45+25*(1-EXP(-0.0175*A165)))&lt;70,'Scénario référence'!$B$16*(45+25*(1-EXP(-0.0175*A165))),70*'Scénario référence'!$B$16)+IF((32+38*(1-EXP(-0.0175*A165)))&lt;70,'Scénario référence'!$B$18*(32+38*(1-EXP(-0.0175*A165))),70*'Scénario référence'!$B$18)</f>
        <v>70</v>
      </c>
      <c r="BU165" s="151">
        <f>IF(A165&gt;30,10,('Scénario référence'!$B$16+'Scénario référence'!$B$17+'Scénario référence'!$B$18+'Scénario référence'!$B$9+'Scénario référence'!$B$10)*A165*10/30+('Scénario référence'!$F$8+'Scénario référence'!$F$9)*10)</f>
        <v>10</v>
      </c>
      <c r="BV165" s="151" t="str">
        <f>VLOOKUP(A165,'Données projet'!$A$113:$I$133,2,0)</f>
        <v>#N/A</v>
      </c>
      <c r="BW165" s="151" t="str">
        <f>VLOOKUP(A165,'Données projet'!$A$113:$I$133,9,0)</f>
        <v>#N/A</v>
      </c>
      <c r="BX165" s="151" t="str">
        <f t="array" ref="BX165">INDEX(BW:BW,MIN(IF(ISNUMBER(BW165:BW361),ROW(BW165:BW361),"")))</f>
        <v/>
      </c>
      <c r="BY165" s="150">
        <f>IF('Données projet'!$A$114&gt;35,BY164+BX165-CG164,IF(A165&lt;'Données projet'!$A$114,$BV$205^A165,IF(A165='Données projet'!$A$114,'Données projet'!$B$114,BY164+BX165-CG164)))</f>
        <v>0</v>
      </c>
      <c r="BZ165" s="150" t="str">
        <f>BY165*VLOOKUP('Données projet'!$B$12,'Paramètres'!$A$1:$I$88,3,0)*VLOOKUP('Données projet'!$B$12,'Paramètres'!$A$1:$I$88,5,0)</f>
        <v>#N/A</v>
      </c>
      <c r="CA165" s="150" t="str">
        <f t="shared" si="40"/>
        <v>#N/A</v>
      </c>
      <c r="CB165" s="161" t="str">
        <f t="shared" si="11"/>
        <v>#N/A</v>
      </c>
      <c r="CC165" s="153" t="str">
        <f t="shared" si="12"/>
        <v>#N/A</v>
      </c>
      <c r="CD165" s="153" t="str">
        <f>AVERAGE(OFFSET($CC$3,0,0,'Données projet'!$E$12+1,1))-AVERAGE(OFFSET($H$3,0,0,'Données projet'!$E$12+1,1))</f>
        <v>#N/A</v>
      </c>
      <c r="CE165" s="153" t="str">
        <f t="shared" si="41"/>
        <v>#N/A</v>
      </c>
      <c r="CF165" s="154">
        <f>IF(ISNA(VLOOKUP(A165,'Données projet'!$A$113:$I$133,3,0)),0,VLOOKUP(A165,'Données projet'!$A$113:$I$133,3,0))</f>
        <v>0</v>
      </c>
      <c r="CG165" s="154">
        <f>IF(ISNA(VLOOKUP(A165,'Données projet'!$A$113:$I$133,4,0)),0,VLOOKUP(A165,'Données projet'!$A$113:$I$133,4,0))</f>
        <v>0</v>
      </c>
      <c r="CH165" s="155">
        <f>IF(ISNA(VLOOKUP(A165,'Données projet'!$A$113:$I$133,5,0)),0%,VLOOKUP(A165,'Données projet'!$A$113:$I$133,5,0)*VLOOKUP('Données projet'!$B$12,'Paramètres'!$A$1:$I$88,7,0))</f>
        <v>0</v>
      </c>
      <c r="CI165" s="155">
        <f>IF(ISNA(VLOOKUP(A165,'Données projet'!$A$113:$I$133,6,0)),0%,VLOOKUP(A165,'Données projet'!$A$113:$I$133,6,0)*VLOOKUP('Données projet'!$B$12,'Paramètres'!$A$1:$I$88,7,0))</f>
        <v>0</v>
      </c>
      <c r="CJ165" s="155">
        <f>IF(ISNA(VLOOKUP(A165,'Données projet'!$A$113:$I$133,7,0)),0%,VLOOKUP(A165,'Données projet'!$A$113:$I$133,7,0))</f>
        <v>0</v>
      </c>
      <c r="CK165" s="162" t="str">
        <f>EXP(-LN(2)/35)*CK164+(1-EXP(-LN(2)/35))/(LN(2)/35)*CG165*CH165*VLOOKUP('Données projet'!$B$12,'Paramètres'!$A$1:$I$88,3,0)*0.475*44/12</f>
        <v>#N/A</v>
      </c>
      <c r="CL165" s="162" t="str">
        <f>EXP(-LN(2)/25)*CL164+(1-EXP(-LN(2)/25))/(LN(2)/25)*Calculateur!CG165*Calculateur!CI165*VLOOKUP('Données projet'!$B$12,'Paramètres'!$A$1:$I$88,3,0)*0.475*44/12</f>
        <v>#N/A</v>
      </c>
      <c r="CM165" s="162" t="str">
        <f>EXP(-LN(2)/2)*CM164+(1-EXP(-LN(2)/2))/(LN(2)/2)*CG165*CJ165*VLOOKUP('Données projet'!$B$12,'Paramètres'!$A$1:$I$88,3,0)*0.475*44/12</f>
        <v>#N/A</v>
      </c>
      <c r="CN165" s="163" t="str">
        <f t="shared" si="13"/>
        <v>#N/A</v>
      </c>
      <c r="CO165" s="159">
        <f>('Scénario référence'!$F$8+'Scénario référence'!$F$9+'Scénario référence'!$B$17+'Scénario référence'!$B$9+'Scénario référence'!$B$10)*70+IF((45+25*(1-EXP(-0.0175*A165)))&lt;70,'Scénario référence'!$B$16*(45+25*(1-EXP(-0.0175*A165))),70*'Scénario référence'!$B$16)+IF((32+38*(1-EXP(-0.0175*A165)))&lt;70,'Scénario référence'!$B$18*(32+38*(1-EXP(-0.0175*A165))),70*'Scénario référence'!$B$18)</f>
        <v>70</v>
      </c>
      <c r="CP165" s="151">
        <f>IF(A165&gt;30,10,('Scénario référence'!$B$16+'Scénario référence'!$B$17+'Scénario référence'!$B$18+'Scénario référence'!$B$9+'Scénario référence'!$B$10)*A165*10/30+('Scénario référence'!$F$8+'Scénario référence'!$F$9)*10)</f>
        <v>10</v>
      </c>
      <c r="CQ165" s="151" t="str">
        <f>VLOOKUP(A165,'Données projet'!$A$139:$I$159,2,0)</f>
        <v>#N/A</v>
      </c>
      <c r="CR165" s="151" t="str">
        <f>VLOOKUP(A165,'Données projet'!$A$139:$I$159,9,0)</f>
        <v>#N/A</v>
      </c>
      <c r="CS165" s="151" t="str">
        <f t="array" ref="CS165">INDEX(CR:CR,MIN(IF(ISNUMBER(CR165:CR361),ROW(CR165:CR361),"")))</f>
        <v/>
      </c>
      <c r="CT165" s="151">
        <f>IF('Données projet'!$A$140&gt;35,CT164+CS165-DB164,IF(A165&lt;'Données projet'!$A$140,$CQ$205^A165,IF(A165='Données projet'!$A$140,'Données projet'!$B$140,CT164+CS165-DB164)))</f>
        <v>0</v>
      </c>
      <c r="CU165" s="158" t="str">
        <f>CT165*VLOOKUP('Données projet'!$B$13,'Paramètres'!$A$1:$I$88,3,0)*VLOOKUP('Données projet'!$B$13,'Paramètres'!$A$1:$I$88,5,0)</f>
        <v>#N/A</v>
      </c>
      <c r="CV165" s="150" t="str">
        <f t="shared" si="42"/>
        <v>#N/A</v>
      </c>
      <c r="CW165" s="161" t="str">
        <f t="shared" si="14"/>
        <v>#N/A</v>
      </c>
      <c r="CX165" s="153" t="str">
        <f t="shared" si="15"/>
        <v>#N/A</v>
      </c>
      <c r="CY165" s="153" t="str">
        <f>AVERAGE(OFFSET($CX$3,0,0,'Données projet'!$E$13+1,1))-AVERAGE(OFFSET($H$3,0,0,'Données projet'!$E$13+1,1))</f>
        <v>#N/A</v>
      </c>
      <c r="CZ165" s="153" t="str">
        <f t="shared" si="43"/>
        <v>#N/A</v>
      </c>
      <c r="DA165" s="154">
        <f>IF(ISNA(VLOOKUP(A165,'Données projet'!$A$139:$I$159,3,0)),0,VLOOKUP(A165,'Données projet'!$A$139:$I$159,3,0))</f>
        <v>0</v>
      </c>
      <c r="DB165" s="154">
        <f>IF(ISNA(VLOOKUP(A165,'Données projet'!$A$139:$I$159,4,0)),0,VLOOKUP(A165,'Données projet'!$A$139:$I$159,4,0))</f>
        <v>0</v>
      </c>
      <c r="DC165" s="155">
        <f>IF(ISNA(VLOOKUP(A165,'Données projet'!$A$139:$I$159,5,0)),0%,VLOOKUP(A165,'Données projet'!$A$139:$I$159,5,0)*VLOOKUP('Données projet'!$B$13,'Paramètres'!$A$1:$I$88,7,0))</f>
        <v>0</v>
      </c>
      <c r="DD165" s="155">
        <f>IF(ISNA(VLOOKUP(A165,'Données projet'!$A$139:$I$159,6,0)),0%,VLOOKUP(A165,'Données projet'!$A$139:$I$159,6,0)*VLOOKUP('Données projet'!$B$13,'Paramètres'!$A$1:$I$88,7,0))</f>
        <v>0</v>
      </c>
      <c r="DE165" s="155">
        <f>IF(ISNA(VLOOKUP(A165,'Données projet'!$A$139:$I$159,7,0)),0%,VLOOKUP(A165,'Données projet'!$A$139:$I$159,7,0))</f>
        <v>0</v>
      </c>
      <c r="DF165" s="162" t="str">
        <f>EXP(-LN(2)/35)*DF164+(1-EXP(-LN(2)/35))/(LN(2)/35)*DB165*DC165*VLOOKUP('Données projet'!$B$13,'Paramètres'!$A$1:$I$88,3,0)*0.475*44/12</f>
        <v>#N/A</v>
      </c>
      <c r="DG165" s="162" t="str">
        <f>EXP(-LN(2)/25)*DG164+(1-EXP(-LN(2)/25))/(LN(2)/25)*Calculateur!DB165*Calculateur!DD165*VLOOKUP('Données projet'!$B$13,'Paramètres'!$A$1:$I$88,3,0)*0.475*44/12</f>
        <v>#N/A</v>
      </c>
      <c r="DH165" s="162" t="str">
        <f>EXP(-LN(2)/2)*DH164+(1-EXP(-LN(2)/2))/(LN(2)/2)*DB165*DE165*VLOOKUP('Données projet'!$B$13,'Paramètres'!$A$1:$I$88,3,0)*0.475*44/12</f>
        <v>#N/A</v>
      </c>
      <c r="DI165" s="163" t="str">
        <f t="shared" si="16"/>
        <v>#N/A</v>
      </c>
      <c r="DJ165" s="159">
        <f>('Scénario référence'!$F$8+'Scénario référence'!$F$9+'Scénario référence'!$B$17+'Scénario référence'!$B$9+'Scénario référence'!$B$10)*70+IF((45+25*(1-EXP(-0.0175*A165)))&lt;70,'Scénario référence'!$B$16*(45+25*(1-EXP(-0.0175*A165))),70*'Scénario référence'!$B$16)+IF((32+38*(1-EXP(-0.0175*A165)))&lt;70,'Scénario référence'!$B$18*(32+38*(1-EXP(-0.0175*A165))),70*'Scénario référence'!$B$18)</f>
        <v>70</v>
      </c>
      <c r="DK165" s="151">
        <f>IF(A165&gt;30,10,('Scénario référence'!$B$16+'Scénario référence'!$B$17+'Scénario référence'!$B$18+'Scénario référence'!$B$9+'Scénario référence'!$B$10)*A165*10/30+('Scénario référence'!$F$8+'Scénario référence'!$F$9)*10)</f>
        <v>10</v>
      </c>
      <c r="DL165" s="151" t="str">
        <f>VLOOKUP(A165,'Données projet'!$A$165:$I$185,2,0)</f>
        <v>#N/A</v>
      </c>
      <c r="DM165" s="151" t="str">
        <f>VLOOKUP(A165,'Données projet'!$A$165:$I$185,9,0)</f>
        <v>#N/A</v>
      </c>
      <c r="DN165" s="151" t="str">
        <f t="array" ref="DN165">INDEX(DM:DM,MIN(IF(ISNUMBER(DM165:DM361),ROW(DM165:DM361),"")))</f>
        <v/>
      </c>
      <c r="DO165" s="151">
        <f>IF('Données projet'!$A$166&gt;35,DO164+DN165-DW164,IF(A165&lt;'Données projet'!$A$166,$DL$205^A165,IF(A165='Données projet'!$A$166,'Données projet'!$B$166,DO164+DN165-DW164)))</f>
        <v>0</v>
      </c>
      <c r="DP165" s="158" t="str">
        <f>DO165*VLOOKUP('Données projet'!$B$14,'Paramètres'!$A$1:$I$88,3,0)*VLOOKUP('Données projet'!$B$14,'Paramètres'!$A$1:$I$88,5,0)</f>
        <v>#N/A</v>
      </c>
      <c r="DQ165" s="150" t="str">
        <f t="shared" si="44"/>
        <v>#N/A</v>
      </c>
      <c r="DR165" s="161" t="str">
        <f t="shared" si="17"/>
        <v>#N/A</v>
      </c>
      <c r="DS165" s="153" t="str">
        <f t="shared" si="18"/>
        <v>#N/A</v>
      </c>
      <c r="DT165" s="153" t="str">
        <f>AVERAGE(OFFSET($DS$3,0,0,'Données projet'!$E$14+1,1))-AVERAGE(OFFSET($H$3,0,0,'Données projet'!$E$14+1,1))</f>
        <v>#N/A</v>
      </c>
      <c r="DU165" s="153" t="str">
        <f t="shared" si="45"/>
        <v>#N/A</v>
      </c>
      <c r="DV165" s="154">
        <f>IF(ISNA(VLOOKUP(A165,'Données projet'!$A$165:$I$185,3,0)),0,VLOOKUP(A165,'Données projet'!$A$165:$I$185,3,0))</f>
        <v>0</v>
      </c>
      <c r="DW165" s="154">
        <f>IF(ISNA(VLOOKUP(A165,'Données projet'!$A$165:$I$185,4,0)),0,VLOOKUP(A165,'Données projet'!$A$165:$I$185,4,0))</f>
        <v>0</v>
      </c>
      <c r="DX165" s="155">
        <f>IF(ISNA(VLOOKUP(A165,'Données projet'!$A$165:$I$185,5,0)),0%,VLOOKUP(A165,'Données projet'!$A$165:$I$185,5,0)*VLOOKUP('Données projet'!$B$14,'Paramètres'!$A$1:$I$88,7,0))</f>
        <v>0</v>
      </c>
      <c r="DY165" s="155">
        <f>IF(ISNA(VLOOKUP(A165,'Données projet'!$A$165:$I$185,6,0)),0%,VLOOKUP(A165,'Données projet'!$A$165:$I$185,6,0)*VLOOKUP('Données projet'!$B$14,'Paramètres'!$A$1:$I$88,7,0))</f>
        <v>0</v>
      </c>
      <c r="DZ165" s="155">
        <f>IF(ISNA(VLOOKUP(A165,'Données projet'!$A$165:$I$185,7,0)),0%,VLOOKUP(A165,'Données projet'!$A$165:$I$185,7,0))</f>
        <v>0</v>
      </c>
      <c r="EA165" s="162" t="str">
        <f>EXP(-LN(2)/35)*EA164+(1-EXP(-LN(2)/35))/(LN(2)/35)*DW165*DX165*VLOOKUP('Données projet'!$B$14,'Paramètres'!$A$1:$I$88,3,0)*0.475*44/12</f>
        <v>#N/A</v>
      </c>
      <c r="EB165" s="162" t="str">
        <f>EXP(-LN(2)/25)*EB164+(1-EXP(-LN(2)/25))/(LN(2)/25)*Calculateur!DW165*Calculateur!DY165*VLOOKUP('Données projet'!$B$14,'Paramètres'!$A$1:$I$88,3,0)*0.475*44/12</f>
        <v>#N/A</v>
      </c>
      <c r="EC165" s="162" t="str">
        <f>EXP(-LN(2)/2)*EC164+(1-EXP(-LN(2)/2))/(LN(2)/2)*DW165*DZ165*VLOOKUP('Données projet'!$B$14,'Paramètres'!$A$1:$I$88,3,0)*0.475*44/12</f>
        <v>#N/A</v>
      </c>
      <c r="ED165" s="163" t="str">
        <f t="shared" si="19"/>
        <v>#N/A</v>
      </c>
      <c r="EE165" s="159">
        <f>('Scénario référence'!$F$8+'Scénario référence'!$F$9+'Scénario référence'!$B$17+'Scénario référence'!$B$9+'Scénario référence'!$B$10)*70+IF((45+25*(1-EXP(-0.0175*A165)))&lt;70,'Scénario référence'!$B$16*(45+25*(1-EXP(-0.0175*A165))),70*'Scénario référence'!$B$16)+IF((32+38*(1-EXP(-0.0175*A165)))&lt;70,'Scénario référence'!$B$18*(32+38*(1-EXP(-0.0175*A165))),70*'Scénario référence'!$B$18)</f>
        <v>70</v>
      </c>
      <c r="EF165" s="151">
        <f>IF(A165&gt;30,10,('Scénario référence'!$B$16+'Scénario référence'!$B$17+'Scénario référence'!$B$18+'Scénario référence'!$B$9+'Scénario référence'!$B$10)*A165*10/30+('Scénario référence'!$F$8+'Scénario référence'!$F$9)*10)</f>
        <v>10</v>
      </c>
      <c r="EG165" s="151" t="str">
        <f>VLOOKUP(A165,'Données projet'!$A$191:$I$211,2,0)</f>
        <v>#N/A</v>
      </c>
      <c r="EH165" s="151" t="str">
        <f>VLOOKUP(A165,'Données projet'!$A$191:$I$211,9,0)</f>
        <v>#N/A</v>
      </c>
      <c r="EI165" s="151" t="str">
        <f t="array" ref="EI165">INDEX(EH:EH,MIN(IF(ISNUMBER(EH165:EH361),ROW(EH165:EH361),"")))</f>
        <v/>
      </c>
      <c r="EJ165" s="151">
        <f>IF('Données projet'!$A$192&gt;35,EJ164+EI165-ER164,IF(A165&lt;'Données projet'!$A$192,$EG$205^A165,IF(A165='Données projet'!$A$192,'Données projet'!$B$192,EJ164+EI165-ER164)))</f>
        <v>0</v>
      </c>
      <c r="EK165" s="158" t="str">
        <f>EJ165*VLOOKUP('Données projet'!$B$15,'Paramètres'!$A$1:$I$88,3,0)*VLOOKUP('Données projet'!$B$15,'Paramètres'!$A$1:$I$88,5,0)</f>
        <v>#N/A</v>
      </c>
      <c r="EL165" s="150" t="str">
        <f t="shared" si="46"/>
        <v>#N/A</v>
      </c>
      <c r="EM165" s="161" t="str">
        <f t="shared" si="20"/>
        <v>#N/A</v>
      </c>
      <c r="EN165" s="153" t="str">
        <f t="shared" si="21"/>
        <v>#N/A</v>
      </c>
      <c r="EO165" s="153" t="str">
        <f>AVERAGE(OFFSET($EN$3,0,0,'Données projet'!$E$15+1,1))-AVERAGE(OFFSET($H$3,0,0,'Données projet'!$E$15+1,1))</f>
        <v>#N/A</v>
      </c>
      <c r="EP165" s="153" t="str">
        <f t="shared" si="47"/>
        <v>#N/A</v>
      </c>
      <c r="EQ165" s="154">
        <f>IF(ISNA(VLOOKUP(A165,'Données projet'!$A$191:$I$211,3,0)),0,VLOOKUP(A165,'Données projet'!$A$191:$I$211,3,0))</f>
        <v>0</v>
      </c>
      <c r="ER165" s="154">
        <f>IF(ISNA(VLOOKUP(A165,'Données projet'!$A$191:$I$211,4,0)),0,VLOOKUP(A165,'Données projet'!$A$191:$I$211,4,0))</f>
        <v>0</v>
      </c>
      <c r="ES165" s="155">
        <f>IF(ISNA(VLOOKUP(A165,'Données projet'!$A$191:$I$211,5,0)),0%,VLOOKUP(A165,'Données projet'!$A$191:$I$211,5,0)*VLOOKUP('Données projet'!$B$15,'Paramètres'!$A$1:$I$88,7,0))</f>
        <v>0</v>
      </c>
      <c r="ET165" s="155">
        <f>IF(ISNA(VLOOKUP(A165,'Données projet'!$A$191:$I$211,6,0)),0%,VLOOKUP(A165,'Données projet'!$A$191:$I$211,6,0)*VLOOKUP('Données projet'!$B$15,'Paramètres'!$A$1:$I$88,7,0))</f>
        <v>0</v>
      </c>
      <c r="EU165" s="155">
        <f>IF(ISNA(VLOOKUP(A165,'Données projet'!$A$191:$I$211,7,0)),0%,VLOOKUP(A165,'Données projet'!$A$191:$I$211,7,0))</f>
        <v>0</v>
      </c>
      <c r="EV165" s="162" t="str">
        <f>EXP(-LN(2)/35)*EV164+(1-EXP(-LN(2)/35))/(LN(2)/35)*ER165*ES165*VLOOKUP('Données projet'!$B$15,'Paramètres'!$A$1:$I$88,3,0)*0.475*44/12</f>
        <v>#N/A</v>
      </c>
      <c r="EW165" s="162" t="str">
        <f>EXP(-LN(2)/25)*EW164+(1-EXP(-LN(2)/25))/(LN(2)/25)*Calculateur!ER165*Calculateur!ET165*VLOOKUP('Données projet'!$B$15,'Paramètres'!$A$1:$I$88,3,0)*0.475*44/12</f>
        <v>#N/A</v>
      </c>
      <c r="EX165" s="162" t="str">
        <f>EXP(-LN(2)/2)*EX164+(1-EXP(-LN(2)/2))/(LN(2)/2)*ER165*EU165*VLOOKUP('Données projet'!$B$15,'Paramètres'!$A$1:$I$88,3,0)*0.475*44/12</f>
        <v>#N/A</v>
      </c>
      <c r="EY165" s="163" t="str">
        <f t="shared" si="22"/>
        <v>#N/A</v>
      </c>
      <c r="EZ165" s="159">
        <f>('Scénario référence'!$F$8+'Scénario référence'!$F$9+'Scénario référence'!$B$17+'Scénario référence'!$B$9+'Scénario référence'!$B$10)*70+IF((45+25*(1-EXP(-0.0175*A165)))&lt;70,'Scénario référence'!$B$16*(45+25*(1-EXP(-0.0175*A165))),70*'Scénario référence'!$B$16)+IF((32+38*(1-EXP(-0.0175*A165)))&lt;70,'Scénario référence'!$B$18*(32+38*(1-EXP(-0.0175*A165))),70*'Scénario référence'!$B$18)</f>
        <v>70</v>
      </c>
      <c r="FA165" s="151">
        <f>IF(A165&gt;30,10,('Scénario référence'!$B$16+'Scénario référence'!$B$17+'Scénario référence'!$B$18+'Scénario référence'!$B$9+'Scénario référence'!$B$10)*A165*10/30+('Scénario référence'!$F$8+'Scénario référence'!$F$9)*10)</f>
        <v>10</v>
      </c>
      <c r="FB165" s="151" t="str">
        <f>VLOOKUP(A165,'Données projet'!$A$217:$I$237,2,0)</f>
        <v>#N/A</v>
      </c>
      <c r="FC165" s="151" t="str">
        <f>VLOOKUP(A165,'Données projet'!$A$217:$I$237,9,0)</f>
        <v>#N/A</v>
      </c>
      <c r="FD165" s="151" t="str">
        <f t="array" ref="FD165">INDEX(FC:FC,MIN(IF(ISNUMBER(FC165:FC361),ROW(FC165:FC361),"")))</f>
        <v/>
      </c>
      <c r="FE165" s="151">
        <f>IF('Données projet'!$A$218&gt;35,FE164+FD165-FM164,IF(A165&lt;'Données projet'!$A$218,$FB$205^A165,IF(A165='Données projet'!$A$218,'Données projet'!$B$218,FE164+FD165-FM164)))</f>
        <v>0</v>
      </c>
      <c r="FF165" s="158" t="str">
        <f>FE165*VLOOKUP('Données projet'!$B$16,'Paramètres'!$A$1:$I$88,3,0)*VLOOKUP('Données projet'!$B$16,'Paramètres'!$A$1:$I$88,5,0)</f>
        <v>#N/A</v>
      </c>
      <c r="FG165" s="150" t="str">
        <f t="shared" si="48"/>
        <v>#N/A</v>
      </c>
      <c r="FH165" s="161" t="str">
        <f t="shared" si="23"/>
        <v>#N/A</v>
      </c>
      <c r="FI165" s="153" t="str">
        <f t="shared" si="24"/>
        <v>#N/A</v>
      </c>
      <c r="FJ165" s="153" t="str">
        <f>AVERAGE(OFFSET($FI$3,0,0,'Données projet'!$E$16+1,1))-AVERAGE(OFFSET($H$3,0,0,'Données projet'!$E$16+1,1))</f>
        <v>#N/A</v>
      </c>
      <c r="FK165" s="153" t="str">
        <f t="shared" si="49"/>
        <v>#N/A</v>
      </c>
      <c r="FL165" s="154">
        <f>IF(ISNA(VLOOKUP(A165,'Données projet'!$A$217:$I$237,3,0)),0,VLOOKUP(A165,'Données projet'!$A$217:$I$237,3,0))</f>
        <v>0</v>
      </c>
      <c r="FM165" s="154">
        <f>IF(ISNA(VLOOKUP(A165,'Données projet'!$A$217:$I$237,4,0)),0,VLOOKUP(A165,'Données projet'!$A$217:$I$237,4,0))</f>
        <v>0</v>
      </c>
      <c r="FN165" s="155">
        <f>IF(ISNA(VLOOKUP(A165,'Données projet'!$A$217:$I$237,5,0)),0%,VLOOKUP(A165,'Données projet'!$A$217:$I$237,5,0)*VLOOKUP('Données projet'!$B$16,'Paramètres'!$A$1:$I$88,7,0))</f>
        <v>0</v>
      </c>
      <c r="FO165" s="155">
        <f>IF(ISNA(VLOOKUP(A165,'Données projet'!$A$217:$I$237,6,0)),0%,VLOOKUP(A165,'Données projet'!$A$217:$I$237,6,0)*VLOOKUP('Données projet'!$B$16,'Paramètres'!$A$1:$I$88,7,0))</f>
        <v>0</v>
      </c>
      <c r="FP165" s="155">
        <f>IF(ISNA(VLOOKUP(A165,'Données projet'!$A$217:$I$237,7,0)),0%,VLOOKUP(A165,'Données projet'!$A$217:$I$237,7,0))</f>
        <v>0</v>
      </c>
      <c r="FQ165" s="162" t="str">
        <f>EXP(-LN(2)/35)*FQ164+(1-EXP(-LN(2)/35))/(LN(2)/35)*FM165*FN165*VLOOKUP('Données projet'!$B$16,'Paramètres'!$A$1:$I$88,3,0)*0.475*44/12</f>
        <v>#N/A</v>
      </c>
      <c r="FR165" s="162" t="str">
        <f>EXP(-LN(2)/25)*FR164+(1-EXP(-LN(2)/25))/(LN(2)/25)*Calculateur!FM165*Calculateur!FO165*VLOOKUP('Données projet'!$B$16,'Paramètres'!$A$1:$I$88,3,0)*0.475*44/12</f>
        <v>#N/A</v>
      </c>
      <c r="FS165" s="162" t="str">
        <f>EXP(-LN(2)/2)*FS164+(1-EXP(-LN(2)/2))/(LN(2)/2)*FM165*FP165*VLOOKUP('Données projet'!$B$16,'Paramètres'!$A$1:$I$88,3,0)*0.475*44/12</f>
        <v>#N/A</v>
      </c>
      <c r="FT165" s="163" t="str">
        <f t="shared" si="25"/>
        <v>#N/A</v>
      </c>
      <c r="FU165" s="159">
        <f>('Scénario référence'!$F$8+'Scénario référence'!$F$9+'Scénario référence'!$B$17+'Scénario référence'!$B$9+'Scénario référence'!$B$10)*70+IF((45+25*(1-EXP(-0.0175*A165)))&lt;70,'Scénario référence'!$B$16*(45+25*(1-EXP(-0.0175*A165))),70*'Scénario référence'!$B$16)+IF((32+38*(1-EXP(-0.0175*A165)))&lt;70,'Scénario référence'!$B$18*(32+38*(1-EXP(-0.0175*A165))),70*'Scénario référence'!$B$18)</f>
        <v>70</v>
      </c>
      <c r="FV165" s="151">
        <f>IF(A165&gt;30,10,('Scénario référence'!$B$16+'Scénario référence'!$B$17+'Scénario référence'!$B$18+'Scénario référence'!$B$9+'Scénario référence'!$B$10)*A165*10/30+('Scénario référence'!$F$8+'Scénario référence'!$F$9)*10)</f>
        <v>10</v>
      </c>
      <c r="FW165" s="151" t="str">
        <f>VLOOKUP(A165,'Données projet'!$A$243:$I$263,2,0)</f>
        <v>#N/A</v>
      </c>
      <c r="FX165" s="151" t="str">
        <f>VLOOKUP(A165,'Données projet'!$A$243:$I$263,9,0)</f>
        <v>#N/A</v>
      </c>
      <c r="FY165" s="151" t="str">
        <f t="array" ref="FY165">INDEX(FX:FX,MIN(IF(ISNUMBER(FX165:FX361),ROW(FX165:FX361),"")))</f>
        <v/>
      </c>
      <c r="FZ165" s="151">
        <f>IF('Données projet'!$A$244&gt;35,FZ164+FY165-GH164,IF(A165&lt;'Données projet'!$A$244,$FW$205^A165,IF(A165='Données projet'!$A$244,'Données projet'!$B$244,FZ164+FY165-GH164)))</f>
        <v>0</v>
      </c>
      <c r="GA165" s="158" t="str">
        <f>FZ165*VLOOKUP('Données projet'!$B$17,'Paramètres'!$A$1:$I$88,3,0)*VLOOKUP('Données projet'!$B$17,'Paramètres'!$A$1:$I$88,5,0)</f>
        <v>#N/A</v>
      </c>
      <c r="GB165" s="150" t="str">
        <f t="shared" si="50"/>
        <v>#N/A</v>
      </c>
      <c r="GC165" s="161" t="str">
        <f t="shared" si="26"/>
        <v>#N/A</v>
      </c>
      <c r="GD165" s="153" t="str">
        <f t="shared" si="27"/>
        <v>#N/A</v>
      </c>
      <c r="GE165" s="153" t="str">
        <f>AVERAGE(OFFSET($GD$3,0,0,'Données projet'!$E$17+1,1))-AVERAGE(OFFSET($H$3,0,0,'Données projet'!$E$17+1,1))</f>
        <v>#N/A</v>
      </c>
      <c r="GF165" s="153" t="str">
        <f t="shared" si="51"/>
        <v>#N/A</v>
      </c>
      <c r="GG165" s="154">
        <f>IF(ISNA(VLOOKUP(A165,'Données projet'!$A$243:$I$263,3,0)),0,VLOOKUP(A165,'Données projet'!$A$243:$I$263,3,0))</f>
        <v>0</v>
      </c>
      <c r="GH165" s="154">
        <f>IF(ISNA(VLOOKUP(A165,'Données projet'!$A$243:$I$263,4,0)),0,VLOOKUP(A165,'Données projet'!$A$243:$I$263,4,0))</f>
        <v>0</v>
      </c>
      <c r="GI165" s="155">
        <f>IF(ISNA(VLOOKUP(A165,'Données projet'!$A$243:$I$263,5,0)),0%,VLOOKUP(A165,'Données projet'!$A$243:$I$263,5,0)*VLOOKUP('Données projet'!$B$17,'Paramètres'!$A$1:$I$88,7,0))</f>
        <v>0</v>
      </c>
      <c r="GJ165" s="155">
        <f>IF(ISNA(VLOOKUP(A165,'Données projet'!$A$243:$I$263,6,0)),0%,VLOOKUP(A165,'Données projet'!$A$243:$I$263,6,0)*VLOOKUP('Données projet'!$B$17,'Paramètres'!$A$1:$I$88,7,0))</f>
        <v>0</v>
      </c>
      <c r="GK165" s="155">
        <f>IF(ISNA(VLOOKUP(A165,'Données projet'!$A$243:$I$263,7,0)),0%,VLOOKUP(A165,'Données projet'!$A$243:$I$263,7,0))</f>
        <v>0</v>
      </c>
      <c r="GL165" s="162" t="str">
        <f>EXP(-LN(2)/35)*GL164+(1-EXP(-LN(2)/35))/(LN(2)/35)*GH165*GI165*VLOOKUP('Données projet'!$B$17,'Paramètres'!$A$1:$I$88,3,0)*0.475*44/12</f>
        <v>#N/A</v>
      </c>
      <c r="GM165" s="162" t="str">
        <f>EXP(-LN(2)/25)*GM164+(1-EXP(-LN(2)/25))/(LN(2)/25)*Calculateur!GH165*Calculateur!GJ165*VLOOKUP('Données projet'!$B$17,'Paramètres'!$A$1:$I$88,3,0)*0.475*44/12</f>
        <v>#N/A</v>
      </c>
      <c r="GN165" s="162" t="str">
        <f>EXP(-LN(2)/2)*GN164+(1-EXP(-LN(2)/2))/(LN(2)/2)*GH165*GK165*VLOOKUP('Données projet'!$B$17,'Paramètres'!$A$1:$I$88,3,0)*0.475*44/12</f>
        <v>#N/A</v>
      </c>
      <c r="GO165" s="162" t="str">
        <f t="shared" si="28"/>
        <v>#N/A</v>
      </c>
      <c r="GP165" s="159">
        <f>('Scénario référence'!$F$8+'Scénario référence'!$F$9+'Scénario référence'!$B$17+'Scénario référence'!$B$9+'Scénario référence'!$B$10)*70+IF((45+25*(1-EXP(-0.0175*A165)))&lt;70,'Scénario référence'!$B$16*(45+25*(1-EXP(-0.0175*A165))),70*'Scénario référence'!$B$16)+IF((32+38*(1-EXP(-0.0175*A165)))&lt;70,'Scénario référence'!$B$18*(32+38*(1-EXP(-0.0175*A165))),70*'Scénario référence'!$B$18)</f>
        <v>70</v>
      </c>
      <c r="GQ165" s="151">
        <f>IF(A165&gt;30,10,('Scénario référence'!$B$16+'Scénario référence'!$B$17+'Scénario référence'!$B$18+'Scénario référence'!$B$9+'Scénario référence'!$B$10)*A165*10/30+('Scénario référence'!$F$8+'Scénario référence'!$F$9)*10)</f>
        <v>10</v>
      </c>
      <c r="GR165" s="151" t="str">
        <f>VLOOKUP(A165,'Données projet'!$A$269:$I$289,2,0)</f>
        <v>#N/A</v>
      </c>
      <c r="GS165" s="151" t="str">
        <f>VLOOKUP(A165,'Données projet'!$A$269:$I$289,9,0)</f>
        <v>#N/A</v>
      </c>
      <c r="GT165" s="151" t="str">
        <f t="array" ref="GT165">INDEX(GS:GS,MIN(IF(ISNUMBER(GS165:GS361),ROW(GS165:GS361),"")))</f>
        <v/>
      </c>
      <c r="GU165" s="151">
        <f>IF('Données projet'!$A$270&gt;35,GU164+GT165-HC164,IF(A165&lt;'Données projet'!$A$270,$GR$205^A165,IF(A165='Données projet'!$A$270,'Données projet'!$B$270,GU164+GT165-HC164)))</f>
        <v>0</v>
      </c>
      <c r="GV165" s="158" t="str">
        <f>GU165*VLOOKUP('Données projet'!$B$18,'Paramètres'!$A$1:$I$88,3,0)*VLOOKUP('Données projet'!$B$18,'Paramètres'!$A$1:$I$88,5,0)</f>
        <v>#N/A</v>
      </c>
      <c r="GW165" s="150" t="str">
        <f t="shared" si="52"/>
        <v>#N/A</v>
      </c>
      <c r="GX165" s="161" t="str">
        <f t="shared" si="29"/>
        <v>#N/A</v>
      </c>
      <c r="GY165" s="153" t="str">
        <f t="shared" si="30"/>
        <v>#N/A</v>
      </c>
      <c r="GZ165" s="153" t="str">
        <f>AVERAGE(OFFSET($GY$3,0,0,'Données projet'!$E$18+1,1))-AVERAGE(OFFSET($H$3,0,0,'Données projet'!$E$18+1,1))</f>
        <v>#N/A</v>
      </c>
      <c r="HA165" s="153" t="str">
        <f t="shared" si="53"/>
        <v>#N/A</v>
      </c>
      <c r="HB165" s="154">
        <f>IF(ISNA(VLOOKUP(A165,'Données projet'!$A$269:$I$289,3,0)),0,VLOOKUP(A165,'Données projet'!$A$269:$I$289,3,0))</f>
        <v>0</v>
      </c>
      <c r="HC165" s="154">
        <f>IF(ISNA(VLOOKUP(A165,'Données projet'!$A$269:$I$289,4,0)),0,VLOOKUP(A165,'Données projet'!$A$269:$I$289,4,0))</f>
        <v>0</v>
      </c>
      <c r="HD165" s="155">
        <f>IF(ISNA(VLOOKUP(A165,'Données projet'!$A$269:$I$289,5,0)),0%,VLOOKUP(A165,'Données projet'!$A$269:$I$289,5,0)*VLOOKUP('Données projet'!$B$18,'Paramètres'!$A$1:$I$88,7,0))</f>
        <v>0</v>
      </c>
      <c r="HE165" s="155">
        <f>IF(ISNA(VLOOKUP(A165,'Données projet'!$A$269:$I$289,6,0)),0%,VLOOKUP(A165,'Données projet'!$A$269:$I$289,6,0)*VLOOKUP('Données projet'!$B$18,'Paramètres'!$A$1:$I$88,7,0))</f>
        <v>0</v>
      </c>
      <c r="HF165" s="155">
        <f>IF(ISNA(VLOOKUP(A165,'Données projet'!$A$269:$I$289,7,0)),0%,VLOOKUP(A165,'Données projet'!$A$269:$I$289,7,0))</f>
        <v>0</v>
      </c>
      <c r="HG165" s="162" t="str">
        <f>EXP(-LN(2)/35)*HG164+(1-EXP(-LN(2)/35))/(LN(2)/35)*HC165*HD165*VLOOKUP('Données projet'!$B$18,'Paramètres'!$A$1:$I$88,3,0)*0.475*44/12</f>
        <v>#N/A</v>
      </c>
      <c r="HH165" s="162" t="str">
        <f>EXP(-LN(2)/25)*HH164+(1-EXP(-LN(2)/25))/(LN(2)/25)*Calculateur!HC165*Calculateur!HE165*VLOOKUP('Données projet'!$B$18,'Paramètres'!$A$1:$I$88,3,0)*0.475*44/12</f>
        <v>#N/A</v>
      </c>
      <c r="HI165" s="162" t="str">
        <f>EXP(-LN(2)/2)*HI164+(1-EXP(-LN(2)/2))/(LN(2)/2)*HC165*HF165*VLOOKUP('Données projet'!$B$18,'Paramètres'!$A$1:$I$88,3,0)*0.475*44/12</f>
        <v>#N/A</v>
      </c>
      <c r="HJ165" s="163" t="str">
        <f t="shared" si="31"/>
        <v>#N/A</v>
      </c>
    </row>
    <row r="166" ht="15.75" customHeight="1">
      <c r="A166" s="145">
        <f t="shared" si="32"/>
        <v>163</v>
      </c>
      <c r="B166" s="146">
        <f>'Scénario référence'!$B$16*5+'Scénario référence'!$B$17*0+'Scénario référence'!$B$18*5</f>
        <v>0</v>
      </c>
      <c r="C166" s="160">
        <f>Calculateur!C165+'Scénario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66" s="147">
        <f t="shared" si="33"/>
        <v>0</v>
      </c>
      <c r="E166" s="147">
        <f>'Scénario référence'!$B$16*45+('Scénario référence'!$B$17+'Scénario référence'!$F$8+'Scénario référence'!$F$9+'Scénario référence'!$B$10+'Scénario référence'!$B$9)*70+'Scénario référence'!$B$18*32</f>
        <v>70</v>
      </c>
      <c r="F166" s="147">
        <f>IF(OR('Scénario référence'!$F$8&gt;0,'Scénario référence'!$F$9&gt;0),('Scénario référence'!$F$8+'Scénario référence'!$F$9)*10,0)</f>
        <v>0</v>
      </c>
      <c r="G166" s="147">
        <f>'Scénario référence'!$B$8*B166*44/12+'Scénario référence'!$B$9*(C166+D166)/0.475*44/12+'Scénario référence'!$B$10*(C166+D166)/0.475*44/12+'Scénario référence'!$F$8*(C166+D166)/0.475*44/12+'Scénario référence'!$F$9*(C166+D166)/0.475*44/12</f>
        <v>0</v>
      </c>
      <c r="H166" s="148">
        <f t="shared" si="1"/>
        <v>256.6666667</v>
      </c>
      <c r="I166" s="149">
        <f>('Scénario référence'!$F$8+'Scénario référence'!$F$9+'Scénario référence'!$B$17+'Scénario référence'!$B$9+'Scénario référence'!$B$10)*70+IF((45+25*(1-EXP(-0.0175*A166)))&lt;70,'Scénario référence'!$B$16*(45+25*(1-EXP(-0.0175*A166))),70*'Scénario référence'!$B$16)+IF((32+38*(1-EXP(-0.0175*A166)))&lt;70,'Scénario référence'!$B$18*(32+38*(1-EXP(-0.0175*A166))),70*'Scénario référence'!$B$18)</f>
        <v>70</v>
      </c>
      <c r="J166" s="150">
        <f>IF(A166&gt;30,10,('Scénario référence'!$B$16+'Scénario référence'!$B$17+'Scénario référence'!$B$18+'Scénario référence'!$B$9+'Scénario référence'!$B$10)*A166*10/30+('Scénario référence'!$F$8+'Scénario référence'!$F$9)*10)</f>
        <v>10</v>
      </c>
      <c r="K166" s="151" t="str">
        <f>VLOOKUP(A166,'Données projet'!$A$35:$I$55,2,0)</f>
        <v>#N/A</v>
      </c>
      <c r="L166" s="151" t="str">
        <f>VLOOKUP(A166,'Données projet'!$A$35:$I$55,9,0)</f>
        <v>#N/A</v>
      </c>
      <c r="M166" s="151" t="str">
        <f t="array" ref="M166">INDEX(L:L,MIN(IF(ISNUMBER(L166:L362),ROW(L166:L362),"")))</f>
        <v/>
      </c>
      <c r="N166" s="150">
        <f>IF('Données projet'!$A$36&gt;35,N165+M166-V165,IF(A166&lt;'Données projet'!$A$36,$K$205^A166,IF(A166='Données projet'!$A$36,'Données projet'!$B$36,N165+M166-V165)))</f>
        <v>307</v>
      </c>
      <c r="O166" s="150">
        <f>N166*VLOOKUP('Données projet'!$B$9,'Paramètres'!$A$1:$I$88,3,0)*VLOOKUP('Données projet'!$B$9,'Paramètres'!$A$1:$I$88,5,0)</f>
        <v>277.7736</v>
      </c>
      <c r="P166" s="150">
        <f t="shared" si="34"/>
        <v>66.49628818</v>
      </c>
      <c r="Q166" s="161">
        <f t="shared" si="2"/>
        <v>599.6033886</v>
      </c>
      <c r="R166" s="153">
        <f t="shared" si="3"/>
        <v>892.9367219</v>
      </c>
      <c r="S166" s="153">
        <f>AVERAGE(OFFSET($R$3,0,0,'Données projet'!$E$9+1,1))-AVERAGE(OFFSET($H$3,0,0,'Données projet'!$E$9+1,1))</f>
        <v>439.1985427</v>
      </c>
      <c r="T166" s="153">
        <f t="shared" si="35"/>
        <v>278.2174123</v>
      </c>
      <c r="U166" s="154">
        <f>IF(ISNA(VLOOKUP(A166,'Données projet'!$A$35:$I$55,3,0)),0,VLOOKUP(A166,'Données projet'!$A$35:$I$55,3,0))</f>
        <v>0</v>
      </c>
      <c r="V166" s="154">
        <f>IF(ISNA(VLOOKUP(A166,'Données projet'!$A$35:$I$55,4,0)),0,VLOOKUP(A166,'Données projet'!$A$35:$I$55,4,0))</f>
        <v>0</v>
      </c>
      <c r="W166" s="155">
        <f>IF(ISNA(VLOOKUP(A166,'Données projet'!$A$35:$I$55,5,0)),0%,VLOOKUP(A166,'Données projet'!$A$35:$I$55,5,0)*VLOOKUP('Données projet'!$B$9,'Paramètres'!$A$1:$I$88,7,0))</f>
        <v>0</v>
      </c>
      <c r="X166" s="155">
        <f>IF(ISNA(VLOOKUP(A166,'Données projet'!$A$35:$I$55,6,0)),0%,VLOOKUP(A166,'Données projet'!$A$35:$I$55,6,0)*VLOOKUP('Données projet'!$B$9,'Paramètres'!$A$1:$I$88,7,0))</f>
        <v>0</v>
      </c>
      <c r="Y166" s="155">
        <f>IF(ISNA(VLOOKUP(A166,'Données projet'!$A$35:$I$55,7,0)),0%,VLOOKUP(A166,'Données projet'!$A$35:$I$55,7,0))</f>
        <v>0</v>
      </c>
      <c r="Z166" s="162">
        <f>EXP(-LN(2)/35)*Z165+(1-EXP(-LN(2)/35))/(LN(2)/35)*V166*W166*VLOOKUP('Données projet'!$B$9,'Paramètres'!$A$1:$I$88,3,0)*0.475*44/12</f>
        <v>0</v>
      </c>
      <c r="AA166" s="162">
        <f>EXP(-LN(2)/25)*AA165+(1-EXP(-LN(2)/25))/(LN(2)/25)*Calculateur!V166*Calculateur!X166*VLOOKUP('Données projet'!$B$9,'Paramètres'!$A$1:$I$88,3,0)*0.475*44/12</f>
        <v>0.1123395557</v>
      </c>
      <c r="AB166" s="162">
        <f>EXP(-LN(2)/2)*AB165+(1-EXP(-LN(2)/2))/(LN(2)/2)*V166*Y166*VLOOKUP('Données projet'!$B$9,'Paramètres'!$A$1:$I$88,3,0)*0.475*44/12</f>
        <v>0</v>
      </c>
      <c r="AC166" s="163">
        <f t="shared" si="4"/>
        <v>0.1123395557</v>
      </c>
      <c r="AD166" s="150">
        <f>('Scénario référence'!$F$8+'Scénario référence'!$F$9+'Scénario référence'!$B$17+'Scénario référence'!$B$9+'Scénario référence'!$B$10)*70+IF((45+25*(1-EXP(-0.0175*A166)))&lt;70,'Scénario référence'!$B$16*(45+25*(1-EXP(-0.0175*A166))),70*'Scénario référence'!$B$16)+IF((32+38*(1-EXP(-0.0175*A166)))&lt;70,'Scénario référence'!$B$18*(32+38*(1-EXP(-0.0175*A166))),70*'Scénario référence'!$B$18)</f>
        <v>70</v>
      </c>
      <c r="AE166" s="150">
        <f>IF(A166&gt;30,10,('Scénario référence'!$B$16+'Scénario référence'!$B$17+'Scénario référence'!$B$18+'Scénario référence'!$B$9+'Scénario référence'!$B$10)*A166*10/30+('Scénario référence'!$F$8+'Scénario référence'!$F$9)*10)</f>
        <v>10</v>
      </c>
      <c r="AF166" s="151" t="str">
        <f>VLOOKUP(A166,'Données projet'!$A$61:$I$81,2,0)</f>
        <v>#N/A</v>
      </c>
      <c r="AG166" s="151" t="str">
        <f>VLOOKUP(A166,'Données projet'!$A$61:$I$81,9,0)</f>
        <v>#N/A</v>
      </c>
      <c r="AH166" s="151" t="str">
        <f t="array" ref="AH166">INDEX(AG:AG,MIN(IF(ISNUMBER(AG166:AG362),ROW(AG166:AG362),"")))</f>
        <v/>
      </c>
      <c r="AI166" s="150">
        <f>IF('Données projet'!$A$62&gt;35,AI165+AH166-AQ165,IF(A166&lt;'Données projet'!$A$62,$AF$205^A166,IF(A166='Données projet'!$A$62,'Données projet'!$B$62,AI165+AH166-AQ165)))</f>
        <v>369</v>
      </c>
      <c r="AJ166" s="150">
        <f>AI166*VLOOKUP('Données projet'!$B$10,'Paramètres'!$A$1:$I$88,3,0)*VLOOKUP('Données projet'!$B$10,'Paramètres'!$A$1:$I$88,5,0)</f>
        <v>293.5764</v>
      </c>
      <c r="AK166" s="150">
        <f t="shared" si="36"/>
        <v>69.82813851</v>
      </c>
      <c r="AL166" s="161">
        <f t="shared" si="5"/>
        <v>632.9295712</v>
      </c>
      <c r="AM166" s="153">
        <f t="shared" si="6"/>
        <v>926.2629046</v>
      </c>
      <c r="AN166" s="153">
        <f>AVERAGE(OFFSET($AM$3,0,0,'Données projet'!$E$10+1,1))-AVERAGE(OFFSET($H$3,0,0,'Données projet'!$E$10+1,1))</f>
        <v>405.6113614</v>
      </c>
      <c r="AO166" s="153">
        <f t="shared" si="37"/>
        <v>393.0787141</v>
      </c>
      <c r="AP166" s="154">
        <f>IF(ISNA(VLOOKUP(A166,'Données projet'!$A$61:$I$81,3,0)),0,VLOOKUP(A166,'Données projet'!$A$61:$I$81,3,0))</f>
        <v>0</v>
      </c>
      <c r="AQ166" s="154">
        <f>IF(ISNA(VLOOKUP(A166,'Données projet'!$A$61:$I$81,4,0)),0,VLOOKUP(A166,'Données projet'!$A$61:$I$81,4,0))</f>
        <v>0</v>
      </c>
      <c r="AR166" s="155">
        <f>IF(ISNA(VLOOKUP(A166,'Données projet'!$A$61:$I$81,5,0)),0%,VLOOKUP(A166,'Données projet'!$A$61:$I$81,5,0)*VLOOKUP('Données projet'!$B$10,'Paramètres'!$A$1:$I$88,7,0))</f>
        <v>0</v>
      </c>
      <c r="AS166" s="155">
        <f>IF(ISNA(VLOOKUP(A166,'Données projet'!$A$61:$I$81,6,0)),0%,VLOOKUP(A166,'Données projet'!$A$61:$I$81,6,0)*VLOOKUP('Données projet'!$B$10,'Paramètres'!$A$1:$I$88,7,0))</f>
        <v>0</v>
      </c>
      <c r="AT166" s="155">
        <f>IF(ISNA(VLOOKUP(A166,'Données projet'!$A$61:$I$81,7,0)),0%,VLOOKUP(A166,'Données projet'!$A$61:$I$81,7,0))</f>
        <v>0</v>
      </c>
      <c r="AU166" s="162">
        <f>EXP(-LN(2)/35)*AU165+(1-EXP(-LN(2)/35))/(LN(2)/35)*AQ166*AR166*VLOOKUP('Données projet'!$B$10,'Paramètres'!$A$1:$I$88,3,0)*0.475*44/12</f>
        <v>0</v>
      </c>
      <c r="AV166" s="162">
        <f>EXP(-LN(2)/25)*AV165+(1-EXP(-LN(2)/25))/(LN(2)/25)*Calculateur!AQ166*Calculateur!AS166*VLOOKUP('Données projet'!$B$10,'Paramètres'!$A$1:$I$88,3,0)*0.475*44/12</f>
        <v>0.4565765123</v>
      </c>
      <c r="AW166" s="162">
        <f>EXP(-LN(2)/2)*AW165+(1-EXP(-LN(2)/2))/(LN(2)/2)*AQ166*AT166*VLOOKUP('Données projet'!$B$10,'Paramètres'!$A$1:$I$88,3,0)*0.475*44/12</f>
        <v>0</v>
      </c>
      <c r="AX166" s="162">
        <f t="shared" si="7"/>
        <v>0.4565765123</v>
      </c>
      <c r="AY166" s="157">
        <f>('Scénario référence'!$F$8+'Scénario référence'!$F$9+'Scénario référence'!$B$17+'Scénario référence'!$B$9+'Scénario référence'!$B$10)*70+IF((45+25*(1-EXP(-0.0175*A166)))&lt;70,'Scénario référence'!$B$16*(45+25*(1-EXP(-0.0175*A166))),70*'Scénario référence'!$B$16)+IF((32+38*(1-EXP(-0.0175*A166)))&lt;70,'Scénario référence'!$B$18*(32+38*(1-EXP(-0.0175*A166))),70*'Scénario référence'!$B$18)</f>
        <v>70</v>
      </c>
      <c r="AZ166" s="151">
        <f>IF(A166&gt;30,10,('Scénario référence'!$B$16+'Scénario référence'!$B$17+'Scénario référence'!$B$18+'Scénario référence'!$B$9+'Scénario référence'!$B$10)*A166*10/30+('Scénario référence'!$F$8+'Scénario référence'!$F$9)*10)</f>
        <v>10</v>
      </c>
      <c r="BA166" s="151" t="str">
        <f>VLOOKUP(A166,'Données projet'!$A$87:$I$107,2,0)</f>
        <v>#N/A</v>
      </c>
      <c r="BB166" s="151" t="str">
        <f>VLOOKUP(A166,'Données projet'!$A$87:$I$107,9,0)</f>
        <v>#N/A</v>
      </c>
      <c r="BC166" s="151" t="str">
        <f t="array" ref="BC166">INDEX(BB:BB,MIN(IF(ISNUMBER(BB166:BB362),ROW(BB166:BB362),"")))</f>
        <v/>
      </c>
      <c r="BD166" s="150">
        <f>IF('Données projet'!$A$88&gt;35,BD165+BC166-BL165,IF(A166&lt;'Données projet'!$A$88,$BA$205^A166,IF(A166='Données projet'!$A$88,'Données projet'!$B$88,BD165+BC166-BL165)))</f>
        <v>0</v>
      </c>
      <c r="BE166" s="150">
        <f>BD166*VLOOKUP('Données projet'!$B$11,'Paramètres'!$A$1:$I$88,3,0)*VLOOKUP('Données projet'!$B$11,'Paramètres'!$A$1:$I$88,5,0)</f>
        <v>0</v>
      </c>
      <c r="BF166" s="150" t="str">
        <f t="shared" si="38"/>
        <v>#NUM!</v>
      </c>
      <c r="BG166" s="161" t="str">
        <f t="shared" si="8"/>
        <v>#NUM!</v>
      </c>
      <c r="BH166" s="153" t="str">
        <f t="shared" si="9"/>
        <v>#NUM!</v>
      </c>
      <c r="BI166" s="153">
        <f>AVERAGE(OFFSET($BH$3,0,0,'Données projet'!$E$11+1,1))-AVERAGE(OFFSET($H$3,0,0,'Données projet'!$E$11+1,1))</f>
        <v>0</v>
      </c>
      <c r="BJ166" s="153">
        <f t="shared" si="39"/>
        <v>0</v>
      </c>
      <c r="BK166" s="154">
        <f>IF(ISNA(VLOOKUP(A166,'Données projet'!$A$87:$I$107,3,0)),0,VLOOKUP(A166,'Données projet'!$A$87:$I$107,3,0))</f>
        <v>0</v>
      </c>
      <c r="BL166" s="154">
        <f>IF(ISNA(VLOOKUP(A166,'Données projet'!$A$87:$I$107,4,0)),0,VLOOKUP(A166,'Données projet'!$A$87:$I$107,4,0))</f>
        <v>0</v>
      </c>
      <c r="BM166" s="155">
        <f>IF(ISNA(VLOOKUP(A166,'Données projet'!$A$87:$I$107,5,0)),0%,VLOOKUP(A166,'Données projet'!$A$87:$I$107,5,0)*VLOOKUP('Données projet'!$B$11,'Paramètres'!$A$1:$I$88,7,0))</f>
        <v>0</v>
      </c>
      <c r="BN166" s="155">
        <f>IF(ISNA(VLOOKUP(A166,'Données projet'!$A$87:$I$107,6,0)),0%,VLOOKUP(A166,'Données projet'!$A$87:$I$107,6,0)*VLOOKUP('Données projet'!$B$11,'Paramètres'!$A$1:$I$88,7,0))</f>
        <v>0</v>
      </c>
      <c r="BO166" s="155">
        <f>IF(ISNA(VLOOKUP(A166,'Données projet'!$A$87:$I$107,7,0)),0%,VLOOKUP(A166,'Données projet'!$A$87:$I$107,7,0))</f>
        <v>0</v>
      </c>
      <c r="BP166" s="162">
        <f>EXP(-LN(2)/35)*BP165+(1-EXP(-LN(2)/35))/(LN(2)/35)*BL166*BM166*VLOOKUP('Données projet'!$B$11,'Paramètres'!$A$1:$I$88,3,0)*0.475*44/12</f>
        <v>0</v>
      </c>
      <c r="BQ166" s="162">
        <f>EXP(-LN(2)/25)*BQ165+(1-EXP(-LN(2)/25))/(LN(2)/25)*Calculateur!BL166*Calculateur!BN166*VLOOKUP('Données projet'!$B$11,'Paramètres'!$A$1:$I$88,3,0)*0.475*44/12</f>
        <v>0</v>
      </c>
      <c r="BR166" s="162">
        <f>EXP(-LN(2)/2)*BR165+(1-EXP(-LN(2)/2))/(LN(2)/2)*BL166*BO166*VLOOKUP('Données projet'!$B$11,'Paramètres'!$A$1:$I$88,3,0)*0.475*44/12</f>
        <v>0</v>
      </c>
      <c r="BS166" s="163">
        <f t="shared" si="10"/>
        <v>0</v>
      </c>
      <c r="BT166" s="159">
        <f>('Scénario référence'!$F$8+'Scénario référence'!$F$9+'Scénario référence'!$B$17+'Scénario référence'!$B$9+'Scénario référence'!$B$10)*70+IF((45+25*(1-EXP(-0.0175*A166)))&lt;70,'Scénario référence'!$B$16*(45+25*(1-EXP(-0.0175*A166))),70*'Scénario référence'!$B$16)+IF((32+38*(1-EXP(-0.0175*A166)))&lt;70,'Scénario référence'!$B$18*(32+38*(1-EXP(-0.0175*A166))),70*'Scénario référence'!$B$18)</f>
        <v>70</v>
      </c>
      <c r="BU166" s="151">
        <f>IF(A166&gt;30,10,('Scénario référence'!$B$16+'Scénario référence'!$B$17+'Scénario référence'!$B$18+'Scénario référence'!$B$9+'Scénario référence'!$B$10)*A166*10/30+('Scénario référence'!$F$8+'Scénario référence'!$F$9)*10)</f>
        <v>10</v>
      </c>
      <c r="BV166" s="151" t="str">
        <f>VLOOKUP(A166,'Données projet'!$A$113:$I$133,2,0)</f>
        <v>#N/A</v>
      </c>
      <c r="BW166" s="151" t="str">
        <f>VLOOKUP(A166,'Données projet'!$A$113:$I$133,9,0)</f>
        <v>#N/A</v>
      </c>
      <c r="BX166" s="151" t="str">
        <f t="array" ref="BX166">INDEX(BW:BW,MIN(IF(ISNUMBER(BW166:BW362),ROW(BW166:BW362),"")))</f>
        <v/>
      </c>
      <c r="BY166" s="150">
        <f>IF('Données projet'!$A$114&gt;35,BY165+BX166-CG165,IF(A166&lt;'Données projet'!$A$114,$BV$205^A166,IF(A166='Données projet'!$A$114,'Données projet'!$B$114,BY165+BX166-CG165)))</f>
        <v>0</v>
      </c>
      <c r="BZ166" s="150" t="str">
        <f>BY166*VLOOKUP('Données projet'!$B$12,'Paramètres'!$A$1:$I$88,3,0)*VLOOKUP('Données projet'!$B$12,'Paramètres'!$A$1:$I$88,5,0)</f>
        <v>#N/A</v>
      </c>
      <c r="CA166" s="150" t="str">
        <f t="shared" si="40"/>
        <v>#N/A</v>
      </c>
      <c r="CB166" s="161" t="str">
        <f t="shared" si="11"/>
        <v>#N/A</v>
      </c>
      <c r="CC166" s="153" t="str">
        <f t="shared" si="12"/>
        <v>#N/A</v>
      </c>
      <c r="CD166" s="153" t="str">
        <f>AVERAGE(OFFSET($CC$3,0,0,'Données projet'!$E$12+1,1))-AVERAGE(OFFSET($H$3,0,0,'Données projet'!$E$12+1,1))</f>
        <v>#N/A</v>
      </c>
      <c r="CE166" s="153" t="str">
        <f t="shared" si="41"/>
        <v>#N/A</v>
      </c>
      <c r="CF166" s="154">
        <f>IF(ISNA(VLOOKUP(A166,'Données projet'!$A$113:$I$133,3,0)),0,VLOOKUP(A166,'Données projet'!$A$113:$I$133,3,0))</f>
        <v>0</v>
      </c>
      <c r="CG166" s="154">
        <f>IF(ISNA(VLOOKUP(A166,'Données projet'!$A$113:$I$133,4,0)),0,VLOOKUP(A166,'Données projet'!$A$113:$I$133,4,0))</f>
        <v>0</v>
      </c>
      <c r="CH166" s="155">
        <f>IF(ISNA(VLOOKUP(A166,'Données projet'!$A$113:$I$133,5,0)),0%,VLOOKUP(A166,'Données projet'!$A$113:$I$133,5,0)*VLOOKUP('Données projet'!$B$12,'Paramètres'!$A$1:$I$88,7,0))</f>
        <v>0</v>
      </c>
      <c r="CI166" s="155">
        <f>IF(ISNA(VLOOKUP(A166,'Données projet'!$A$113:$I$133,6,0)),0%,VLOOKUP(A166,'Données projet'!$A$113:$I$133,6,0)*VLOOKUP('Données projet'!$B$12,'Paramètres'!$A$1:$I$88,7,0))</f>
        <v>0</v>
      </c>
      <c r="CJ166" s="155">
        <f>IF(ISNA(VLOOKUP(A166,'Données projet'!$A$113:$I$133,7,0)),0%,VLOOKUP(A166,'Données projet'!$A$113:$I$133,7,0))</f>
        <v>0</v>
      </c>
      <c r="CK166" s="162" t="str">
        <f>EXP(-LN(2)/35)*CK165+(1-EXP(-LN(2)/35))/(LN(2)/35)*CG166*CH166*VLOOKUP('Données projet'!$B$12,'Paramètres'!$A$1:$I$88,3,0)*0.475*44/12</f>
        <v>#N/A</v>
      </c>
      <c r="CL166" s="162" t="str">
        <f>EXP(-LN(2)/25)*CL165+(1-EXP(-LN(2)/25))/(LN(2)/25)*Calculateur!CG166*Calculateur!CI166*VLOOKUP('Données projet'!$B$12,'Paramètres'!$A$1:$I$88,3,0)*0.475*44/12</f>
        <v>#N/A</v>
      </c>
      <c r="CM166" s="162" t="str">
        <f>EXP(-LN(2)/2)*CM165+(1-EXP(-LN(2)/2))/(LN(2)/2)*CG166*CJ166*VLOOKUP('Données projet'!$B$12,'Paramètres'!$A$1:$I$88,3,0)*0.475*44/12</f>
        <v>#N/A</v>
      </c>
      <c r="CN166" s="163" t="str">
        <f t="shared" si="13"/>
        <v>#N/A</v>
      </c>
      <c r="CO166" s="159">
        <f>('Scénario référence'!$F$8+'Scénario référence'!$F$9+'Scénario référence'!$B$17+'Scénario référence'!$B$9+'Scénario référence'!$B$10)*70+IF((45+25*(1-EXP(-0.0175*A166)))&lt;70,'Scénario référence'!$B$16*(45+25*(1-EXP(-0.0175*A166))),70*'Scénario référence'!$B$16)+IF((32+38*(1-EXP(-0.0175*A166)))&lt;70,'Scénario référence'!$B$18*(32+38*(1-EXP(-0.0175*A166))),70*'Scénario référence'!$B$18)</f>
        <v>70</v>
      </c>
      <c r="CP166" s="151">
        <f>IF(A166&gt;30,10,('Scénario référence'!$B$16+'Scénario référence'!$B$17+'Scénario référence'!$B$18+'Scénario référence'!$B$9+'Scénario référence'!$B$10)*A166*10/30+('Scénario référence'!$F$8+'Scénario référence'!$F$9)*10)</f>
        <v>10</v>
      </c>
      <c r="CQ166" s="151" t="str">
        <f>VLOOKUP(A166,'Données projet'!$A$139:$I$159,2,0)</f>
        <v>#N/A</v>
      </c>
      <c r="CR166" s="151" t="str">
        <f>VLOOKUP(A166,'Données projet'!$A$139:$I$159,9,0)</f>
        <v>#N/A</v>
      </c>
      <c r="CS166" s="151" t="str">
        <f t="array" ref="CS166">INDEX(CR:CR,MIN(IF(ISNUMBER(CR166:CR362),ROW(CR166:CR362),"")))</f>
        <v/>
      </c>
      <c r="CT166" s="151">
        <f>IF('Données projet'!$A$140&gt;35,CT165+CS166-DB165,IF(A166&lt;'Données projet'!$A$140,$CQ$205^A166,IF(A166='Données projet'!$A$140,'Données projet'!$B$140,CT165+CS166-DB165)))</f>
        <v>0</v>
      </c>
      <c r="CU166" s="158" t="str">
        <f>CT166*VLOOKUP('Données projet'!$B$13,'Paramètres'!$A$1:$I$88,3,0)*VLOOKUP('Données projet'!$B$13,'Paramètres'!$A$1:$I$88,5,0)</f>
        <v>#N/A</v>
      </c>
      <c r="CV166" s="150" t="str">
        <f t="shared" si="42"/>
        <v>#N/A</v>
      </c>
      <c r="CW166" s="161" t="str">
        <f t="shared" si="14"/>
        <v>#N/A</v>
      </c>
      <c r="CX166" s="153" t="str">
        <f t="shared" si="15"/>
        <v>#N/A</v>
      </c>
      <c r="CY166" s="153" t="str">
        <f>AVERAGE(OFFSET($CX$3,0,0,'Données projet'!$E$13+1,1))-AVERAGE(OFFSET($H$3,0,0,'Données projet'!$E$13+1,1))</f>
        <v>#N/A</v>
      </c>
      <c r="CZ166" s="153" t="str">
        <f t="shared" si="43"/>
        <v>#N/A</v>
      </c>
      <c r="DA166" s="154">
        <f>IF(ISNA(VLOOKUP(A166,'Données projet'!$A$139:$I$159,3,0)),0,VLOOKUP(A166,'Données projet'!$A$139:$I$159,3,0))</f>
        <v>0</v>
      </c>
      <c r="DB166" s="154">
        <f>IF(ISNA(VLOOKUP(A166,'Données projet'!$A$139:$I$159,4,0)),0,VLOOKUP(A166,'Données projet'!$A$139:$I$159,4,0))</f>
        <v>0</v>
      </c>
      <c r="DC166" s="155">
        <f>IF(ISNA(VLOOKUP(A166,'Données projet'!$A$139:$I$159,5,0)),0%,VLOOKUP(A166,'Données projet'!$A$139:$I$159,5,0)*VLOOKUP('Données projet'!$B$13,'Paramètres'!$A$1:$I$88,7,0))</f>
        <v>0</v>
      </c>
      <c r="DD166" s="155">
        <f>IF(ISNA(VLOOKUP(A166,'Données projet'!$A$139:$I$159,6,0)),0%,VLOOKUP(A166,'Données projet'!$A$139:$I$159,6,0)*VLOOKUP('Données projet'!$B$13,'Paramètres'!$A$1:$I$88,7,0))</f>
        <v>0</v>
      </c>
      <c r="DE166" s="155">
        <f>IF(ISNA(VLOOKUP(A166,'Données projet'!$A$139:$I$159,7,0)),0%,VLOOKUP(A166,'Données projet'!$A$139:$I$159,7,0))</f>
        <v>0</v>
      </c>
      <c r="DF166" s="162" t="str">
        <f>EXP(-LN(2)/35)*DF165+(1-EXP(-LN(2)/35))/(LN(2)/35)*DB166*DC166*VLOOKUP('Données projet'!$B$13,'Paramètres'!$A$1:$I$88,3,0)*0.475*44/12</f>
        <v>#N/A</v>
      </c>
      <c r="DG166" s="162" t="str">
        <f>EXP(-LN(2)/25)*DG165+(1-EXP(-LN(2)/25))/(LN(2)/25)*Calculateur!DB166*Calculateur!DD166*VLOOKUP('Données projet'!$B$13,'Paramètres'!$A$1:$I$88,3,0)*0.475*44/12</f>
        <v>#N/A</v>
      </c>
      <c r="DH166" s="162" t="str">
        <f>EXP(-LN(2)/2)*DH165+(1-EXP(-LN(2)/2))/(LN(2)/2)*DB166*DE166*VLOOKUP('Données projet'!$B$13,'Paramètres'!$A$1:$I$88,3,0)*0.475*44/12</f>
        <v>#N/A</v>
      </c>
      <c r="DI166" s="163" t="str">
        <f t="shared" si="16"/>
        <v>#N/A</v>
      </c>
      <c r="DJ166" s="159">
        <f>('Scénario référence'!$F$8+'Scénario référence'!$F$9+'Scénario référence'!$B$17+'Scénario référence'!$B$9+'Scénario référence'!$B$10)*70+IF((45+25*(1-EXP(-0.0175*A166)))&lt;70,'Scénario référence'!$B$16*(45+25*(1-EXP(-0.0175*A166))),70*'Scénario référence'!$B$16)+IF((32+38*(1-EXP(-0.0175*A166)))&lt;70,'Scénario référence'!$B$18*(32+38*(1-EXP(-0.0175*A166))),70*'Scénario référence'!$B$18)</f>
        <v>70</v>
      </c>
      <c r="DK166" s="151">
        <f>IF(A166&gt;30,10,('Scénario référence'!$B$16+'Scénario référence'!$B$17+'Scénario référence'!$B$18+'Scénario référence'!$B$9+'Scénario référence'!$B$10)*A166*10/30+('Scénario référence'!$F$8+'Scénario référence'!$F$9)*10)</f>
        <v>10</v>
      </c>
      <c r="DL166" s="151" t="str">
        <f>VLOOKUP(A166,'Données projet'!$A$165:$I$185,2,0)</f>
        <v>#N/A</v>
      </c>
      <c r="DM166" s="151" t="str">
        <f>VLOOKUP(A166,'Données projet'!$A$165:$I$185,9,0)</f>
        <v>#N/A</v>
      </c>
      <c r="DN166" s="151" t="str">
        <f t="array" ref="DN166">INDEX(DM:DM,MIN(IF(ISNUMBER(DM166:DM362),ROW(DM166:DM362),"")))</f>
        <v/>
      </c>
      <c r="DO166" s="151">
        <f>IF('Données projet'!$A$166&gt;35,DO165+DN166-DW165,IF(A166&lt;'Données projet'!$A$166,$DL$205^A166,IF(A166='Données projet'!$A$166,'Données projet'!$B$166,DO165+DN166-DW165)))</f>
        <v>0</v>
      </c>
      <c r="DP166" s="158" t="str">
        <f>DO166*VLOOKUP('Données projet'!$B$14,'Paramètres'!$A$1:$I$88,3,0)*VLOOKUP('Données projet'!$B$14,'Paramètres'!$A$1:$I$88,5,0)</f>
        <v>#N/A</v>
      </c>
      <c r="DQ166" s="150" t="str">
        <f t="shared" si="44"/>
        <v>#N/A</v>
      </c>
      <c r="DR166" s="161" t="str">
        <f t="shared" si="17"/>
        <v>#N/A</v>
      </c>
      <c r="DS166" s="153" t="str">
        <f t="shared" si="18"/>
        <v>#N/A</v>
      </c>
      <c r="DT166" s="153" t="str">
        <f>AVERAGE(OFFSET($DS$3,0,0,'Données projet'!$E$14+1,1))-AVERAGE(OFFSET($H$3,0,0,'Données projet'!$E$14+1,1))</f>
        <v>#N/A</v>
      </c>
      <c r="DU166" s="153" t="str">
        <f t="shared" si="45"/>
        <v>#N/A</v>
      </c>
      <c r="DV166" s="154">
        <f>IF(ISNA(VLOOKUP(A166,'Données projet'!$A$165:$I$185,3,0)),0,VLOOKUP(A166,'Données projet'!$A$165:$I$185,3,0))</f>
        <v>0</v>
      </c>
      <c r="DW166" s="154">
        <f>IF(ISNA(VLOOKUP(A166,'Données projet'!$A$165:$I$185,4,0)),0,VLOOKUP(A166,'Données projet'!$A$165:$I$185,4,0))</f>
        <v>0</v>
      </c>
      <c r="DX166" s="155">
        <f>IF(ISNA(VLOOKUP(A166,'Données projet'!$A$165:$I$185,5,0)),0%,VLOOKUP(A166,'Données projet'!$A$165:$I$185,5,0)*VLOOKUP('Données projet'!$B$14,'Paramètres'!$A$1:$I$88,7,0))</f>
        <v>0</v>
      </c>
      <c r="DY166" s="155">
        <f>IF(ISNA(VLOOKUP(A166,'Données projet'!$A$165:$I$185,6,0)),0%,VLOOKUP(A166,'Données projet'!$A$165:$I$185,6,0)*VLOOKUP('Données projet'!$B$14,'Paramètres'!$A$1:$I$88,7,0))</f>
        <v>0</v>
      </c>
      <c r="DZ166" s="155">
        <f>IF(ISNA(VLOOKUP(A166,'Données projet'!$A$165:$I$185,7,0)),0%,VLOOKUP(A166,'Données projet'!$A$165:$I$185,7,0))</f>
        <v>0</v>
      </c>
      <c r="EA166" s="162" t="str">
        <f>EXP(-LN(2)/35)*EA165+(1-EXP(-LN(2)/35))/(LN(2)/35)*DW166*DX166*VLOOKUP('Données projet'!$B$14,'Paramètres'!$A$1:$I$88,3,0)*0.475*44/12</f>
        <v>#N/A</v>
      </c>
      <c r="EB166" s="162" t="str">
        <f>EXP(-LN(2)/25)*EB165+(1-EXP(-LN(2)/25))/(LN(2)/25)*Calculateur!DW166*Calculateur!DY166*VLOOKUP('Données projet'!$B$14,'Paramètres'!$A$1:$I$88,3,0)*0.475*44/12</f>
        <v>#N/A</v>
      </c>
      <c r="EC166" s="162" t="str">
        <f>EXP(-LN(2)/2)*EC165+(1-EXP(-LN(2)/2))/(LN(2)/2)*DW166*DZ166*VLOOKUP('Données projet'!$B$14,'Paramètres'!$A$1:$I$88,3,0)*0.475*44/12</f>
        <v>#N/A</v>
      </c>
      <c r="ED166" s="163" t="str">
        <f t="shared" si="19"/>
        <v>#N/A</v>
      </c>
      <c r="EE166" s="159">
        <f>('Scénario référence'!$F$8+'Scénario référence'!$F$9+'Scénario référence'!$B$17+'Scénario référence'!$B$9+'Scénario référence'!$B$10)*70+IF((45+25*(1-EXP(-0.0175*A166)))&lt;70,'Scénario référence'!$B$16*(45+25*(1-EXP(-0.0175*A166))),70*'Scénario référence'!$B$16)+IF((32+38*(1-EXP(-0.0175*A166)))&lt;70,'Scénario référence'!$B$18*(32+38*(1-EXP(-0.0175*A166))),70*'Scénario référence'!$B$18)</f>
        <v>70</v>
      </c>
      <c r="EF166" s="151">
        <f>IF(A166&gt;30,10,('Scénario référence'!$B$16+'Scénario référence'!$B$17+'Scénario référence'!$B$18+'Scénario référence'!$B$9+'Scénario référence'!$B$10)*A166*10/30+('Scénario référence'!$F$8+'Scénario référence'!$F$9)*10)</f>
        <v>10</v>
      </c>
      <c r="EG166" s="151" t="str">
        <f>VLOOKUP(A166,'Données projet'!$A$191:$I$211,2,0)</f>
        <v>#N/A</v>
      </c>
      <c r="EH166" s="151" t="str">
        <f>VLOOKUP(A166,'Données projet'!$A$191:$I$211,9,0)</f>
        <v>#N/A</v>
      </c>
      <c r="EI166" s="151" t="str">
        <f t="array" ref="EI166">INDEX(EH:EH,MIN(IF(ISNUMBER(EH166:EH362),ROW(EH166:EH362),"")))</f>
        <v/>
      </c>
      <c r="EJ166" s="151">
        <f>IF('Données projet'!$A$192&gt;35,EJ165+EI166-ER165,IF(A166&lt;'Données projet'!$A$192,$EG$205^A166,IF(A166='Données projet'!$A$192,'Données projet'!$B$192,EJ165+EI166-ER165)))</f>
        <v>0</v>
      </c>
      <c r="EK166" s="158" t="str">
        <f>EJ166*VLOOKUP('Données projet'!$B$15,'Paramètres'!$A$1:$I$88,3,0)*VLOOKUP('Données projet'!$B$15,'Paramètres'!$A$1:$I$88,5,0)</f>
        <v>#N/A</v>
      </c>
      <c r="EL166" s="150" t="str">
        <f t="shared" si="46"/>
        <v>#N/A</v>
      </c>
      <c r="EM166" s="161" t="str">
        <f t="shared" si="20"/>
        <v>#N/A</v>
      </c>
      <c r="EN166" s="153" t="str">
        <f t="shared" si="21"/>
        <v>#N/A</v>
      </c>
      <c r="EO166" s="153" t="str">
        <f>AVERAGE(OFFSET($EN$3,0,0,'Données projet'!$E$15+1,1))-AVERAGE(OFFSET($H$3,0,0,'Données projet'!$E$15+1,1))</f>
        <v>#N/A</v>
      </c>
      <c r="EP166" s="153" t="str">
        <f t="shared" si="47"/>
        <v>#N/A</v>
      </c>
      <c r="EQ166" s="154">
        <f>IF(ISNA(VLOOKUP(A166,'Données projet'!$A$191:$I$211,3,0)),0,VLOOKUP(A166,'Données projet'!$A$191:$I$211,3,0))</f>
        <v>0</v>
      </c>
      <c r="ER166" s="154">
        <f>IF(ISNA(VLOOKUP(A166,'Données projet'!$A$191:$I$211,4,0)),0,VLOOKUP(A166,'Données projet'!$A$191:$I$211,4,0))</f>
        <v>0</v>
      </c>
      <c r="ES166" s="155">
        <f>IF(ISNA(VLOOKUP(A166,'Données projet'!$A$191:$I$211,5,0)),0%,VLOOKUP(A166,'Données projet'!$A$191:$I$211,5,0)*VLOOKUP('Données projet'!$B$15,'Paramètres'!$A$1:$I$88,7,0))</f>
        <v>0</v>
      </c>
      <c r="ET166" s="155">
        <f>IF(ISNA(VLOOKUP(A166,'Données projet'!$A$191:$I$211,6,0)),0%,VLOOKUP(A166,'Données projet'!$A$191:$I$211,6,0)*VLOOKUP('Données projet'!$B$15,'Paramètres'!$A$1:$I$88,7,0))</f>
        <v>0</v>
      </c>
      <c r="EU166" s="155">
        <f>IF(ISNA(VLOOKUP(A166,'Données projet'!$A$191:$I$211,7,0)),0%,VLOOKUP(A166,'Données projet'!$A$191:$I$211,7,0))</f>
        <v>0</v>
      </c>
      <c r="EV166" s="162" t="str">
        <f>EXP(-LN(2)/35)*EV165+(1-EXP(-LN(2)/35))/(LN(2)/35)*ER166*ES166*VLOOKUP('Données projet'!$B$15,'Paramètres'!$A$1:$I$88,3,0)*0.475*44/12</f>
        <v>#N/A</v>
      </c>
      <c r="EW166" s="162" t="str">
        <f>EXP(-LN(2)/25)*EW165+(1-EXP(-LN(2)/25))/(LN(2)/25)*Calculateur!ER166*Calculateur!ET166*VLOOKUP('Données projet'!$B$15,'Paramètres'!$A$1:$I$88,3,0)*0.475*44/12</f>
        <v>#N/A</v>
      </c>
      <c r="EX166" s="162" t="str">
        <f>EXP(-LN(2)/2)*EX165+(1-EXP(-LN(2)/2))/(LN(2)/2)*ER166*EU166*VLOOKUP('Données projet'!$B$15,'Paramètres'!$A$1:$I$88,3,0)*0.475*44/12</f>
        <v>#N/A</v>
      </c>
      <c r="EY166" s="163" t="str">
        <f t="shared" si="22"/>
        <v>#N/A</v>
      </c>
      <c r="EZ166" s="159">
        <f>('Scénario référence'!$F$8+'Scénario référence'!$F$9+'Scénario référence'!$B$17+'Scénario référence'!$B$9+'Scénario référence'!$B$10)*70+IF((45+25*(1-EXP(-0.0175*A166)))&lt;70,'Scénario référence'!$B$16*(45+25*(1-EXP(-0.0175*A166))),70*'Scénario référence'!$B$16)+IF((32+38*(1-EXP(-0.0175*A166)))&lt;70,'Scénario référence'!$B$18*(32+38*(1-EXP(-0.0175*A166))),70*'Scénario référence'!$B$18)</f>
        <v>70</v>
      </c>
      <c r="FA166" s="151">
        <f>IF(A166&gt;30,10,('Scénario référence'!$B$16+'Scénario référence'!$B$17+'Scénario référence'!$B$18+'Scénario référence'!$B$9+'Scénario référence'!$B$10)*A166*10/30+('Scénario référence'!$F$8+'Scénario référence'!$F$9)*10)</f>
        <v>10</v>
      </c>
      <c r="FB166" s="151" t="str">
        <f>VLOOKUP(A166,'Données projet'!$A$217:$I$237,2,0)</f>
        <v>#N/A</v>
      </c>
      <c r="FC166" s="151" t="str">
        <f>VLOOKUP(A166,'Données projet'!$A$217:$I$237,9,0)</f>
        <v>#N/A</v>
      </c>
      <c r="FD166" s="151" t="str">
        <f t="array" ref="FD166">INDEX(FC:FC,MIN(IF(ISNUMBER(FC166:FC362),ROW(FC166:FC362),"")))</f>
        <v/>
      </c>
      <c r="FE166" s="151">
        <f>IF('Données projet'!$A$218&gt;35,FE165+FD166-FM165,IF(A166&lt;'Données projet'!$A$218,$FB$205^A166,IF(A166='Données projet'!$A$218,'Données projet'!$B$218,FE165+FD166-FM165)))</f>
        <v>0</v>
      </c>
      <c r="FF166" s="158" t="str">
        <f>FE166*VLOOKUP('Données projet'!$B$16,'Paramètres'!$A$1:$I$88,3,0)*VLOOKUP('Données projet'!$B$16,'Paramètres'!$A$1:$I$88,5,0)</f>
        <v>#N/A</v>
      </c>
      <c r="FG166" s="150" t="str">
        <f t="shared" si="48"/>
        <v>#N/A</v>
      </c>
      <c r="FH166" s="161" t="str">
        <f t="shared" si="23"/>
        <v>#N/A</v>
      </c>
      <c r="FI166" s="153" t="str">
        <f t="shared" si="24"/>
        <v>#N/A</v>
      </c>
      <c r="FJ166" s="153" t="str">
        <f>AVERAGE(OFFSET($FI$3,0,0,'Données projet'!$E$16+1,1))-AVERAGE(OFFSET($H$3,0,0,'Données projet'!$E$16+1,1))</f>
        <v>#N/A</v>
      </c>
      <c r="FK166" s="153" t="str">
        <f t="shared" si="49"/>
        <v>#N/A</v>
      </c>
      <c r="FL166" s="154">
        <f>IF(ISNA(VLOOKUP(A166,'Données projet'!$A$217:$I$237,3,0)),0,VLOOKUP(A166,'Données projet'!$A$217:$I$237,3,0))</f>
        <v>0</v>
      </c>
      <c r="FM166" s="154">
        <f>IF(ISNA(VLOOKUP(A166,'Données projet'!$A$217:$I$237,4,0)),0,VLOOKUP(A166,'Données projet'!$A$217:$I$237,4,0))</f>
        <v>0</v>
      </c>
      <c r="FN166" s="155">
        <f>IF(ISNA(VLOOKUP(A166,'Données projet'!$A$217:$I$237,5,0)),0%,VLOOKUP(A166,'Données projet'!$A$217:$I$237,5,0)*VLOOKUP('Données projet'!$B$16,'Paramètres'!$A$1:$I$88,7,0))</f>
        <v>0</v>
      </c>
      <c r="FO166" s="155">
        <f>IF(ISNA(VLOOKUP(A166,'Données projet'!$A$217:$I$237,6,0)),0%,VLOOKUP(A166,'Données projet'!$A$217:$I$237,6,0)*VLOOKUP('Données projet'!$B$16,'Paramètres'!$A$1:$I$88,7,0))</f>
        <v>0</v>
      </c>
      <c r="FP166" s="155">
        <f>IF(ISNA(VLOOKUP(A166,'Données projet'!$A$217:$I$237,7,0)),0%,VLOOKUP(A166,'Données projet'!$A$217:$I$237,7,0))</f>
        <v>0</v>
      </c>
      <c r="FQ166" s="162" t="str">
        <f>EXP(-LN(2)/35)*FQ165+(1-EXP(-LN(2)/35))/(LN(2)/35)*FM166*FN166*VLOOKUP('Données projet'!$B$16,'Paramètres'!$A$1:$I$88,3,0)*0.475*44/12</f>
        <v>#N/A</v>
      </c>
      <c r="FR166" s="162" t="str">
        <f>EXP(-LN(2)/25)*FR165+(1-EXP(-LN(2)/25))/(LN(2)/25)*Calculateur!FM166*Calculateur!FO166*VLOOKUP('Données projet'!$B$16,'Paramètres'!$A$1:$I$88,3,0)*0.475*44/12</f>
        <v>#N/A</v>
      </c>
      <c r="FS166" s="162" t="str">
        <f>EXP(-LN(2)/2)*FS165+(1-EXP(-LN(2)/2))/(LN(2)/2)*FM166*FP166*VLOOKUP('Données projet'!$B$16,'Paramètres'!$A$1:$I$88,3,0)*0.475*44/12</f>
        <v>#N/A</v>
      </c>
      <c r="FT166" s="163" t="str">
        <f t="shared" si="25"/>
        <v>#N/A</v>
      </c>
      <c r="FU166" s="159">
        <f>('Scénario référence'!$F$8+'Scénario référence'!$F$9+'Scénario référence'!$B$17+'Scénario référence'!$B$9+'Scénario référence'!$B$10)*70+IF((45+25*(1-EXP(-0.0175*A166)))&lt;70,'Scénario référence'!$B$16*(45+25*(1-EXP(-0.0175*A166))),70*'Scénario référence'!$B$16)+IF((32+38*(1-EXP(-0.0175*A166)))&lt;70,'Scénario référence'!$B$18*(32+38*(1-EXP(-0.0175*A166))),70*'Scénario référence'!$B$18)</f>
        <v>70</v>
      </c>
      <c r="FV166" s="151">
        <f>IF(A166&gt;30,10,('Scénario référence'!$B$16+'Scénario référence'!$B$17+'Scénario référence'!$B$18+'Scénario référence'!$B$9+'Scénario référence'!$B$10)*A166*10/30+('Scénario référence'!$F$8+'Scénario référence'!$F$9)*10)</f>
        <v>10</v>
      </c>
      <c r="FW166" s="151" t="str">
        <f>VLOOKUP(A166,'Données projet'!$A$243:$I$263,2,0)</f>
        <v>#N/A</v>
      </c>
      <c r="FX166" s="151" t="str">
        <f>VLOOKUP(A166,'Données projet'!$A$243:$I$263,9,0)</f>
        <v>#N/A</v>
      </c>
      <c r="FY166" s="151" t="str">
        <f t="array" ref="FY166">INDEX(FX:FX,MIN(IF(ISNUMBER(FX166:FX362),ROW(FX166:FX362),"")))</f>
        <v/>
      </c>
      <c r="FZ166" s="151">
        <f>IF('Données projet'!$A$244&gt;35,FZ165+FY166-GH165,IF(A166&lt;'Données projet'!$A$244,$FW$205^A166,IF(A166='Données projet'!$A$244,'Données projet'!$B$244,FZ165+FY166-GH165)))</f>
        <v>0</v>
      </c>
      <c r="GA166" s="158" t="str">
        <f>FZ166*VLOOKUP('Données projet'!$B$17,'Paramètres'!$A$1:$I$88,3,0)*VLOOKUP('Données projet'!$B$17,'Paramètres'!$A$1:$I$88,5,0)</f>
        <v>#N/A</v>
      </c>
      <c r="GB166" s="150" t="str">
        <f t="shared" si="50"/>
        <v>#N/A</v>
      </c>
      <c r="GC166" s="161" t="str">
        <f t="shared" si="26"/>
        <v>#N/A</v>
      </c>
      <c r="GD166" s="153" t="str">
        <f t="shared" si="27"/>
        <v>#N/A</v>
      </c>
      <c r="GE166" s="153" t="str">
        <f>AVERAGE(OFFSET($GD$3,0,0,'Données projet'!$E$17+1,1))-AVERAGE(OFFSET($H$3,0,0,'Données projet'!$E$17+1,1))</f>
        <v>#N/A</v>
      </c>
      <c r="GF166" s="153" t="str">
        <f t="shared" si="51"/>
        <v>#N/A</v>
      </c>
      <c r="GG166" s="154">
        <f>IF(ISNA(VLOOKUP(A166,'Données projet'!$A$243:$I$263,3,0)),0,VLOOKUP(A166,'Données projet'!$A$243:$I$263,3,0))</f>
        <v>0</v>
      </c>
      <c r="GH166" s="154">
        <f>IF(ISNA(VLOOKUP(A166,'Données projet'!$A$243:$I$263,4,0)),0,VLOOKUP(A166,'Données projet'!$A$243:$I$263,4,0))</f>
        <v>0</v>
      </c>
      <c r="GI166" s="155">
        <f>IF(ISNA(VLOOKUP(A166,'Données projet'!$A$243:$I$263,5,0)),0%,VLOOKUP(A166,'Données projet'!$A$243:$I$263,5,0)*VLOOKUP('Données projet'!$B$17,'Paramètres'!$A$1:$I$88,7,0))</f>
        <v>0</v>
      </c>
      <c r="GJ166" s="155">
        <f>IF(ISNA(VLOOKUP(A166,'Données projet'!$A$243:$I$263,6,0)),0%,VLOOKUP(A166,'Données projet'!$A$243:$I$263,6,0)*VLOOKUP('Données projet'!$B$17,'Paramètres'!$A$1:$I$88,7,0))</f>
        <v>0</v>
      </c>
      <c r="GK166" s="155">
        <f>IF(ISNA(VLOOKUP(A166,'Données projet'!$A$243:$I$263,7,0)),0%,VLOOKUP(A166,'Données projet'!$A$243:$I$263,7,0))</f>
        <v>0</v>
      </c>
      <c r="GL166" s="162" t="str">
        <f>EXP(-LN(2)/35)*GL165+(1-EXP(-LN(2)/35))/(LN(2)/35)*GH166*GI166*VLOOKUP('Données projet'!$B$17,'Paramètres'!$A$1:$I$88,3,0)*0.475*44/12</f>
        <v>#N/A</v>
      </c>
      <c r="GM166" s="162" t="str">
        <f>EXP(-LN(2)/25)*GM165+(1-EXP(-LN(2)/25))/(LN(2)/25)*Calculateur!GH166*Calculateur!GJ166*VLOOKUP('Données projet'!$B$17,'Paramètres'!$A$1:$I$88,3,0)*0.475*44/12</f>
        <v>#N/A</v>
      </c>
      <c r="GN166" s="162" t="str">
        <f>EXP(-LN(2)/2)*GN165+(1-EXP(-LN(2)/2))/(LN(2)/2)*GH166*GK166*VLOOKUP('Données projet'!$B$17,'Paramètres'!$A$1:$I$88,3,0)*0.475*44/12</f>
        <v>#N/A</v>
      </c>
      <c r="GO166" s="162" t="str">
        <f t="shared" si="28"/>
        <v>#N/A</v>
      </c>
      <c r="GP166" s="159">
        <f>('Scénario référence'!$F$8+'Scénario référence'!$F$9+'Scénario référence'!$B$17+'Scénario référence'!$B$9+'Scénario référence'!$B$10)*70+IF((45+25*(1-EXP(-0.0175*A166)))&lt;70,'Scénario référence'!$B$16*(45+25*(1-EXP(-0.0175*A166))),70*'Scénario référence'!$B$16)+IF((32+38*(1-EXP(-0.0175*A166)))&lt;70,'Scénario référence'!$B$18*(32+38*(1-EXP(-0.0175*A166))),70*'Scénario référence'!$B$18)</f>
        <v>70</v>
      </c>
      <c r="GQ166" s="151">
        <f>IF(A166&gt;30,10,('Scénario référence'!$B$16+'Scénario référence'!$B$17+'Scénario référence'!$B$18+'Scénario référence'!$B$9+'Scénario référence'!$B$10)*A166*10/30+('Scénario référence'!$F$8+'Scénario référence'!$F$9)*10)</f>
        <v>10</v>
      </c>
      <c r="GR166" s="151" t="str">
        <f>VLOOKUP(A166,'Données projet'!$A$269:$I$289,2,0)</f>
        <v>#N/A</v>
      </c>
      <c r="GS166" s="151" t="str">
        <f>VLOOKUP(A166,'Données projet'!$A$269:$I$289,9,0)</f>
        <v>#N/A</v>
      </c>
      <c r="GT166" s="151" t="str">
        <f t="array" ref="GT166">INDEX(GS:GS,MIN(IF(ISNUMBER(GS166:GS362),ROW(GS166:GS362),"")))</f>
        <v/>
      </c>
      <c r="GU166" s="151">
        <f>IF('Données projet'!$A$270&gt;35,GU165+GT166-HC165,IF(A166&lt;'Données projet'!$A$270,$GR$205^A166,IF(A166='Données projet'!$A$270,'Données projet'!$B$270,GU165+GT166-HC165)))</f>
        <v>0</v>
      </c>
      <c r="GV166" s="158" t="str">
        <f>GU166*VLOOKUP('Données projet'!$B$18,'Paramètres'!$A$1:$I$88,3,0)*VLOOKUP('Données projet'!$B$18,'Paramètres'!$A$1:$I$88,5,0)</f>
        <v>#N/A</v>
      </c>
      <c r="GW166" s="150" t="str">
        <f t="shared" si="52"/>
        <v>#N/A</v>
      </c>
      <c r="GX166" s="161" t="str">
        <f t="shared" si="29"/>
        <v>#N/A</v>
      </c>
      <c r="GY166" s="153" t="str">
        <f t="shared" si="30"/>
        <v>#N/A</v>
      </c>
      <c r="GZ166" s="153" t="str">
        <f>AVERAGE(OFFSET($GY$3,0,0,'Données projet'!$E$18+1,1))-AVERAGE(OFFSET($H$3,0,0,'Données projet'!$E$18+1,1))</f>
        <v>#N/A</v>
      </c>
      <c r="HA166" s="153" t="str">
        <f t="shared" si="53"/>
        <v>#N/A</v>
      </c>
      <c r="HB166" s="154">
        <f>IF(ISNA(VLOOKUP(A166,'Données projet'!$A$269:$I$289,3,0)),0,VLOOKUP(A166,'Données projet'!$A$269:$I$289,3,0))</f>
        <v>0</v>
      </c>
      <c r="HC166" s="154">
        <f>IF(ISNA(VLOOKUP(A166,'Données projet'!$A$269:$I$289,4,0)),0,VLOOKUP(A166,'Données projet'!$A$269:$I$289,4,0))</f>
        <v>0</v>
      </c>
      <c r="HD166" s="155">
        <f>IF(ISNA(VLOOKUP(A166,'Données projet'!$A$269:$I$289,5,0)),0%,VLOOKUP(A166,'Données projet'!$A$269:$I$289,5,0)*VLOOKUP('Données projet'!$B$18,'Paramètres'!$A$1:$I$88,7,0))</f>
        <v>0</v>
      </c>
      <c r="HE166" s="155">
        <f>IF(ISNA(VLOOKUP(A166,'Données projet'!$A$269:$I$289,6,0)),0%,VLOOKUP(A166,'Données projet'!$A$269:$I$289,6,0)*VLOOKUP('Données projet'!$B$18,'Paramètres'!$A$1:$I$88,7,0))</f>
        <v>0</v>
      </c>
      <c r="HF166" s="155">
        <f>IF(ISNA(VLOOKUP(A166,'Données projet'!$A$269:$I$289,7,0)),0%,VLOOKUP(A166,'Données projet'!$A$269:$I$289,7,0))</f>
        <v>0</v>
      </c>
      <c r="HG166" s="162" t="str">
        <f>EXP(-LN(2)/35)*HG165+(1-EXP(-LN(2)/35))/(LN(2)/35)*HC166*HD166*VLOOKUP('Données projet'!$B$18,'Paramètres'!$A$1:$I$88,3,0)*0.475*44/12</f>
        <v>#N/A</v>
      </c>
      <c r="HH166" s="162" t="str">
        <f>EXP(-LN(2)/25)*HH165+(1-EXP(-LN(2)/25))/(LN(2)/25)*Calculateur!HC166*Calculateur!HE166*VLOOKUP('Données projet'!$B$18,'Paramètres'!$A$1:$I$88,3,0)*0.475*44/12</f>
        <v>#N/A</v>
      </c>
      <c r="HI166" s="162" t="str">
        <f>EXP(-LN(2)/2)*HI165+(1-EXP(-LN(2)/2))/(LN(2)/2)*HC166*HF166*VLOOKUP('Données projet'!$B$18,'Paramètres'!$A$1:$I$88,3,0)*0.475*44/12</f>
        <v>#N/A</v>
      </c>
      <c r="HJ166" s="163" t="str">
        <f t="shared" si="31"/>
        <v>#N/A</v>
      </c>
    </row>
    <row r="167" ht="15.75" customHeight="1">
      <c r="A167" s="145">
        <f t="shared" si="32"/>
        <v>164</v>
      </c>
      <c r="B167" s="146">
        <f>'Scénario référence'!$B$16*5+'Scénario référence'!$B$17*0+'Scénario référence'!$B$18*5</f>
        <v>0</v>
      </c>
      <c r="C167" s="160">
        <f>Calculateur!C166+'Scénario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67" s="147">
        <f t="shared" si="33"/>
        <v>0</v>
      </c>
      <c r="E167" s="147">
        <f>'Scénario référence'!$B$16*45+('Scénario référence'!$B$17+'Scénario référence'!$F$8+'Scénario référence'!$F$9+'Scénario référence'!$B$10+'Scénario référence'!$B$9)*70+'Scénario référence'!$B$18*32</f>
        <v>70</v>
      </c>
      <c r="F167" s="147">
        <f>IF(OR('Scénario référence'!$F$8&gt;0,'Scénario référence'!$F$9&gt;0),('Scénario référence'!$F$8+'Scénario référence'!$F$9)*10,0)</f>
        <v>0</v>
      </c>
      <c r="G167" s="147">
        <f>'Scénario référence'!$B$8*B167*44/12+'Scénario référence'!$B$9*(C167+D167)/0.475*44/12+'Scénario référence'!$B$10*(C167+D167)/0.475*44/12+'Scénario référence'!$F$8*(C167+D167)/0.475*44/12+'Scénario référence'!$F$9*(C167+D167)/0.475*44/12</f>
        <v>0</v>
      </c>
      <c r="H167" s="148">
        <f t="shared" si="1"/>
        <v>256.6666667</v>
      </c>
      <c r="I167" s="149">
        <f>('Scénario référence'!$F$8+'Scénario référence'!$F$9+'Scénario référence'!$B$17+'Scénario référence'!$B$9+'Scénario référence'!$B$10)*70+IF((45+25*(1-EXP(-0.0175*A167)))&lt;70,'Scénario référence'!$B$16*(45+25*(1-EXP(-0.0175*A167))),70*'Scénario référence'!$B$16)+IF((32+38*(1-EXP(-0.0175*A167)))&lt;70,'Scénario référence'!$B$18*(32+38*(1-EXP(-0.0175*A167))),70*'Scénario référence'!$B$18)</f>
        <v>70</v>
      </c>
      <c r="J167" s="150">
        <f>IF(A167&gt;30,10,('Scénario référence'!$B$16+'Scénario référence'!$B$17+'Scénario référence'!$B$18+'Scénario référence'!$B$9+'Scénario référence'!$B$10)*A167*10/30+('Scénario référence'!$F$8+'Scénario référence'!$F$9)*10)</f>
        <v>10</v>
      </c>
      <c r="K167" s="151" t="str">
        <f>VLOOKUP(A167,'Données projet'!$A$35:$I$55,2,0)</f>
        <v>#N/A</v>
      </c>
      <c r="L167" s="151" t="str">
        <f>VLOOKUP(A167,'Données projet'!$A$35:$I$55,9,0)</f>
        <v>#N/A</v>
      </c>
      <c r="M167" s="151" t="str">
        <f t="array" ref="M167">INDEX(L:L,MIN(IF(ISNUMBER(L167:L363),ROW(L167:L363),"")))</f>
        <v/>
      </c>
      <c r="N167" s="150">
        <f>IF('Données projet'!$A$36&gt;35,N166+M167-V166,IF(A167&lt;'Données projet'!$A$36,$K$205^A167,IF(A167='Données projet'!$A$36,'Données projet'!$B$36,N166+M167-V166)))</f>
        <v>307</v>
      </c>
      <c r="O167" s="150">
        <f>N167*VLOOKUP('Données projet'!$B$9,'Paramètres'!$A$1:$I$88,3,0)*VLOOKUP('Données projet'!$B$9,'Paramètres'!$A$1:$I$88,5,0)</f>
        <v>277.7736</v>
      </c>
      <c r="P167" s="150">
        <f t="shared" si="34"/>
        <v>66.49628818</v>
      </c>
      <c r="Q167" s="161">
        <f t="shared" si="2"/>
        <v>599.6033886</v>
      </c>
      <c r="R167" s="153">
        <f t="shared" si="3"/>
        <v>892.9367219</v>
      </c>
      <c r="S167" s="153">
        <f>AVERAGE(OFFSET($R$3,0,0,'Données projet'!$E$9+1,1))-AVERAGE(OFFSET($H$3,0,0,'Données projet'!$E$9+1,1))</f>
        <v>439.1985427</v>
      </c>
      <c r="T167" s="153">
        <f t="shared" si="35"/>
        <v>278.2174123</v>
      </c>
      <c r="U167" s="154">
        <f>IF(ISNA(VLOOKUP(A167,'Données projet'!$A$35:$I$55,3,0)),0,VLOOKUP(A167,'Données projet'!$A$35:$I$55,3,0))</f>
        <v>0</v>
      </c>
      <c r="V167" s="154">
        <f>IF(ISNA(VLOOKUP(A167,'Données projet'!$A$35:$I$55,4,0)),0,VLOOKUP(A167,'Données projet'!$A$35:$I$55,4,0))</f>
        <v>0</v>
      </c>
      <c r="W167" s="155">
        <f>IF(ISNA(VLOOKUP(A167,'Données projet'!$A$35:$I$55,5,0)),0%,VLOOKUP(A167,'Données projet'!$A$35:$I$55,5,0)*VLOOKUP('Données projet'!$B$9,'Paramètres'!$A$1:$I$88,7,0))</f>
        <v>0</v>
      </c>
      <c r="X167" s="155">
        <f>IF(ISNA(VLOOKUP(A167,'Données projet'!$A$35:$I$55,6,0)),0%,VLOOKUP(A167,'Données projet'!$A$35:$I$55,6,0)*VLOOKUP('Données projet'!$B$9,'Paramètres'!$A$1:$I$88,7,0))</f>
        <v>0</v>
      </c>
      <c r="Y167" s="155">
        <f>IF(ISNA(VLOOKUP(A167,'Données projet'!$A$35:$I$55,7,0)),0%,VLOOKUP(A167,'Données projet'!$A$35:$I$55,7,0))</f>
        <v>0</v>
      </c>
      <c r="Z167" s="162">
        <f>EXP(-LN(2)/35)*Z166+(1-EXP(-LN(2)/35))/(LN(2)/35)*V167*W167*VLOOKUP('Données projet'!$B$9,'Paramètres'!$A$1:$I$88,3,0)*0.475*44/12</f>
        <v>0</v>
      </c>
      <c r="AA167" s="162">
        <f>EXP(-LN(2)/25)*AA166+(1-EXP(-LN(2)/25))/(LN(2)/25)*Calculateur!V167*Calculateur!X167*VLOOKUP('Données projet'!$B$9,'Paramètres'!$A$1:$I$88,3,0)*0.475*44/12</f>
        <v>0.1092676247</v>
      </c>
      <c r="AB167" s="162">
        <f>EXP(-LN(2)/2)*AB166+(1-EXP(-LN(2)/2))/(LN(2)/2)*V167*Y167*VLOOKUP('Données projet'!$B$9,'Paramètres'!$A$1:$I$88,3,0)*0.475*44/12</f>
        <v>0</v>
      </c>
      <c r="AC167" s="163">
        <f t="shared" si="4"/>
        <v>0.1092676247</v>
      </c>
      <c r="AD167" s="150">
        <f>('Scénario référence'!$F$8+'Scénario référence'!$F$9+'Scénario référence'!$B$17+'Scénario référence'!$B$9+'Scénario référence'!$B$10)*70+IF((45+25*(1-EXP(-0.0175*A167)))&lt;70,'Scénario référence'!$B$16*(45+25*(1-EXP(-0.0175*A167))),70*'Scénario référence'!$B$16)+IF((32+38*(1-EXP(-0.0175*A167)))&lt;70,'Scénario référence'!$B$18*(32+38*(1-EXP(-0.0175*A167))),70*'Scénario référence'!$B$18)</f>
        <v>70</v>
      </c>
      <c r="AE167" s="150">
        <f>IF(A167&gt;30,10,('Scénario référence'!$B$16+'Scénario référence'!$B$17+'Scénario référence'!$B$18+'Scénario référence'!$B$9+'Scénario référence'!$B$10)*A167*10/30+('Scénario référence'!$F$8+'Scénario référence'!$F$9)*10)</f>
        <v>10</v>
      </c>
      <c r="AF167" s="151" t="str">
        <f>VLOOKUP(A167,'Données projet'!$A$61:$I$81,2,0)</f>
        <v>#N/A</v>
      </c>
      <c r="AG167" s="151" t="str">
        <f>VLOOKUP(A167,'Données projet'!$A$61:$I$81,9,0)</f>
        <v>#N/A</v>
      </c>
      <c r="AH167" s="151" t="str">
        <f t="array" ref="AH167">INDEX(AG:AG,MIN(IF(ISNUMBER(AG167:AG363),ROW(AG167:AG363),"")))</f>
        <v/>
      </c>
      <c r="AI167" s="150">
        <f>IF('Données projet'!$A$62&gt;35,AI166+AH167-AQ166,IF(A167&lt;'Données projet'!$A$62,$AF$205^A167,IF(A167='Données projet'!$A$62,'Données projet'!$B$62,AI166+AH167-AQ166)))</f>
        <v>369</v>
      </c>
      <c r="AJ167" s="150">
        <f>AI167*VLOOKUP('Données projet'!$B$10,'Paramètres'!$A$1:$I$88,3,0)*VLOOKUP('Données projet'!$B$10,'Paramètres'!$A$1:$I$88,5,0)</f>
        <v>293.5764</v>
      </c>
      <c r="AK167" s="150">
        <f t="shared" si="36"/>
        <v>69.82813851</v>
      </c>
      <c r="AL167" s="161">
        <f t="shared" si="5"/>
        <v>632.9295712</v>
      </c>
      <c r="AM167" s="153">
        <f t="shared" si="6"/>
        <v>926.2629046</v>
      </c>
      <c r="AN167" s="153">
        <f>AVERAGE(OFFSET($AM$3,0,0,'Données projet'!$E$10+1,1))-AVERAGE(OFFSET($H$3,0,0,'Données projet'!$E$10+1,1))</f>
        <v>405.6113614</v>
      </c>
      <c r="AO167" s="153">
        <f t="shared" si="37"/>
        <v>393.0787141</v>
      </c>
      <c r="AP167" s="154">
        <f>IF(ISNA(VLOOKUP(A167,'Données projet'!$A$61:$I$81,3,0)),0,VLOOKUP(A167,'Données projet'!$A$61:$I$81,3,0))</f>
        <v>0</v>
      </c>
      <c r="AQ167" s="154">
        <f>IF(ISNA(VLOOKUP(A167,'Données projet'!$A$61:$I$81,4,0)),0,VLOOKUP(A167,'Données projet'!$A$61:$I$81,4,0))</f>
        <v>0</v>
      </c>
      <c r="AR167" s="155">
        <f>IF(ISNA(VLOOKUP(A167,'Données projet'!$A$61:$I$81,5,0)),0%,VLOOKUP(A167,'Données projet'!$A$61:$I$81,5,0)*VLOOKUP('Données projet'!$B$10,'Paramètres'!$A$1:$I$88,7,0))</f>
        <v>0</v>
      </c>
      <c r="AS167" s="155">
        <f>IF(ISNA(VLOOKUP(A167,'Données projet'!$A$61:$I$81,6,0)),0%,VLOOKUP(A167,'Données projet'!$A$61:$I$81,6,0)*VLOOKUP('Données projet'!$B$10,'Paramètres'!$A$1:$I$88,7,0))</f>
        <v>0</v>
      </c>
      <c r="AT167" s="155">
        <f>IF(ISNA(VLOOKUP(A167,'Données projet'!$A$61:$I$81,7,0)),0%,VLOOKUP(A167,'Données projet'!$A$61:$I$81,7,0))</f>
        <v>0</v>
      </c>
      <c r="AU167" s="162">
        <f>EXP(-LN(2)/35)*AU166+(1-EXP(-LN(2)/35))/(LN(2)/35)*AQ167*AR167*VLOOKUP('Données projet'!$B$10,'Paramètres'!$A$1:$I$88,3,0)*0.475*44/12</f>
        <v>0</v>
      </c>
      <c r="AV167" s="162">
        <f>EXP(-LN(2)/25)*AV166+(1-EXP(-LN(2)/25))/(LN(2)/25)*Calculateur!AQ167*Calculateur!AS167*VLOOKUP('Données projet'!$B$10,'Paramètres'!$A$1:$I$88,3,0)*0.475*44/12</f>
        <v>0.4440914036</v>
      </c>
      <c r="AW167" s="162">
        <f>EXP(-LN(2)/2)*AW166+(1-EXP(-LN(2)/2))/(LN(2)/2)*AQ167*AT167*VLOOKUP('Données projet'!$B$10,'Paramètres'!$A$1:$I$88,3,0)*0.475*44/12</f>
        <v>0</v>
      </c>
      <c r="AX167" s="162">
        <f t="shared" si="7"/>
        <v>0.4440914036</v>
      </c>
      <c r="AY167" s="157">
        <f>('Scénario référence'!$F$8+'Scénario référence'!$F$9+'Scénario référence'!$B$17+'Scénario référence'!$B$9+'Scénario référence'!$B$10)*70+IF((45+25*(1-EXP(-0.0175*A167)))&lt;70,'Scénario référence'!$B$16*(45+25*(1-EXP(-0.0175*A167))),70*'Scénario référence'!$B$16)+IF((32+38*(1-EXP(-0.0175*A167)))&lt;70,'Scénario référence'!$B$18*(32+38*(1-EXP(-0.0175*A167))),70*'Scénario référence'!$B$18)</f>
        <v>70</v>
      </c>
      <c r="AZ167" s="151">
        <f>IF(A167&gt;30,10,('Scénario référence'!$B$16+'Scénario référence'!$B$17+'Scénario référence'!$B$18+'Scénario référence'!$B$9+'Scénario référence'!$B$10)*A167*10/30+('Scénario référence'!$F$8+'Scénario référence'!$F$9)*10)</f>
        <v>10</v>
      </c>
      <c r="BA167" s="151" t="str">
        <f>VLOOKUP(A167,'Données projet'!$A$87:$I$107,2,0)</f>
        <v>#N/A</v>
      </c>
      <c r="BB167" s="151" t="str">
        <f>VLOOKUP(A167,'Données projet'!$A$87:$I$107,9,0)</f>
        <v>#N/A</v>
      </c>
      <c r="BC167" s="151" t="str">
        <f t="array" ref="BC167">INDEX(BB:BB,MIN(IF(ISNUMBER(BB167:BB363),ROW(BB167:BB363),"")))</f>
        <v/>
      </c>
      <c r="BD167" s="150">
        <f>IF('Données projet'!$A$88&gt;35,BD166+BC167-BL166,IF(A167&lt;'Données projet'!$A$88,$BA$205^A167,IF(A167='Données projet'!$A$88,'Données projet'!$B$88,BD166+BC167-BL166)))</f>
        <v>0</v>
      </c>
      <c r="BE167" s="150">
        <f>BD167*VLOOKUP('Données projet'!$B$11,'Paramètres'!$A$1:$I$88,3,0)*VLOOKUP('Données projet'!$B$11,'Paramètres'!$A$1:$I$88,5,0)</f>
        <v>0</v>
      </c>
      <c r="BF167" s="150" t="str">
        <f t="shared" si="38"/>
        <v>#NUM!</v>
      </c>
      <c r="BG167" s="161" t="str">
        <f t="shared" si="8"/>
        <v>#NUM!</v>
      </c>
      <c r="BH167" s="153" t="str">
        <f t="shared" si="9"/>
        <v>#NUM!</v>
      </c>
      <c r="BI167" s="153">
        <f>AVERAGE(OFFSET($BH$3,0,0,'Données projet'!$E$11+1,1))-AVERAGE(OFFSET($H$3,0,0,'Données projet'!$E$11+1,1))</f>
        <v>0</v>
      </c>
      <c r="BJ167" s="153">
        <f t="shared" si="39"/>
        <v>0</v>
      </c>
      <c r="BK167" s="154">
        <f>IF(ISNA(VLOOKUP(A167,'Données projet'!$A$87:$I$107,3,0)),0,VLOOKUP(A167,'Données projet'!$A$87:$I$107,3,0))</f>
        <v>0</v>
      </c>
      <c r="BL167" s="154">
        <f>IF(ISNA(VLOOKUP(A167,'Données projet'!$A$87:$I$107,4,0)),0,VLOOKUP(A167,'Données projet'!$A$87:$I$107,4,0))</f>
        <v>0</v>
      </c>
      <c r="BM167" s="155">
        <f>IF(ISNA(VLOOKUP(A167,'Données projet'!$A$87:$I$107,5,0)),0%,VLOOKUP(A167,'Données projet'!$A$87:$I$107,5,0)*VLOOKUP('Données projet'!$B$11,'Paramètres'!$A$1:$I$88,7,0))</f>
        <v>0</v>
      </c>
      <c r="BN167" s="155">
        <f>IF(ISNA(VLOOKUP(A167,'Données projet'!$A$87:$I$107,6,0)),0%,VLOOKUP(A167,'Données projet'!$A$87:$I$107,6,0)*VLOOKUP('Données projet'!$B$11,'Paramètres'!$A$1:$I$88,7,0))</f>
        <v>0</v>
      </c>
      <c r="BO167" s="155">
        <f>IF(ISNA(VLOOKUP(A167,'Données projet'!$A$87:$I$107,7,0)),0%,VLOOKUP(A167,'Données projet'!$A$87:$I$107,7,0))</f>
        <v>0</v>
      </c>
      <c r="BP167" s="162">
        <f>EXP(-LN(2)/35)*BP166+(1-EXP(-LN(2)/35))/(LN(2)/35)*BL167*BM167*VLOOKUP('Données projet'!$B$11,'Paramètres'!$A$1:$I$88,3,0)*0.475*44/12</f>
        <v>0</v>
      </c>
      <c r="BQ167" s="162">
        <f>EXP(-LN(2)/25)*BQ166+(1-EXP(-LN(2)/25))/(LN(2)/25)*Calculateur!BL167*Calculateur!BN167*VLOOKUP('Données projet'!$B$11,'Paramètres'!$A$1:$I$88,3,0)*0.475*44/12</f>
        <v>0</v>
      </c>
      <c r="BR167" s="162">
        <f>EXP(-LN(2)/2)*BR166+(1-EXP(-LN(2)/2))/(LN(2)/2)*BL167*BO167*VLOOKUP('Données projet'!$B$11,'Paramètres'!$A$1:$I$88,3,0)*0.475*44/12</f>
        <v>0</v>
      </c>
      <c r="BS167" s="163">
        <f t="shared" si="10"/>
        <v>0</v>
      </c>
      <c r="BT167" s="159">
        <f>('Scénario référence'!$F$8+'Scénario référence'!$F$9+'Scénario référence'!$B$17+'Scénario référence'!$B$9+'Scénario référence'!$B$10)*70+IF((45+25*(1-EXP(-0.0175*A167)))&lt;70,'Scénario référence'!$B$16*(45+25*(1-EXP(-0.0175*A167))),70*'Scénario référence'!$B$16)+IF((32+38*(1-EXP(-0.0175*A167)))&lt;70,'Scénario référence'!$B$18*(32+38*(1-EXP(-0.0175*A167))),70*'Scénario référence'!$B$18)</f>
        <v>70</v>
      </c>
      <c r="BU167" s="151">
        <f>IF(A167&gt;30,10,('Scénario référence'!$B$16+'Scénario référence'!$B$17+'Scénario référence'!$B$18+'Scénario référence'!$B$9+'Scénario référence'!$B$10)*A167*10/30+('Scénario référence'!$F$8+'Scénario référence'!$F$9)*10)</f>
        <v>10</v>
      </c>
      <c r="BV167" s="151" t="str">
        <f>VLOOKUP(A167,'Données projet'!$A$113:$I$133,2,0)</f>
        <v>#N/A</v>
      </c>
      <c r="BW167" s="151" t="str">
        <f>VLOOKUP(A167,'Données projet'!$A$113:$I$133,9,0)</f>
        <v>#N/A</v>
      </c>
      <c r="BX167" s="151" t="str">
        <f t="array" ref="BX167">INDEX(BW:BW,MIN(IF(ISNUMBER(BW167:BW363),ROW(BW167:BW363),"")))</f>
        <v/>
      </c>
      <c r="BY167" s="150">
        <f>IF('Données projet'!$A$114&gt;35,BY166+BX167-CG166,IF(A167&lt;'Données projet'!$A$114,$BV$205^A167,IF(A167='Données projet'!$A$114,'Données projet'!$B$114,BY166+BX167-CG166)))</f>
        <v>0</v>
      </c>
      <c r="BZ167" s="150" t="str">
        <f>BY167*VLOOKUP('Données projet'!$B$12,'Paramètres'!$A$1:$I$88,3,0)*VLOOKUP('Données projet'!$B$12,'Paramètres'!$A$1:$I$88,5,0)</f>
        <v>#N/A</v>
      </c>
      <c r="CA167" s="150" t="str">
        <f t="shared" si="40"/>
        <v>#N/A</v>
      </c>
      <c r="CB167" s="161" t="str">
        <f t="shared" si="11"/>
        <v>#N/A</v>
      </c>
      <c r="CC167" s="153" t="str">
        <f t="shared" si="12"/>
        <v>#N/A</v>
      </c>
      <c r="CD167" s="153" t="str">
        <f>AVERAGE(OFFSET($CC$3,0,0,'Données projet'!$E$12+1,1))-AVERAGE(OFFSET($H$3,0,0,'Données projet'!$E$12+1,1))</f>
        <v>#N/A</v>
      </c>
      <c r="CE167" s="153" t="str">
        <f t="shared" si="41"/>
        <v>#N/A</v>
      </c>
      <c r="CF167" s="154">
        <f>IF(ISNA(VLOOKUP(A167,'Données projet'!$A$113:$I$133,3,0)),0,VLOOKUP(A167,'Données projet'!$A$113:$I$133,3,0))</f>
        <v>0</v>
      </c>
      <c r="CG167" s="154">
        <f>IF(ISNA(VLOOKUP(A167,'Données projet'!$A$113:$I$133,4,0)),0,VLOOKUP(A167,'Données projet'!$A$113:$I$133,4,0))</f>
        <v>0</v>
      </c>
      <c r="CH167" s="155">
        <f>IF(ISNA(VLOOKUP(A167,'Données projet'!$A$113:$I$133,5,0)),0%,VLOOKUP(A167,'Données projet'!$A$113:$I$133,5,0)*VLOOKUP('Données projet'!$B$12,'Paramètres'!$A$1:$I$88,7,0))</f>
        <v>0</v>
      </c>
      <c r="CI167" s="155">
        <f>IF(ISNA(VLOOKUP(A167,'Données projet'!$A$113:$I$133,6,0)),0%,VLOOKUP(A167,'Données projet'!$A$113:$I$133,6,0)*VLOOKUP('Données projet'!$B$12,'Paramètres'!$A$1:$I$88,7,0))</f>
        <v>0</v>
      </c>
      <c r="CJ167" s="155">
        <f>IF(ISNA(VLOOKUP(A167,'Données projet'!$A$113:$I$133,7,0)),0%,VLOOKUP(A167,'Données projet'!$A$113:$I$133,7,0))</f>
        <v>0</v>
      </c>
      <c r="CK167" s="162" t="str">
        <f>EXP(-LN(2)/35)*CK166+(1-EXP(-LN(2)/35))/(LN(2)/35)*CG167*CH167*VLOOKUP('Données projet'!$B$12,'Paramètres'!$A$1:$I$88,3,0)*0.475*44/12</f>
        <v>#N/A</v>
      </c>
      <c r="CL167" s="162" t="str">
        <f>EXP(-LN(2)/25)*CL166+(1-EXP(-LN(2)/25))/(LN(2)/25)*Calculateur!CG167*Calculateur!CI167*VLOOKUP('Données projet'!$B$12,'Paramètres'!$A$1:$I$88,3,0)*0.475*44/12</f>
        <v>#N/A</v>
      </c>
      <c r="CM167" s="162" t="str">
        <f>EXP(-LN(2)/2)*CM166+(1-EXP(-LN(2)/2))/(LN(2)/2)*CG167*CJ167*VLOOKUP('Données projet'!$B$12,'Paramètres'!$A$1:$I$88,3,0)*0.475*44/12</f>
        <v>#N/A</v>
      </c>
      <c r="CN167" s="163" t="str">
        <f t="shared" si="13"/>
        <v>#N/A</v>
      </c>
      <c r="CO167" s="159">
        <f>('Scénario référence'!$F$8+'Scénario référence'!$F$9+'Scénario référence'!$B$17+'Scénario référence'!$B$9+'Scénario référence'!$B$10)*70+IF((45+25*(1-EXP(-0.0175*A167)))&lt;70,'Scénario référence'!$B$16*(45+25*(1-EXP(-0.0175*A167))),70*'Scénario référence'!$B$16)+IF((32+38*(1-EXP(-0.0175*A167)))&lt;70,'Scénario référence'!$B$18*(32+38*(1-EXP(-0.0175*A167))),70*'Scénario référence'!$B$18)</f>
        <v>70</v>
      </c>
      <c r="CP167" s="151">
        <f>IF(A167&gt;30,10,('Scénario référence'!$B$16+'Scénario référence'!$B$17+'Scénario référence'!$B$18+'Scénario référence'!$B$9+'Scénario référence'!$B$10)*A167*10/30+('Scénario référence'!$F$8+'Scénario référence'!$F$9)*10)</f>
        <v>10</v>
      </c>
      <c r="CQ167" s="151" t="str">
        <f>VLOOKUP(A167,'Données projet'!$A$139:$I$159,2,0)</f>
        <v>#N/A</v>
      </c>
      <c r="CR167" s="151" t="str">
        <f>VLOOKUP(A167,'Données projet'!$A$139:$I$159,9,0)</f>
        <v>#N/A</v>
      </c>
      <c r="CS167" s="151" t="str">
        <f t="array" ref="CS167">INDEX(CR:CR,MIN(IF(ISNUMBER(CR167:CR363),ROW(CR167:CR363),"")))</f>
        <v/>
      </c>
      <c r="CT167" s="151">
        <f>IF('Données projet'!$A$140&gt;35,CT166+CS167-DB166,IF(A167&lt;'Données projet'!$A$140,$CQ$205^A167,IF(A167='Données projet'!$A$140,'Données projet'!$B$140,CT166+CS167-DB166)))</f>
        <v>0</v>
      </c>
      <c r="CU167" s="158" t="str">
        <f>CT167*VLOOKUP('Données projet'!$B$13,'Paramètres'!$A$1:$I$88,3,0)*VLOOKUP('Données projet'!$B$13,'Paramètres'!$A$1:$I$88,5,0)</f>
        <v>#N/A</v>
      </c>
      <c r="CV167" s="150" t="str">
        <f t="shared" si="42"/>
        <v>#N/A</v>
      </c>
      <c r="CW167" s="161" t="str">
        <f t="shared" si="14"/>
        <v>#N/A</v>
      </c>
      <c r="CX167" s="153" t="str">
        <f t="shared" si="15"/>
        <v>#N/A</v>
      </c>
      <c r="CY167" s="153" t="str">
        <f>AVERAGE(OFFSET($CX$3,0,0,'Données projet'!$E$13+1,1))-AVERAGE(OFFSET($H$3,0,0,'Données projet'!$E$13+1,1))</f>
        <v>#N/A</v>
      </c>
      <c r="CZ167" s="153" t="str">
        <f t="shared" si="43"/>
        <v>#N/A</v>
      </c>
      <c r="DA167" s="154">
        <f>IF(ISNA(VLOOKUP(A167,'Données projet'!$A$139:$I$159,3,0)),0,VLOOKUP(A167,'Données projet'!$A$139:$I$159,3,0))</f>
        <v>0</v>
      </c>
      <c r="DB167" s="154">
        <f>IF(ISNA(VLOOKUP(A167,'Données projet'!$A$139:$I$159,4,0)),0,VLOOKUP(A167,'Données projet'!$A$139:$I$159,4,0))</f>
        <v>0</v>
      </c>
      <c r="DC167" s="155">
        <f>IF(ISNA(VLOOKUP(A167,'Données projet'!$A$139:$I$159,5,0)),0%,VLOOKUP(A167,'Données projet'!$A$139:$I$159,5,0)*VLOOKUP('Données projet'!$B$13,'Paramètres'!$A$1:$I$88,7,0))</f>
        <v>0</v>
      </c>
      <c r="DD167" s="155">
        <f>IF(ISNA(VLOOKUP(A167,'Données projet'!$A$139:$I$159,6,0)),0%,VLOOKUP(A167,'Données projet'!$A$139:$I$159,6,0)*VLOOKUP('Données projet'!$B$13,'Paramètres'!$A$1:$I$88,7,0))</f>
        <v>0</v>
      </c>
      <c r="DE167" s="155">
        <f>IF(ISNA(VLOOKUP(A167,'Données projet'!$A$139:$I$159,7,0)),0%,VLOOKUP(A167,'Données projet'!$A$139:$I$159,7,0))</f>
        <v>0</v>
      </c>
      <c r="DF167" s="162" t="str">
        <f>EXP(-LN(2)/35)*DF166+(1-EXP(-LN(2)/35))/(LN(2)/35)*DB167*DC167*VLOOKUP('Données projet'!$B$13,'Paramètres'!$A$1:$I$88,3,0)*0.475*44/12</f>
        <v>#N/A</v>
      </c>
      <c r="DG167" s="162" t="str">
        <f>EXP(-LN(2)/25)*DG166+(1-EXP(-LN(2)/25))/(LN(2)/25)*Calculateur!DB167*Calculateur!DD167*VLOOKUP('Données projet'!$B$13,'Paramètres'!$A$1:$I$88,3,0)*0.475*44/12</f>
        <v>#N/A</v>
      </c>
      <c r="DH167" s="162" t="str">
        <f>EXP(-LN(2)/2)*DH166+(1-EXP(-LN(2)/2))/(LN(2)/2)*DB167*DE167*VLOOKUP('Données projet'!$B$13,'Paramètres'!$A$1:$I$88,3,0)*0.475*44/12</f>
        <v>#N/A</v>
      </c>
      <c r="DI167" s="163" t="str">
        <f t="shared" si="16"/>
        <v>#N/A</v>
      </c>
      <c r="DJ167" s="159">
        <f>('Scénario référence'!$F$8+'Scénario référence'!$F$9+'Scénario référence'!$B$17+'Scénario référence'!$B$9+'Scénario référence'!$B$10)*70+IF((45+25*(1-EXP(-0.0175*A167)))&lt;70,'Scénario référence'!$B$16*(45+25*(1-EXP(-0.0175*A167))),70*'Scénario référence'!$B$16)+IF((32+38*(1-EXP(-0.0175*A167)))&lt;70,'Scénario référence'!$B$18*(32+38*(1-EXP(-0.0175*A167))),70*'Scénario référence'!$B$18)</f>
        <v>70</v>
      </c>
      <c r="DK167" s="151">
        <f>IF(A167&gt;30,10,('Scénario référence'!$B$16+'Scénario référence'!$B$17+'Scénario référence'!$B$18+'Scénario référence'!$B$9+'Scénario référence'!$B$10)*A167*10/30+('Scénario référence'!$F$8+'Scénario référence'!$F$9)*10)</f>
        <v>10</v>
      </c>
      <c r="DL167" s="151" t="str">
        <f>VLOOKUP(A167,'Données projet'!$A$165:$I$185,2,0)</f>
        <v>#N/A</v>
      </c>
      <c r="DM167" s="151" t="str">
        <f>VLOOKUP(A167,'Données projet'!$A$165:$I$185,9,0)</f>
        <v>#N/A</v>
      </c>
      <c r="DN167" s="151" t="str">
        <f t="array" ref="DN167">INDEX(DM:DM,MIN(IF(ISNUMBER(DM167:DM363),ROW(DM167:DM363),"")))</f>
        <v/>
      </c>
      <c r="DO167" s="151">
        <f>IF('Données projet'!$A$166&gt;35,DO166+DN167-DW166,IF(A167&lt;'Données projet'!$A$166,$DL$205^A167,IF(A167='Données projet'!$A$166,'Données projet'!$B$166,DO166+DN167-DW166)))</f>
        <v>0</v>
      </c>
      <c r="DP167" s="158" t="str">
        <f>DO167*VLOOKUP('Données projet'!$B$14,'Paramètres'!$A$1:$I$88,3,0)*VLOOKUP('Données projet'!$B$14,'Paramètres'!$A$1:$I$88,5,0)</f>
        <v>#N/A</v>
      </c>
      <c r="DQ167" s="150" t="str">
        <f t="shared" si="44"/>
        <v>#N/A</v>
      </c>
      <c r="DR167" s="161" t="str">
        <f t="shared" si="17"/>
        <v>#N/A</v>
      </c>
      <c r="DS167" s="153" t="str">
        <f t="shared" si="18"/>
        <v>#N/A</v>
      </c>
      <c r="DT167" s="153" t="str">
        <f>AVERAGE(OFFSET($DS$3,0,0,'Données projet'!$E$14+1,1))-AVERAGE(OFFSET($H$3,0,0,'Données projet'!$E$14+1,1))</f>
        <v>#N/A</v>
      </c>
      <c r="DU167" s="153" t="str">
        <f t="shared" si="45"/>
        <v>#N/A</v>
      </c>
      <c r="DV167" s="154">
        <f>IF(ISNA(VLOOKUP(A167,'Données projet'!$A$165:$I$185,3,0)),0,VLOOKUP(A167,'Données projet'!$A$165:$I$185,3,0))</f>
        <v>0</v>
      </c>
      <c r="DW167" s="154">
        <f>IF(ISNA(VLOOKUP(A167,'Données projet'!$A$165:$I$185,4,0)),0,VLOOKUP(A167,'Données projet'!$A$165:$I$185,4,0))</f>
        <v>0</v>
      </c>
      <c r="DX167" s="155">
        <f>IF(ISNA(VLOOKUP(A167,'Données projet'!$A$165:$I$185,5,0)),0%,VLOOKUP(A167,'Données projet'!$A$165:$I$185,5,0)*VLOOKUP('Données projet'!$B$14,'Paramètres'!$A$1:$I$88,7,0))</f>
        <v>0</v>
      </c>
      <c r="DY167" s="155">
        <f>IF(ISNA(VLOOKUP(A167,'Données projet'!$A$165:$I$185,6,0)),0%,VLOOKUP(A167,'Données projet'!$A$165:$I$185,6,0)*VLOOKUP('Données projet'!$B$14,'Paramètres'!$A$1:$I$88,7,0))</f>
        <v>0</v>
      </c>
      <c r="DZ167" s="155">
        <f>IF(ISNA(VLOOKUP(A167,'Données projet'!$A$165:$I$185,7,0)),0%,VLOOKUP(A167,'Données projet'!$A$165:$I$185,7,0))</f>
        <v>0</v>
      </c>
      <c r="EA167" s="162" t="str">
        <f>EXP(-LN(2)/35)*EA166+(1-EXP(-LN(2)/35))/(LN(2)/35)*DW167*DX167*VLOOKUP('Données projet'!$B$14,'Paramètres'!$A$1:$I$88,3,0)*0.475*44/12</f>
        <v>#N/A</v>
      </c>
      <c r="EB167" s="162" t="str">
        <f>EXP(-LN(2)/25)*EB166+(1-EXP(-LN(2)/25))/(LN(2)/25)*Calculateur!DW167*Calculateur!DY167*VLOOKUP('Données projet'!$B$14,'Paramètres'!$A$1:$I$88,3,0)*0.475*44/12</f>
        <v>#N/A</v>
      </c>
      <c r="EC167" s="162" t="str">
        <f>EXP(-LN(2)/2)*EC166+(1-EXP(-LN(2)/2))/(LN(2)/2)*DW167*DZ167*VLOOKUP('Données projet'!$B$14,'Paramètres'!$A$1:$I$88,3,0)*0.475*44/12</f>
        <v>#N/A</v>
      </c>
      <c r="ED167" s="163" t="str">
        <f t="shared" si="19"/>
        <v>#N/A</v>
      </c>
      <c r="EE167" s="159">
        <f>('Scénario référence'!$F$8+'Scénario référence'!$F$9+'Scénario référence'!$B$17+'Scénario référence'!$B$9+'Scénario référence'!$B$10)*70+IF((45+25*(1-EXP(-0.0175*A167)))&lt;70,'Scénario référence'!$B$16*(45+25*(1-EXP(-0.0175*A167))),70*'Scénario référence'!$B$16)+IF((32+38*(1-EXP(-0.0175*A167)))&lt;70,'Scénario référence'!$B$18*(32+38*(1-EXP(-0.0175*A167))),70*'Scénario référence'!$B$18)</f>
        <v>70</v>
      </c>
      <c r="EF167" s="151">
        <f>IF(A167&gt;30,10,('Scénario référence'!$B$16+'Scénario référence'!$B$17+'Scénario référence'!$B$18+'Scénario référence'!$B$9+'Scénario référence'!$B$10)*A167*10/30+('Scénario référence'!$F$8+'Scénario référence'!$F$9)*10)</f>
        <v>10</v>
      </c>
      <c r="EG167" s="151" t="str">
        <f>VLOOKUP(A167,'Données projet'!$A$191:$I$211,2,0)</f>
        <v>#N/A</v>
      </c>
      <c r="EH167" s="151" t="str">
        <f>VLOOKUP(A167,'Données projet'!$A$191:$I$211,9,0)</f>
        <v>#N/A</v>
      </c>
      <c r="EI167" s="151" t="str">
        <f t="array" ref="EI167">INDEX(EH:EH,MIN(IF(ISNUMBER(EH167:EH363),ROW(EH167:EH363),"")))</f>
        <v/>
      </c>
      <c r="EJ167" s="151">
        <f>IF('Données projet'!$A$192&gt;35,EJ166+EI167-ER166,IF(A167&lt;'Données projet'!$A$192,$EG$205^A167,IF(A167='Données projet'!$A$192,'Données projet'!$B$192,EJ166+EI167-ER166)))</f>
        <v>0</v>
      </c>
      <c r="EK167" s="158" t="str">
        <f>EJ167*VLOOKUP('Données projet'!$B$15,'Paramètres'!$A$1:$I$88,3,0)*VLOOKUP('Données projet'!$B$15,'Paramètres'!$A$1:$I$88,5,0)</f>
        <v>#N/A</v>
      </c>
      <c r="EL167" s="150" t="str">
        <f t="shared" si="46"/>
        <v>#N/A</v>
      </c>
      <c r="EM167" s="161" t="str">
        <f t="shared" si="20"/>
        <v>#N/A</v>
      </c>
      <c r="EN167" s="153" t="str">
        <f t="shared" si="21"/>
        <v>#N/A</v>
      </c>
      <c r="EO167" s="153" t="str">
        <f>AVERAGE(OFFSET($EN$3,0,0,'Données projet'!$E$15+1,1))-AVERAGE(OFFSET($H$3,0,0,'Données projet'!$E$15+1,1))</f>
        <v>#N/A</v>
      </c>
      <c r="EP167" s="153" t="str">
        <f t="shared" si="47"/>
        <v>#N/A</v>
      </c>
      <c r="EQ167" s="154">
        <f>IF(ISNA(VLOOKUP(A167,'Données projet'!$A$191:$I$211,3,0)),0,VLOOKUP(A167,'Données projet'!$A$191:$I$211,3,0))</f>
        <v>0</v>
      </c>
      <c r="ER167" s="154">
        <f>IF(ISNA(VLOOKUP(A167,'Données projet'!$A$191:$I$211,4,0)),0,VLOOKUP(A167,'Données projet'!$A$191:$I$211,4,0))</f>
        <v>0</v>
      </c>
      <c r="ES167" s="155">
        <f>IF(ISNA(VLOOKUP(A167,'Données projet'!$A$191:$I$211,5,0)),0%,VLOOKUP(A167,'Données projet'!$A$191:$I$211,5,0)*VLOOKUP('Données projet'!$B$15,'Paramètres'!$A$1:$I$88,7,0))</f>
        <v>0</v>
      </c>
      <c r="ET167" s="155">
        <f>IF(ISNA(VLOOKUP(A167,'Données projet'!$A$191:$I$211,6,0)),0%,VLOOKUP(A167,'Données projet'!$A$191:$I$211,6,0)*VLOOKUP('Données projet'!$B$15,'Paramètres'!$A$1:$I$88,7,0))</f>
        <v>0</v>
      </c>
      <c r="EU167" s="155">
        <f>IF(ISNA(VLOOKUP(A167,'Données projet'!$A$191:$I$211,7,0)),0%,VLOOKUP(A167,'Données projet'!$A$191:$I$211,7,0))</f>
        <v>0</v>
      </c>
      <c r="EV167" s="162" t="str">
        <f>EXP(-LN(2)/35)*EV166+(1-EXP(-LN(2)/35))/(LN(2)/35)*ER167*ES167*VLOOKUP('Données projet'!$B$15,'Paramètres'!$A$1:$I$88,3,0)*0.475*44/12</f>
        <v>#N/A</v>
      </c>
      <c r="EW167" s="162" t="str">
        <f>EXP(-LN(2)/25)*EW166+(1-EXP(-LN(2)/25))/(LN(2)/25)*Calculateur!ER167*Calculateur!ET167*VLOOKUP('Données projet'!$B$15,'Paramètres'!$A$1:$I$88,3,0)*0.475*44/12</f>
        <v>#N/A</v>
      </c>
      <c r="EX167" s="162" t="str">
        <f>EXP(-LN(2)/2)*EX166+(1-EXP(-LN(2)/2))/(LN(2)/2)*ER167*EU167*VLOOKUP('Données projet'!$B$15,'Paramètres'!$A$1:$I$88,3,0)*0.475*44/12</f>
        <v>#N/A</v>
      </c>
      <c r="EY167" s="163" t="str">
        <f t="shared" si="22"/>
        <v>#N/A</v>
      </c>
      <c r="EZ167" s="159">
        <f>('Scénario référence'!$F$8+'Scénario référence'!$F$9+'Scénario référence'!$B$17+'Scénario référence'!$B$9+'Scénario référence'!$B$10)*70+IF((45+25*(1-EXP(-0.0175*A167)))&lt;70,'Scénario référence'!$B$16*(45+25*(1-EXP(-0.0175*A167))),70*'Scénario référence'!$B$16)+IF((32+38*(1-EXP(-0.0175*A167)))&lt;70,'Scénario référence'!$B$18*(32+38*(1-EXP(-0.0175*A167))),70*'Scénario référence'!$B$18)</f>
        <v>70</v>
      </c>
      <c r="FA167" s="151">
        <f>IF(A167&gt;30,10,('Scénario référence'!$B$16+'Scénario référence'!$B$17+'Scénario référence'!$B$18+'Scénario référence'!$B$9+'Scénario référence'!$B$10)*A167*10/30+('Scénario référence'!$F$8+'Scénario référence'!$F$9)*10)</f>
        <v>10</v>
      </c>
      <c r="FB167" s="151" t="str">
        <f>VLOOKUP(A167,'Données projet'!$A$217:$I$237,2,0)</f>
        <v>#N/A</v>
      </c>
      <c r="FC167" s="151" t="str">
        <f>VLOOKUP(A167,'Données projet'!$A$217:$I$237,9,0)</f>
        <v>#N/A</v>
      </c>
      <c r="FD167" s="151" t="str">
        <f t="array" ref="FD167">INDEX(FC:FC,MIN(IF(ISNUMBER(FC167:FC363),ROW(FC167:FC363),"")))</f>
        <v/>
      </c>
      <c r="FE167" s="151">
        <f>IF('Données projet'!$A$218&gt;35,FE166+FD167-FM166,IF(A167&lt;'Données projet'!$A$218,$FB$205^A167,IF(A167='Données projet'!$A$218,'Données projet'!$B$218,FE166+FD167-FM166)))</f>
        <v>0</v>
      </c>
      <c r="FF167" s="158" t="str">
        <f>FE167*VLOOKUP('Données projet'!$B$16,'Paramètres'!$A$1:$I$88,3,0)*VLOOKUP('Données projet'!$B$16,'Paramètres'!$A$1:$I$88,5,0)</f>
        <v>#N/A</v>
      </c>
      <c r="FG167" s="150" t="str">
        <f t="shared" si="48"/>
        <v>#N/A</v>
      </c>
      <c r="FH167" s="161" t="str">
        <f t="shared" si="23"/>
        <v>#N/A</v>
      </c>
      <c r="FI167" s="153" t="str">
        <f t="shared" si="24"/>
        <v>#N/A</v>
      </c>
      <c r="FJ167" s="153" t="str">
        <f>AVERAGE(OFFSET($FI$3,0,0,'Données projet'!$E$16+1,1))-AVERAGE(OFFSET($H$3,0,0,'Données projet'!$E$16+1,1))</f>
        <v>#N/A</v>
      </c>
      <c r="FK167" s="153" t="str">
        <f t="shared" si="49"/>
        <v>#N/A</v>
      </c>
      <c r="FL167" s="154">
        <f>IF(ISNA(VLOOKUP(A167,'Données projet'!$A$217:$I$237,3,0)),0,VLOOKUP(A167,'Données projet'!$A$217:$I$237,3,0))</f>
        <v>0</v>
      </c>
      <c r="FM167" s="154">
        <f>IF(ISNA(VLOOKUP(A167,'Données projet'!$A$217:$I$237,4,0)),0,VLOOKUP(A167,'Données projet'!$A$217:$I$237,4,0))</f>
        <v>0</v>
      </c>
      <c r="FN167" s="155">
        <f>IF(ISNA(VLOOKUP(A167,'Données projet'!$A$217:$I$237,5,0)),0%,VLOOKUP(A167,'Données projet'!$A$217:$I$237,5,0)*VLOOKUP('Données projet'!$B$16,'Paramètres'!$A$1:$I$88,7,0))</f>
        <v>0</v>
      </c>
      <c r="FO167" s="155">
        <f>IF(ISNA(VLOOKUP(A167,'Données projet'!$A$217:$I$237,6,0)),0%,VLOOKUP(A167,'Données projet'!$A$217:$I$237,6,0)*VLOOKUP('Données projet'!$B$16,'Paramètres'!$A$1:$I$88,7,0))</f>
        <v>0</v>
      </c>
      <c r="FP167" s="155">
        <f>IF(ISNA(VLOOKUP(A167,'Données projet'!$A$217:$I$237,7,0)),0%,VLOOKUP(A167,'Données projet'!$A$217:$I$237,7,0))</f>
        <v>0</v>
      </c>
      <c r="FQ167" s="162" t="str">
        <f>EXP(-LN(2)/35)*FQ166+(1-EXP(-LN(2)/35))/(LN(2)/35)*FM167*FN167*VLOOKUP('Données projet'!$B$16,'Paramètres'!$A$1:$I$88,3,0)*0.475*44/12</f>
        <v>#N/A</v>
      </c>
      <c r="FR167" s="162" t="str">
        <f>EXP(-LN(2)/25)*FR166+(1-EXP(-LN(2)/25))/(LN(2)/25)*Calculateur!FM167*Calculateur!FO167*VLOOKUP('Données projet'!$B$16,'Paramètres'!$A$1:$I$88,3,0)*0.475*44/12</f>
        <v>#N/A</v>
      </c>
      <c r="FS167" s="162" t="str">
        <f>EXP(-LN(2)/2)*FS166+(1-EXP(-LN(2)/2))/(LN(2)/2)*FM167*FP167*VLOOKUP('Données projet'!$B$16,'Paramètres'!$A$1:$I$88,3,0)*0.475*44/12</f>
        <v>#N/A</v>
      </c>
      <c r="FT167" s="163" t="str">
        <f t="shared" si="25"/>
        <v>#N/A</v>
      </c>
      <c r="FU167" s="159">
        <f>('Scénario référence'!$F$8+'Scénario référence'!$F$9+'Scénario référence'!$B$17+'Scénario référence'!$B$9+'Scénario référence'!$B$10)*70+IF((45+25*(1-EXP(-0.0175*A167)))&lt;70,'Scénario référence'!$B$16*(45+25*(1-EXP(-0.0175*A167))),70*'Scénario référence'!$B$16)+IF((32+38*(1-EXP(-0.0175*A167)))&lt;70,'Scénario référence'!$B$18*(32+38*(1-EXP(-0.0175*A167))),70*'Scénario référence'!$B$18)</f>
        <v>70</v>
      </c>
      <c r="FV167" s="151">
        <f>IF(A167&gt;30,10,('Scénario référence'!$B$16+'Scénario référence'!$B$17+'Scénario référence'!$B$18+'Scénario référence'!$B$9+'Scénario référence'!$B$10)*A167*10/30+('Scénario référence'!$F$8+'Scénario référence'!$F$9)*10)</f>
        <v>10</v>
      </c>
      <c r="FW167" s="151" t="str">
        <f>VLOOKUP(A167,'Données projet'!$A$243:$I$263,2,0)</f>
        <v>#N/A</v>
      </c>
      <c r="FX167" s="151" t="str">
        <f>VLOOKUP(A167,'Données projet'!$A$243:$I$263,9,0)</f>
        <v>#N/A</v>
      </c>
      <c r="FY167" s="151" t="str">
        <f t="array" ref="FY167">INDEX(FX:FX,MIN(IF(ISNUMBER(FX167:FX363),ROW(FX167:FX363),"")))</f>
        <v/>
      </c>
      <c r="FZ167" s="151">
        <f>IF('Données projet'!$A$244&gt;35,FZ166+FY167-GH166,IF(A167&lt;'Données projet'!$A$244,$FW$205^A167,IF(A167='Données projet'!$A$244,'Données projet'!$B$244,FZ166+FY167-GH166)))</f>
        <v>0</v>
      </c>
      <c r="GA167" s="158" t="str">
        <f>FZ167*VLOOKUP('Données projet'!$B$17,'Paramètres'!$A$1:$I$88,3,0)*VLOOKUP('Données projet'!$B$17,'Paramètres'!$A$1:$I$88,5,0)</f>
        <v>#N/A</v>
      </c>
      <c r="GB167" s="150" t="str">
        <f t="shared" si="50"/>
        <v>#N/A</v>
      </c>
      <c r="GC167" s="161" t="str">
        <f t="shared" si="26"/>
        <v>#N/A</v>
      </c>
      <c r="GD167" s="153" t="str">
        <f t="shared" si="27"/>
        <v>#N/A</v>
      </c>
      <c r="GE167" s="153" t="str">
        <f>AVERAGE(OFFSET($GD$3,0,0,'Données projet'!$E$17+1,1))-AVERAGE(OFFSET($H$3,0,0,'Données projet'!$E$17+1,1))</f>
        <v>#N/A</v>
      </c>
      <c r="GF167" s="153" t="str">
        <f t="shared" si="51"/>
        <v>#N/A</v>
      </c>
      <c r="GG167" s="154">
        <f>IF(ISNA(VLOOKUP(A167,'Données projet'!$A$243:$I$263,3,0)),0,VLOOKUP(A167,'Données projet'!$A$243:$I$263,3,0))</f>
        <v>0</v>
      </c>
      <c r="GH167" s="154">
        <f>IF(ISNA(VLOOKUP(A167,'Données projet'!$A$243:$I$263,4,0)),0,VLOOKUP(A167,'Données projet'!$A$243:$I$263,4,0))</f>
        <v>0</v>
      </c>
      <c r="GI167" s="155">
        <f>IF(ISNA(VLOOKUP(A167,'Données projet'!$A$243:$I$263,5,0)),0%,VLOOKUP(A167,'Données projet'!$A$243:$I$263,5,0)*VLOOKUP('Données projet'!$B$17,'Paramètres'!$A$1:$I$88,7,0))</f>
        <v>0</v>
      </c>
      <c r="GJ167" s="155">
        <f>IF(ISNA(VLOOKUP(A167,'Données projet'!$A$243:$I$263,6,0)),0%,VLOOKUP(A167,'Données projet'!$A$243:$I$263,6,0)*VLOOKUP('Données projet'!$B$17,'Paramètres'!$A$1:$I$88,7,0))</f>
        <v>0</v>
      </c>
      <c r="GK167" s="155">
        <f>IF(ISNA(VLOOKUP(A167,'Données projet'!$A$243:$I$263,7,0)),0%,VLOOKUP(A167,'Données projet'!$A$243:$I$263,7,0))</f>
        <v>0</v>
      </c>
      <c r="GL167" s="162" t="str">
        <f>EXP(-LN(2)/35)*GL166+(1-EXP(-LN(2)/35))/(LN(2)/35)*GH167*GI167*VLOOKUP('Données projet'!$B$17,'Paramètres'!$A$1:$I$88,3,0)*0.475*44/12</f>
        <v>#N/A</v>
      </c>
      <c r="GM167" s="162" t="str">
        <f>EXP(-LN(2)/25)*GM166+(1-EXP(-LN(2)/25))/(LN(2)/25)*Calculateur!GH167*Calculateur!GJ167*VLOOKUP('Données projet'!$B$17,'Paramètres'!$A$1:$I$88,3,0)*0.475*44/12</f>
        <v>#N/A</v>
      </c>
      <c r="GN167" s="162" t="str">
        <f>EXP(-LN(2)/2)*GN166+(1-EXP(-LN(2)/2))/(LN(2)/2)*GH167*GK167*VLOOKUP('Données projet'!$B$17,'Paramètres'!$A$1:$I$88,3,0)*0.475*44/12</f>
        <v>#N/A</v>
      </c>
      <c r="GO167" s="162" t="str">
        <f t="shared" si="28"/>
        <v>#N/A</v>
      </c>
      <c r="GP167" s="159">
        <f>('Scénario référence'!$F$8+'Scénario référence'!$F$9+'Scénario référence'!$B$17+'Scénario référence'!$B$9+'Scénario référence'!$B$10)*70+IF((45+25*(1-EXP(-0.0175*A167)))&lt;70,'Scénario référence'!$B$16*(45+25*(1-EXP(-0.0175*A167))),70*'Scénario référence'!$B$16)+IF((32+38*(1-EXP(-0.0175*A167)))&lt;70,'Scénario référence'!$B$18*(32+38*(1-EXP(-0.0175*A167))),70*'Scénario référence'!$B$18)</f>
        <v>70</v>
      </c>
      <c r="GQ167" s="151">
        <f>IF(A167&gt;30,10,('Scénario référence'!$B$16+'Scénario référence'!$B$17+'Scénario référence'!$B$18+'Scénario référence'!$B$9+'Scénario référence'!$B$10)*A167*10/30+('Scénario référence'!$F$8+'Scénario référence'!$F$9)*10)</f>
        <v>10</v>
      </c>
      <c r="GR167" s="151" t="str">
        <f>VLOOKUP(A167,'Données projet'!$A$269:$I$289,2,0)</f>
        <v>#N/A</v>
      </c>
      <c r="GS167" s="151" t="str">
        <f>VLOOKUP(A167,'Données projet'!$A$269:$I$289,9,0)</f>
        <v>#N/A</v>
      </c>
      <c r="GT167" s="151" t="str">
        <f t="array" ref="GT167">INDEX(GS:GS,MIN(IF(ISNUMBER(GS167:GS363),ROW(GS167:GS363),"")))</f>
        <v/>
      </c>
      <c r="GU167" s="151">
        <f>IF('Données projet'!$A$270&gt;35,GU166+GT167-HC166,IF(A167&lt;'Données projet'!$A$270,$GR$205^A167,IF(A167='Données projet'!$A$270,'Données projet'!$B$270,GU166+GT167-HC166)))</f>
        <v>0</v>
      </c>
      <c r="GV167" s="158" t="str">
        <f>GU167*VLOOKUP('Données projet'!$B$18,'Paramètres'!$A$1:$I$88,3,0)*VLOOKUP('Données projet'!$B$18,'Paramètres'!$A$1:$I$88,5,0)</f>
        <v>#N/A</v>
      </c>
      <c r="GW167" s="150" t="str">
        <f t="shared" si="52"/>
        <v>#N/A</v>
      </c>
      <c r="GX167" s="161" t="str">
        <f t="shared" si="29"/>
        <v>#N/A</v>
      </c>
      <c r="GY167" s="153" t="str">
        <f t="shared" si="30"/>
        <v>#N/A</v>
      </c>
      <c r="GZ167" s="153" t="str">
        <f>AVERAGE(OFFSET($GY$3,0,0,'Données projet'!$E$18+1,1))-AVERAGE(OFFSET($H$3,0,0,'Données projet'!$E$18+1,1))</f>
        <v>#N/A</v>
      </c>
      <c r="HA167" s="153" t="str">
        <f t="shared" si="53"/>
        <v>#N/A</v>
      </c>
      <c r="HB167" s="154">
        <f>IF(ISNA(VLOOKUP(A167,'Données projet'!$A$269:$I$289,3,0)),0,VLOOKUP(A167,'Données projet'!$A$269:$I$289,3,0))</f>
        <v>0</v>
      </c>
      <c r="HC167" s="154">
        <f>IF(ISNA(VLOOKUP(A167,'Données projet'!$A$269:$I$289,4,0)),0,VLOOKUP(A167,'Données projet'!$A$269:$I$289,4,0))</f>
        <v>0</v>
      </c>
      <c r="HD167" s="155">
        <f>IF(ISNA(VLOOKUP(A167,'Données projet'!$A$269:$I$289,5,0)),0%,VLOOKUP(A167,'Données projet'!$A$269:$I$289,5,0)*VLOOKUP('Données projet'!$B$18,'Paramètres'!$A$1:$I$88,7,0))</f>
        <v>0</v>
      </c>
      <c r="HE167" s="155">
        <f>IF(ISNA(VLOOKUP(A167,'Données projet'!$A$269:$I$289,6,0)),0%,VLOOKUP(A167,'Données projet'!$A$269:$I$289,6,0)*VLOOKUP('Données projet'!$B$18,'Paramètres'!$A$1:$I$88,7,0))</f>
        <v>0</v>
      </c>
      <c r="HF167" s="155">
        <f>IF(ISNA(VLOOKUP(A167,'Données projet'!$A$269:$I$289,7,0)),0%,VLOOKUP(A167,'Données projet'!$A$269:$I$289,7,0))</f>
        <v>0</v>
      </c>
      <c r="HG167" s="162" t="str">
        <f>EXP(-LN(2)/35)*HG166+(1-EXP(-LN(2)/35))/(LN(2)/35)*HC167*HD167*VLOOKUP('Données projet'!$B$18,'Paramètres'!$A$1:$I$88,3,0)*0.475*44/12</f>
        <v>#N/A</v>
      </c>
      <c r="HH167" s="162" t="str">
        <f>EXP(-LN(2)/25)*HH166+(1-EXP(-LN(2)/25))/(LN(2)/25)*Calculateur!HC167*Calculateur!HE167*VLOOKUP('Données projet'!$B$18,'Paramètres'!$A$1:$I$88,3,0)*0.475*44/12</f>
        <v>#N/A</v>
      </c>
      <c r="HI167" s="162" t="str">
        <f>EXP(-LN(2)/2)*HI166+(1-EXP(-LN(2)/2))/(LN(2)/2)*HC167*HF167*VLOOKUP('Données projet'!$B$18,'Paramètres'!$A$1:$I$88,3,0)*0.475*44/12</f>
        <v>#N/A</v>
      </c>
      <c r="HJ167" s="163" t="str">
        <f t="shared" si="31"/>
        <v>#N/A</v>
      </c>
    </row>
    <row r="168" ht="15.75" customHeight="1">
      <c r="A168" s="145">
        <f t="shared" si="32"/>
        <v>165</v>
      </c>
      <c r="B168" s="146">
        <f>'Scénario référence'!$B$16*5+'Scénario référence'!$B$17*0+'Scénario référence'!$B$18*5</f>
        <v>0</v>
      </c>
      <c r="C168" s="160">
        <f>Calculateur!C167+'Scénario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68" s="147">
        <f t="shared" si="33"/>
        <v>0</v>
      </c>
      <c r="E168" s="147">
        <f>'Scénario référence'!$B$16*45+('Scénario référence'!$B$17+'Scénario référence'!$F$8+'Scénario référence'!$F$9+'Scénario référence'!$B$10+'Scénario référence'!$B$9)*70+'Scénario référence'!$B$18*32</f>
        <v>70</v>
      </c>
      <c r="F168" s="147">
        <f>IF(OR('Scénario référence'!$F$8&gt;0,'Scénario référence'!$F$9&gt;0),('Scénario référence'!$F$8+'Scénario référence'!$F$9)*10,0)</f>
        <v>0</v>
      </c>
      <c r="G168" s="147">
        <f>'Scénario référence'!$B$8*B168*44/12+'Scénario référence'!$B$9*(C168+D168)/0.475*44/12+'Scénario référence'!$B$10*(C168+D168)/0.475*44/12+'Scénario référence'!$F$8*(C168+D168)/0.475*44/12+'Scénario référence'!$F$9*(C168+D168)/0.475*44/12</f>
        <v>0</v>
      </c>
      <c r="H168" s="148">
        <f t="shared" si="1"/>
        <v>256.6666667</v>
      </c>
      <c r="I168" s="149">
        <f>('Scénario référence'!$F$8+'Scénario référence'!$F$9+'Scénario référence'!$B$17+'Scénario référence'!$B$9+'Scénario référence'!$B$10)*70+IF((45+25*(1-EXP(-0.0175*A168)))&lt;70,'Scénario référence'!$B$16*(45+25*(1-EXP(-0.0175*A168))),70*'Scénario référence'!$B$16)+IF((32+38*(1-EXP(-0.0175*A168)))&lt;70,'Scénario référence'!$B$18*(32+38*(1-EXP(-0.0175*A168))),70*'Scénario référence'!$B$18)</f>
        <v>70</v>
      </c>
      <c r="J168" s="150">
        <f>IF(A168&gt;30,10,('Scénario référence'!$B$16+'Scénario référence'!$B$17+'Scénario référence'!$B$18+'Scénario référence'!$B$9+'Scénario référence'!$B$10)*A168*10/30+('Scénario référence'!$F$8+'Scénario référence'!$F$9)*10)</f>
        <v>10</v>
      </c>
      <c r="K168" s="151" t="str">
        <f>VLOOKUP(A168,'Données projet'!$A$35:$I$55,2,0)</f>
        <v>#N/A</v>
      </c>
      <c r="L168" s="151" t="str">
        <f>VLOOKUP(A168,'Données projet'!$A$35:$I$55,9,0)</f>
        <v>#N/A</v>
      </c>
      <c r="M168" s="151" t="str">
        <f t="array" ref="M168">INDEX(L:L,MIN(IF(ISNUMBER(L168:L364),ROW(L168:L364),"")))</f>
        <v/>
      </c>
      <c r="N168" s="150">
        <f>IF('Données projet'!$A$36&gt;35,N167+M168-V167,IF(A168&lt;'Données projet'!$A$36,$K$205^A168,IF(A168='Données projet'!$A$36,'Données projet'!$B$36,N167+M168-V167)))</f>
        <v>307</v>
      </c>
      <c r="O168" s="150">
        <f>N168*VLOOKUP('Données projet'!$B$9,'Paramètres'!$A$1:$I$88,3,0)*VLOOKUP('Données projet'!$B$9,'Paramètres'!$A$1:$I$88,5,0)</f>
        <v>277.7736</v>
      </c>
      <c r="P168" s="150">
        <f t="shared" si="34"/>
        <v>66.49628818</v>
      </c>
      <c r="Q168" s="161">
        <f t="shared" si="2"/>
        <v>599.6033886</v>
      </c>
      <c r="R168" s="153">
        <f t="shared" si="3"/>
        <v>892.9367219</v>
      </c>
      <c r="S168" s="153">
        <f>AVERAGE(OFFSET($R$3,0,0,'Données projet'!$E$9+1,1))-AVERAGE(OFFSET($H$3,0,0,'Données projet'!$E$9+1,1))</f>
        <v>439.1985427</v>
      </c>
      <c r="T168" s="153">
        <f t="shared" si="35"/>
        <v>278.2174123</v>
      </c>
      <c r="U168" s="154">
        <f>IF(ISNA(VLOOKUP(A168,'Données projet'!$A$35:$I$55,3,0)),0,VLOOKUP(A168,'Données projet'!$A$35:$I$55,3,0))</f>
        <v>0</v>
      </c>
      <c r="V168" s="154">
        <f>IF(ISNA(VLOOKUP(A168,'Données projet'!$A$35:$I$55,4,0)),0,VLOOKUP(A168,'Données projet'!$A$35:$I$55,4,0))</f>
        <v>0</v>
      </c>
      <c r="W168" s="155">
        <f>IF(ISNA(VLOOKUP(A168,'Données projet'!$A$35:$I$55,5,0)),0%,VLOOKUP(A168,'Données projet'!$A$35:$I$55,5,0)*VLOOKUP('Données projet'!$B$9,'Paramètres'!$A$1:$I$88,7,0))</f>
        <v>0</v>
      </c>
      <c r="X168" s="155">
        <f>IF(ISNA(VLOOKUP(A168,'Données projet'!$A$35:$I$55,6,0)),0%,VLOOKUP(A168,'Données projet'!$A$35:$I$55,6,0)*VLOOKUP('Données projet'!$B$9,'Paramètres'!$A$1:$I$88,7,0))</f>
        <v>0</v>
      </c>
      <c r="Y168" s="155">
        <f>IF(ISNA(VLOOKUP(A168,'Données projet'!$A$35:$I$55,7,0)),0%,VLOOKUP(A168,'Données projet'!$A$35:$I$55,7,0))</f>
        <v>0</v>
      </c>
      <c r="Z168" s="162">
        <f>EXP(-LN(2)/35)*Z167+(1-EXP(-LN(2)/35))/(LN(2)/35)*V168*W168*VLOOKUP('Données projet'!$B$9,'Paramètres'!$A$1:$I$88,3,0)*0.475*44/12</f>
        <v>0</v>
      </c>
      <c r="AA168" s="162">
        <f>EXP(-LN(2)/25)*AA167+(1-EXP(-LN(2)/25))/(LN(2)/25)*Calculateur!V168*Calculateur!X168*VLOOKUP('Données projet'!$B$9,'Paramètres'!$A$1:$I$88,3,0)*0.475*44/12</f>
        <v>0.1062796957</v>
      </c>
      <c r="AB168" s="162">
        <f>EXP(-LN(2)/2)*AB167+(1-EXP(-LN(2)/2))/(LN(2)/2)*V168*Y168*VLOOKUP('Données projet'!$B$9,'Paramètres'!$A$1:$I$88,3,0)*0.475*44/12</f>
        <v>0</v>
      </c>
      <c r="AC168" s="163">
        <f t="shared" si="4"/>
        <v>0.1062796957</v>
      </c>
      <c r="AD168" s="150">
        <f>('Scénario référence'!$F$8+'Scénario référence'!$F$9+'Scénario référence'!$B$17+'Scénario référence'!$B$9+'Scénario référence'!$B$10)*70+IF((45+25*(1-EXP(-0.0175*A168)))&lt;70,'Scénario référence'!$B$16*(45+25*(1-EXP(-0.0175*A168))),70*'Scénario référence'!$B$16)+IF((32+38*(1-EXP(-0.0175*A168)))&lt;70,'Scénario référence'!$B$18*(32+38*(1-EXP(-0.0175*A168))),70*'Scénario référence'!$B$18)</f>
        <v>70</v>
      </c>
      <c r="AE168" s="150">
        <f>IF(A168&gt;30,10,('Scénario référence'!$B$16+'Scénario référence'!$B$17+'Scénario référence'!$B$18+'Scénario référence'!$B$9+'Scénario référence'!$B$10)*A168*10/30+('Scénario référence'!$F$8+'Scénario référence'!$F$9)*10)</f>
        <v>10</v>
      </c>
      <c r="AF168" s="151" t="str">
        <f>VLOOKUP(A168,'Données projet'!$A$61:$I$81,2,0)</f>
        <v>#N/A</v>
      </c>
      <c r="AG168" s="151" t="str">
        <f>VLOOKUP(A168,'Données projet'!$A$61:$I$81,9,0)</f>
        <v>#N/A</v>
      </c>
      <c r="AH168" s="151" t="str">
        <f t="array" ref="AH168">INDEX(AG:AG,MIN(IF(ISNUMBER(AG168:AG364),ROW(AG168:AG364),"")))</f>
        <v/>
      </c>
      <c r="AI168" s="150">
        <f>IF('Données projet'!$A$62&gt;35,AI167+AH168-AQ167,IF(A168&lt;'Données projet'!$A$62,$AF$205^A168,IF(A168='Données projet'!$A$62,'Données projet'!$B$62,AI167+AH168-AQ167)))</f>
        <v>369</v>
      </c>
      <c r="AJ168" s="150">
        <f>AI168*VLOOKUP('Données projet'!$B$10,'Paramètres'!$A$1:$I$88,3,0)*VLOOKUP('Données projet'!$B$10,'Paramètres'!$A$1:$I$88,5,0)</f>
        <v>293.5764</v>
      </c>
      <c r="AK168" s="150">
        <f t="shared" si="36"/>
        <v>69.82813851</v>
      </c>
      <c r="AL168" s="161">
        <f t="shared" si="5"/>
        <v>632.9295712</v>
      </c>
      <c r="AM168" s="153">
        <f t="shared" si="6"/>
        <v>926.2629046</v>
      </c>
      <c r="AN168" s="153">
        <f>AVERAGE(OFFSET($AM$3,0,0,'Données projet'!$E$10+1,1))-AVERAGE(OFFSET($H$3,0,0,'Données projet'!$E$10+1,1))</f>
        <v>405.6113614</v>
      </c>
      <c r="AO168" s="153">
        <f t="shared" si="37"/>
        <v>393.0787141</v>
      </c>
      <c r="AP168" s="154">
        <f>IF(ISNA(VLOOKUP(A168,'Données projet'!$A$61:$I$81,3,0)),0,VLOOKUP(A168,'Données projet'!$A$61:$I$81,3,0))</f>
        <v>0</v>
      </c>
      <c r="AQ168" s="154">
        <f>IF(ISNA(VLOOKUP(A168,'Données projet'!$A$61:$I$81,4,0)),0,VLOOKUP(A168,'Données projet'!$A$61:$I$81,4,0))</f>
        <v>0</v>
      </c>
      <c r="AR168" s="155">
        <f>IF(ISNA(VLOOKUP(A168,'Données projet'!$A$61:$I$81,5,0)),0%,VLOOKUP(A168,'Données projet'!$A$61:$I$81,5,0)*VLOOKUP('Données projet'!$B$10,'Paramètres'!$A$1:$I$88,7,0))</f>
        <v>0</v>
      </c>
      <c r="AS168" s="155">
        <f>IF(ISNA(VLOOKUP(A168,'Données projet'!$A$61:$I$81,6,0)),0%,VLOOKUP(A168,'Données projet'!$A$61:$I$81,6,0)*VLOOKUP('Données projet'!$B$10,'Paramètres'!$A$1:$I$88,7,0))</f>
        <v>0</v>
      </c>
      <c r="AT168" s="155">
        <f>IF(ISNA(VLOOKUP(A168,'Données projet'!$A$61:$I$81,7,0)),0%,VLOOKUP(A168,'Données projet'!$A$61:$I$81,7,0))</f>
        <v>0</v>
      </c>
      <c r="AU168" s="162">
        <f>EXP(-LN(2)/35)*AU167+(1-EXP(-LN(2)/35))/(LN(2)/35)*AQ168*AR168*VLOOKUP('Données projet'!$B$10,'Paramètres'!$A$1:$I$88,3,0)*0.475*44/12</f>
        <v>0</v>
      </c>
      <c r="AV168" s="162">
        <f>EXP(-LN(2)/25)*AV167+(1-EXP(-LN(2)/25))/(LN(2)/25)*Calculateur!AQ168*Calculateur!AS168*VLOOKUP('Données projet'!$B$10,'Paramètres'!$A$1:$I$88,3,0)*0.475*44/12</f>
        <v>0.4319477008</v>
      </c>
      <c r="AW168" s="162">
        <f>EXP(-LN(2)/2)*AW167+(1-EXP(-LN(2)/2))/(LN(2)/2)*AQ168*AT168*VLOOKUP('Données projet'!$B$10,'Paramètres'!$A$1:$I$88,3,0)*0.475*44/12</f>
        <v>0</v>
      </c>
      <c r="AX168" s="162">
        <f t="shared" si="7"/>
        <v>0.4319477008</v>
      </c>
      <c r="AY168" s="157">
        <f>('Scénario référence'!$F$8+'Scénario référence'!$F$9+'Scénario référence'!$B$17+'Scénario référence'!$B$9+'Scénario référence'!$B$10)*70+IF((45+25*(1-EXP(-0.0175*A168)))&lt;70,'Scénario référence'!$B$16*(45+25*(1-EXP(-0.0175*A168))),70*'Scénario référence'!$B$16)+IF((32+38*(1-EXP(-0.0175*A168)))&lt;70,'Scénario référence'!$B$18*(32+38*(1-EXP(-0.0175*A168))),70*'Scénario référence'!$B$18)</f>
        <v>70</v>
      </c>
      <c r="AZ168" s="151">
        <f>IF(A168&gt;30,10,('Scénario référence'!$B$16+'Scénario référence'!$B$17+'Scénario référence'!$B$18+'Scénario référence'!$B$9+'Scénario référence'!$B$10)*A168*10/30+('Scénario référence'!$F$8+'Scénario référence'!$F$9)*10)</f>
        <v>10</v>
      </c>
      <c r="BA168" s="151" t="str">
        <f>VLOOKUP(A168,'Données projet'!$A$87:$I$107,2,0)</f>
        <v>#N/A</v>
      </c>
      <c r="BB168" s="151" t="str">
        <f>VLOOKUP(A168,'Données projet'!$A$87:$I$107,9,0)</f>
        <v>#N/A</v>
      </c>
      <c r="BC168" s="151" t="str">
        <f t="array" ref="BC168">INDEX(BB:BB,MIN(IF(ISNUMBER(BB168:BB364),ROW(BB168:BB364),"")))</f>
        <v/>
      </c>
      <c r="BD168" s="150">
        <f>IF('Données projet'!$A$88&gt;35,BD167+BC168-BL167,IF(A168&lt;'Données projet'!$A$88,$BA$205^A168,IF(A168='Données projet'!$A$88,'Données projet'!$B$88,BD167+BC168-BL167)))</f>
        <v>0</v>
      </c>
      <c r="BE168" s="150">
        <f>BD168*VLOOKUP('Données projet'!$B$11,'Paramètres'!$A$1:$I$88,3,0)*VLOOKUP('Données projet'!$B$11,'Paramètres'!$A$1:$I$88,5,0)</f>
        <v>0</v>
      </c>
      <c r="BF168" s="150" t="str">
        <f t="shared" si="38"/>
        <v>#NUM!</v>
      </c>
      <c r="BG168" s="161" t="str">
        <f t="shared" si="8"/>
        <v>#NUM!</v>
      </c>
      <c r="BH168" s="153" t="str">
        <f t="shared" si="9"/>
        <v>#NUM!</v>
      </c>
      <c r="BI168" s="153">
        <f>AVERAGE(OFFSET($BH$3,0,0,'Données projet'!$E$11+1,1))-AVERAGE(OFFSET($H$3,0,0,'Données projet'!$E$11+1,1))</f>
        <v>0</v>
      </c>
      <c r="BJ168" s="153">
        <f t="shared" si="39"/>
        <v>0</v>
      </c>
      <c r="BK168" s="154">
        <f>IF(ISNA(VLOOKUP(A168,'Données projet'!$A$87:$I$107,3,0)),0,VLOOKUP(A168,'Données projet'!$A$87:$I$107,3,0))</f>
        <v>0</v>
      </c>
      <c r="BL168" s="154">
        <f>IF(ISNA(VLOOKUP(A168,'Données projet'!$A$87:$I$107,4,0)),0,VLOOKUP(A168,'Données projet'!$A$87:$I$107,4,0))</f>
        <v>0</v>
      </c>
      <c r="BM168" s="155">
        <f>IF(ISNA(VLOOKUP(A168,'Données projet'!$A$87:$I$107,5,0)),0%,VLOOKUP(A168,'Données projet'!$A$87:$I$107,5,0)*VLOOKUP('Données projet'!$B$11,'Paramètres'!$A$1:$I$88,7,0))</f>
        <v>0</v>
      </c>
      <c r="BN168" s="155">
        <f>IF(ISNA(VLOOKUP(A168,'Données projet'!$A$87:$I$107,6,0)),0%,VLOOKUP(A168,'Données projet'!$A$87:$I$107,6,0)*VLOOKUP('Données projet'!$B$11,'Paramètres'!$A$1:$I$88,7,0))</f>
        <v>0</v>
      </c>
      <c r="BO168" s="155">
        <f>IF(ISNA(VLOOKUP(A168,'Données projet'!$A$87:$I$107,7,0)),0%,VLOOKUP(A168,'Données projet'!$A$87:$I$107,7,0))</f>
        <v>0</v>
      </c>
      <c r="BP168" s="162">
        <f>EXP(-LN(2)/35)*BP167+(1-EXP(-LN(2)/35))/(LN(2)/35)*BL168*BM168*VLOOKUP('Données projet'!$B$11,'Paramètres'!$A$1:$I$88,3,0)*0.475*44/12</f>
        <v>0</v>
      </c>
      <c r="BQ168" s="162">
        <f>EXP(-LN(2)/25)*BQ167+(1-EXP(-LN(2)/25))/(LN(2)/25)*Calculateur!BL168*Calculateur!BN168*VLOOKUP('Données projet'!$B$11,'Paramètres'!$A$1:$I$88,3,0)*0.475*44/12</f>
        <v>0</v>
      </c>
      <c r="BR168" s="162">
        <f>EXP(-LN(2)/2)*BR167+(1-EXP(-LN(2)/2))/(LN(2)/2)*BL168*BO168*VLOOKUP('Données projet'!$B$11,'Paramètres'!$A$1:$I$88,3,0)*0.475*44/12</f>
        <v>0</v>
      </c>
      <c r="BS168" s="163">
        <f t="shared" si="10"/>
        <v>0</v>
      </c>
      <c r="BT168" s="159">
        <f>('Scénario référence'!$F$8+'Scénario référence'!$F$9+'Scénario référence'!$B$17+'Scénario référence'!$B$9+'Scénario référence'!$B$10)*70+IF((45+25*(1-EXP(-0.0175*A168)))&lt;70,'Scénario référence'!$B$16*(45+25*(1-EXP(-0.0175*A168))),70*'Scénario référence'!$B$16)+IF((32+38*(1-EXP(-0.0175*A168)))&lt;70,'Scénario référence'!$B$18*(32+38*(1-EXP(-0.0175*A168))),70*'Scénario référence'!$B$18)</f>
        <v>70</v>
      </c>
      <c r="BU168" s="151">
        <f>IF(A168&gt;30,10,('Scénario référence'!$B$16+'Scénario référence'!$B$17+'Scénario référence'!$B$18+'Scénario référence'!$B$9+'Scénario référence'!$B$10)*A168*10/30+('Scénario référence'!$F$8+'Scénario référence'!$F$9)*10)</f>
        <v>10</v>
      </c>
      <c r="BV168" s="151" t="str">
        <f>VLOOKUP(A168,'Données projet'!$A$113:$I$133,2,0)</f>
        <v>#N/A</v>
      </c>
      <c r="BW168" s="151" t="str">
        <f>VLOOKUP(A168,'Données projet'!$A$113:$I$133,9,0)</f>
        <v>#N/A</v>
      </c>
      <c r="BX168" s="151" t="str">
        <f t="array" ref="BX168">INDEX(BW:BW,MIN(IF(ISNUMBER(BW168:BW364),ROW(BW168:BW364),"")))</f>
        <v/>
      </c>
      <c r="BY168" s="150">
        <f>IF('Données projet'!$A$114&gt;35,BY167+BX168-CG167,IF(A168&lt;'Données projet'!$A$114,$BV$205^A168,IF(A168='Données projet'!$A$114,'Données projet'!$B$114,BY167+BX168-CG167)))</f>
        <v>0</v>
      </c>
      <c r="BZ168" s="150" t="str">
        <f>BY168*VLOOKUP('Données projet'!$B$12,'Paramètres'!$A$1:$I$88,3,0)*VLOOKUP('Données projet'!$B$12,'Paramètres'!$A$1:$I$88,5,0)</f>
        <v>#N/A</v>
      </c>
      <c r="CA168" s="150" t="str">
        <f t="shared" si="40"/>
        <v>#N/A</v>
      </c>
      <c r="CB168" s="161" t="str">
        <f t="shared" si="11"/>
        <v>#N/A</v>
      </c>
      <c r="CC168" s="153" t="str">
        <f t="shared" si="12"/>
        <v>#N/A</v>
      </c>
      <c r="CD168" s="153" t="str">
        <f>AVERAGE(OFFSET($CC$3,0,0,'Données projet'!$E$12+1,1))-AVERAGE(OFFSET($H$3,0,0,'Données projet'!$E$12+1,1))</f>
        <v>#N/A</v>
      </c>
      <c r="CE168" s="153" t="str">
        <f t="shared" si="41"/>
        <v>#N/A</v>
      </c>
      <c r="CF168" s="154">
        <f>IF(ISNA(VLOOKUP(A168,'Données projet'!$A$113:$I$133,3,0)),0,VLOOKUP(A168,'Données projet'!$A$113:$I$133,3,0))</f>
        <v>0</v>
      </c>
      <c r="CG168" s="154">
        <f>IF(ISNA(VLOOKUP(A168,'Données projet'!$A$113:$I$133,4,0)),0,VLOOKUP(A168,'Données projet'!$A$113:$I$133,4,0))</f>
        <v>0</v>
      </c>
      <c r="CH168" s="155">
        <f>IF(ISNA(VLOOKUP(A168,'Données projet'!$A$113:$I$133,5,0)),0%,VLOOKUP(A168,'Données projet'!$A$113:$I$133,5,0)*VLOOKUP('Données projet'!$B$12,'Paramètres'!$A$1:$I$88,7,0))</f>
        <v>0</v>
      </c>
      <c r="CI168" s="155">
        <f>IF(ISNA(VLOOKUP(A168,'Données projet'!$A$113:$I$133,6,0)),0%,VLOOKUP(A168,'Données projet'!$A$113:$I$133,6,0)*VLOOKUP('Données projet'!$B$12,'Paramètres'!$A$1:$I$88,7,0))</f>
        <v>0</v>
      </c>
      <c r="CJ168" s="155">
        <f>IF(ISNA(VLOOKUP(A168,'Données projet'!$A$113:$I$133,7,0)),0%,VLOOKUP(A168,'Données projet'!$A$113:$I$133,7,0))</f>
        <v>0</v>
      </c>
      <c r="CK168" s="162" t="str">
        <f>EXP(-LN(2)/35)*CK167+(1-EXP(-LN(2)/35))/(LN(2)/35)*CG168*CH168*VLOOKUP('Données projet'!$B$12,'Paramètres'!$A$1:$I$88,3,0)*0.475*44/12</f>
        <v>#N/A</v>
      </c>
      <c r="CL168" s="162" t="str">
        <f>EXP(-LN(2)/25)*CL167+(1-EXP(-LN(2)/25))/(LN(2)/25)*Calculateur!CG168*Calculateur!CI168*VLOOKUP('Données projet'!$B$12,'Paramètres'!$A$1:$I$88,3,0)*0.475*44/12</f>
        <v>#N/A</v>
      </c>
      <c r="CM168" s="162" t="str">
        <f>EXP(-LN(2)/2)*CM167+(1-EXP(-LN(2)/2))/(LN(2)/2)*CG168*CJ168*VLOOKUP('Données projet'!$B$12,'Paramètres'!$A$1:$I$88,3,0)*0.475*44/12</f>
        <v>#N/A</v>
      </c>
      <c r="CN168" s="163" t="str">
        <f t="shared" si="13"/>
        <v>#N/A</v>
      </c>
      <c r="CO168" s="159">
        <f>('Scénario référence'!$F$8+'Scénario référence'!$F$9+'Scénario référence'!$B$17+'Scénario référence'!$B$9+'Scénario référence'!$B$10)*70+IF((45+25*(1-EXP(-0.0175*A168)))&lt;70,'Scénario référence'!$B$16*(45+25*(1-EXP(-0.0175*A168))),70*'Scénario référence'!$B$16)+IF((32+38*(1-EXP(-0.0175*A168)))&lt;70,'Scénario référence'!$B$18*(32+38*(1-EXP(-0.0175*A168))),70*'Scénario référence'!$B$18)</f>
        <v>70</v>
      </c>
      <c r="CP168" s="151">
        <f>IF(A168&gt;30,10,('Scénario référence'!$B$16+'Scénario référence'!$B$17+'Scénario référence'!$B$18+'Scénario référence'!$B$9+'Scénario référence'!$B$10)*A168*10/30+('Scénario référence'!$F$8+'Scénario référence'!$F$9)*10)</f>
        <v>10</v>
      </c>
      <c r="CQ168" s="151" t="str">
        <f>VLOOKUP(A168,'Données projet'!$A$139:$I$159,2,0)</f>
        <v>#N/A</v>
      </c>
      <c r="CR168" s="151" t="str">
        <f>VLOOKUP(A168,'Données projet'!$A$139:$I$159,9,0)</f>
        <v>#N/A</v>
      </c>
      <c r="CS168" s="151" t="str">
        <f t="array" ref="CS168">INDEX(CR:CR,MIN(IF(ISNUMBER(CR168:CR364),ROW(CR168:CR364),"")))</f>
        <v/>
      </c>
      <c r="CT168" s="151">
        <f>IF('Données projet'!$A$140&gt;35,CT167+CS168-DB167,IF(A168&lt;'Données projet'!$A$140,$CQ$205^A168,IF(A168='Données projet'!$A$140,'Données projet'!$B$140,CT167+CS168-DB167)))</f>
        <v>0</v>
      </c>
      <c r="CU168" s="158" t="str">
        <f>CT168*VLOOKUP('Données projet'!$B$13,'Paramètres'!$A$1:$I$88,3,0)*VLOOKUP('Données projet'!$B$13,'Paramètres'!$A$1:$I$88,5,0)</f>
        <v>#N/A</v>
      </c>
      <c r="CV168" s="150" t="str">
        <f t="shared" si="42"/>
        <v>#N/A</v>
      </c>
      <c r="CW168" s="161" t="str">
        <f t="shared" si="14"/>
        <v>#N/A</v>
      </c>
      <c r="CX168" s="153" t="str">
        <f t="shared" si="15"/>
        <v>#N/A</v>
      </c>
      <c r="CY168" s="153" t="str">
        <f>AVERAGE(OFFSET($CX$3,0,0,'Données projet'!$E$13+1,1))-AVERAGE(OFFSET($H$3,0,0,'Données projet'!$E$13+1,1))</f>
        <v>#N/A</v>
      </c>
      <c r="CZ168" s="153" t="str">
        <f t="shared" si="43"/>
        <v>#N/A</v>
      </c>
      <c r="DA168" s="154">
        <f>IF(ISNA(VLOOKUP(A168,'Données projet'!$A$139:$I$159,3,0)),0,VLOOKUP(A168,'Données projet'!$A$139:$I$159,3,0))</f>
        <v>0</v>
      </c>
      <c r="DB168" s="154">
        <f>IF(ISNA(VLOOKUP(A168,'Données projet'!$A$139:$I$159,4,0)),0,VLOOKUP(A168,'Données projet'!$A$139:$I$159,4,0))</f>
        <v>0</v>
      </c>
      <c r="DC168" s="155">
        <f>IF(ISNA(VLOOKUP(A168,'Données projet'!$A$139:$I$159,5,0)),0%,VLOOKUP(A168,'Données projet'!$A$139:$I$159,5,0)*VLOOKUP('Données projet'!$B$13,'Paramètres'!$A$1:$I$88,7,0))</f>
        <v>0</v>
      </c>
      <c r="DD168" s="155">
        <f>IF(ISNA(VLOOKUP(A168,'Données projet'!$A$139:$I$159,6,0)),0%,VLOOKUP(A168,'Données projet'!$A$139:$I$159,6,0)*VLOOKUP('Données projet'!$B$13,'Paramètres'!$A$1:$I$88,7,0))</f>
        <v>0</v>
      </c>
      <c r="DE168" s="155">
        <f>IF(ISNA(VLOOKUP(A168,'Données projet'!$A$139:$I$159,7,0)),0%,VLOOKUP(A168,'Données projet'!$A$139:$I$159,7,0))</f>
        <v>0</v>
      </c>
      <c r="DF168" s="162" t="str">
        <f>EXP(-LN(2)/35)*DF167+(1-EXP(-LN(2)/35))/(LN(2)/35)*DB168*DC168*VLOOKUP('Données projet'!$B$13,'Paramètres'!$A$1:$I$88,3,0)*0.475*44/12</f>
        <v>#N/A</v>
      </c>
      <c r="DG168" s="162" t="str">
        <f>EXP(-LN(2)/25)*DG167+(1-EXP(-LN(2)/25))/(LN(2)/25)*Calculateur!DB168*Calculateur!DD168*VLOOKUP('Données projet'!$B$13,'Paramètres'!$A$1:$I$88,3,0)*0.475*44/12</f>
        <v>#N/A</v>
      </c>
      <c r="DH168" s="162" t="str">
        <f>EXP(-LN(2)/2)*DH167+(1-EXP(-LN(2)/2))/(LN(2)/2)*DB168*DE168*VLOOKUP('Données projet'!$B$13,'Paramètres'!$A$1:$I$88,3,0)*0.475*44/12</f>
        <v>#N/A</v>
      </c>
      <c r="DI168" s="163" t="str">
        <f t="shared" si="16"/>
        <v>#N/A</v>
      </c>
      <c r="DJ168" s="159">
        <f>('Scénario référence'!$F$8+'Scénario référence'!$F$9+'Scénario référence'!$B$17+'Scénario référence'!$B$9+'Scénario référence'!$B$10)*70+IF((45+25*(1-EXP(-0.0175*A168)))&lt;70,'Scénario référence'!$B$16*(45+25*(1-EXP(-0.0175*A168))),70*'Scénario référence'!$B$16)+IF((32+38*(1-EXP(-0.0175*A168)))&lt;70,'Scénario référence'!$B$18*(32+38*(1-EXP(-0.0175*A168))),70*'Scénario référence'!$B$18)</f>
        <v>70</v>
      </c>
      <c r="DK168" s="151">
        <f>IF(A168&gt;30,10,('Scénario référence'!$B$16+'Scénario référence'!$B$17+'Scénario référence'!$B$18+'Scénario référence'!$B$9+'Scénario référence'!$B$10)*A168*10/30+('Scénario référence'!$F$8+'Scénario référence'!$F$9)*10)</f>
        <v>10</v>
      </c>
      <c r="DL168" s="151" t="str">
        <f>VLOOKUP(A168,'Données projet'!$A$165:$I$185,2,0)</f>
        <v>#N/A</v>
      </c>
      <c r="DM168" s="151" t="str">
        <f>VLOOKUP(A168,'Données projet'!$A$165:$I$185,9,0)</f>
        <v>#N/A</v>
      </c>
      <c r="DN168" s="151" t="str">
        <f t="array" ref="DN168">INDEX(DM:DM,MIN(IF(ISNUMBER(DM168:DM364),ROW(DM168:DM364),"")))</f>
        <v/>
      </c>
      <c r="DO168" s="151">
        <f>IF('Données projet'!$A$166&gt;35,DO167+DN168-DW167,IF(A168&lt;'Données projet'!$A$166,$DL$205^A168,IF(A168='Données projet'!$A$166,'Données projet'!$B$166,DO167+DN168-DW167)))</f>
        <v>0</v>
      </c>
      <c r="DP168" s="158" t="str">
        <f>DO168*VLOOKUP('Données projet'!$B$14,'Paramètres'!$A$1:$I$88,3,0)*VLOOKUP('Données projet'!$B$14,'Paramètres'!$A$1:$I$88,5,0)</f>
        <v>#N/A</v>
      </c>
      <c r="DQ168" s="150" t="str">
        <f t="shared" si="44"/>
        <v>#N/A</v>
      </c>
      <c r="DR168" s="161" t="str">
        <f t="shared" si="17"/>
        <v>#N/A</v>
      </c>
      <c r="DS168" s="153" t="str">
        <f t="shared" si="18"/>
        <v>#N/A</v>
      </c>
      <c r="DT168" s="153" t="str">
        <f>AVERAGE(OFFSET($DS$3,0,0,'Données projet'!$E$14+1,1))-AVERAGE(OFFSET($H$3,0,0,'Données projet'!$E$14+1,1))</f>
        <v>#N/A</v>
      </c>
      <c r="DU168" s="153" t="str">
        <f t="shared" si="45"/>
        <v>#N/A</v>
      </c>
      <c r="DV168" s="154">
        <f>IF(ISNA(VLOOKUP(A168,'Données projet'!$A$165:$I$185,3,0)),0,VLOOKUP(A168,'Données projet'!$A$165:$I$185,3,0))</f>
        <v>0</v>
      </c>
      <c r="DW168" s="154">
        <f>IF(ISNA(VLOOKUP(A168,'Données projet'!$A$165:$I$185,4,0)),0,VLOOKUP(A168,'Données projet'!$A$165:$I$185,4,0))</f>
        <v>0</v>
      </c>
      <c r="DX168" s="155">
        <f>IF(ISNA(VLOOKUP(A168,'Données projet'!$A$165:$I$185,5,0)),0%,VLOOKUP(A168,'Données projet'!$A$165:$I$185,5,0)*VLOOKUP('Données projet'!$B$14,'Paramètres'!$A$1:$I$88,7,0))</f>
        <v>0</v>
      </c>
      <c r="DY168" s="155">
        <f>IF(ISNA(VLOOKUP(A168,'Données projet'!$A$165:$I$185,6,0)),0%,VLOOKUP(A168,'Données projet'!$A$165:$I$185,6,0)*VLOOKUP('Données projet'!$B$14,'Paramètres'!$A$1:$I$88,7,0))</f>
        <v>0</v>
      </c>
      <c r="DZ168" s="155">
        <f>IF(ISNA(VLOOKUP(A168,'Données projet'!$A$165:$I$185,7,0)),0%,VLOOKUP(A168,'Données projet'!$A$165:$I$185,7,0))</f>
        <v>0</v>
      </c>
      <c r="EA168" s="162" t="str">
        <f>EXP(-LN(2)/35)*EA167+(1-EXP(-LN(2)/35))/(LN(2)/35)*DW168*DX168*VLOOKUP('Données projet'!$B$14,'Paramètres'!$A$1:$I$88,3,0)*0.475*44/12</f>
        <v>#N/A</v>
      </c>
      <c r="EB168" s="162" t="str">
        <f>EXP(-LN(2)/25)*EB167+(1-EXP(-LN(2)/25))/(LN(2)/25)*Calculateur!DW168*Calculateur!DY168*VLOOKUP('Données projet'!$B$14,'Paramètres'!$A$1:$I$88,3,0)*0.475*44/12</f>
        <v>#N/A</v>
      </c>
      <c r="EC168" s="162" t="str">
        <f>EXP(-LN(2)/2)*EC167+(1-EXP(-LN(2)/2))/(LN(2)/2)*DW168*DZ168*VLOOKUP('Données projet'!$B$14,'Paramètres'!$A$1:$I$88,3,0)*0.475*44/12</f>
        <v>#N/A</v>
      </c>
      <c r="ED168" s="163" t="str">
        <f t="shared" si="19"/>
        <v>#N/A</v>
      </c>
      <c r="EE168" s="159">
        <f>('Scénario référence'!$F$8+'Scénario référence'!$F$9+'Scénario référence'!$B$17+'Scénario référence'!$B$9+'Scénario référence'!$B$10)*70+IF((45+25*(1-EXP(-0.0175*A168)))&lt;70,'Scénario référence'!$B$16*(45+25*(1-EXP(-0.0175*A168))),70*'Scénario référence'!$B$16)+IF((32+38*(1-EXP(-0.0175*A168)))&lt;70,'Scénario référence'!$B$18*(32+38*(1-EXP(-0.0175*A168))),70*'Scénario référence'!$B$18)</f>
        <v>70</v>
      </c>
      <c r="EF168" s="151">
        <f>IF(A168&gt;30,10,('Scénario référence'!$B$16+'Scénario référence'!$B$17+'Scénario référence'!$B$18+'Scénario référence'!$B$9+'Scénario référence'!$B$10)*A168*10/30+('Scénario référence'!$F$8+'Scénario référence'!$F$9)*10)</f>
        <v>10</v>
      </c>
      <c r="EG168" s="151" t="str">
        <f>VLOOKUP(A168,'Données projet'!$A$191:$I$211,2,0)</f>
        <v>#N/A</v>
      </c>
      <c r="EH168" s="151" t="str">
        <f>VLOOKUP(A168,'Données projet'!$A$191:$I$211,9,0)</f>
        <v>#N/A</v>
      </c>
      <c r="EI168" s="151" t="str">
        <f t="array" ref="EI168">INDEX(EH:EH,MIN(IF(ISNUMBER(EH168:EH364),ROW(EH168:EH364),"")))</f>
        <v/>
      </c>
      <c r="EJ168" s="151">
        <f>IF('Données projet'!$A$192&gt;35,EJ167+EI168-ER167,IF(A168&lt;'Données projet'!$A$192,$EG$205^A168,IF(A168='Données projet'!$A$192,'Données projet'!$B$192,EJ167+EI168-ER167)))</f>
        <v>0</v>
      </c>
      <c r="EK168" s="158" t="str">
        <f>EJ168*VLOOKUP('Données projet'!$B$15,'Paramètres'!$A$1:$I$88,3,0)*VLOOKUP('Données projet'!$B$15,'Paramètres'!$A$1:$I$88,5,0)</f>
        <v>#N/A</v>
      </c>
      <c r="EL168" s="150" t="str">
        <f t="shared" si="46"/>
        <v>#N/A</v>
      </c>
      <c r="EM168" s="161" t="str">
        <f t="shared" si="20"/>
        <v>#N/A</v>
      </c>
      <c r="EN168" s="153" t="str">
        <f t="shared" si="21"/>
        <v>#N/A</v>
      </c>
      <c r="EO168" s="153" t="str">
        <f>AVERAGE(OFFSET($EN$3,0,0,'Données projet'!$E$15+1,1))-AVERAGE(OFFSET($H$3,0,0,'Données projet'!$E$15+1,1))</f>
        <v>#N/A</v>
      </c>
      <c r="EP168" s="153" t="str">
        <f t="shared" si="47"/>
        <v>#N/A</v>
      </c>
      <c r="EQ168" s="154">
        <f>IF(ISNA(VLOOKUP(A168,'Données projet'!$A$191:$I$211,3,0)),0,VLOOKUP(A168,'Données projet'!$A$191:$I$211,3,0))</f>
        <v>0</v>
      </c>
      <c r="ER168" s="154">
        <f>IF(ISNA(VLOOKUP(A168,'Données projet'!$A$191:$I$211,4,0)),0,VLOOKUP(A168,'Données projet'!$A$191:$I$211,4,0))</f>
        <v>0</v>
      </c>
      <c r="ES168" s="155">
        <f>IF(ISNA(VLOOKUP(A168,'Données projet'!$A$191:$I$211,5,0)),0%,VLOOKUP(A168,'Données projet'!$A$191:$I$211,5,0)*VLOOKUP('Données projet'!$B$15,'Paramètres'!$A$1:$I$88,7,0))</f>
        <v>0</v>
      </c>
      <c r="ET168" s="155">
        <f>IF(ISNA(VLOOKUP(A168,'Données projet'!$A$191:$I$211,6,0)),0%,VLOOKUP(A168,'Données projet'!$A$191:$I$211,6,0)*VLOOKUP('Données projet'!$B$15,'Paramètres'!$A$1:$I$88,7,0))</f>
        <v>0</v>
      </c>
      <c r="EU168" s="155">
        <f>IF(ISNA(VLOOKUP(A168,'Données projet'!$A$191:$I$211,7,0)),0%,VLOOKUP(A168,'Données projet'!$A$191:$I$211,7,0))</f>
        <v>0</v>
      </c>
      <c r="EV168" s="162" t="str">
        <f>EXP(-LN(2)/35)*EV167+(1-EXP(-LN(2)/35))/(LN(2)/35)*ER168*ES168*VLOOKUP('Données projet'!$B$15,'Paramètres'!$A$1:$I$88,3,0)*0.475*44/12</f>
        <v>#N/A</v>
      </c>
      <c r="EW168" s="162" t="str">
        <f>EXP(-LN(2)/25)*EW167+(1-EXP(-LN(2)/25))/(LN(2)/25)*Calculateur!ER168*Calculateur!ET168*VLOOKUP('Données projet'!$B$15,'Paramètres'!$A$1:$I$88,3,0)*0.475*44/12</f>
        <v>#N/A</v>
      </c>
      <c r="EX168" s="162" t="str">
        <f>EXP(-LN(2)/2)*EX167+(1-EXP(-LN(2)/2))/(LN(2)/2)*ER168*EU168*VLOOKUP('Données projet'!$B$15,'Paramètres'!$A$1:$I$88,3,0)*0.475*44/12</f>
        <v>#N/A</v>
      </c>
      <c r="EY168" s="163" t="str">
        <f t="shared" si="22"/>
        <v>#N/A</v>
      </c>
      <c r="EZ168" s="159">
        <f>('Scénario référence'!$F$8+'Scénario référence'!$F$9+'Scénario référence'!$B$17+'Scénario référence'!$B$9+'Scénario référence'!$B$10)*70+IF((45+25*(1-EXP(-0.0175*A168)))&lt;70,'Scénario référence'!$B$16*(45+25*(1-EXP(-0.0175*A168))),70*'Scénario référence'!$B$16)+IF((32+38*(1-EXP(-0.0175*A168)))&lt;70,'Scénario référence'!$B$18*(32+38*(1-EXP(-0.0175*A168))),70*'Scénario référence'!$B$18)</f>
        <v>70</v>
      </c>
      <c r="FA168" s="151">
        <f>IF(A168&gt;30,10,('Scénario référence'!$B$16+'Scénario référence'!$B$17+'Scénario référence'!$B$18+'Scénario référence'!$B$9+'Scénario référence'!$B$10)*A168*10/30+('Scénario référence'!$F$8+'Scénario référence'!$F$9)*10)</f>
        <v>10</v>
      </c>
      <c r="FB168" s="151" t="str">
        <f>VLOOKUP(A168,'Données projet'!$A$217:$I$237,2,0)</f>
        <v>#N/A</v>
      </c>
      <c r="FC168" s="151" t="str">
        <f>VLOOKUP(A168,'Données projet'!$A$217:$I$237,9,0)</f>
        <v>#N/A</v>
      </c>
      <c r="FD168" s="151" t="str">
        <f t="array" ref="FD168">INDEX(FC:FC,MIN(IF(ISNUMBER(FC168:FC364),ROW(FC168:FC364),"")))</f>
        <v/>
      </c>
      <c r="FE168" s="151">
        <f>IF('Données projet'!$A$218&gt;35,FE167+FD168-FM167,IF(A168&lt;'Données projet'!$A$218,$FB$205^A168,IF(A168='Données projet'!$A$218,'Données projet'!$B$218,FE167+FD168-FM167)))</f>
        <v>0</v>
      </c>
      <c r="FF168" s="158" t="str">
        <f>FE168*VLOOKUP('Données projet'!$B$16,'Paramètres'!$A$1:$I$88,3,0)*VLOOKUP('Données projet'!$B$16,'Paramètres'!$A$1:$I$88,5,0)</f>
        <v>#N/A</v>
      </c>
      <c r="FG168" s="150" t="str">
        <f t="shared" si="48"/>
        <v>#N/A</v>
      </c>
      <c r="FH168" s="161" t="str">
        <f t="shared" si="23"/>
        <v>#N/A</v>
      </c>
      <c r="FI168" s="153" t="str">
        <f t="shared" si="24"/>
        <v>#N/A</v>
      </c>
      <c r="FJ168" s="153" t="str">
        <f>AVERAGE(OFFSET($FI$3,0,0,'Données projet'!$E$16+1,1))-AVERAGE(OFFSET($H$3,0,0,'Données projet'!$E$16+1,1))</f>
        <v>#N/A</v>
      </c>
      <c r="FK168" s="153" t="str">
        <f t="shared" si="49"/>
        <v>#N/A</v>
      </c>
      <c r="FL168" s="154">
        <f>IF(ISNA(VLOOKUP(A168,'Données projet'!$A$217:$I$237,3,0)),0,VLOOKUP(A168,'Données projet'!$A$217:$I$237,3,0))</f>
        <v>0</v>
      </c>
      <c r="FM168" s="154">
        <f>IF(ISNA(VLOOKUP(A168,'Données projet'!$A$217:$I$237,4,0)),0,VLOOKUP(A168,'Données projet'!$A$217:$I$237,4,0))</f>
        <v>0</v>
      </c>
      <c r="FN168" s="155">
        <f>IF(ISNA(VLOOKUP(A168,'Données projet'!$A$217:$I$237,5,0)),0%,VLOOKUP(A168,'Données projet'!$A$217:$I$237,5,0)*VLOOKUP('Données projet'!$B$16,'Paramètres'!$A$1:$I$88,7,0))</f>
        <v>0</v>
      </c>
      <c r="FO168" s="155">
        <f>IF(ISNA(VLOOKUP(A168,'Données projet'!$A$217:$I$237,6,0)),0%,VLOOKUP(A168,'Données projet'!$A$217:$I$237,6,0)*VLOOKUP('Données projet'!$B$16,'Paramètres'!$A$1:$I$88,7,0))</f>
        <v>0</v>
      </c>
      <c r="FP168" s="155">
        <f>IF(ISNA(VLOOKUP(A168,'Données projet'!$A$217:$I$237,7,0)),0%,VLOOKUP(A168,'Données projet'!$A$217:$I$237,7,0))</f>
        <v>0</v>
      </c>
      <c r="FQ168" s="162" t="str">
        <f>EXP(-LN(2)/35)*FQ167+(1-EXP(-LN(2)/35))/(LN(2)/35)*FM168*FN168*VLOOKUP('Données projet'!$B$16,'Paramètres'!$A$1:$I$88,3,0)*0.475*44/12</f>
        <v>#N/A</v>
      </c>
      <c r="FR168" s="162" t="str">
        <f>EXP(-LN(2)/25)*FR167+(1-EXP(-LN(2)/25))/(LN(2)/25)*Calculateur!FM168*Calculateur!FO168*VLOOKUP('Données projet'!$B$16,'Paramètres'!$A$1:$I$88,3,0)*0.475*44/12</f>
        <v>#N/A</v>
      </c>
      <c r="FS168" s="162" t="str">
        <f>EXP(-LN(2)/2)*FS167+(1-EXP(-LN(2)/2))/(LN(2)/2)*FM168*FP168*VLOOKUP('Données projet'!$B$16,'Paramètres'!$A$1:$I$88,3,0)*0.475*44/12</f>
        <v>#N/A</v>
      </c>
      <c r="FT168" s="163" t="str">
        <f t="shared" si="25"/>
        <v>#N/A</v>
      </c>
      <c r="FU168" s="159">
        <f>('Scénario référence'!$F$8+'Scénario référence'!$F$9+'Scénario référence'!$B$17+'Scénario référence'!$B$9+'Scénario référence'!$B$10)*70+IF((45+25*(1-EXP(-0.0175*A168)))&lt;70,'Scénario référence'!$B$16*(45+25*(1-EXP(-0.0175*A168))),70*'Scénario référence'!$B$16)+IF((32+38*(1-EXP(-0.0175*A168)))&lt;70,'Scénario référence'!$B$18*(32+38*(1-EXP(-0.0175*A168))),70*'Scénario référence'!$B$18)</f>
        <v>70</v>
      </c>
      <c r="FV168" s="151">
        <f>IF(A168&gt;30,10,('Scénario référence'!$B$16+'Scénario référence'!$B$17+'Scénario référence'!$B$18+'Scénario référence'!$B$9+'Scénario référence'!$B$10)*A168*10/30+('Scénario référence'!$F$8+'Scénario référence'!$F$9)*10)</f>
        <v>10</v>
      </c>
      <c r="FW168" s="151" t="str">
        <f>VLOOKUP(A168,'Données projet'!$A$243:$I$263,2,0)</f>
        <v>#N/A</v>
      </c>
      <c r="FX168" s="151" t="str">
        <f>VLOOKUP(A168,'Données projet'!$A$243:$I$263,9,0)</f>
        <v>#N/A</v>
      </c>
      <c r="FY168" s="151" t="str">
        <f t="array" ref="FY168">INDEX(FX:FX,MIN(IF(ISNUMBER(FX168:FX364),ROW(FX168:FX364),"")))</f>
        <v/>
      </c>
      <c r="FZ168" s="151">
        <f>IF('Données projet'!$A$244&gt;35,FZ167+FY168-GH167,IF(A168&lt;'Données projet'!$A$244,$FW$205^A168,IF(A168='Données projet'!$A$244,'Données projet'!$B$244,FZ167+FY168-GH167)))</f>
        <v>0</v>
      </c>
      <c r="GA168" s="158" t="str">
        <f>FZ168*VLOOKUP('Données projet'!$B$17,'Paramètres'!$A$1:$I$88,3,0)*VLOOKUP('Données projet'!$B$17,'Paramètres'!$A$1:$I$88,5,0)</f>
        <v>#N/A</v>
      </c>
      <c r="GB168" s="150" t="str">
        <f t="shared" si="50"/>
        <v>#N/A</v>
      </c>
      <c r="GC168" s="161" t="str">
        <f t="shared" si="26"/>
        <v>#N/A</v>
      </c>
      <c r="GD168" s="153" t="str">
        <f t="shared" si="27"/>
        <v>#N/A</v>
      </c>
      <c r="GE168" s="153" t="str">
        <f>AVERAGE(OFFSET($GD$3,0,0,'Données projet'!$E$17+1,1))-AVERAGE(OFFSET($H$3,0,0,'Données projet'!$E$17+1,1))</f>
        <v>#N/A</v>
      </c>
      <c r="GF168" s="153" t="str">
        <f t="shared" si="51"/>
        <v>#N/A</v>
      </c>
      <c r="GG168" s="154">
        <f>IF(ISNA(VLOOKUP(A168,'Données projet'!$A$243:$I$263,3,0)),0,VLOOKUP(A168,'Données projet'!$A$243:$I$263,3,0))</f>
        <v>0</v>
      </c>
      <c r="GH168" s="154">
        <f>IF(ISNA(VLOOKUP(A168,'Données projet'!$A$243:$I$263,4,0)),0,VLOOKUP(A168,'Données projet'!$A$243:$I$263,4,0))</f>
        <v>0</v>
      </c>
      <c r="GI168" s="155">
        <f>IF(ISNA(VLOOKUP(A168,'Données projet'!$A$243:$I$263,5,0)),0%,VLOOKUP(A168,'Données projet'!$A$243:$I$263,5,0)*VLOOKUP('Données projet'!$B$17,'Paramètres'!$A$1:$I$88,7,0))</f>
        <v>0</v>
      </c>
      <c r="GJ168" s="155">
        <f>IF(ISNA(VLOOKUP(A168,'Données projet'!$A$243:$I$263,6,0)),0%,VLOOKUP(A168,'Données projet'!$A$243:$I$263,6,0)*VLOOKUP('Données projet'!$B$17,'Paramètres'!$A$1:$I$88,7,0))</f>
        <v>0</v>
      </c>
      <c r="GK168" s="155">
        <f>IF(ISNA(VLOOKUP(A168,'Données projet'!$A$243:$I$263,7,0)),0%,VLOOKUP(A168,'Données projet'!$A$243:$I$263,7,0))</f>
        <v>0</v>
      </c>
      <c r="GL168" s="162" t="str">
        <f>EXP(-LN(2)/35)*GL167+(1-EXP(-LN(2)/35))/(LN(2)/35)*GH168*GI168*VLOOKUP('Données projet'!$B$17,'Paramètres'!$A$1:$I$88,3,0)*0.475*44/12</f>
        <v>#N/A</v>
      </c>
      <c r="GM168" s="162" t="str">
        <f>EXP(-LN(2)/25)*GM167+(1-EXP(-LN(2)/25))/(LN(2)/25)*Calculateur!GH168*Calculateur!GJ168*VLOOKUP('Données projet'!$B$17,'Paramètres'!$A$1:$I$88,3,0)*0.475*44/12</f>
        <v>#N/A</v>
      </c>
      <c r="GN168" s="162" t="str">
        <f>EXP(-LN(2)/2)*GN167+(1-EXP(-LN(2)/2))/(LN(2)/2)*GH168*GK168*VLOOKUP('Données projet'!$B$17,'Paramètres'!$A$1:$I$88,3,0)*0.475*44/12</f>
        <v>#N/A</v>
      </c>
      <c r="GO168" s="162" t="str">
        <f t="shared" si="28"/>
        <v>#N/A</v>
      </c>
      <c r="GP168" s="159">
        <f>('Scénario référence'!$F$8+'Scénario référence'!$F$9+'Scénario référence'!$B$17+'Scénario référence'!$B$9+'Scénario référence'!$B$10)*70+IF((45+25*(1-EXP(-0.0175*A168)))&lt;70,'Scénario référence'!$B$16*(45+25*(1-EXP(-0.0175*A168))),70*'Scénario référence'!$B$16)+IF((32+38*(1-EXP(-0.0175*A168)))&lt;70,'Scénario référence'!$B$18*(32+38*(1-EXP(-0.0175*A168))),70*'Scénario référence'!$B$18)</f>
        <v>70</v>
      </c>
      <c r="GQ168" s="151">
        <f>IF(A168&gt;30,10,('Scénario référence'!$B$16+'Scénario référence'!$B$17+'Scénario référence'!$B$18+'Scénario référence'!$B$9+'Scénario référence'!$B$10)*A168*10/30+('Scénario référence'!$F$8+'Scénario référence'!$F$9)*10)</f>
        <v>10</v>
      </c>
      <c r="GR168" s="151" t="str">
        <f>VLOOKUP(A168,'Données projet'!$A$269:$I$289,2,0)</f>
        <v>#N/A</v>
      </c>
      <c r="GS168" s="151" t="str">
        <f>VLOOKUP(A168,'Données projet'!$A$269:$I$289,9,0)</f>
        <v>#N/A</v>
      </c>
      <c r="GT168" s="151" t="str">
        <f t="array" ref="GT168">INDEX(GS:GS,MIN(IF(ISNUMBER(GS168:GS364),ROW(GS168:GS364),"")))</f>
        <v/>
      </c>
      <c r="GU168" s="151">
        <f>IF('Données projet'!$A$270&gt;35,GU167+GT168-HC167,IF(A168&lt;'Données projet'!$A$270,$GR$205^A168,IF(A168='Données projet'!$A$270,'Données projet'!$B$270,GU167+GT168-HC167)))</f>
        <v>0</v>
      </c>
      <c r="GV168" s="158" t="str">
        <f>GU168*VLOOKUP('Données projet'!$B$18,'Paramètres'!$A$1:$I$88,3,0)*VLOOKUP('Données projet'!$B$18,'Paramètres'!$A$1:$I$88,5,0)</f>
        <v>#N/A</v>
      </c>
      <c r="GW168" s="150" t="str">
        <f t="shared" si="52"/>
        <v>#N/A</v>
      </c>
      <c r="GX168" s="161" t="str">
        <f t="shared" si="29"/>
        <v>#N/A</v>
      </c>
      <c r="GY168" s="153" t="str">
        <f t="shared" si="30"/>
        <v>#N/A</v>
      </c>
      <c r="GZ168" s="153" t="str">
        <f>AVERAGE(OFFSET($GY$3,0,0,'Données projet'!$E$18+1,1))-AVERAGE(OFFSET($H$3,0,0,'Données projet'!$E$18+1,1))</f>
        <v>#N/A</v>
      </c>
      <c r="HA168" s="153" t="str">
        <f t="shared" si="53"/>
        <v>#N/A</v>
      </c>
      <c r="HB168" s="154">
        <f>IF(ISNA(VLOOKUP(A168,'Données projet'!$A$269:$I$289,3,0)),0,VLOOKUP(A168,'Données projet'!$A$269:$I$289,3,0))</f>
        <v>0</v>
      </c>
      <c r="HC168" s="154">
        <f>IF(ISNA(VLOOKUP(A168,'Données projet'!$A$269:$I$289,4,0)),0,VLOOKUP(A168,'Données projet'!$A$269:$I$289,4,0))</f>
        <v>0</v>
      </c>
      <c r="HD168" s="155">
        <f>IF(ISNA(VLOOKUP(A168,'Données projet'!$A$269:$I$289,5,0)),0%,VLOOKUP(A168,'Données projet'!$A$269:$I$289,5,0)*VLOOKUP('Données projet'!$B$18,'Paramètres'!$A$1:$I$88,7,0))</f>
        <v>0</v>
      </c>
      <c r="HE168" s="155">
        <f>IF(ISNA(VLOOKUP(A168,'Données projet'!$A$269:$I$289,6,0)),0%,VLOOKUP(A168,'Données projet'!$A$269:$I$289,6,0)*VLOOKUP('Données projet'!$B$18,'Paramètres'!$A$1:$I$88,7,0))</f>
        <v>0</v>
      </c>
      <c r="HF168" s="155">
        <f>IF(ISNA(VLOOKUP(A168,'Données projet'!$A$269:$I$289,7,0)),0%,VLOOKUP(A168,'Données projet'!$A$269:$I$289,7,0))</f>
        <v>0</v>
      </c>
      <c r="HG168" s="162" t="str">
        <f>EXP(-LN(2)/35)*HG167+(1-EXP(-LN(2)/35))/(LN(2)/35)*HC168*HD168*VLOOKUP('Données projet'!$B$18,'Paramètres'!$A$1:$I$88,3,0)*0.475*44/12</f>
        <v>#N/A</v>
      </c>
      <c r="HH168" s="162" t="str">
        <f>EXP(-LN(2)/25)*HH167+(1-EXP(-LN(2)/25))/(LN(2)/25)*Calculateur!HC168*Calculateur!HE168*VLOOKUP('Données projet'!$B$18,'Paramètres'!$A$1:$I$88,3,0)*0.475*44/12</f>
        <v>#N/A</v>
      </c>
      <c r="HI168" s="162" t="str">
        <f>EXP(-LN(2)/2)*HI167+(1-EXP(-LN(2)/2))/(LN(2)/2)*HC168*HF168*VLOOKUP('Données projet'!$B$18,'Paramètres'!$A$1:$I$88,3,0)*0.475*44/12</f>
        <v>#N/A</v>
      </c>
      <c r="HJ168" s="163" t="str">
        <f t="shared" si="31"/>
        <v>#N/A</v>
      </c>
    </row>
    <row r="169" ht="15.75" customHeight="1">
      <c r="A169" s="145">
        <f t="shared" si="32"/>
        <v>166</v>
      </c>
      <c r="B169" s="146">
        <f>'Scénario référence'!$B$16*5+'Scénario référence'!$B$17*0+'Scénario référence'!$B$18*5</f>
        <v>0</v>
      </c>
      <c r="C169" s="160">
        <f>Calculateur!C168+'Scénario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69" s="147">
        <f t="shared" si="33"/>
        <v>0</v>
      </c>
      <c r="E169" s="147">
        <f>'Scénario référence'!$B$16*45+('Scénario référence'!$B$17+'Scénario référence'!$F$8+'Scénario référence'!$F$9+'Scénario référence'!$B$10+'Scénario référence'!$B$9)*70+'Scénario référence'!$B$18*32</f>
        <v>70</v>
      </c>
      <c r="F169" s="147">
        <f>IF(OR('Scénario référence'!$F$8&gt;0,'Scénario référence'!$F$9&gt;0),('Scénario référence'!$F$8+'Scénario référence'!$F$9)*10,0)</f>
        <v>0</v>
      </c>
      <c r="G169" s="147">
        <f>'Scénario référence'!$B$8*B169*44/12+'Scénario référence'!$B$9*(C169+D169)/0.475*44/12+'Scénario référence'!$B$10*(C169+D169)/0.475*44/12+'Scénario référence'!$F$8*(C169+D169)/0.475*44/12+'Scénario référence'!$F$9*(C169+D169)/0.475*44/12</f>
        <v>0</v>
      </c>
      <c r="H169" s="148">
        <f t="shared" si="1"/>
        <v>256.6666667</v>
      </c>
      <c r="I169" s="149">
        <f>('Scénario référence'!$F$8+'Scénario référence'!$F$9+'Scénario référence'!$B$17+'Scénario référence'!$B$9+'Scénario référence'!$B$10)*70+IF((45+25*(1-EXP(-0.0175*A169)))&lt;70,'Scénario référence'!$B$16*(45+25*(1-EXP(-0.0175*A169))),70*'Scénario référence'!$B$16)+IF((32+38*(1-EXP(-0.0175*A169)))&lt;70,'Scénario référence'!$B$18*(32+38*(1-EXP(-0.0175*A169))),70*'Scénario référence'!$B$18)</f>
        <v>70</v>
      </c>
      <c r="J169" s="150">
        <f>IF(A169&gt;30,10,('Scénario référence'!$B$16+'Scénario référence'!$B$17+'Scénario référence'!$B$18+'Scénario référence'!$B$9+'Scénario référence'!$B$10)*A169*10/30+('Scénario référence'!$F$8+'Scénario référence'!$F$9)*10)</f>
        <v>10</v>
      </c>
      <c r="K169" s="151" t="str">
        <f>VLOOKUP(A169,'Données projet'!$A$35:$I$55,2,0)</f>
        <v>#N/A</v>
      </c>
      <c r="L169" s="151" t="str">
        <f>VLOOKUP(A169,'Données projet'!$A$35:$I$55,9,0)</f>
        <v>#N/A</v>
      </c>
      <c r="M169" s="151" t="str">
        <f t="array" ref="M169">INDEX(L:L,MIN(IF(ISNUMBER(L169:L365),ROW(L169:L365),"")))</f>
        <v/>
      </c>
      <c r="N169" s="150">
        <f>IF('Données projet'!$A$36&gt;35,N168+M169-V168,IF(A169&lt;'Données projet'!$A$36,$K$205^A169,IF(A169='Données projet'!$A$36,'Données projet'!$B$36,N168+M169-V168)))</f>
        <v>307</v>
      </c>
      <c r="O169" s="150">
        <f>N169*VLOOKUP('Données projet'!$B$9,'Paramètres'!$A$1:$I$88,3,0)*VLOOKUP('Données projet'!$B$9,'Paramètres'!$A$1:$I$88,5,0)</f>
        <v>277.7736</v>
      </c>
      <c r="P169" s="150">
        <f t="shared" si="34"/>
        <v>66.49628818</v>
      </c>
      <c r="Q169" s="161">
        <f t="shared" si="2"/>
        <v>599.6033886</v>
      </c>
      <c r="R169" s="153">
        <f t="shared" si="3"/>
        <v>892.9367219</v>
      </c>
      <c r="S169" s="153">
        <f>AVERAGE(OFFSET($R$3,0,0,'Données projet'!$E$9+1,1))-AVERAGE(OFFSET($H$3,0,0,'Données projet'!$E$9+1,1))</f>
        <v>439.1985427</v>
      </c>
      <c r="T169" s="153">
        <f t="shared" si="35"/>
        <v>278.2174123</v>
      </c>
      <c r="U169" s="154">
        <f>IF(ISNA(VLOOKUP(A169,'Données projet'!$A$35:$I$55,3,0)),0,VLOOKUP(A169,'Données projet'!$A$35:$I$55,3,0))</f>
        <v>0</v>
      </c>
      <c r="V169" s="154">
        <f>IF(ISNA(VLOOKUP(A169,'Données projet'!$A$35:$I$55,4,0)),0,VLOOKUP(A169,'Données projet'!$A$35:$I$55,4,0))</f>
        <v>0</v>
      </c>
      <c r="W169" s="155">
        <f>IF(ISNA(VLOOKUP(A169,'Données projet'!$A$35:$I$55,5,0)),0%,VLOOKUP(A169,'Données projet'!$A$35:$I$55,5,0)*VLOOKUP('Données projet'!$B$9,'Paramètres'!$A$1:$I$88,7,0))</f>
        <v>0</v>
      </c>
      <c r="X169" s="155">
        <f>IF(ISNA(VLOOKUP(A169,'Données projet'!$A$35:$I$55,6,0)),0%,VLOOKUP(A169,'Données projet'!$A$35:$I$55,6,0)*VLOOKUP('Données projet'!$B$9,'Paramètres'!$A$1:$I$88,7,0))</f>
        <v>0</v>
      </c>
      <c r="Y169" s="155">
        <f>IF(ISNA(VLOOKUP(A169,'Données projet'!$A$35:$I$55,7,0)),0%,VLOOKUP(A169,'Données projet'!$A$35:$I$55,7,0))</f>
        <v>0</v>
      </c>
      <c r="Z169" s="162">
        <f>EXP(-LN(2)/35)*Z168+(1-EXP(-LN(2)/35))/(LN(2)/35)*V169*W169*VLOOKUP('Données projet'!$B$9,'Paramètres'!$A$1:$I$88,3,0)*0.475*44/12</f>
        <v>0</v>
      </c>
      <c r="AA169" s="162">
        <f>EXP(-LN(2)/25)*AA168+(1-EXP(-LN(2)/25))/(LN(2)/25)*Calculateur!V169*Calculateur!X169*VLOOKUP('Données projet'!$B$9,'Paramètres'!$A$1:$I$88,3,0)*0.475*44/12</f>
        <v>0.1033734719</v>
      </c>
      <c r="AB169" s="162">
        <f>EXP(-LN(2)/2)*AB168+(1-EXP(-LN(2)/2))/(LN(2)/2)*V169*Y169*VLOOKUP('Données projet'!$B$9,'Paramètres'!$A$1:$I$88,3,0)*0.475*44/12</f>
        <v>0</v>
      </c>
      <c r="AC169" s="163">
        <f t="shared" si="4"/>
        <v>0.1033734719</v>
      </c>
      <c r="AD169" s="150">
        <f>('Scénario référence'!$F$8+'Scénario référence'!$F$9+'Scénario référence'!$B$17+'Scénario référence'!$B$9+'Scénario référence'!$B$10)*70+IF((45+25*(1-EXP(-0.0175*A169)))&lt;70,'Scénario référence'!$B$16*(45+25*(1-EXP(-0.0175*A169))),70*'Scénario référence'!$B$16)+IF((32+38*(1-EXP(-0.0175*A169)))&lt;70,'Scénario référence'!$B$18*(32+38*(1-EXP(-0.0175*A169))),70*'Scénario référence'!$B$18)</f>
        <v>70</v>
      </c>
      <c r="AE169" s="150">
        <f>IF(A169&gt;30,10,('Scénario référence'!$B$16+'Scénario référence'!$B$17+'Scénario référence'!$B$18+'Scénario référence'!$B$9+'Scénario référence'!$B$10)*A169*10/30+('Scénario référence'!$F$8+'Scénario référence'!$F$9)*10)</f>
        <v>10</v>
      </c>
      <c r="AF169" s="151" t="str">
        <f>VLOOKUP(A169,'Données projet'!$A$61:$I$81,2,0)</f>
        <v>#N/A</v>
      </c>
      <c r="AG169" s="151" t="str">
        <f>VLOOKUP(A169,'Données projet'!$A$61:$I$81,9,0)</f>
        <v>#N/A</v>
      </c>
      <c r="AH169" s="151" t="str">
        <f t="array" ref="AH169">INDEX(AG:AG,MIN(IF(ISNUMBER(AG169:AG365),ROW(AG169:AG365),"")))</f>
        <v/>
      </c>
      <c r="AI169" s="150">
        <f>IF('Données projet'!$A$62&gt;35,AI168+AH169-AQ168,IF(A169&lt;'Données projet'!$A$62,$AF$205^A169,IF(A169='Données projet'!$A$62,'Données projet'!$B$62,AI168+AH169-AQ168)))</f>
        <v>369</v>
      </c>
      <c r="AJ169" s="150">
        <f>AI169*VLOOKUP('Données projet'!$B$10,'Paramètres'!$A$1:$I$88,3,0)*VLOOKUP('Données projet'!$B$10,'Paramètres'!$A$1:$I$88,5,0)</f>
        <v>293.5764</v>
      </c>
      <c r="AK169" s="150">
        <f t="shared" si="36"/>
        <v>69.82813851</v>
      </c>
      <c r="AL169" s="161">
        <f t="shared" si="5"/>
        <v>632.9295712</v>
      </c>
      <c r="AM169" s="153">
        <f t="shared" si="6"/>
        <v>926.2629046</v>
      </c>
      <c r="AN169" s="153">
        <f>AVERAGE(OFFSET($AM$3,0,0,'Données projet'!$E$10+1,1))-AVERAGE(OFFSET($H$3,0,0,'Données projet'!$E$10+1,1))</f>
        <v>405.6113614</v>
      </c>
      <c r="AO169" s="153">
        <f t="shared" si="37"/>
        <v>393.0787141</v>
      </c>
      <c r="AP169" s="154">
        <f>IF(ISNA(VLOOKUP(A169,'Données projet'!$A$61:$I$81,3,0)),0,VLOOKUP(A169,'Données projet'!$A$61:$I$81,3,0))</f>
        <v>0</v>
      </c>
      <c r="AQ169" s="154">
        <f>IF(ISNA(VLOOKUP(A169,'Données projet'!$A$61:$I$81,4,0)),0,VLOOKUP(A169,'Données projet'!$A$61:$I$81,4,0))</f>
        <v>0</v>
      </c>
      <c r="AR169" s="155">
        <f>IF(ISNA(VLOOKUP(A169,'Données projet'!$A$61:$I$81,5,0)),0%,VLOOKUP(A169,'Données projet'!$A$61:$I$81,5,0)*VLOOKUP('Données projet'!$B$10,'Paramètres'!$A$1:$I$88,7,0))</f>
        <v>0</v>
      </c>
      <c r="AS169" s="155">
        <f>IF(ISNA(VLOOKUP(A169,'Données projet'!$A$61:$I$81,6,0)),0%,VLOOKUP(A169,'Données projet'!$A$61:$I$81,6,0)*VLOOKUP('Données projet'!$B$10,'Paramètres'!$A$1:$I$88,7,0))</f>
        <v>0</v>
      </c>
      <c r="AT169" s="155">
        <f>IF(ISNA(VLOOKUP(A169,'Données projet'!$A$61:$I$81,7,0)),0%,VLOOKUP(A169,'Données projet'!$A$61:$I$81,7,0))</f>
        <v>0</v>
      </c>
      <c r="AU169" s="162">
        <f>EXP(-LN(2)/35)*AU168+(1-EXP(-LN(2)/35))/(LN(2)/35)*AQ169*AR169*VLOOKUP('Données projet'!$B$10,'Paramètres'!$A$1:$I$88,3,0)*0.475*44/12</f>
        <v>0</v>
      </c>
      <c r="AV169" s="162">
        <f>EXP(-LN(2)/25)*AV168+(1-EXP(-LN(2)/25))/(LN(2)/25)*Calculateur!AQ169*Calculateur!AS169*VLOOKUP('Données projet'!$B$10,'Paramètres'!$A$1:$I$88,3,0)*0.475*44/12</f>
        <v>0.4201360682</v>
      </c>
      <c r="AW169" s="162">
        <f>EXP(-LN(2)/2)*AW168+(1-EXP(-LN(2)/2))/(LN(2)/2)*AQ169*AT169*VLOOKUP('Données projet'!$B$10,'Paramètres'!$A$1:$I$88,3,0)*0.475*44/12</f>
        <v>0</v>
      </c>
      <c r="AX169" s="162">
        <f t="shared" si="7"/>
        <v>0.4201360682</v>
      </c>
      <c r="AY169" s="157">
        <f>('Scénario référence'!$F$8+'Scénario référence'!$F$9+'Scénario référence'!$B$17+'Scénario référence'!$B$9+'Scénario référence'!$B$10)*70+IF((45+25*(1-EXP(-0.0175*A169)))&lt;70,'Scénario référence'!$B$16*(45+25*(1-EXP(-0.0175*A169))),70*'Scénario référence'!$B$16)+IF((32+38*(1-EXP(-0.0175*A169)))&lt;70,'Scénario référence'!$B$18*(32+38*(1-EXP(-0.0175*A169))),70*'Scénario référence'!$B$18)</f>
        <v>70</v>
      </c>
      <c r="AZ169" s="151">
        <f>IF(A169&gt;30,10,('Scénario référence'!$B$16+'Scénario référence'!$B$17+'Scénario référence'!$B$18+'Scénario référence'!$B$9+'Scénario référence'!$B$10)*A169*10/30+('Scénario référence'!$F$8+'Scénario référence'!$F$9)*10)</f>
        <v>10</v>
      </c>
      <c r="BA169" s="151" t="str">
        <f>VLOOKUP(A169,'Données projet'!$A$87:$I$107,2,0)</f>
        <v>#N/A</v>
      </c>
      <c r="BB169" s="151" t="str">
        <f>VLOOKUP(A169,'Données projet'!$A$87:$I$107,9,0)</f>
        <v>#N/A</v>
      </c>
      <c r="BC169" s="151" t="str">
        <f t="array" ref="BC169">INDEX(BB:BB,MIN(IF(ISNUMBER(BB169:BB365),ROW(BB169:BB365),"")))</f>
        <v/>
      </c>
      <c r="BD169" s="150">
        <f>IF('Données projet'!$A$88&gt;35,BD168+BC169-BL168,IF(A169&lt;'Données projet'!$A$88,$BA$205^A169,IF(A169='Données projet'!$A$88,'Données projet'!$B$88,BD168+BC169-BL168)))</f>
        <v>0</v>
      </c>
      <c r="BE169" s="150">
        <f>BD169*VLOOKUP('Données projet'!$B$11,'Paramètres'!$A$1:$I$88,3,0)*VLOOKUP('Données projet'!$B$11,'Paramètres'!$A$1:$I$88,5,0)</f>
        <v>0</v>
      </c>
      <c r="BF169" s="150" t="str">
        <f t="shared" si="38"/>
        <v>#NUM!</v>
      </c>
      <c r="BG169" s="161" t="str">
        <f t="shared" si="8"/>
        <v>#NUM!</v>
      </c>
      <c r="BH169" s="153" t="str">
        <f t="shared" si="9"/>
        <v>#NUM!</v>
      </c>
      <c r="BI169" s="153">
        <f>AVERAGE(OFFSET($BH$3,0,0,'Données projet'!$E$11+1,1))-AVERAGE(OFFSET($H$3,0,0,'Données projet'!$E$11+1,1))</f>
        <v>0</v>
      </c>
      <c r="BJ169" s="153">
        <f t="shared" si="39"/>
        <v>0</v>
      </c>
      <c r="BK169" s="154">
        <f>IF(ISNA(VLOOKUP(A169,'Données projet'!$A$87:$I$107,3,0)),0,VLOOKUP(A169,'Données projet'!$A$87:$I$107,3,0))</f>
        <v>0</v>
      </c>
      <c r="BL169" s="154">
        <f>IF(ISNA(VLOOKUP(A169,'Données projet'!$A$87:$I$107,4,0)),0,VLOOKUP(A169,'Données projet'!$A$87:$I$107,4,0))</f>
        <v>0</v>
      </c>
      <c r="BM169" s="155">
        <f>IF(ISNA(VLOOKUP(A169,'Données projet'!$A$87:$I$107,5,0)),0%,VLOOKUP(A169,'Données projet'!$A$87:$I$107,5,0)*VLOOKUP('Données projet'!$B$11,'Paramètres'!$A$1:$I$88,7,0))</f>
        <v>0</v>
      </c>
      <c r="BN169" s="155">
        <f>IF(ISNA(VLOOKUP(A169,'Données projet'!$A$87:$I$107,6,0)),0%,VLOOKUP(A169,'Données projet'!$A$87:$I$107,6,0)*VLOOKUP('Données projet'!$B$11,'Paramètres'!$A$1:$I$88,7,0))</f>
        <v>0</v>
      </c>
      <c r="BO169" s="155">
        <f>IF(ISNA(VLOOKUP(A169,'Données projet'!$A$87:$I$107,7,0)),0%,VLOOKUP(A169,'Données projet'!$A$87:$I$107,7,0))</f>
        <v>0</v>
      </c>
      <c r="BP169" s="162">
        <f>EXP(-LN(2)/35)*BP168+(1-EXP(-LN(2)/35))/(LN(2)/35)*BL169*BM169*VLOOKUP('Données projet'!$B$11,'Paramètres'!$A$1:$I$88,3,0)*0.475*44/12</f>
        <v>0</v>
      </c>
      <c r="BQ169" s="162">
        <f>EXP(-LN(2)/25)*BQ168+(1-EXP(-LN(2)/25))/(LN(2)/25)*Calculateur!BL169*Calculateur!BN169*VLOOKUP('Données projet'!$B$11,'Paramètres'!$A$1:$I$88,3,0)*0.475*44/12</f>
        <v>0</v>
      </c>
      <c r="BR169" s="162">
        <f>EXP(-LN(2)/2)*BR168+(1-EXP(-LN(2)/2))/(LN(2)/2)*BL169*BO169*VLOOKUP('Données projet'!$B$11,'Paramètres'!$A$1:$I$88,3,0)*0.475*44/12</f>
        <v>0</v>
      </c>
      <c r="BS169" s="163">
        <f t="shared" si="10"/>
        <v>0</v>
      </c>
      <c r="BT169" s="159">
        <f>('Scénario référence'!$F$8+'Scénario référence'!$F$9+'Scénario référence'!$B$17+'Scénario référence'!$B$9+'Scénario référence'!$B$10)*70+IF((45+25*(1-EXP(-0.0175*A169)))&lt;70,'Scénario référence'!$B$16*(45+25*(1-EXP(-0.0175*A169))),70*'Scénario référence'!$B$16)+IF((32+38*(1-EXP(-0.0175*A169)))&lt;70,'Scénario référence'!$B$18*(32+38*(1-EXP(-0.0175*A169))),70*'Scénario référence'!$B$18)</f>
        <v>70</v>
      </c>
      <c r="BU169" s="151">
        <f>IF(A169&gt;30,10,('Scénario référence'!$B$16+'Scénario référence'!$B$17+'Scénario référence'!$B$18+'Scénario référence'!$B$9+'Scénario référence'!$B$10)*A169*10/30+('Scénario référence'!$F$8+'Scénario référence'!$F$9)*10)</f>
        <v>10</v>
      </c>
      <c r="BV169" s="151" t="str">
        <f>VLOOKUP(A169,'Données projet'!$A$113:$I$133,2,0)</f>
        <v>#N/A</v>
      </c>
      <c r="BW169" s="151" t="str">
        <f>VLOOKUP(A169,'Données projet'!$A$113:$I$133,9,0)</f>
        <v>#N/A</v>
      </c>
      <c r="BX169" s="151" t="str">
        <f t="array" ref="BX169">INDEX(BW:BW,MIN(IF(ISNUMBER(BW169:BW365),ROW(BW169:BW365),"")))</f>
        <v/>
      </c>
      <c r="BY169" s="150">
        <f>IF('Données projet'!$A$114&gt;35,BY168+BX169-CG168,IF(A169&lt;'Données projet'!$A$114,$BV$205^A169,IF(A169='Données projet'!$A$114,'Données projet'!$B$114,BY168+BX169-CG168)))</f>
        <v>0</v>
      </c>
      <c r="BZ169" s="150" t="str">
        <f>BY169*VLOOKUP('Données projet'!$B$12,'Paramètres'!$A$1:$I$88,3,0)*VLOOKUP('Données projet'!$B$12,'Paramètres'!$A$1:$I$88,5,0)</f>
        <v>#N/A</v>
      </c>
      <c r="CA169" s="150" t="str">
        <f t="shared" si="40"/>
        <v>#N/A</v>
      </c>
      <c r="CB169" s="161" t="str">
        <f t="shared" si="11"/>
        <v>#N/A</v>
      </c>
      <c r="CC169" s="153" t="str">
        <f t="shared" si="12"/>
        <v>#N/A</v>
      </c>
      <c r="CD169" s="153" t="str">
        <f>AVERAGE(OFFSET($CC$3,0,0,'Données projet'!$E$12+1,1))-AVERAGE(OFFSET($H$3,0,0,'Données projet'!$E$12+1,1))</f>
        <v>#N/A</v>
      </c>
      <c r="CE169" s="153" t="str">
        <f t="shared" si="41"/>
        <v>#N/A</v>
      </c>
      <c r="CF169" s="154">
        <f>IF(ISNA(VLOOKUP(A169,'Données projet'!$A$113:$I$133,3,0)),0,VLOOKUP(A169,'Données projet'!$A$113:$I$133,3,0))</f>
        <v>0</v>
      </c>
      <c r="CG169" s="154">
        <f>IF(ISNA(VLOOKUP(A169,'Données projet'!$A$113:$I$133,4,0)),0,VLOOKUP(A169,'Données projet'!$A$113:$I$133,4,0))</f>
        <v>0</v>
      </c>
      <c r="CH169" s="155">
        <f>IF(ISNA(VLOOKUP(A169,'Données projet'!$A$113:$I$133,5,0)),0%,VLOOKUP(A169,'Données projet'!$A$113:$I$133,5,0)*VLOOKUP('Données projet'!$B$12,'Paramètres'!$A$1:$I$88,7,0))</f>
        <v>0</v>
      </c>
      <c r="CI169" s="155">
        <f>IF(ISNA(VLOOKUP(A169,'Données projet'!$A$113:$I$133,6,0)),0%,VLOOKUP(A169,'Données projet'!$A$113:$I$133,6,0)*VLOOKUP('Données projet'!$B$12,'Paramètres'!$A$1:$I$88,7,0))</f>
        <v>0</v>
      </c>
      <c r="CJ169" s="155">
        <f>IF(ISNA(VLOOKUP(A169,'Données projet'!$A$113:$I$133,7,0)),0%,VLOOKUP(A169,'Données projet'!$A$113:$I$133,7,0))</f>
        <v>0</v>
      </c>
      <c r="CK169" s="162" t="str">
        <f>EXP(-LN(2)/35)*CK168+(1-EXP(-LN(2)/35))/(LN(2)/35)*CG169*CH169*VLOOKUP('Données projet'!$B$12,'Paramètres'!$A$1:$I$88,3,0)*0.475*44/12</f>
        <v>#N/A</v>
      </c>
      <c r="CL169" s="162" t="str">
        <f>EXP(-LN(2)/25)*CL168+(1-EXP(-LN(2)/25))/(LN(2)/25)*Calculateur!CG169*Calculateur!CI169*VLOOKUP('Données projet'!$B$12,'Paramètres'!$A$1:$I$88,3,0)*0.475*44/12</f>
        <v>#N/A</v>
      </c>
      <c r="CM169" s="162" t="str">
        <f>EXP(-LN(2)/2)*CM168+(1-EXP(-LN(2)/2))/(LN(2)/2)*CG169*CJ169*VLOOKUP('Données projet'!$B$12,'Paramètres'!$A$1:$I$88,3,0)*0.475*44/12</f>
        <v>#N/A</v>
      </c>
      <c r="CN169" s="163" t="str">
        <f t="shared" si="13"/>
        <v>#N/A</v>
      </c>
      <c r="CO169" s="159">
        <f>('Scénario référence'!$F$8+'Scénario référence'!$F$9+'Scénario référence'!$B$17+'Scénario référence'!$B$9+'Scénario référence'!$B$10)*70+IF((45+25*(1-EXP(-0.0175*A169)))&lt;70,'Scénario référence'!$B$16*(45+25*(1-EXP(-0.0175*A169))),70*'Scénario référence'!$B$16)+IF((32+38*(1-EXP(-0.0175*A169)))&lt;70,'Scénario référence'!$B$18*(32+38*(1-EXP(-0.0175*A169))),70*'Scénario référence'!$B$18)</f>
        <v>70</v>
      </c>
      <c r="CP169" s="151">
        <f>IF(A169&gt;30,10,('Scénario référence'!$B$16+'Scénario référence'!$B$17+'Scénario référence'!$B$18+'Scénario référence'!$B$9+'Scénario référence'!$B$10)*A169*10/30+('Scénario référence'!$F$8+'Scénario référence'!$F$9)*10)</f>
        <v>10</v>
      </c>
      <c r="CQ169" s="151" t="str">
        <f>VLOOKUP(A169,'Données projet'!$A$139:$I$159,2,0)</f>
        <v>#N/A</v>
      </c>
      <c r="CR169" s="151" t="str">
        <f>VLOOKUP(A169,'Données projet'!$A$139:$I$159,9,0)</f>
        <v>#N/A</v>
      </c>
      <c r="CS169" s="151" t="str">
        <f t="array" ref="CS169">INDEX(CR:CR,MIN(IF(ISNUMBER(CR169:CR365),ROW(CR169:CR365),"")))</f>
        <v/>
      </c>
      <c r="CT169" s="151">
        <f>IF('Données projet'!$A$140&gt;35,CT168+CS169-DB168,IF(A169&lt;'Données projet'!$A$140,$CQ$205^A169,IF(A169='Données projet'!$A$140,'Données projet'!$B$140,CT168+CS169-DB168)))</f>
        <v>0</v>
      </c>
      <c r="CU169" s="158" t="str">
        <f>CT169*VLOOKUP('Données projet'!$B$13,'Paramètres'!$A$1:$I$88,3,0)*VLOOKUP('Données projet'!$B$13,'Paramètres'!$A$1:$I$88,5,0)</f>
        <v>#N/A</v>
      </c>
      <c r="CV169" s="150" t="str">
        <f t="shared" si="42"/>
        <v>#N/A</v>
      </c>
      <c r="CW169" s="161" t="str">
        <f t="shared" si="14"/>
        <v>#N/A</v>
      </c>
      <c r="CX169" s="153" t="str">
        <f t="shared" si="15"/>
        <v>#N/A</v>
      </c>
      <c r="CY169" s="153" t="str">
        <f>AVERAGE(OFFSET($CX$3,0,0,'Données projet'!$E$13+1,1))-AVERAGE(OFFSET($H$3,0,0,'Données projet'!$E$13+1,1))</f>
        <v>#N/A</v>
      </c>
      <c r="CZ169" s="153" t="str">
        <f t="shared" si="43"/>
        <v>#N/A</v>
      </c>
      <c r="DA169" s="154">
        <f>IF(ISNA(VLOOKUP(A169,'Données projet'!$A$139:$I$159,3,0)),0,VLOOKUP(A169,'Données projet'!$A$139:$I$159,3,0))</f>
        <v>0</v>
      </c>
      <c r="DB169" s="154">
        <f>IF(ISNA(VLOOKUP(A169,'Données projet'!$A$139:$I$159,4,0)),0,VLOOKUP(A169,'Données projet'!$A$139:$I$159,4,0))</f>
        <v>0</v>
      </c>
      <c r="DC169" s="155">
        <f>IF(ISNA(VLOOKUP(A169,'Données projet'!$A$139:$I$159,5,0)),0%,VLOOKUP(A169,'Données projet'!$A$139:$I$159,5,0)*VLOOKUP('Données projet'!$B$13,'Paramètres'!$A$1:$I$88,7,0))</f>
        <v>0</v>
      </c>
      <c r="DD169" s="155">
        <f>IF(ISNA(VLOOKUP(A169,'Données projet'!$A$139:$I$159,6,0)),0%,VLOOKUP(A169,'Données projet'!$A$139:$I$159,6,0)*VLOOKUP('Données projet'!$B$13,'Paramètres'!$A$1:$I$88,7,0))</f>
        <v>0</v>
      </c>
      <c r="DE169" s="155">
        <f>IF(ISNA(VLOOKUP(A169,'Données projet'!$A$139:$I$159,7,0)),0%,VLOOKUP(A169,'Données projet'!$A$139:$I$159,7,0))</f>
        <v>0</v>
      </c>
      <c r="DF169" s="162" t="str">
        <f>EXP(-LN(2)/35)*DF168+(1-EXP(-LN(2)/35))/(LN(2)/35)*DB169*DC169*VLOOKUP('Données projet'!$B$13,'Paramètres'!$A$1:$I$88,3,0)*0.475*44/12</f>
        <v>#N/A</v>
      </c>
      <c r="DG169" s="162" t="str">
        <f>EXP(-LN(2)/25)*DG168+(1-EXP(-LN(2)/25))/(LN(2)/25)*Calculateur!DB169*Calculateur!DD169*VLOOKUP('Données projet'!$B$13,'Paramètres'!$A$1:$I$88,3,0)*0.475*44/12</f>
        <v>#N/A</v>
      </c>
      <c r="DH169" s="162" t="str">
        <f>EXP(-LN(2)/2)*DH168+(1-EXP(-LN(2)/2))/(LN(2)/2)*DB169*DE169*VLOOKUP('Données projet'!$B$13,'Paramètres'!$A$1:$I$88,3,0)*0.475*44/12</f>
        <v>#N/A</v>
      </c>
      <c r="DI169" s="163" t="str">
        <f t="shared" si="16"/>
        <v>#N/A</v>
      </c>
      <c r="DJ169" s="159">
        <f>('Scénario référence'!$F$8+'Scénario référence'!$F$9+'Scénario référence'!$B$17+'Scénario référence'!$B$9+'Scénario référence'!$B$10)*70+IF((45+25*(1-EXP(-0.0175*A169)))&lt;70,'Scénario référence'!$B$16*(45+25*(1-EXP(-0.0175*A169))),70*'Scénario référence'!$B$16)+IF((32+38*(1-EXP(-0.0175*A169)))&lt;70,'Scénario référence'!$B$18*(32+38*(1-EXP(-0.0175*A169))),70*'Scénario référence'!$B$18)</f>
        <v>70</v>
      </c>
      <c r="DK169" s="151">
        <f>IF(A169&gt;30,10,('Scénario référence'!$B$16+'Scénario référence'!$B$17+'Scénario référence'!$B$18+'Scénario référence'!$B$9+'Scénario référence'!$B$10)*A169*10/30+('Scénario référence'!$F$8+'Scénario référence'!$F$9)*10)</f>
        <v>10</v>
      </c>
      <c r="DL169" s="151" t="str">
        <f>VLOOKUP(A169,'Données projet'!$A$165:$I$185,2,0)</f>
        <v>#N/A</v>
      </c>
      <c r="DM169" s="151" t="str">
        <f>VLOOKUP(A169,'Données projet'!$A$165:$I$185,9,0)</f>
        <v>#N/A</v>
      </c>
      <c r="DN169" s="151" t="str">
        <f t="array" ref="DN169">INDEX(DM:DM,MIN(IF(ISNUMBER(DM169:DM365),ROW(DM169:DM365),"")))</f>
        <v/>
      </c>
      <c r="DO169" s="151">
        <f>IF('Données projet'!$A$166&gt;35,DO168+DN169-DW168,IF(A169&lt;'Données projet'!$A$166,$DL$205^A169,IF(A169='Données projet'!$A$166,'Données projet'!$B$166,DO168+DN169-DW168)))</f>
        <v>0</v>
      </c>
      <c r="DP169" s="158" t="str">
        <f>DO169*VLOOKUP('Données projet'!$B$14,'Paramètres'!$A$1:$I$88,3,0)*VLOOKUP('Données projet'!$B$14,'Paramètres'!$A$1:$I$88,5,0)</f>
        <v>#N/A</v>
      </c>
      <c r="DQ169" s="150" t="str">
        <f t="shared" si="44"/>
        <v>#N/A</v>
      </c>
      <c r="DR169" s="161" t="str">
        <f t="shared" si="17"/>
        <v>#N/A</v>
      </c>
      <c r="DS169" s="153" t="str">
        <f t="shared" si="18"/>
        <v>#N/A</v>
      </c>
      <c r="DT169" s="153" t="str">
        <f>AVERAGE(OFFSET($DS$3,0,0,'Données projet'!$E$14+1,1))-AVERAGE(OFFSET($H$3,0,0,'Données projet'!$E$14+1,1))</f>
        <v>#N/A</v>
      </c>
      <c r="DU169" s="153" t="str">
        <f t="shared" si="45"/>
        <v>#N/A</v>
      </c>
      <c r="DV169" s="154">
        <f>IF(ISNA(VLOOKUP(A169,'Données projet'!$A$165:$I$185,3,0)),0,VLOOKUP(A169,'Données projet'!$A$165:$I$185,3,0))</f>
        <v>0</v>
      </c>
      <c r="DW169" s="154">
        <f>IF(ISNA(VLOOKUP(A169,'Données projet'!$A$165:$I$185,4,0)),0,VLOOKUP(A169,'Données projet'!$A$165:$I$185,4,0))</f>
        <v>0</v>
      </c>
      <c r="DX169" s="155">
        <f>IF(ISNA(VLOOKUP(A169,'Données projet'!$A$165:$I$185,5,0)),0%,VLOOKUP(A169,'Données projet'!$A$165:$I$185,5,0)*VLOOKUP('Données projet'!$B$14,'Paramètres'!$A$1:$I$88,7,0))</f>
        <v>0</v>
      </c>
      <c r="DY169" s="155">
        <f>IF(ISNA(VLOOKUP(A169,'Données projet'!$A$165:$I$185,6,0)),0%,VLOOKUP(A169,'Données projet'!$A$165:$I$185,6,0)*VLOOKUP('Données projet'!$B$14,'Paramètres'!$A$1:$I$88,7,0))</f>
        <v>0</v>
      </c>
      <c r="DZ169" s="155">
        <f>IF(ISNA(VLOOKUP(A169,'Données projet'!$A$165:$I$185,7,0)),0%,VLOOKUP(A169,'Données projet'!$A$165:$I$185,7,0))</f>
        <v>0</v>
      </c>
      <c r="EA169" s="162" t="str">
        <f>EXP(-LN(2)/35)*EA168+(1-EXP(-LN(2)/35))/(LN(2)/35)*DW169*DX169*VLOOKUP('Données projet'!$B$14,'Paramètres'!$A$1:$I$88,3,0)*0.475*44/12</f>
        <v>#N/A</v>
      </c>
      <c r="EB169" s="162" t="str">
        <f>EXP(-LN(2)/25)*EB168+(1-EXP(-LN(2)/25))/(LN(2)/25)*Calculateur!DW169*Calculateur!DY169*VLOOKUP('Données projet'!$B$14,'Paramètres'!$A$1:$I$88,3,0)*0.475*44/12</f>
        <v>#N/A</v>
      </c>
      <c r="EC169" s="162" t="str">
        <f>EXP(-LN(2)/2)*EC168+(1-EXP(-LN(2)/2))/(LN(2)/2)*DW169*DZ169*VLOOKUP('Données projet'!$B$14,'Paramètres'!$A$1:$I$88,3,0)*0.475*44/12</f>
        <v>#N/A</v>
      </c>
      <c r="ED169" s="163" t="str">
        <f t="shared" si="19"/>
        <v>#N/A</v>
      </c>
      <c r="EE169" s="159">
        <f>('Scénario référence'!$F$8+'Scénario référence'!$F$9+'Scénario référence'!$B$17+'Scénario référence'!$B$9+'Scénario référence'!$B$10)*70+IF((45+25*(1-EXP(-0.0175*A169)))&lt;70,'Scénario référence'!$B$16*(45+25*(1-EXP(-0.0175*A169))),70*'Scénario référence'!$B$16)+IF((32+38*(1-EXP(-0.0175*A169)))&lt;70,'Scénario référence'!$B$18*(32+38*(1-EXP(-0.0175*A169))),70*'Scénario référence'!$B$18)</f>
        <v>70</v>
      </c>
      <c r="EF169" s="151">
        <f>IF(A169&gt;30,10,('Scénario référence'!$B$16+'Scénario référence'!$B$17+'Scénario référence'!$B$18+'Scénario référence'!$B$9+'Scénario référence'!$B$10)*A169*10/30+('Scénario référence'!$F$8+'Scénario référence'!$F$9)*10)</f>
        <v>10</v>
      </c>
      <c r="EG169" s="151" t="str">
        <f>VLOOKUP(A169,'Données projet'!$A$191:$I$211,2,0)</f>
        <v>#N/A</v>
      </c>
      <c r="EH169" s="151" t="str">
        <f>VLOOKUP(A169,'Données projet'!$A$191:$I$211,9,0)</f>
        <v>#N/A</v>
      </c>
      <c r="EI169" s="151" t="str">
        <f t="array" ref="EI169">INDEX(EH:EH,MIN(IF(ISNUMBER(EH169:EH365),ROW(EH169:EH365),"")))</f>
        <v/>
      </c>
      <c r="EJ169" s="151">
        <f>IF('Données projet'!$A$192&gt;35,EJ168+EI169-ER168,IF(A169&lt;'Données projet'!$A$192,$EG$205^A169,IF(A169='Données projet'!$A$192,'Données projet'!$B$192,EJ168+EI169-ER168)))</f>
        <v>0</v>
      </c>
      <c r="EK169" s="158" t="str">
        <f>EJ169*VLOOKUP('Données projet'!$B$15,'Paramètres'!$A$1:$I$88,3,0)*VLOOKUP('Données projet'!$B$15,'Paramètres'!$A$1:$I$88,5,0)</f>
        <v>#N/A</v>
      </c>
      <c r="EL169" s="150" t="str">
        <f t="shared" si="46"/>
        <v>#N/A</v>
      </c>
      <c r="EM169" s="161" t="str">
        <f t="shared" si="20"/>
        <v>#N/A</v>
      </c>
      <c r="EN169" s="153" t="str">
        <f t="shared" si="21"/>
        <v>#N/A</v>
      </c>
      <c r="EO169" s="153" t="str">
        <f>AVERAGE(OFFSET($EN$3,0,0,'Données projet'!$E$15+1,1))-AVERAGE(OFFSET($H$3,0,0,'Données projet'!$E$15+1,1))</f>
        <v>#N/A</v>
      </c>
      <c r="EP169" s="153" t="str">
        <f t="shared" si="47"/>
        <v>#N/A</v>
      </c>
      <c r="EQ169" s="154">
        <f>IF(ISNA(VLOOKUP(A169,'Données projet'!$A$191:$I$211,3,0)),0,VLOOKUP(A169,'Données projet'!$A$191:$I$211,3,0))</f>
        <v>0</v>
      </c>
      <c r="ER169" s="154">
        <f>IF(ISNA(VLOOKUP(A169,'Données projet'!$A$191:$I$211,4,0)),0,VLOOKUP(A169,'Données projet'!$A$191:$I$211,4,0))</f>
        <v>0</v>
      </c>
      <c r="ES169" s="155">
        <f>IF(ISNA(VLOOKUP(A169,'Données projet'!$A$191:$I$211,5,0)),0%,VLOOKUP(A169,'Données projet'!$A$191:$I$211,5,0)*VLOOKUP('Données projet'!$B$15,'Paramètres'!$A$1:$I$88,7,0))</f>
        <v>0</v>
      </c>
      <c r="ET169" s="155">
        <f>IF(ISNA(VLOOKUP(A169,'Données projet'!$A$191:$I$211,6,0)),0%,VLOOKUP(A169,'Données projet'!$A$191:$I$211,6,0)*VLOOKUP('Données projet'!$B$15,'Paramètres'!$A$1:$I$88,7,0))</f>
        <v>0</v>
      </c>
      <c r="EU169" s="155">
        <f>IF(ISNA(VLOOKUP(A169,'Données projet'!$A$191:$I$211,7,0)),0%,VLOOKUP(A169,'Données projet'!$A$191:$I$211,7,0))</f>
        <v>0</v>
      </c>
      <c r="EV169" s="162" t="str">
        <f>EXP(-LN(2)/35)*EV168+(1-EXP(-LN(2)/35))/(LN(2)/35)*ER169*ES169*VLOOKUP('Données projet'!$B$15,'Paramètres'!$A$1:$I$88,3,0)*0.475*44/12</f>
        <v>#N/A</v>
      </c>
      <c r="EW169" s="162" t="str">
        <f>EXP(-LN(2)/25)*EW168+(1-EXP(-LN(2)/25))/(LN(2)/25)*Calculateur!ER169*Calculateur!ET169*VLOOKUP('Données projet'!$B$15,'Paramètres'!$A$1:$I$88,3,0)*0.475*44/12</f>
        <v>#N/A</v>
      </c>
      <c r="EX169" s="162" t="str">
        <f>EXP(-LN(2)/2)*EX168+(1-EXP(-LN(2)/2))/(LN(2)/2)*ER169*EU169*VLOOKUP('Données projet'!$B$15,'Paramètres'!$A$1:$I$88,3,0)*0.475*44/12</f>
        <v>#N/A</v>
      </c>
      <c r="EY169" s="163" t="str">
        <f t="shared" si="22"/>
        <v>#N/A</v>
      </c>
      <c r="EZ169" s="159">
        <f>('Scénario référence'!$F$8+'Scénario référence'!$F$9+'Scénario référence'!$B$17+'Scénario référence'!$B$9+'Scénario référence'!$B$10)*70+IF((45+25*(1-EXP(-0.0175*A169)))&lt;70,'Scénario référence'!$B$16*(45+25*(1-EXP(-0.0175*A169))),70*'Scénario référence'!$B$16)+IF((32+38*(1-EXP(-0.0175*A169)))&lt;70,'Scénario référence'!$B$18*(32+38*(1-EXP(-0.0175*A169))),70*'Scénario référence'!$B$18)</f>
        <v>70</v>
      </c>
      <c r="FA169" s="151">
        <f>IF(A169&gt;30,10,('Scénario référence'!$B$16+'Scénario référence'!$B$17+'Scénario référence'!$B$18+'Scénario référence'!$B$9+'Scénario référence'!$B$10)*A169*10/30+('Scénario référence'!$F$8+'Scénario référence'!$F$9)*10)</f>
        <v>10</v>
      </c>
      <c r="FB169" s="151" t="str">
        <f>VLOOKUP(A169,'Données projet'!$A$217:$I$237,2,0)</f>
        <v>#N/A</v>
      </c>
      <c r="FC169" s="151" t="str">
        <f>VLOOKUP(A169,'Données projet'!$A$217:$I$237,9,0)</f>
        <v>#N/A</v>
      </c>
      <c r="FD169" s="151" t="str">
        <f t="array" ref="FD169">INDEX(FC:FC,MIN(IF(ISNUMBER(FC169:FC365),ROW(FC169:FC365),"")))</f>
        <v/>
      </c>
      <c r="FE169" s="151">
        <f>IF('Données projet'!$A$218&gt;35,FE168+FD169-FM168,IF(A169&lt;'Données projet'!$A$218,$FB$205^A169,IF(A169='Données projet'!$A$218,'Données projet'!$B$218,FE168+FD169-FM168)))</f>
        <v>0</v>
      </c>
      <c r="FF169" s="158" t="str">
        <f>FE169*VLOOKUP('Données projet'!$B$16,'Paramètres'!$A$1:$I$88,3,0)*VLOOKUP('Données projet'!$B$16,'Paramètres'!$A$1:$I$88,5,0)</f>
        <v>#N/A</v>
      </c>
      <c r="FG169" s="150" t="str">
        <f t="shared" si="48"/>
        <v>#N/A</v>
      </c>
      <c r="FH169" s="161" t="str">
        <f t="shared" si="23"/>
        <v>#N/A</v>
      </c>
      <c r="FI169" s="153" t="str">
        <f t="shared" si="24"/>
        <v>#N/A</v>
      </c>
      <c r="FJ169" s="153" t="str">
        <f>AVERAGE(OFFSET($FI$3,0,0,'Données projet'!$E$16+1,1))-AVERAGE(OFFSET($H$3,0,0,'Données projet'!$E$16+1,1))</f>
        <v>#N/A</v>
      </c>
      <c r="FK169" s="153" t="str">
        <f t="shared" si="49"/>
        <v>#N/A</v>
      </c>
      <c r="FL169" s="154">
        <f>IF(ISNA(VLOOKUP(A169,'Données projet'!$A$217:$I$237,3,0)),0,VLOOKUP(A169,'Données projet'!$A$217:$I$237,3,0))</f>
        <v>0</v>
      </c>
      <c r="FM169" s="154">
        <f>IF(ISNA(VLOOKUP(A169,'Données projet'!$A$217:$I$237,4,0)),0,VLOOKUP(A169,'Données projet'!$A$217:$I$237,4,0))</f>
        <v>0</v>
      </c>
      <c r="FN169" s="155">
        <f>IF(ISNA(VLOOKUP(A169,'Données projet'!$A$217:$I$237,5,0)),0%,VLOOKUP(A169,'Données projet'!$A$217:$I$237,5,0)*VLOOKUP('Données projet'!$B$16,'Paramètres'!$A$1:$I$88,7,0))</f>
        <v>0</v>
      </c>
      <c r="FO169" s="155">
        <f>IF(ISNA(VLOOKUP(A169,'Données projet'!$A$217:$I$237,6,0)),0%,VLOOKUP(A169,'Données projet'!$A$217:$I$237,6,0)*VLOOKUP('Données projet'!$B$16,'Paramètres'!$A$1:$I$88,7,0))</f>
        <v>0</v>
      </c>
      <c r="FP169" s="155">
        <f>IF(ISNA(VLOOKUP(A169,'Données projet'!$A$217:$I$237,7,0)),0%,VLOOKUP(A169,'Données projet'!$A$217:$I$237,7,0))</f>
        <v>0</v>
      </c>
      <c r="FQ169" s="162" t="str">
        <f>EXP(-LN(2)/35)*FQ168+(1-EXP(-LN(2)/35))/(LN(2)/35)*FM169*FN169*VLOOKUP('Données projet'!$B$16,'Paramètres'!$A$1:$I$88,3,0)*0.475*44/12</f>
        <v>#N/A</v>
      </c>
      <c r="FR169" s="162" t="str">
        <f>EXP(-LN(2)/25)*FR168+(1-EXP(-LN(2)/25))/(LN(2)/25)*Calculateur!FM169*Calculateur!FO169*VLOOKUP('Données projet'!$B$16,'Paramètres'!$A$1:$I$88,3,0)*0.475*44/12</f>
        <v>#N/A</v>
      </c>
      <c r="FS169" s="162" t="str">
        <f>EXP(-LN(2)/2)*FS168+(1-EXP(-LN(2)/2))/(LN(2)/2)*FM169*FP169*VLOOKUP('Données projet'!$B$16,'Paramètres'!$A$1:$I$88,3,0)*0.475*44/12</f>
        <v>#N/A</v>
      </c>
      <c r="FT169" s="163" t="str">
        <f t="shared" si="25"/>
        <v>#N/A</v>
      </c>
      <c r="FU169" s="159">
        <f>('Scénario référence'!$F$8+'Scénario référence'!$F$9+'Scénario référence'!$B$17+'Scénario référence'!$B$9+'Scénario référence'!$B$10)*70+IF((45+25*(1-EXP(-0.0175*A169)))&lt;70,'Scénario référence'!$B$16*(45+25*(1-EXP(-0.0175*A169))),70*'Scénario référence'!$B$16)+IF((32+38*(1-EXP(-0.0175*A169)))&lt;70,'Scénario référence'!$B$18*(32+38*(1-EXP(-0.0175*A169))),70*'Scénario référence'!$B$18)</f>
        <v>70</v>
      </c>
      <c r="FV169" s="151">
        <f>IF(A169&gt;30,10,('Scénario référence'!$B$16+'Scénario référence'!$B$17+'Scénario référence'!$B$18+'Scénario référence'!$B$9+'Scénario référence'!$B$10)*A169*10/30+('Scénario référence'!$F$8+'Scénario référence'!$F$9)*10)</f>
        <v>10</v>
      </c>
      <c r="FW169" s="151" t="str">
        <f>VLOOKUP(A169,'Données projet'!$A$243:$I$263,2,0)</f>
        <v>#N/A</v>
      </c>
      <c r="FX169" s="151" t="str">
        <f>VLOOKUP(A169,'Données projet'!$A$243:$I$263,9,0)</f>
        <v>#N/A</v>
      </c>
      <c r="FY169" s="151" t="str">
        <f t="array" ref="FY169">INDEX(FX:FX,MIN(IF(ISNUMBER(FX169:FX365),ROW(FX169:FX365),"")))</f>
        <v/>
      </c>
      <c r="FZ169" s="151">
        <f>IF('Données projet'!$A$244&gt;35,FZ168+FY169-GH168,IF(A169&lt;'Données projet'!$A$244,$FW$205^A169,IF(A169='Données projet'!$A$244,'Données projet'!$B$244,FZ168+FY169-GH168)))</f>
        <v>0</v>
      </c>
      <c r="GA169" s="158" t="str">
        <f>FZ169*VLOOKUP('Données projet'!$B$17,'Paramètres'!$A$1:$I$88,3,0)*VLOOKUP('Données projet'!$B$17,'Paramètres'!$A$1:$I$88,5,0)</f>
        <v>#N/A</v>
      </c>
      <c r="GB169" s="150" t="str">
        <f t="shared" si="50"/>
        <v>#N/A</v>
      </c>
      <c r="GC169" s="161" t="str">
        <f t="shared" si="26"/>
        <v>#N/A</v>
      </c>
      <c r="GD169" s="153" t="str">
        <f t="shared" si="27"/>
        <v>#N/A</v>
      </c>
      <c r="GE169" s="153" t="str">
        <f>AVERAGE(OFFSET($GD$3,0,0,'Données projet'!$E$17+1,1))-AVERAGE(OFFSET($H$3,0,0,'Données projet'!$E$17+1,1))</f>
        <v>#N/A</v>
      </c>
      <c r="GF169" s="153" t="str">
        <f t="shared" si="51"/>
        <v>#N/A</v>
      </c>
      <c r="GG169" s="154">
        <f>IF(ISNA(VLOOKUP(A169,'Données projet'!$A$243:$I$263,3,0)),0,VLOOKUP(A169,'Données projet'!$A$243:$I$263,3,0))</f>
        <v>0</v>
      </c>
      <c r="GH169" s="154">
        <f>IF(ISNA(VLOOKUP(A169,'Données projet'!$A$243:$I$263,4,0)),0,VLOOKUP(A169,'Données projet'!$A$243:$I$263,4,0))</f>
        <v>0</v>
      </c>
      <c r="GI169" s="155">
        <f>IF(ISNA(VLOOKUP(A169,'Données projet'!$A$243:$I$263,5,0)),0%,VLOOKUP(A169,'Données projet'!$A$243:$I$263,5,0)*VLOOKUP('Données projet'!$B$17,'Paramètres'!$A$1:$I$88,7,0))</f>
        <v>0</v>
      </c>
      <c r="GJ169" s="155">
        <f>IF(ISNA(VLOOKUP(A169,'Données projet'!$A$243:$I$263,6,0)),0%,VLOOKUP(A169,'Données projet'!$A$243:$I$263,6,0)*VLOOKUP('Données projet'!$B$17,'Paramètres'!$A$1:$I$88,7,0))</f>
        <v>0</v>
      </c>
      <c r="GK169" s="155">
        <f>IF(ISNA(VLOOKUP(A169,'Données projet'!$A$243:$I$263,7,0)),0%,VLOOKUP(A169,'Données projet'!$A$243:$I$263,7,0))</f>
        <v>0</v>
      </c>
      <c r="GL169" s="162" t="str">
        <f>EXP(-LN(2)/35)*GL168+(1-EXP(-LN(2)/35))/(LN(2)/35)*GH169*GI169*VLOOKUP('Données projet'!$B$17,'Paramètres'!$A$1:$I$88,3,0)*0.475*44/12</f>
        <v>#N/A</v>
      </c>
      <c r="GM169" s="162" t="str">
        <f>EXP(-LN(2)/25)*GM168+(1-EXP(-LN(2)/25))/(LN(2)/25)*Calculateur!GH169*Calculateur!GJ169*VLOOKUP('Données projet'!$B$17,'Paramètres'!$A$1:$I$88,3,0)*0.475*44/12</f>
        <v>#N/A</v>
      </c>
      <c r="GN169" s="162" t="str">
        <f>EXP(-LN(2)/2)*GN168+(1-EXP(-LN(2)/2))/(LN(2)/2)*GH169*GK169*VLOOKUP('Données projet'!$B$17,'Paramètres'!$A$1:$I$88,3,0)*0.475*44/12</f>
        <v>#N/A</v>
      </c>
      <c r="GO169" s="162" t="str">
        <f t="shared" si="28"/>
        <v>#N/A</v>
      </c>
      <c r="GP169" s="159">
        <f>('Scénario référence'!$F$8+'Scénario référence'!$F$9+'Scénario référence'!$B$17+'Scénario référence'!$B$9+'Scénario référence'!$B$10)*70+IF((45+25*(1-EXP(-0.0175*A169)))&lt;70,'Scénario référence'!$B$16*(45+25*(1-EXP(-0.0175*A169))),70*'Scénario référence'!$B$16)+IF((32+38*(1-EXP(-0.0175*A169)))&lt;70,'Scénario référence'!$B$18*(32+38*(1-EXP(-0.0175*A169))),70*'Scénario référence'!$B$18)</f>
        <v>70</v>
      </c>
      <c r="GQ169" s="151">
        <f>IF(A169&gt;30,10,('Scénario référence'!$B$16+'Scénario référence'!$B$17+'Scénario référence'!$B$18+'Scénario référence'!$B$9+'Scénario référence'!$B$10)*A169*10/30+('Scénario référence'!$F$8+'Scénario référence'!$F$9)*10)</f>
        <v>10</v>
      </c>
      <c r="GR169" s="151" t="str">
        <f>VLOOKUP(A169,'Données projet'!$A$269:$I$289,2,0)</f>
        <v>#N/A</v>
      </c>
      <c r="GS169" s="151" t="str">
        <f>VLOOKUP(A169,'Données projet'!$A$269:$I$289,9,0)</f>
        <v>#N/A</v>
      </c>
      <c r="GT169" s="151" t="str">
        <f t="array" ref="GT169">INDEX(GS:GS,MIN(IF(ISNUMBER(GS169:GS365),ROW(GS169:GS365),"")))</f>
        <v/>
      </c>
      <c r="GU169" s="151">
        <f>IF('Données projet'!$A$270&gt;35,GU168+GT169-HC168,IF(A169&lt;'Données projet'!$A$270,$GR$205^A169,IF(A169='Données projet'!$A$270,'Données projet'!$B$270,GU168+GT169-HC168)))</f>
        <v>0</v>
      </c>
      <c r="GV169" s="158" t="str">
        <f>GU169*VLOOKUP('Données projet'!$B$18,'Paramètres'!$A$1:$I$88,3,0)*VLOOKUP('Données projet'!$B$18,'Paramètres'!$A$1:$I$88,5,0)</f>
        <v>#N/A</v>
      </c>
      <c r="GW169" s="150" t="str">
        <f t="shared" si="52"/>
        <v>#N/A</v>
      </c>
      <c r="GX169" s="161" t="str">
        <f t="shared" si="29"/>
        <v>#N/A</v>
      </c>
      <c r="GY169" s="153" t="str">
        <f t="shared" si="30"/>
        <v>#N/A</v>
      </c>
      <c r="GZ169" s="153" t="str">
        <f>AVERAGE(OFFSET($GY$3,0,0,'Données projet'!$E$18+1,1))-AVERAGE(OFFSET($H$3,0,0,'Données projet'!$E$18+1,1))</f>
        <v>#N/A</v>
      </c>
      <c r="HA169" s="153" t="str">
        <f t="shared" si="53"/>
        <v>#N/A</v>
      </c>
      <c r="HB169" s="154">
        <f>IF(ISNA(VLOOKUP(A169,'Données projet'!$A$269:$I$289,3,0)),0,VLOOKUP(A169,'Données projet'!$A$269:$I$289,3,0))</f>
        <v>0</v>
      </c>
      <c r="HC169" s="154">
        <f>IF(ISNA(VLOOKUP(A169,'Données projet'!$A$269:$I$289,4,0)),0,VLOOKUP(A169,'Données projet'!$A$269:$I$289,4,0))</f>
        <v>0</v>
      </c>
      <c r="HD169" s="155">
        <f>IF(ISNA(VLOOKUP(A169,'Données projet'!$A$269:$I$289,5,0)),0%,VLOOKUP(A169,'Données projet'!$A$269:$I$289,5,0)*VLOOKUP('Données projet'!$B$18,'Paramètres'!$A$1:$I$88,7,0))</f>
        <v>0</v>
      </c>
      <c r="HE169" s="155">
        <f>IF(ISNA(VLOOKUP(A169,'Données projet'!$A$269:$I$289,6,0)),0%,VLOOKUP(A169,'Données projet'!$A$269:$I$289,6,0)*VLOOKUP('Données projet'!$B$18,'Paramètres'!$A$1:$I$88,7,0))</f>
        <v>0</v>
      </c>
      <c r="HF169" s="155">
        <f>IF(ISNA(VLOOKUP(A169,'Données projet'!$A$269:$I$289,7,0)),0%,VLOOKUP(A169,'Données projet'!$A$269:$I$289,7,0))</f>
        <v>0</v>
      </c>
      <c r="HG169" s="162" t="str">
        <f>EXP(-LN(2)/35)*HG168+(1-EXP(-LN(2)/35))/(LN(2)/35)*HC169*HD169*VLOOKUP('Données projet'!$B$18,'Paramètres'!$A$1:$I$88,3,0)*0.475*44/12</f>
        <v>#N/A</v>
      </c>
      <c r="HH169" s="162" t="str">
        <f>EXP(-LN(2)/25)*HH168+(1-EXP(-LN(2)/25))/(LN(2)/25)*Calculateur!HC169*Calculateur!HE169*VLOOKUP('Données projet'!$B$18,'Paramètres'!$A$1:$I$88,3,0)*0.475*44/12</f>
        <v>#N/A</v>
      </c>
      <c r="HI169" s="162" t="str">
        <f>EXP(-LN(2)/2)*HI168+(1-EXP(-LN(2)/2))/(LN(2)/2)*HC169*HF169*VLOOKUP('Données projet'!$B$18,'Paramètres'!$A$1:$I$88,3,0)*0.475*44/12</f>
        <v>#N/A</v>
      </c>
      <c r="HJ169" s="163" t="str">
        <f t="shared" si="31"/>
        <v>#N/A</v>
      </c>
    </row>
    <row r="170" ht="15.75" customHeight="1">
      <c r="A170" s="145">
        <f t="shared" si="32"/>
        <v>167</v>
      </c>
      <c r="B170" s="146">
        <f>'Scénario référence'!$B$16*5+'Scénario référence'!$B$17*0+'Scénario référence'!$B$18*5</f>
        <v>0</v>
      </c>
      <c r="C170" s="160">
        <f>Calculateur!C169+'Scénario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70" s="147">
        <f t="shared" si="33"/>
        <v>0</v>
      </c>
      <c r="E170" s="147">
        <f>'Scénario référence'!$B$16*45+('Scénario référence'!$B$17+'Scénario référence'!$F$8+'Scénario référence'!$F$9+'Scénario référence'!$B$10+'Scénario référence'!$B$9)*70+'Scénario référence'!$B$18*32</f>
        <v>70</v>
      </c>
      <c r="F170" s="147">
        <f>IF(OR('Scénario référence'!$F$8&gt;0,'Scénario référence'!$F$9&gt;0),('Scénario référence'!$F$8+'Scénario référence'!$F$9)*10,0)</f>
        <v>0</v>
      </c>
      <c r="G170" s="147">
        <f>'Scénario référence'!$B$8*B170*44/12+'Scénario référence'!$B$9*(C170+D170)/0.475*44/12+'Scénario référence'!$B$10*(C170+D170)/0.475*44/12+'Scénario référence'!$F$8*(C170+D170)/0.475*44/12+'Scénario référence'!$F$9*(C170+D170)/0.475*44/12</f>
        <v>0</v>
      </c>
      <c r="H170" s="148">
        <f t="shared" si="1"/>
        <v>256.6666667</v>
      </c>
      <c r="I170" s="149">
        <f>('Scénario référence'!$F$8+'Scénario référence'!$F$9+'Scénario référence'!$B$17+'Scénario référence'!$B$9+'Scénario référence'!$B$10)*70+IF((45+25*(1-EXP(-0.0175*A170)))&lt;70,'Scénario référence'!$B$16*(45+25*(1-EXP(-0.0175*A170))),70*'Scénario référence'!$B$16)+IF((32+38*(1-EXP(-0.0175*A170)))&lt;70,'Scénario référence'!$B$18*(32+38*(1-EXP(-0.0175*A170))),70*'Scénario référence'!$B$18)</f>
        <v>70</v>
      </c>
      <c r="J170" s="150">
        <f>IF(A170&gt;30,10,('Scénario référence'!$B$16+'Scénario référence'!$B$17+'Scénario référence'!$B$18+'Scénario référence'!$B$9+'Scénario référence'!$B$10)*A170*10/30+('Scénario référence'!$F$8+'Scénario référence'!$F$9)*10)</f>
        <v>10</v>
      </c>
      <c r="K170" s="151" t="str">
        <f>VLOOKUP(A170,'Données projet'!$A$35:$I$55,2,0)</f>
        <v>#N/A</v>
      </c>
      <c r="L170" s="151" t="str">
        <f>VLOOKUP(A170,'Données projet'!$A$35:$I$55,9,0)</f>
        <v>#N/A</v>
      </c>
      <c r="M170" s="151" t="str">
        <f t="array" ref="M170">INDEX(L:L,MIN(IF(ISNUMBER(L170:L366),ROW(L170:L366),"")))</f>
        <v/>
      </c>
      <c r="N170" s="150">
        <f>IF('Données projet'!$A$36&gt;35,N169+M170-V169,IF(A170&lt;'Données projet'!$A$36,$K$205^A170,IF(A170='Données projet'!$A$36,'Données projet'!$B$36,N169+M170-V169)))</f>
        <v>307</v>
      </c>
      <c r="O170" s="150">
        <f>N170*VLOOKUP('Données projet'!$B$9,'Paramètres'!$A$1:$I$88,3,0)*VLOOKUP('Données projet'!$B$9,'Paramètres'!$A$1:$I$88,5,0)</f>
        <v>277.7736</v>
      </c>
      <c r="P170" s="150">
        <f t="shared" si="34"/>
        <v>66.49628818</v>
      </c>
      <c r="Q170" s="161">
        <f t="shared" si="2"/>
        <v>599.6033886</v>
      </c>
      <c r="R170" s="153">
        <f t="shared" si="3"/>
        <v>892.9367219</v>
      </c>
      <c r="S170" s="153">
        <f>AVERAGE(OFFSET($R$3,0,0,'Données projet'!$E$9+1,1))-AVERAGE(OFFSET($H$3,0,0,'Données projet'!$E$9+1,1))</f>
        <v>439.1985427</v>
      </c>
      <c r="T170" s="153">
        <f t="shared" si="35"/>
        <v>278.2174123</v>
      </c>
      <c r="U170" s="154">
        <f>IF(ISNA(VLOOKUP(A170,'Données projet'!$A$35:$I$55,3,0)),0,VLOOKUP(A170,'Données projet'!$A$35:$I$55,3,0))</f>
        <v>0</v>
      </c>
      <c r="V170" s="154">
        <f>IF(ISNA(VLOOKUP(A170,'Données projet'!$A$35:$I$55,4,0)),0,VLOOKUP(A170,'Données projet'!$A$35:$I$55,4,0))</f>
        <v>0</v>
      </c>
      <c r="W170" s="155">
        <f>IF(ISNA(VLOOKUP(A170,'Données projet'!$A$35:$I$55,5,0)),0%,VLOOKUP(A170,'Données projet'!$A$35:$I$55,5,0)*VLOOKUP('Données projet'!$B$9,'Paramètres'!$A$1:$I$88,7,0))</f>
        <v>0</v>
      </c>
      <c r="X170" s="155">
        <f>IF(ISNA(VLOOKUP(A170,'Données projet'!$A$35:$I$55,6,0)),0%,VLOOKUP(A170,'Données projet'!$A$35:$I$55,6,0)*VLOOKUP('Données projet'!$B$9,'Paramètres'!$A$1:$I$88,7,0))</f>
        <v>0</v>
      </c>
      <c r="Y170" s="155">
        <f>IF(ISNA(VLOOKUP(A170,'Données projet'!$A$35:$I$55,7,0)),0%,VLOOKUP(A170,'Données projet'!$A$35:$I$55,7,0))</f>
        <v>0</v>
      </c>
      <c r="Z170" s="162">
        <f>EXP(-LN(2)/35)*Z169+(1-EXP(-LN(2)/35))/(LN(2)/35)*V170*W170*VLOOKUP('Données projet'!$B$9,'Paramètres'!$A$1:$I$88,3,0)*0.475*44/12</f>
        <v>0</v>
      </c>
      <c r="AA170" s="162">
        <f>EXP(-LN(2)/25)*AA169+(1-EXP(-LN(2)/25))/(LN(2)/25)*Calculateur!V170*Calculateur!X170*VLOOKUP('Données projet'!$B$9,'Paramètres'!$A$1:$I$88,3,0)*0.475*44/12</f>
        <v>0.1005467188</v>
      </c>
      <c r="AB170" s="162">
        <f>EXP(-LN(2)/2)*AB169+(1-EXP(-LN(2)/2))/(LN(2)/2)*V170*Y170*VLOOKUP('Données projet'!$B$9,'Paramètres'!$A$1:$I$88,3,0)*0.475*44/12</f>
        <v>0</v>
      </c>
      <c r="AC170" s="163">
        <f t="shared" si="4"/>
        <v>0.1005467188</v>
      </c>
      <c r="AD170" s="150">
        <f>('Scénario référence'!$F$8+'Scénario référence'!$F$9+'Scénario référence'!$B$17+'Scénario référence'!$B$9+'Scénario référence'!$B$10)*70+IF((45+25*(1-EXP(-0.0175*A170)))&lt;70,'Scénario référence'!$B$16*(45+25*(1-EXP(-0.0175*A170))),70*'Scénario référence'!$B$16)+IF((32+38*(1-EXP(-0.0175*A170)))&lt;70,'Scénario référence'!$B$18*(32+38*(1-EXP(-0.0175*A170))),70*'Scénario référence'!$B$18)</f>
        <v>70</v>
      </c>
      <c r="AE170" s="150">
        <f>IF(A170&gt;30,10,('Scénario référence'!$B$16+'Scénario référence'!$B$17+'Scénario référence'!$B$18+'Scénario référence'!$B$9+'Scénario référence'!$B$10)*A170*10/30+('Scénario référence'!$F$8+'Scénario référence'!$F$9)*10)</f>
        <v>10</v>
      </c>
      <c r="AF170" s="151" t="str">
        <f>VLOOKUP(A170,'Données projet'!$A$61:$I$81,2,0)</f>
        <v>#N/A</v>
      </c>
      <c r="AG170" s="151" t="str">
        <f>VLOOKUP(A170,'Données projet'!$A$61:$I$81,9,0)</f>
        <v>#N/A</v>
      </c>
      <c r="AH170" s="151" t="str">
        <f t="array" ref="AH170">INDEX(AG:AG,MIN(IF(ISNUMBER(AG170:AG366),ROW(AG170:AG366),"")))</f>
        <v/>
      </c>
      <c r="AI170" s="150">
        <f>IF('Données projet'!$A$62&gt;35,AI169+AH170-AQ169,IF(A170&lt;'Données projet'!$A$62,$AF$205^A170,IF(A170='Données projet'!$A$62,'Données projet'!$B$62,AI169+AH170-AQ169)))</f>
        <v>369</v>
      </c>
      <c r="AJ170" s="150">
        <f>AI170*VLOOKUP('Données projet'!$B$10,'Paramètres'!$A$1:$I$88,3,0)*VLOOKUP('Données projet'!$B$10,'Paramètres'!$A$1:$I$88,5,0)</f>
        <v>293.5764</v>
      </c>
      <c r="AK170" s="150">
        <f t="shared" si="36"/>
        <v>69.82813851</v>
      </c>
      <c r="AL170" s="161">
        <f t="shared" si="5"/>
        <v>632.9295712</v>
      </c>
      <c r="AM170" s="153">
        <f t="shared" si="6"/>
        <v>926.2629046</v>
      </c>
      <c r="AN170" s="153">
        <f>AVERAGE(OFFSET($AM$3,0,0,'Données projet'!$E$10+1,1))-AVERAGE(OFFSET($H$3,0,0,'Données projet'!$E$10+1,1))</f>
        <v>405.6113614</v>
      </c>
      <c r="AO170" s="153">
        <f t="shared" si="37"/>
        <v>393.0787141</v>
      </c>
      <c r="AP170" s="154">
        <f>IF(ISNA(VLOOKUP(A170,'Données projet'!$A$61:$I$81,3,0)),0,VLOOKUP(A170,'Données projet'!$A$61:$I$81,3,0))</f>
        <v>0</v>
      </c>
      <c r="AQ170" s="154">
        <f>IF(ISNA(VLOOKUP(A170,'Données projet'!$A$61:$I$81,4,0)),0,VLOOKUP(A170,'Données projet'!$A$61:$I$81,4,0))</f>
        <v>0</v>
      </c>
      <c r="AR170" s="155">
        <f>IF(ISNA(VLOOKUP(A170,'Données projet'!$A$61:$I$81,5,0)),0%,VLOOKUP(A170,'Données projet'!$A$61:$I$81,5,0)*VLOOKUP('Données projet'!$B$10,'Paramètres'!$A$1:$I$88,7,0))</f>
        <v>0</v>
      </c>
      <c r="AS170" s="155">
        <f>IF(ISNA(VLOOKUP(A170,'Données projet'!$A$61:$I$81,6,0)),0%,VLOOKUP(A170,'Données projet'!$A$61:$I$81,6,0)*VLOOKUP('Données projet'!$B$10,'Paramètres'!$A$1:$I$88,7,0))</f>
        <v>0</v>
      </c>
      <c r="AT170" s="155">
        <f>IF(ISNA(VLOOKUP(A170,'Données projet'!$A$61:$I$81,7,0)),0%,VLOOKUP(A170,'Données projet'!$A$61:$I$81,7,0))</f>
        <v>0</v>
      </c>
      <c r="AU170" s="162">
        <f>EXP(-LN(2)/35)*AU169+(1-EXP(-LN(2)/35))/(LN(2)/35)*AQ170*AR170*VLOOKUP('Données projet'!$B$10,'Paramètres'!$A$1:$I$88,3,0)*0.475*44/12</f>
        <v>0</v>
      </c>
      <c r="AV170" s="162">
        <f>EXP(-LN(2)/25)*AV169+(1-EXP(-LN(2)/25))/(LN(2)/25)*Calculateur!AQ170*Calculateur!AS170*VLOOKUP('Données projet'!$B$10,'Paramètres'!$A$1:$I$88,3,0)*0.475*44/12</f>
        <v>0.4086474253</v>
      </c>
      <c r="AW170" s="162">
        <f>EXP(-LN(2)/2)*AW169+(1-EXP(-LN(2)/2))/(LN(2)/2)*AQ170*AT170*VLOOKUP('Données projet'!$B$10,'Paramètres'!$A$1:$I$88,3,0)*0.475*44/12</f>
        <v>0</v>
      </c>
      <c r="AX170" s="162">
        <f t="shared" si="7"/>
        <v>0.4086474253</v>
      </c>
      <c r="AY170" s="157">
        <f>('Scénario référence'!$F$8+'Scénario référence'!$F$9+'Scénario référence'!$B$17+'Scénario référence'!$B$9+'Scénario référence'!$B$10)*70+IF((45+25*(1-EXP(-0.0175*A170)))&lt;70,'Scénario référence'!$B$16*(45+25*(1-EXP(-0.0175*A170))),70*'Scénario référence'!$B$16)+IF((32+38*(1-EXP(-0.0175*A170)))&lt;70,'Scénario référence'!$B$18*(32+38*(1-EXP(-0.0175*A170))),70*'Scénario référence'!$B$18)</f>
        <v>70</v>
      </c>
      <c r="AZ170" s="151">
        <f>IF(A170&gt;30,10,('Scénario référence'!$B$16+'Scénario référence'!$B$17+'Scénario référence'!$B$18+'Scénario référence'!$B$9+'Scénario référence'!$B$10)*A170*10/30+('Scénario référence'!$F$8+'Scénario référence'!$F$9)*10)</f>
        <v>10</v>
      </c>
      <c r="BA170" s="151" t="str">
        <f>VLOOKUP(A170,'Données projet'!$A$87:$I$107,2,0)</f>
        <v>#N/A</v>
      </c>
      <c r="BB170" s="151" t="str">
        <f>VLOOKUP(A170,'Données projet'!$A$87:$I$107,9,0)</f>
        <v>#N/A</v>
      </c>
      <c r="BC170" s="151" t="str">
        <f t="array" ref="BC170">INDEX(BB:BB,MIN(IF(ISNUMBER(BB170:BB366),ROW(BB170:BB366),"")))</f>
        <v/>
      </c>
      <c r="BD170" s="150">
        <f>IF('Données projet'!$A$88&gt;35,BD169+BC170-BL169,IF(A170&lt;'Données projet'!$A$88,$BA$205^A170,IF(A170='Données projet'!$A$88,'Données projet'!$B$88,BD169+BC170-BL169)))</f>
        <v>0</v>
      </c>
      <c r="BE170" s="150">
        <f>BD170*VLOOKUP('Données projet'!$B$11,'Paramètres'!$A$1:$I$88,3,0)*VLOOKUP('Données projet'!$B$11,'Paramètres'!$A$1:$I$88,5,0)</f>
        <v>0</v>
      </c>
      <c r="BF170" s="150" t="str">
        <f t="shared" si="38"/>
        <v>#NUM!</v>
      </c>
      <c r="BG170" s="161" t="str">
        <f t="shared" si="8"/>
        <v>#NUM!</v>
      </c>
      <c r="BH170" s="153" t="str">
        <f t="shared" si="9"/>
        <v>#NUM!</v>
      </c>
      <c r="BI170" s="153">
        <f>AVERAGE(OFFSET($BH$3,0,0,'Données projet'!$E$11+1,1))-AVERAGE(OFFSET($H$3,0,0,'Données projet'!$E$11+1,1))</f>
        <v>0</v>
      </c>
      <c r="BJ170" s="153">
        <f t="shared" si="39"/>
        <v>0</v>
      </c>
      <c r="BK170" s="154">
        <f>IF(ISNA(VLOOKUP(A170,'Données projet'!$A$87:$I$107,3,0)),0,VLOOKUP(A170,'Données projet'!$A$87:$I$107,3,0))</f>
        <v>0</v>
      </c>
      <c r="BL170" s="154">
        <f>IF(ISNA(VLOOKUP(A170,'Données projet'!$A$87:$I$107,4,0)),0,VLOOKUP(A170,'Données projet'!$A$87:$I$107,4,0))</f>
        <v>0</v>
      </c>
      <c r="BM170" s="155">
        <f>IF(ISNA(VLOOKUP(A170,'Données projet'!$A$87:$I$107,5,0)),0%,VLOOKUP(A170,'Données projet'!$A$87:$I$107,5,0)*VLOOKUP('Données projet'!$B$11,'Paramètres'!$A$1:$I$88,7,0))</f>
        <v>0</v>
      </c>
      <c r="BN170" s="155">
        <f>IF(ISNA(VLOOKUP(A170,'Données projet'!$A$87:$I$107,6,0)),0%,VLOOKUP(A170,'Données projet'!$A$87:$I$107,6,0)*VLOOKUP('Données projet'!$B$11,'Paramètres'!$A$1:$I$88,7,0))</f>
        <v>0</v>
      </c>
      <c r="BO170" s="155">
        <f>IF(ISNA(VLOOKUP(A170,'Données projet'!$A$87:$I$107,7,0)),0%,VLOOKUP(A170,'Données projet'!$A$87:$I$107,7,0))</f>
        <v>0</v>
      </c>
      <c r="BP170" s="162">
        <f>EXP(-LN(2)/35)*BP169+(1-EXP(-LN(2)/35))/(LN(2)/35)*BL170*BM170*VLOOKUP('Données projet'!$B$11,'Paramètres'!$A$1:$I$88,3,0)*0.475*44/12</f>
        <v>0</v>
      </c>
      <c r="BQ170" s="162">
        <f>EXP(-LN(2)/25)*BQ169+(1-EXP(-LN(2)/25))/(LN(2)/25)*Calculateur!BL170*Calculateur!BN170*VLOOKUP('Données projet'!$B$11,'Paramètres'!$A$1:$I$88,3,0)*0.475*44/12</f>
        <v>0</v>
      </c>
      <c r="BR170" s="162">
        <f>EXP(-LN(2)/2)*BR169+(1-EXP(-LN(2)/2))/(LN(2)/2)*BL170*BO170*VLOOKUP('Données projet'!$B$11,'Paramètres'!$A$1:$I$88,3,0)*0.475*44/12</f>
        <v>0</v>
      </c>
      <c r="BS170" s="163">
        <f t="shared" si="10"/>
        <v>0</v>
      </c>
      <c r="BT170" s="159">
        <f>('Scénario référence'!$F$8+'Scénario référence'!$F$9+'Scénario référence'!$B$17+'Scénario référence'!$B$9+'Scénario référence'!$B$10)*70+IF((45+25*(1-EXP(-0.0175*A170)))&lt;70,'Scénario référence'!$B$16*(45+25*(1-EXP(-0.0175*A170))),70*'Scénario référence'!$B$16)+IF((32+38*(1-EXP(-0.0175*A170)))&lt;70,'Scénario référence'!$B$18*(32+38*(1-EXP(-0.0175*A170))),70*'Scénario référence'!$B$18)</f>
        <v>70</v>
      </c>
      <c r="BU170" s="151">
        <f>IF(A170&gt;30,10,('Scénario référence'!$B$16+'Scénario référence'!$B$17+'Scénario référence'!$B$18+'Scénario référence'!$B$9+'Scénario référence'!$B$10)*A170*10/30+('Scénario référence'!$F$8+'Scénario référence'!$F$9)*10)</f>
        <v>10</v>
      </c>
      <c r="BV170" s="151" t="str">
        <f>VLOOKUP(A170,'Données projet'!$A$113:$I$133,2,0)</f>
        <v>#N/A</v>
      </c>
      <c r="BW170" s="151" t="str">
        <f>VLOOKUP(A170,'Données projet'!$A$113:$I$133,9,0)</f>
        <v>#N/A</v>
      </c>
      <c r="BX170" s="151" t="str">
        <f t="array" ref="BX170">INDEX(BW:BW,MIN(IF(ISNUMBER(BW170:BW366),ROW(BW170:BW366),"")))</f>
        <v/>
      </c>
      <c r="BY170" s="150">
        <f>IF('Données projet'!$A$114&gt;35,BY169+BX170-CG169,IF(A170&lt;'Données projet'!$A$114,$BV$205^A170,IF(A170='Données projet'!$A$114,'Données projet'!$B$114,BY169+BX170-CG169)))</f>
        <v>0</v>
      </c>
      <c r="BZ170" s="150" t="str">
        <f>BY170*VLOOKUP('Données projet'!$B$12,'Paramètres'!$A$1:$I$88,3,0)*VLOOKUP('Données projet'!$B$12,'Paramètres'!$A$1:$I$88,5,0)</f>
        <v>#N/A</v>
      </c>
      <c r="CA170" s="150" t="str">
        <f t="shared" si="40"/>
        <v>#N/A</v>
      </c>
      <c r="CB170" s="161" t="str">
        <f t="shared" si="11"/>
        <v>#N/A</v>
      </c>
      <c r="CC170" s="153" t="str">
        <f t="shared" si="12"/>
        <v>#N/A</v>
      </c>
      <c r="CD170" s="153" t="str">
        <f>AVERAGE(OFFSET($CC$3,0,0,'Données projet'!$E$12+1,1))-AVERAGE(OFFSET($H$3,0,0,'Données projet'!$E$12+1,1))</f>
        <v>#N/A</v>
      </c>
      <c r="CE170" s="153" t="str">
        <f t="shared" si="41"/>
        <v>#N/A</v>
      </c>
      <c r="CF170" s="154">
        <f>IF(ISNA(VLOOKUP(A170,'Données projet'!$A$113:$I$133,3,0)),0,VLOOKUP(A170,'Données projet'!$A$113:$I$133,3,0))</f>
        <v>0</v>
      </c>
      <c r="CG170" s="154">
        <f>IF(ISNA(VLOOKUP(A170,'Données projet'!$A$113:$I$133,4,0)),0,VLOOKUP(A170,'Données projet'!$A$113:$I$133,4,0))</f>
        <v>0</v>
      </c>
      <c r="CH170" s="155">
        <f>IF(ISNA(VLOOKUP(A170,'Données projet'!$A$113:$I$133,5,0)),0%,VLOOKUP(A170,'Données projet'!$A$113:$I$133,5,0)*VLOOKUP('Données projet'!$B$12,'Paramètres'!$A$1:$I$88,7,0))</f>
        <v>0</v>
      </c>
      <c r="CI170" s="155">
        <f>IF(ISNA(VLOOKUP(A170,'Données projet'!$A$113:$I$133,6,0)),0%,VLOOKUP(A170,'Données projet'!$A$113:$I$133,6,0)*VLOOKUP('Données projet'!$B$12,'Paramètres'!$A$1:$I$88,7,0))</f>
        <v>0</v>
      </c>
      <c r="CJ170" s="155">
        <f>IF(ISNA(VLOOKUP(A170,'Données projet'!$A$113:$I$133,7,0)),0%,VLOOKUP(A170,'Données projet'!$A$113:$I$133,7,0))</f>
        <v>0</v>
      </c>
      <c r="CK170" s="162" t="str">
        <f>EXP(-LN(2)/35)*CK169+(1-EXP(-LN(2)/35))/(LN(2)/35)*CG170*CH170*VLOOKUP('Données projet'!$B$12,'Paramètres'!$A$1:$I$88,3,0)*0.475*44/12</f>
        <v>#N/A</v>
      </c>
      <c r="CL170" s="162" t="str">
        <f>EXP(-LN(2)/25)*CL169+(1-EXP(-LN(2)/25))/(LN(2)/25)*Calculateur!CG170*Calculateur!CI170*VLOOKUP('Données projet'!$B$12,'Paramètres'!$A$1:$I$88,3,0)*0.475*44/12</f>
        <v>#N/A</v>
      </c>
      <c r="CM170" s="162" t="str">
        <f>EXP(-LN(2)/2)*CM169+(1-EXP(-LN(2)/2))/(LN(2)/2)*CG170*CJ170*VLOOKUP('Données projet'!$B$12,'Paramètres'!$A$1:$I$88,3,0)*0.475*44/12</f>
        <v>#N/A</v>
      </c>
      <c r="CN170" s="163" t="str">
        <f t="shared" si="13"/>
        <v>#N/A</v>
      </c>
      <c r="CO170" s="159">
        <f>('Scénario référence'!$F$8+'Scénario référence'!$F$9+'Scénario référence'!$B$17+'Scénario référence'!$B$9+'Scénario référence'!$B$10)*70+IF((45+25*(1-EXP(-0.0175*A170)))&lt;70,'Scénario référence'!$B$16*(45+25*(1-EXP(-0.0175*A170))),70*'Scénario référence'!$B$16)+IF((32+38*(1-EXP(-0.0175*A170)))&lt;70,'Scénario référence'!$B$18*(32+38*(1-EXP(-0.0175*A170))),70*'Scénario référence'!$B$18)</f>
        <v>70</v>
      </c>
      <c r="CP170" s="151">
        <f>IF(A170&gt;30,10,('Scénario référence'!$B$16+'Scénario référence'!$B$17+'Scénario référence'!$B$18+'Scénario référence'!$B$9+'Scénario référence'!$B$10)*A170*10/30+('Scénario référence'!$F$8+'Scénario référence'!$F$9)*10)</f>
        <v>10</v>
      </c>
      <c r="CQ170" s="151" t="str">
        <f>VLOOKUP(A170,'Données projet'!$A$139:$I$159,2,0)</f>
        <v>#N/A</v>
      </c>
      <c r="CR170" s="151" t="str">
        <f>VLOOKUP(A170,'Données projet'!$A$139:$I$159,9,0)</f>
        <v>#N/A</v>
      </c>
      <c r="CS170" s="151" t="str">
        <f t="array" ref="CS170">INDEX(CR:CR,MIN(IF(ISNUMBER(CR170:CR366),ROW(CR170:CR366),"")))</f>
        <v/>
      </c>
      <c r="CT170" s="151">
        <f>IF('Données projet'!$A$140&gt;35,CT169+CS170-DB169,IF(A170&lt;'Données projet'!$A$140,$CQ$205^A170,IF(A170='Données projet'!$A$140,'Données projet'!$B$140,CT169+CS170-DB169)))</f>
        <v>0</v>
      </c>
      <c r="CU170" s="158" t="str">
        <f>CT170*VLOOKUP('Données projet'!$B$13,'Paramètres'!$A$1:$I$88,3,0)*VLOOKUP('Données projet'!$B$13,'Paramètres'!$A$1:$I$88,5,0)</f>
        <v>#N/A</v>
      </c>
      <c r="CV170" s="150" t="str">
        <f t="shared" si="42"/>
        <v>#N/A</v>
      </c>
      <c r="CW170" s="161" t="str">
        <f t="shared" si="14"/>
        <v>#N/A</v>
      </c>
      <c r="CX170" s="153" t="str">
        <f t="shared" si="15"/>
        <v>#N/A</v>
      </c>
      <c r="CY170" s="153" t="str">
        <f>AVERAGE(OFFSET($CX$3,0,0,'Données projet'!$E$13+1,1))-AVERAGE(OFFSET($H$3,0,0,'Données projet'!$E$13+1,1))</f>
        <v>#N/A</v>
      </c>
      <c r="CZ170" s="153" t="str">
        <f t="shared" si="43"/>
        <v>#N/A</v>
      </c>
      <c r="DA170" s="154">
        <f>IF(ISNA(VLOOKUP(A170,'Données projet'!$A$139:$I$159,3,0)),0,VLOOKUP(A170,'Données projet'!$A$139:$I$159,3,0))</f>
        <v>0</v>
      </c>
      <c r="DB170" s="154">
        <f>IF(ISNA(VLOOKUP(A170,'Données projet'!$A$139:$I$159,4,0)),0,VLOOKUP(A170,'Données projet'!$A$139:$I$159,4,0))</f>
        <v>0</v>
      </c>
      <c r="DC170" s="155">
        <f>IF(ISNA(VLOOKUP(A170,'Données projet'!$A$139:$I$159,5,0)),0%,VLOOKUP(A170,'Données projet'!$A$139:$I$159,5,0)*VLOOKUP('Données projet'!$B$13,'Paramètres'!$A$1:$I$88,7,0))</f>
        <v>0</v>
      </c>
      <c r="DD170" s="155">
        <f>IF(ISNA(VLOOKUP(A170,'Données projet'!$A$139:$I$159,6,0)),0%,VLOOKUP(A170,'Données projet'!$A$139:$I$159,6,0)*VLOOKUP('Données projet'!$B$13,'Paramètres'!$A$1:$I$88,7,0))</f>
        <v>0</v>
      </c>
      <c r="DE170" s="155">
        <f>IF(ISNA(VLOOKUP(A170,'Données projet'!$A$139:$I$159,7,0)),0%,VLOOKUP(A170,'Données projet'!$A$139:$I$159,7,0))</f>
        <v>0</v>
      </c>
      <c r="DF170" s="162" t="str">
        <f>EXP(-LN(2)/35)*DF169+(1-EXP(-LN(2)/35))/(LN(2)/35)*DB170*DC170*VLOOKUP('Données projet'!$B$13,'Paramètres'!$A$1:$I$88,3,0)*0.475*44/12</f>
        <v>#N/A</v>
      </c>
      <c r="DG170" s="162" t="str">
        <f>EXP(-LN(2)/25)*DG169+(1-EXP(-LN(2)/25))/(LN(2)/25)*Calculateur!DB170*Calculateur!DD170*VLOOKUP('Données projet'!$B$13,'Paramètres'!$A$1:$I$88,3,0)*0.475*44/12</f>
        <v>#N/A</v>
      </c>
      <c r="DH170" s="162" t="str">
        <f>EXP(-LN(2)/2)*DH169+(1-EXP(-LN(2)/2))/(LN(2)/2)*DB170*DE170*VLOOKUP('Données projet'!$B$13,'Paramètres'!$A$1:$I$88,3,0)*0.475*44/12</f>
        <v>#N/A</v>
      </c>
      <c r="DI170" s="163" t="str">
        <f t="shared" si="16"/>
        <v>#N/A</v>
      </c>
      <c r="DJ170" s="159">
        <f>('Scénario référence'!$F$8+'Scénario référence'!$F$9+'Scénario référence'!$B$17+'Scénario référence'!$B$9+'Scénario référence'!$B$10)*70+IF((45+25*(1-EXP(-0.0175*A170)))&lt;70,'Scénario référence'!$B$16*(45+25*(1-EXP(-0.0175*A170))),70*'Scénario référence'!$B$16)+IF((32+38*(1-EXP(-0.0175*A170)))&lt;70,'Scénario référence'!$B$18*(32+38*(1-EXP(-0.0175*A170))),70*'Scénario référence'!$B$18)</f>
        <v>70</v>
      </c>
      <c r="DK170" s="151">
        <f>IF(A170&gt;30,10,('Scénario référence'!$B$16+'Scénario référence'!$B$17+'Scénario référence'!$B$18+'Scénario référence'!$B$9+'Scénario référence'!$B$10)*A170*10/30+('Scénario référence'!$F$8+'Scénario référence'!$F$9)*10)</f>
        <v>10</v>
      </c>
      <c r="DL170" s="151" t="str">
        <f>VLOOKUP(A170,'Données projet'!$A$165:$I$185,2,0)</f>
        <v>#N/A</v>
      </c>
      <c r="DM170" s="151" t="str">
        <f>VLOOKUP(A170,'Données projet'!$A$165:$I$185,9,0)</f>
        <v>#N/A</v>
      </c>
      <c r="DN170" s="151" t="str">
        <f t="array" ref="DN170">INDEX(DM:DM,MIN(IF(ISNUMBER(DM170:DM366),ROW(DM170:DM366),"")))</f>
        <v/>
      </c>
      <c r="DO170" s="151">
        <f>IF('Données projet'!$A$166&gt;35,DO169+DN170-DW169,IF(A170&lt;'Données projet'!$A$166,$DL$205^A170,IF(A170='Données projet'!$A$166,'Données projet'!$B$166,DO169+DN170-DW169)))</f>
        <v>0</v>
      </c>
      <c r="DP170" s="158" t="str">
        <f>DO170*VLOOKUP('Données projet'!$B$14,'Paramètres'!$A$1:$I$88,3,0)*VLOOKUP('Données projet'!$B$14,'Paramètres'!$A$1:$I$88,5,0)</f>
        <v>#N/A</v>
      </c>
      <c r="DQ170" s="150" t="str">
        <f t="shared" si="44"/>
        <v>#N/A</v>
      </c>
      <c r="DR170" s="161" t="str">
        <f t="shared" si="17"/>
        <v>#N/A</v>
      </c>
      <c r="DS170" s="153" t="str">
        <f t="shared" si="18"/>
        <v>#N/A</v>
      </c>
      <c r="DT170" s="153" t="str">
        <f>AVERAGE(OFFSET($DS$3,0,0,'Données projet'!$E$14+1,1))-AVERAGE(OFFSET($H$3,0,0,'Données projet'!$E$14+1,1))</f>
        <v>#N/A</v>
      </c>
      <c r="DU170" s="153" t="str">
        <f t="shared" si="45"/>
        <v>#N/A</v>
      </c>
      <c r="DV170" s="154">
        <f>IF(ISNA(VLOOKUP(A170,'Données projet'!$A$165:$I$185,3,0)),0,VLOOKUP(A170,'Données projet'!$A$165:$I$185,3,0))</f>
        <v>0</v>
      </c>
      <c r="DW170" s="154">
        <f>IF(ISNA(VLOOKUP(A170,'Données projet'!$A$165:$I$185,4,0)),0,VLOOKUP(A170,'Données projet'!$A$165:$I$185,4,0))</f>
        <v>0</v>
      </c>
      <c r="DX170" s="155">
        <f>IF(ISNA(VLOOKUP(A170,'Données projet'!$A$165:$I$185,5,0)),0%,VLOOKUP(A170,'Données projet'!$A$165:$I$185,5,0)*VLOOKUP('Données projet'!$B$14,'Paramètres'!$A$1:$I$88,7,0))</f>
        <v>0</v>
      </c>
      <c r="DY170" s="155">
        <f>IF(ISNA(VLOOKUP(A170,'Données projet'!$A$165:$I$185,6,0)),0%,VLOOKUP(A170,'Données projet'!$A$165:$I$185,6,0)*VLOOKUP('Données projet'!$B$14,'Paramètres'!$A$1:$I$88,7,0))</f>
        <v>0</v>
      </c>
      <c r="DZ170" s="155">
        <f>IF(ISNA(VLOOKUP(A170,'Données projet'!$A$165:$I$185,7,0)),0%,VLOOKUP(A170,'Données projet'!$A$165:$I$185,7,0))</f>
        <v>0</v>
      </c>
      <c r="EA170" s="162" t="str">
        <f>EXP(-LN(2)/35)*EA169+(1-EXP(-LN(2)/35))/(LN(2)/35)*DW170*DX170*VLOOKUP('Données projet'!$B$14,'Paramètres'!$A$1:$I$88,3,0)*0.475*44/12</f>
        <v>#N/A</v>
      </c>
      <c r="EB170" s="162" t="str">
        <f>EXP(-LN(2)/25)*EB169+(1-EXP(-LN(2)/25))/(LN(2)/25)*Calculateur!DW170*Calculateur!DY170*VLOOKUP('Données projet'!$B$14,'Paramètres'!$A$1:$I$88,3,0)*0.475*44/12</f>
        <v>#N/A</v>
      </c>
      <c r="EC170" s="162" t="str">
        <f>EXP(-LN(2)/2)*EC169+(1-EXP(-LN(2)/2))/(LN(2)/2)*DW170*DZ170*VLOOKUP('Données projet'!$B$14,'Paramètres'!$A$1:$I$88,3,0)*0.475*44/12</f>
        <v>#N/A</v>
      </c>
      <c r="ED170" s="163" t="str">
        <f t="shared" si="19"/>
        <v>#N/A</v>
      </c>
      <c r="EE170" s="159">
        <f>('Scénario référence'!$F$8+'Scénario référence'!$F$9+'Scénario référence'!$B$17+'Scénario référence'!$B$9+'Scénario référence'!$B$10)*70+IF((45+25*(1-EXP(-0.0175*A170)))&lt;70,'Scénario référence'!$B$16*(45+25*(1-EXP(-0.0175*A170))),70*'Scénario référence'!$B$16)+IF((32+38*(1-EXP(-0.0175*A170)))&lt;70,'Scénario référence'!$B$18*(32+38*(1-EXP(-0.0175*A170))),70*'Scénario référence'!$B$18)</f>
        <v>70</v>
      </c>
      <c r="EF170" s="151">
        <f>IF(A170&gt;30,10,('Scénario référence'!$B$16+'Scénario référence'!$B$17+'Scénario référence'!$B$18+'Scénario référence'!$B$9+'Scénario référence'!$B$10)*A170*10/30+('Scénario référence'!$F$8+'Scénario référence'!$F$9)*10)</f>
        <v>10</v>
      </c>
      <c r="EG170" s="151" t="str">
        <f>VLOOKUP(A170,'Données projet'!$A$191:$I$211,2,0)</f>
        <v>#N/A</v>
      </c>
      <c r="EH170" s="151" t="str">
        <f>VLOOKUP(A170,'Données projet'!$A$191:$I$211,9,0)</f>
        <v>#N/A</v>
      </c>
      <c r="EI170" s="151" t="str">
        <f t="array" ref="EI170">INDEX(EH:EH,MIN(IF(ISNUMBER(EH170:EH366),ROW(EH170:EH366),"")))</f>
        <v/>
      </c>
      <c r="EJ170" s="151">
        <f>IF('Données projet'!$A$192&gt;35,EJ169+EI170-ER169,IF(A170&lt;'Données projet'!$A$192,$EG$205^A170,IF(A170='Données projet'!$A$192,'Données projet'!$B$192,EJ169+EI170-ER169)))</f>
        <v>0</v>
      </c>
      <c r="EK170" s="158" t="str">
        <f>EJ170*VLOOKUP('Données projet'!$B$15,'Paramètres'!$A$1:$I$88,3,0)*VLOOKUP('Données projet'!$B$15,'Paramètres'!$A$1:$I$88,5,0)</f>
        <v>#N/A</v>
      </c>
      <c r="EL170" s="150" t="str">
        <f t="shared" si="46"/>
        <v>#N/A</v>
      </c>
      <c r="EM170" s="161" t="str">
        <f t="shared" si="20"/>
        <v>#N/A</v>
      </c>
      <c r="EN170" s="153" t="str">
        <f t="shared" si="21"/>
        <v>#N/A</v>
      </c>
      <c r="EO170" s="153" t="str">
        <f>AVERAGE(OFFSET($EN$3,0,0,'Données projet'!$E$15+1,1))-AVERAGE(OFFSET($H$3,0,0,'Données projet'!$E$15+1,1))</f>
        <v>#N/A</v>
      </c>
      <c r="EP170" s="153" t="str">
        <f t="shared" si="47"/>
        <v>#N/A</v>
      </c>
      <c r="EQ170" s="154">
        <f>IF(ISNA(VLOOKUP(A170,'Données projet'!$A$191:$I$211,3,0)),0,VLOOKUP(A170,'Données projet'!$A$191:$I$211,3,0))</f>
        <v>0</v>
      </c>
      <c r="ER170" s="154">
        <f>IF(ISNA(VLOOKUP(A170,'Données projet'!$A$191:$I$211,4,0)),0,VLOOKUP(A170,'Données projet'!$A$191:$I$211,4,0))</f>
        <v>0</v>
      </c>
      <c r="ES170" s="155">
        <f>IF(ISNA(VLOOKUP(A170,'Données projet'!$A$191:$I$211,5,0)),0%,VLOOKUP(A170,'Données projet'!$A$191:$I$211,5,0)*VLOOKUP('Données projet'!$B$15,'Paramètres'!$A$1:$I$88,7,0))</f>
        <v>0</v>
      </c>
      <c r="ET170" s="155">
        <f>IF(ISNA(VLOOKUP(A170,'Données projet'!$A$191:$I$211,6,0)),0%,VLOOKUP(A170,'Données projet'!$A$191:$I$211,6,0)*VLOOKUP('Données projet'!$B$15,'Paramètres'!$A$1:$I$88,7,0))</f>
        <v>0</v>
      </c>
      <c r="EU170" s="155">
        <f>IF(ISNA(VLOOKUP(A170,'Données projet'!$A$191:$I$211,7,0)),0%,VLOOKUP(A170,'Données projet'!$A$191:$I$211,7,0))</f>
        <v>0</v>
      </c>
      <c r="EV170" s="162" t="str">
        <f>EXP(-LN(2)/35)*EV169+(1-EXP(-LN(2)/35))/(LN(2)/35)*ER170*ES170*VLOOKUP('Données projet'!$B$15,'Paramètres'!$A$1:$I$88,3,0)*0.475*44/12</f>
        <v>#N/A</v>
      </c>
      <c r="EW170" s="162" t="str">
        <f>EXP(-LN(2)/25)*EW169+(1-EXP(-LN(2)/25))/(LN(2)/25)*Calculateur!ER170*Calculateur!ET170*VLOOKUP('Données projet'!$B$15,'Paramètres'!$A$1:$I$88,3,0)*0.475*44/12</f>
        <v>#N/A</v>
      </c>
      <c r="EX170" s="162" t="str">
        <f>EXP(-LN(2)/2)*EX169+(1-EXP(-LN(2)/2))/(LN(2)/2)*ER170*EU170*VLOOKUP('Données projet'!$B$15,'Paramètres'!$A$1:$I$88,3,0)*0.475*44/12</f>
        <v>#N/A</v>
      </c>
      <c r="EY170" s="163" t="str">
        <f t="shared" si="22"/>
        <v>#N/A</v>
      </c>
      <c r="EZ170" s="159">
        <f>('Scénario référence'!$F$8+'Scénario référence'!$F$9+'Scénario référence'!$B$17+'Scénario référence'!$B$9+'Scénario référence'!$B$10)*70+IF((45+25*(1-EXP(-0.0175*A170)))&lt;70,'Scénario référence'!$B$16*(45+25*(1-EXP(-0.0175*A170))),70*'Scénario référence'!$B$16)+IF((32+38*(1-EXP(-0.0175*A170)))&lt;70,'Scénario référence'!$B$18*(32+38*(1-EXP(-0.0175*A170))),70*'Scénario référence'!$B$18)</f>
        <v>70</v>
      </c>
      <c r="FA170" s="151">
        <f>IF(A170&gt;30,10,('Scénario référence'!$B$16+'Scénario référence'!$B$17+'Scénario référence'!$B$18+'Scénario référence'!$B$9+'Scénario référence'!$B$10)*A170*10/30+('Scénario référence'!$F$8+'Scénario référence'!$F$9)*10)</f>
        <v>10</v>
      </c>
      <c r="FB170" s="151" t="str">
        <f>VLOOKUP(A170,'Données projet'!$A$217:$I$237,2,0)</f>
        <v>#N/A</v>
      </c>
      <c r="FC170" s="151" t="str">
        <f>VLOOKUP(A170,'Données projet'!$A$217:$I$237,9,0)</f>
        <v>#N/A</v>
      </c>
      <c r="FD170" s="151" t="str">
        <f t="array" ref="FD170">INDEX(FC:FC,MIN(IF(ISNUMBER(FC170:FC366),ROW(FC170:FC366),"")))</f>
        <v/>
      </c>
      <c r="FE170" s="151">
        <f>IF('Données projet'!$A$218&gt;35,FE169+FD170-FM169,IF(A170&lt;'Données projet'!$A$218,$FB$205^A170,IF(A170='Données projet'!$A$218,'Données projet'!$B$218,FE169+FD170-FM169)))</f>
        <v>0</v>
      </c>
      <c r="FF170" s="158" t="str">
        <f>FE170*VLOOKUP('Données projet'!$B$16,'Paramètres'!$A$1:$I$88,3,0)*VLOOKUP('Données projet'!$B$16,'Paramètres'!$A$1:$I$88,5,0)</f>
        <v>#N/A</v>
      </c>
      <c r="FG170" s="150" t="str">
        <f t="shared" si="48"/>
        <v>#N/A</v>
      </c>
      <c r="FH170" s="161" t="str">
        <f t="shared" si="23"/>
        <v>#N/A</v>
      </c>
      <c r="FI170" s="153" t="str">
        <f t="shared" si="24"/>
        <v>#N/A</v>
      </c>
      <c r="FJ170" s="153" t="str">
        <f>AVERAGE(OFFSET($FI$3,0,0,'Données projet'!$E$16+1,1))-AVERAGE(OFFSET($H$3,0,0,'Données projet'!$E$16+1,1))</f>
        <v>#N/A</v>
      </c>
      <c r="FK170" s="153" t="str">
        <f t="shared" si="49"/>
        <v>#N/A</v>
      </c>
      <c r="FL170" s="154">
        <f>IF(ISNA(VLOOKUP(A170,'Données projet'!$A$217:$I$237,3,0)),0,VLOOKUP(A170,'Données projet'!$A$217:$I$237,3,0))</f>
        <v>0</v>
      </c>
      <c r="FM170" s="154">
        <f>IF(ISNA(VLOOKUP(A170,'Données projet'!$A$217:$I$237,4,0)),0,VLOOKUP(A170,'Données projet'!$A$217:$I$237,4,0))</f>
        <v>0</v>
      </c>
      <c r="FN170" s="155">
        <f>IF(ISNA(VLOOKUP(A170,'Données projet'!$A$217:$I$237,5,0)),0%,VLOOKUP(A170,'Données projet'!$A$217:$I$237,5,0)*VLOOKUP('Données projet'!$B$16,'Paramètres'!$A$1:$I$88,7,0))</f>
        <v>0</v>
      </c>
      <c r="FO170" s="155">
        <f>IF(ISNA(VLOOKUP(A170,'Données projet'!$A$217:$I$237,6,0)),0%,VLOOKUP(A170,'Données projet'!$A$217:$I$237,6,0)*VLOOKUP('Données projet'!$B$16,'Paramètres'!$A$1:$I$88,7,0))</f>
        <v>0</v>
      </c>
      <c r="FP170" s="155">
        <f>IF(ISNA(VLOOKUP(A170,'Données projet'!$A$217:$I$237,7,0)),0%,VLOOKUP(A170,'Données projet'!$A$217:$I$237,7,0))</f>
        <v>0</v>
      </c>
      <c r="FQ170" s="162" t="str">
        <f>EXP(-LN(2)/35)*FQ169+(1-EXP(-LN(2)/35))/(LN(2)/35)*FM170*FN170*VLOOKUP('Données projet'!$B$16,'Paramètres'!$A$1:$I$88,3,0)*0.475*44/12</f>
        <v>#N/A</v>
      </c>
      <c r="FR170" s="162" t="str">
        <f>EXP(-LN(2)/25)*FR169+(1-EXP(-LN(2)/25))/(LN(2)/25)*Calculateur!FM170*Calculateur!FO170*VLOOKUP('Données projet'!$B$16,'Paramètres'!$A$1:$I$88,3,0)*0.475*44/12</f>
        <v>#N/A</v>
      </c>
      <c r="FS170" s="162" t="str">
        <f>EXP(-LN(2)/2)*FS169+(1-EXP(-LN(2)/2))/(LN(2)/2)*FM170*FP170*VLOOKUP('Données projet'!$B$16,'Paramètres'!$A$1:$I$88,3,0)*0.475*44/12</f>
        <v>#N/A</v>
      </c>
      <c r="FT170" s="163" t="str">
        <f t="shared" si="25"/>
        <v>#N/A</v>
      </c>
      <c r="FU170" s="159">
        <f>('Scénario référence'!$F$8+'Scénario référence'!$F$9+'Scénario référence'!$B$17+'Scénario référence'!$B$9+'Scénario référence'!$B$10)*70+IF((45+25*(1-EXP(-0.0175*A170)))&lt;70,'Scénario référence'!$B$16*(45+25*(1-EXP(-0.0175*A170))),70*'Scénario référence'!$B$16)+IF((32+38*(1-EXP(-0.0175*A170)))&lt;70,'Scénario référence'!$B$18*(32+38*(1-EXP(-0.0175*A170))),70*'Scénario référence'!$B$18)</f>
        <v>70</v>
      </c>
      <c r="FV170" s="151">
        <f>IF(A170&gt;30,10,('Scénario référence'!$B$16+'Scénario référence'!$B$17+'Scénario référence'!$B$18+'Scénario référence'!$B$9+'Scénario référence'!$B$10)*A170*10/30+('Scénario référence'!$F$8+'Scénario référence'!$F$9)*10)</f>
        <v>10</v>
      </c>
      <c r="FW170" s="151" t="str">
        <f>VLOOKUP(A170,'Données projet'!$A$243:$I$263,2,0)</f>
        <v>#N/A</v>
      </c>
      <c r="FX170" s="151" t="str">
        <f>VLOOKUP(A170,'Données projet'!$A$243:$I$263,9,0)</f>
        <v>#N/A</v>
      </c>
      <c r="FY170" s="151" t="str">
        <f t="array" ref="FY170">INDEX(FX:FX,MIN(IF(ISNUMBER(FX170:FX366),ROW(FX170:FX366),"")))</f>
        <v/>
      </c>
      <c r="FZ170" s="151">
        <f>IF('Données projet'!$A$244&gt;35,FZ169+FY170-GH169,IF(A170&lt;'Données projet'!$A$244,$FW$205^A170,IF(A170='Données projet'!$A$244,'Données projet'!$B$244,FZ169+FY170-GH169)))</f>
        <v>0</v>
      </c>
      <c r="GA170" s="158" t="str">
        <f>FZ170*VLOOKUP('Données projet'!$B$17,'Paramètres'!$A$1:$I$88,3,0)*VLOOKUP('Données projet'!$B$17,'Paramètres'!$A$1:$I$88,5,0)</f>
        <v>#N/A</v>
      </c>
      <c r="GB170" s="150" t="str">
        <f t="shared" si="50"/>
        <v>#N/A</v>
      </c>
      <c r="GC170" s="161" t="str">
        <f t="shared" si="26"/>
        <v>#N/A</v>
      </c>
      <c r="GD170" s="153" t="str">
        <f t="shared" si="27"/>
        <v>#N/A</v>
      </c>
      <c r="GE170" s="153" t="str">
        <f>AVERAGE(OFFSET($GD$3,0,0,'Données projet'!$E$17+1,1))-AVERAGE(OFFSET($H$3,0,0,'Données projet'!$E$17+1,1))</f>
        <v>#N/A</v>
      </c>
      <c r="GF170" s="153" t="str">
        <f t="shared" si="51"/>
        <v>#N/A</v>
      </c>
      <c r="GG170" s="154">
        <f>IF(ISNA(VLOOKUP(A170,'Données projet'!$A$243:$I$263,3,0)),0,VLOOKUP(A170,'Données projet'!$A$243:$I$263,3,0))</f>
        <v>0</v>
      </c>
      <c r="GH170" s="154">
        <f>IF(ISNA(VLOOKUP(A170,'Données projet'!$A$243:$I$263,4,0)),0,VLOOKUP(A170,'Données projet'!$A$243:$I$263,4,0))</f>
        <v>0</v>
      </c>
      <c r="GI170" s="155">
        <f>IF(ISNA(VLOOKUP(A170,'Données projet'!$A$243:$I$263,5,0)),0%,VLOOKUP(A170,'Données projet'!$A$243:$I$263,5,0)*VLOOKUP('Données projet'!$B$17,'Paramètres'!$A$1:$I$88,7,0))</f>
        <v>0</v>
      </c>
      <c r="GJ170" s="155">
        <f>IF(ISNA(VLOOKUP(A170,'Données projet'!$A$243:$I$263,6,0)),0%,VLOOKUP(A170,'Données projet'!$A$243:$I$263,6,0)*VLOOKUP('Données projet'!$B$17,'Paramètres'!$A$1:$I$88,7,0))</f>
        <v>0</v>
      </c>
      <c r="GK170" s="155">
        <f>IF(ISNA(VLOOKUP(A170,'Données projet'!$A$243:$I$263,7,0)),0%,VLOOKUP(A170,'Données projet'!$A$243:$I$263,7,0))</f>
        <v>0</v>
      </c>
      <c r="GL170" s="162" t="str">
        <f>EXP(-LN(2)/35)*GL169+(1-EXP(-LN(2)/35))/(LN(2)/35)*GH170*GI170*VLOOKUP('Données projet'!$B$17,'Paramètres'!$A$1:$I$88,3,0)*0.475*44/12</f>
        <v>#N/A</v>
      </c>
      <c r="GM170" s="162" t="str">
        <f>EXP(-LN(2)/25)*GM169+(1-EXP(-LN(2)/25))/(LN(2)/25)*Calculateur!GH170*Calculateur!GJ170*VLOOKUP('Données projet'!$B$17,'Paramètres'!$A$1:$I$88,3,0)*0.475*44/12</f>
        <v>#N/A</v>
      </c>
      <c r="GN170" s="162" t="str">
        <f>EXP(-LN(2)/2)*GN169+(1-EXP(-LN(2)/2))/(LN(2)/2)*GH170*GK170*VLOOKUP('Données projet'!$B$17,'Paramètres'!$A$1:$I$88,3,0)*0.475*44/12</f>
        <v>#N/A</v>
      </c>
      <c r="GO170" s="162" t="str">
        <f t="shared" si="28"/>
        <v>#N/A</v>
      </c>
      <c r="GP170" s="159">
        <f>('Scénario référence'!$F$8+'Scénario référence'!$F$9+'Scénario référence'!$B$17+'Scénario référence'!$B$9+'Scénario référence'!$B$10)*70+IF((45+25*(1-EXP(-0.0175*A170)))&lt;70,'Scénario référence'!$B$16*(45+25*(1-EXP(-0.0175*A170))),70*'Scénario référence'!$B$16)+IF((32+38*(1-EXP(-0.0175*A170)))&lt;70,'Scénario référence'!$B$18*(32+38*(1-EXP(-0.0175*A170))),70*'Scénario référence'!$B$18)</f>
        <v>70</v>
      </c>
      <c r="GQ170" s="151">
        <f>IF(A170&gt;30,10,('Scénario référence'!$B$16+'Scénario référence'!$B$17+'Scénario référence'!$B$18+'Scénario référence'!$B$9+'Scénario référence'!$B$10)*A170*10/30+('Scénario référence'!$F$8+'Scénario référence'!$F$9)*10)</f>
        <v>10</v>
      </c>
      <c r="GR170" s="151" t="str">
        <f>VLOOKUP(A170,'Données projet'!$A$269:$I$289,2,0)</f>
        <v>#N/A</v>
      </c>
      <c r="GS170" s="151" t="str">
        <f>VLOOKUP(A170,'Données projet'!$A$269:$I$289,9,0)</f>
        <v>#N/A</v>
      </c>
      <c r="GT170" s="151" t="str">
        <f t="array" ref="GT170">INDEX(GS:GS,MIN(IF(ISNUMBER(GS170:GS366),ROW(GS170:GS366),"")))</f>
        <v/>
      </c>
      <c r="GU170" s="151">
        <f>IF('Données projet'!$A$270&gt;35,GU169+GT170-HC169,IF(A170&lt;'Données projet'!$A$270,$GR$205^A170,IF(A170='Données projet'!$A$270,'Données projet'!$B$270,GU169+GT170-HC169)))</f>
        <v>0</v>
      </c>
      <c r="GV170" s="158" t="str">
        <f>GU170*VLOOKUP('Données projet'!$B$18,'Paramètres'!$A$1:$I$88,3,0)*VLOOKUP('Données projet'!$B$18,'Paramètres'!$A$1:$I$88,5,0)</f>
        <v>#N/A</v>
      </c>
      <c r="GW170" s="150" t="str">
        <f t="shared" si="52"/>
        <v>#N/A</v>
      </c>
      <c r="GX170" s="161" t="str">
        <f t="shared" si="29"/>
        <v>#N/A</v>
      </c>
      <c r="GY170" s="153" t="str">
        <f t="shared" si="30"/>
        <v>#N/A</v>
      </c>
      <c r="GZ170" s="153" t="str">
        <f>AVERAGE(OFFSET($GY$3,0,0,'Données projet'!$E$18+1,1))-AVERAGE(OFFSET($H$3,0,0,'Données projet'!$E$18+1,1))</f>
        <v>#N/A</v>
      </c>
      <c r="HA170" s="153" t="str">
        <f t="shared" si="53"/>
        <v>#N/A</v>
      </c>
      <c r="HB170" s="154">
        <f>IF(ISNA(VLOOKUP(A170,'Données projet'!$A$269:$I$289,3,0)),0,VLOOKUP(A170,'Données projet'!$A$269:$I$289,3,0))</f>
        <v>0</v>
      </c>
      <c r="HC170" s="154">
        <f>IF(ISNA(VLOOKUP(A170,'Données projet'!$A$269:$I$289,4,0)),0,VLOOKUP(A170,'Données projet'!$A$269:$I$289,4,0))</f>
        <v>0</v>
      </c>
      <c r="HD170" s="155">
        <f>IF(ISNA(VLOOKUP(A170,'Données projet'!$A$269:$I$289,5,0)),0%,VLOOKUP(A170,'Données projet'!$A$269:$I$289,5,0)*VLOOKUP('Données projet'!$B$18,'Paramètres'!$A$1:$I$88,7,0))</f>
        <v>0</v>
      </c>
      <c r="HE170" s="155">
        <f>IF(ISNA(VLOOKUP(A170,'Données projet'!$A$269:$I$289,6,0)),0%,VLOOKUP(A170,'Données projet'!$A$269:$I$289,6,0)*VLOOKUP('Données projet'!$B$18,'Paramètres'!$A$1:$I$88,7,0))</f>
        <v>0</v>
      </c>
      <c r="HF170" s="155">
        <f>IF(ISNA(VLOOKUP(A170,'Données projet'!$A$269:$I$289,7,0)),0%,VLOOKUP(A170,'Données projet'!$A$269:$I$289,7,0))</f>
        <v>0</v>
      </c>
      <c r="HG170" s="162" t="str">
        <f>EXP(-LN(2)/35)*HG169+(1-EXP(-LN(2)/35))/(LN(2)/35)*HC170*HD170*VLOOKUP('Données projet'!$B$18,'Paramètres'!$A$1:$I$88,3,0)*0.475*44/12</f>
        <v>#N/A</v>
      </c>
      <c r="HH170" s="162" t="str">
        <f>EXP(-LN(2)/25)*HH169+(1-EXP(-LN(2)/25))/(LN(2)/25)*Calculateur!HC170*Calculateur!HE170*VLOOKUP('Données projet'!$B$18,'Paramètres'!$A$1:$I$88,3,0)*0.475*44/12</f>
        <v>#N/A</v>
      </c>
      <c r="HI170" s="162" t="str">
        <f>EXP(-LN(2)/2)*HI169+(1-EXP(-LN(2)/2))/(LN(2)/2)*HC170*HF170*VLOOKUP('Données projet'!$B$18,'Paramètres'!$A$1:$I$88,3,0)*0.475*44/12</f>
        <v>#N/A</v>
      </c>
      <c r="HJ170" s="163" t="str">
        <f t="shared" si="31"/>
        <v>#N/A</v>
      </c>
    </row>
    <row r="171" ht="15.75" customHeight="1">
      <c r="A171" s="145">
        <f t="shared" si="32"/>
        <v>168</v>
      </c>
      <c r="B171" s="146">
        <f>'Scénario référence'!$B$16*5+'Scénario référence'!$B$17*0+'Scénario référence'!$B$18*5</f>
        <v>0</v>
      </c>
      <c r="C171" s="160">
        <f>Calculateur!C170+'Scénario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71" s="147">
        <f t="shared" si="33"/>
        <v>0</v>
      </c>
      <c r="E171" s="147">
        <f>'Scénario référence'!$B$16*45+('Scénario référence'!$B$17+'Scénario référence'!$F$8+'Scénario référence'!$F$9+'Scénario référence'!$B$10+'Scénario référence'!$B$9)*70+'Scénario référence'!$B$18*32</f>
        <v>70</v>
      </c>
      <c r="F171" s="147">
        <f>IF(OR('Scénario référence'!$F$8&gt;0,'Scénario référence'!$F$9&gt;0),('Scénario référence'!$F$8+'Scénario référence'!$F$9)*10,0)</f>
        <v>0</v>
      </c>
      <c r="G171" s="147">
        <f>'Scénario référence'!$B$8*B171*44/12+'Scénario référence'!$B$9*(C171+D171)/0.475*44/12+'Scénario référence'!$B$10*(C171+D171)/0.475*44/12+'Scénario référence'!$F$8*(C171+D171)/0.475*44/12+'Scénario référence'!$F$9*(C171+D171)/0.475*44/12</f>
        <v>0</v>
      </c>
      <c r="H171" s="148">
        <f t="shared" si="1"/>
        <v>256.6666667</v>
      </c>
      <c r="I171" s="149">
        <f>('Scénario référence'!$F$8+'Scénario référence'!$F$9+'Scénario référence'!$B$17+'Scénario référence'!$B$9+'Scénario référence'!$B$10)*70+IF((45+25*(1-EXP(-0.0175*A171)))&lt;70,'Scénario référence'!$B$16*(45+25*(1-EXP(-0.0175*A171))),70*'Scénario référence'!$B$16)+IF((32+38*(1-EXP(-0.0175*A171)))&lt;70,'Scénario référence'!$B$18*(32+38*(1-EXP(-0.0175*A171))),70*'Scénario référence'!$B$18)</f>
        <v>70</v>
      </c>
      <c r="J171" s="150">
        <f>IF(A171&gt;30,10,('Scénario référence'!$B$16+'Scénario référence'!$B$17+'Scénario référence'!$B$18+'Scénario référence'!$B$9+'Scénario référence'!$B$10)*A171*10/30+('Scénario référence'!$F$8+'Scénario référence'!$F$9)*10)</f>
        <v>10</v>
      </c>
      <c r="K171" s="151" t="str">
        <f>VLOOKUP(A171,'Données projet'!$A$35:$I$55,2,0)</f>
        <v>#N/A</v>
      </c>
      <c r="L171" s="151" t="str">
        <f>VLOOKUP(A171,'Données projet'!$A$35:$I$55,9,0)</f>
        <v>#N/A</v>
      </c>
      <c r="M171" s="151" t="str">
        <f t="array" ref="M171">INDEX(L:L,MIN(IF(ISNUMBER(L171:L367),ROW(L171:L367),"")))</f>
        <v/>
      </c>
      <c r="N171" s="150">
        <f>IF('Données projet'!$A$36&gt;35,N170+M171-V170,IF(A171&lt;'Données projet'!$A$36,$K$205^A171,IF(A171='Données projet'!$A$36,'Données projet'!$B$36,N170+M171-V170)))</f>
        <v>307</v>
      </c>
      <c r="O171" s="150">
        <f>N171*VLOOKUP('Données projet'!$B$9,'Paramètres'!$A$1:$I$88,3,0)*VLOOKUP('Données projet'!$B$9,'Paramètres'!$A$1:$I$88,5,0)</f>
        <v>277.7736</v>
      </c>
      <c r="P171" s="150">
        <f t="shared" si="34"/>
        <v>66.49628818</v>
      </c>
      <c r="Q171" s="161">
        <f t="shared" si="2"/>
        <v>599.6033886</v>
      </c>
      <c r="R171" s="153">
        <f t="shared" si="3"/>
        <v>892.9367219</v>
      </c>
      <c r="S171" s="153">
        <f>AVERAGE(OFFSET($R$3,0,0,'Données projet'!$E$9+1,1))-AVERAGE(OFFSET($H$3,0,0,'Données projet'!$E$9+1,1))</f>
        <v>439.1985427</v>
      </c>
      <c r="T171" s="153">
        <f t="shared" si="35"/>
        <v>278.2174123</v>
      </c>
      <c r="U171" s="154">
        <f>IF(ISNA(VLOOKUP(A171,'Données projet'!$A$35:$I$55,3,0)),0,VLOOKUP(A171,'Données projet'!$A$35:$I$55,3,0))</f>
        <v>0</v>
      </c>
      <c r="V171" s="154">
        <f>IF(ISNA(VLOOKUP(A171,'Données projet'!$A$35:$I$55,4,0)),0,VLOOKUP(A171,'Données projet'!$A$35:$I$55,4,0))</f>
        <v>0</v>
      </c>
      <c r="W171" s="155">
        <f>IF(ISNA(VLOOKUP(A171,'Données projet'!$A$35:$I$55,5,0)),0%,VLOOKUP(A171,'Données projet'!$A$35:$I$55,5,0)*VLOOKUP('Données projet'!$B$9,'Paramètres'!$A$1:$I$88,7,0))</f>
        <v>0</v>
      </c>
      <c r="X171" s="155">
        <f>IF(ISNA(VLOOKUP(A171,'Données projet'!$A$35:$I$55,6,0)),0%,VLOOKUP(A171,'Données projet'!$A$35:$I$55,6,0)*VLOOKUP('Données projet'!$B$9,'Paramètres'!$A$1:$I$88,7,0))</f>
        <v>0</v>
      </c>
      <c r="Y171" s="155">
        <f>IF(ISNA(VLOOKUP(A171,'Données projet'!$A$35:$I$55,7,0)),0%,VLOOKUP(A171,'Données projet'!$A$35:$I$55,7,0))</f>
        <v>0</v>
      </c>
      <c r="Z171" s="162">
        <f>EXP(-LN(2)/35)*Z170+(1-EXP(-LN(2)/35))/(LN(2)/35)*V171*W171*VLOOKUP('Données projet'!$B$9,'Paramètres'!$A$1:$I$88,3,0)*0.475*44/12</f>
        <v>0</v>
      </c>
      <c r="AA171" s="162">
        <f>EXP(-LN(2)/25)*AA170+(1-EXP(-LN(2)/25))/(LN(2)/25)*Calculateur!V171*Calculateur!X171*VLOOKUP('Données projet'!$B$9,'Paramètres'!$A$1:$I$88,3,0)*0.475*44/12</f>
        <v>0.09779726352</v>
      </c>
      <c r="AB171" s="162">
        <f>EXP(-LN(2)/2)*AB170+(1-EXP(-LN(2)/2))/(LN(2)/2)*V171*Y171*VLOOKUP('Données projet'!$B$9,'Paramètres'!$A$1:$I$88,3,0)*0.475*44/12</f>
        <v>0</v>
      </c>
      <c r="AC171" s="163">
        <f t="shared" si="4"/>
        <v>0.09779726352</v>
      </c>
      <c r="AD171" s="150">
        <f>('Scénario référence'!$F$8+'Scénario référence'!$F$9+'Scénario référence'!$B$17+'Scénario référence'!$B$9+'Scénario référence'!$B$10)*70+IF((45+25*(1-EXP(-0.0175*A171)))&lt;70,'Scénario référence'!$B$16*(45+25*(1-EXP(-0.0175*A171))),70*'Scénario référence'!$B$16)+IF((32+38*(1-EXP(-0.0175*A171)))&lt;70,'Scénario référence'!$B$18*(32+38*(1-EXP(-0.0175*A171))),70*'Scénario référence'!$B$18)</f>
        <v>70</v>
      </c>
      <c r="AE171" s="150">
        <f>IF(A171&gt;30,10,('Scénario référence'!$B$16+'Scénario référence'!$B$17+'Scénario référence'!$B$18+'Scénario référence'!$B$9+'Scénario référence'!$B$10)*A171*10/30+('Scénario référence'!$F$8+'Scénario référence'!$F$9)*10)</f>
        <v>10</v>
      </c>
      <c r="AF171" s="151" t="str">
        <f>VLOOKUP(A171,'Données projet'!$A$61:$I$81,2,0)</f>
        <v>#N/A</v>
      </c>
      <c r="AG171" s="151" t="str">
        <f>VLOOKUP(A171,'Données projet'!$A$61:$I$81,9,0)</f>
        <v>#N/A</v>
      </c>
      <c r="AH171" s="151" t="str">
        <f t="array" ref="AH171">INDEX(AG:AG,MIN(IF(ISNUMBER(AG171:AG367),ROW(AG171:AG367),"")))</f>
        <v/>
      </c>
      <c r="AI171" s="150">
        <f>IF('Données projet'!$A$62&gt;35,AI170+AH171-AQ170,IF(A171&lt;'Données projet'!$A$62,$AF$205^A171,IF(A171='Données projet'!$A$62,'Données projet'!$B$62,AI170+AH171-AQ170)))</f>
        <v>369</v>
      </c>
      <c r="AJ171" s="150">
        <f>AI171*VLOOKUP('Données projet'!$B$10,'Paramètres'!$A$1:$I$88,3,0)*VLOOKUP('Données projet'!$B$10,'Paramètres'!$A$1:$I$88,5,0)</f>
        <v>293.5764</v>
      </c>
      <c r="AK171" s="150">
        <f t="shared" si="36"/>
        <v>69.82813851</v>
      </c>
      <c r="AL171" s="161">
        <f t="shared" si="5"/>
        <v>632.9295712</v>
      </c>
      <c r="AM171" s="153">
        <f t="shared" si="6"/>
        <v>926.2629046</v>
      </c>
      <c r="AN171" s="153">
        <f>AVERAGE(OFFSET($AM$3,0,0,'Données projet'!$E$10+1,1))-AVERAGE(OFFSET($H$3,0,0,'Données projet'!$E$10+1,1))</f>
        <v>405.6113614</v>
      </c>
      <c r="AO171" s="153">
        <f t="shared" si="37"/>
        <v>393.0787141</v>
      </c>
      <c r="AP171" s="154">
        <f>IF(ISNA(VLOOKUP(A171,'Données projet'!$A$61:$I$81,3,0)),0,VLOOKUP(A171,'Données projet'!$A$61:$I$81,3,0))</f>
        <v>0</v>
      </c>
      <c r="AQ171" s="154">
        <f>IF(ISNA(VLOOKUP(A171,'Données projet'!$A$61:$I$81,4,0)),0,VLOOKUP(A171,'Données projet'!$A$61:$I$81,4,0))</f>
        <v>0</v>
      </c>
      <c r="AR171" s="155">
        <f>IF(ISNA(VLOOKUP(A171,'Données projet'!$A$61:$I$81,5,0)),0%,VLOOKUP(A171,'Données projet'!$A$61:$I$81,5,0)*VLOOKUP('Données projet'!$B$10,'Paramètres'!$A$1:$I$88,7,0))</f>
        <v>0</v>
      </c>
      <c r="AS171" s="155">
        <f>IF(ISNA(VLOOKUP(A171,'Données projet'!$A$61:$I$81,6,0)),0%,VLOOKUP(A171,'Données projet'!$A$61:$I$81,6,0)*VLOOKUP('Données projet'!$B$10,'Paramètres'!$A$1:$I$88,7,0))</f>
        <v>0</v>
      </c>
      <c r="AT171" s="155">
        <f>IF(ISNA(VLOOKUP(A171,'Données projet'!$A$61:$I$81,7,0)),0%,VLOOKUP(A171,'Données projet'!$A$61:$I$81,7,0))</f>
        <v>0</v>
      </c>
      <c r="AU171" s="162">
        <f>EXP(-LN(2)/35)*AU170+(1-EXP(-LN(2)/35))/(LN(2)/35)*AQ171*AR171*VLOOKUP('Données projet'!$B$10,'Paramètres'!$A$1:$I$88,3,0)*0.475*44/12</f>
        <v>0</v>
      </c>
      <c r="AV171" s="162">
        <f>EXP(-LN(2)/25)*AV170+(1-EXP(-LN(2)/25))/(LN(2)/25)*Calculateur!AQ171*Calculateur!AS171*VLOOKUP('Données projet'!$B$10,'Paramètres'!$A$1:$I$88,3,0)*0.475*44/12</f>
        <v>0.39747294</v>
      </c>
      <c r="AW171" s="162">
        <f>EXP(-LN(2)/2)*AW170+(1-EXP(-LN(2)/2))/(LN(2)/2)*AQ171*AT171*VLOOKUP('Données projet'!$B$10,'Paramètres'!$A$1:$I$88,3,0)*0.475*44/12</f>
        <v>0</v>
      </c>
      <c r="AX171" s="162">
        <f t="shared" si="7"/>
        <v>0.39747294</v>
      </c>
      <c r="AY171" s="157">
        <f>('Scénario référence'!$F$8+'Scénario référence'!$F$9+'Scénario référence'!$B$17+'Scénario référence'!$B$9+'Scénario référence'!$B$10)*70+IF((45+25*(1-EXP(-0.0175*A171)))&lt;70,'Scénario référence'!$B$16*(45+25*(1-EXP(-0.0175*A171))),70*'Scénario référence'!$B$16)+IF((32+38*(1-EXP(-0.0175*A171)))&lt;70,'Scénario référence'!$B$18*(32+38*(1-EXP(-0.0175*A171))),70*'Scénario référence'!$B$18)</f>
        <v>70</v>
      </c>
      <c r="AZ171" s="151">
        <f>IF(A171&gt;30,10,('Scénario référence'!$B$16+'Scénario référence'!$B$17+'Scénario référence'!$B$18+'Scénario référence'!$B$9+'Scénario référence'!$B$10)*A171*10/30+('Scénario référence'!$F$8+'Scénario référence'!$F$9)*10)</f>
        <v>10</v>
      </c>
      <c r="BA171" s="151" t="str">
        <f>VLOOKUP(A171,'Données projet'!$A$87:$I$107,2,0)</f>
        <v>#N/A</v>
      </c>
      <c r="BB171" s="151" t="str">
        <f>VLOOKUP(A171,'Données projet'!$A$87:$I$107,9,0)</f>
        <v>#N/A</v>
      </c>
      <c r="BC171" s="151" t="str">
        <f t="array" ref="BC171">INDEX(BB:BB,MIN(IF(ISNUMBER(BB171:BB367),ROW(BB171:BB367),"")))</f>
        <v/>
      </c>
      <c r="BD171" s="150">
        <f>IF('Données projet'!$A$88&gt;35,BD170+BC171-BL170,IF(A171&lt;'Données projet'!$A$88,$BA$205^A171,IF(A171='Données projet'!$A$88,'Données projet'!$B$88,BD170+BC171-BL170)))</f>
        <v>0</v>
      </c>
      <c r="BE171" s="150">
        <f>BD171*VLOOKUP('Données projet'!$B$11,'Paramètres'!$A$1:$I$88,3,0)*VLOOKUP('Données projet'!$B$11,'Paramètres'!$A$1:$I$88,5,0)</f>
        <v>0</v>
      </c>
      <c r="BF171" s="150" t="str">
        <f t="shared" si="38"/>
        <v>#NUM!</v>
      </c>
      <c r="BG171" s="161" t="str">
        <f t="shared" si="8"/>
        <v>#NUM!</v>
      </c>
      <c r="BH171" s="153" t="str">
        <f t="shared" si="9"/>
        <v>#NUM!</v>
      </c>
      <c r="BI171" s="153">
        <f>AVERAGE(OFFSET($BH$3,0,0,'Données projet'!$E$11+1,1))-AVERAGE(OFFSET($H$3,0,0,'Données projet'!$E$11+1,1))</f>
        <v>0</v>
      </c>
      <c r="BJ171" s="153">
        <f t="shared" si="39"/>
        <v>0</v>
      </c>
      <c r="BK171" s="154">
        <f>IF(ISNA(VLOOKUP(A171,'Données projet'!$A$87:$I$107,3,0)),0,VLOOKUP(A171,'Données projet'!$A$87:$I$107,3,0))</f>
        <v>0</v>
      </c>
      <c r="BL171" s="154">
        <f>IF(ISNA(VLOOKUP(A171,'Données projet'!$A$87:$I$107,4,0)),0,VLOOKUP(A171,'Données projet'!$A$87:$I$107,4,0))</f>
        <v>0</v>
      </c>
      <c r="BM171" s="155">
        <f>IF(ISNA(VLOOKUP(A171,'Données projet'!$A$87:$I$107,5,0)),0%,VLOOKUP(A171,'Données projet'!$A$87:$I$107,5,0)*VLOOKUP('Données projet'!$B$11,'Paramètres'!$A$1:$I$88,7,0))</f>
        <v>0</v>
      </c>
      <c r="BN171" s="155">
        <f>IF(ISNA(VLOOKUP(A171,'Données projet'!$A$87:$I$107,6,0)),0%,VLOOKUP(A171,'Données projet'!$A$87:$I$107,6,0)*VLOOKUP('Données projet'!$B$11,'Paramètres'!$A$1:$I$88,7,0))</f>
        <v>0</v>
      </c>
      <c r="BO171" s="155">
        <f>IF(ISNA(VLOOKUP(A171,'Données projet'!$A$87:$I$107,7,0)),0%,VLOOKUP(A171,'Données projet'!$A$87:$I$107,7,0))</f>
        <v>0</v>
      </c>
      <c r="BP171" s="162">
        <f>EXP(-LN(2)/35)*BP170+(1-EXP(-LN(2)/35))/(LN(2)/35)*BL171*BM171*VLOOKUP('Données projet'!$B$11,'Paramètres'!$A$1:$I$88,3,0)*0.475*44/12</f>
        <v>0</v>
      </c>
      <c r="BQ171" s="162">
        <f>EXP(-LN(2)/25)*BQ170+(1-EXP(-LN(2)/25))/(LN(2)/25)*Calculateur!BL171*Calculateur!BN171*VLOOKUP('Données projet'!$B$11,'Paramètres'!$A$1:$I$88,3,0)*0.475*44/12</f>
        <v>0</v>
      </c>
      <c r="BR171" s="162">
        <f>EXP(-LN(2)/2)*BR170+(1-EXP(-LN(2)/2))/(LN(2)/2)*BL171*BO171*VLOOKUP('Données projet'!$B$11,'Paramètres'!$A$1:$I$88,3,0)*0.475*44/12</f>
        <v>0</v>
      </c>
      <c r="BS171" s="163">
        <f t="shared" si="10"/>
        <v>0</v>
      </c>
      <c r="BT171" s="159">
        <f>('Scénario référence'!$F$8+'Scénario référence'!$F$9+'Scénario référence'!$B$17+'Scénario référence'!$B$9+'Scénario référence'!$B$10)*70+IF((45+25*(1-EXP(-0.0175*A171)))&lt;70,'Scénario référence'!$B$16*(45+25*(1-EXP(-0.0175*A171))),70*'Scénario référence'!$B$16)+IF((32+38*(1-EXP(-0.0175*A171)))&lt;70,'Scénario référence'!$B$18*(32+38*(1-EXP(-0.0175*A171))),70*'Scénario référence'!$B$18)</f>
        <v>70</v>
      </c>
      <c r="BU171" s="151">
        <f>IF(A171&gt;30,10,('Scénario référence'!$B$16+'Scénario référence'!$B$17+'Scénario référence'!$B$18+'Scénario référence'!$B$9+'Scénario référence'!$B$10)*A171*10/30+('Scénario référence'!$F$8+'Scénario référence'!$F$9)*10)</f>
        <v>10</v>
      </c>
      <c r="BV171" s="151" t="str">
        <f>VLOOKUP(A171,'Données projet'!$A$113:$I$133,2,0)</f>
        <v>#N/A</v>
      </c>
      <c r="BW171" s="151" t="str">
        <f>VLOOKUP(A171,'Données projet'!$A$113:$I$133,9,0)</f>
        <v>#N/A</v>
      </c>
      <c r="BX171" s="151" t="str">
        <f t="array" ref="BX171">INDEX(BW:BW,MIN(IF(ISNUMBER(BW171:BW367),ROW(BW171:BW367),"")))</f>
        <v/>
      </c>
      <c r="BY171" s="150">
        <f>IF('Données projet'!$A$114&gt;35,BY170+BX171-CG170,IF(A171&lt;'Données projet'!$A$114,$BV$205^A171,IF(A171='Données projet'!$A$114,'Données projet'!$B$114,BY170+BX171-CG170)))</f>
        <v>0</v>
      </c>
      <c r="BZ171" s="150" t="str">
        <f>BY171*VLOOKUP('Données projet'!$B$12,'Paramètres'!$A$1:$I$88,3,0)*VLOOKUP('Données projet'!$B$12,'Paramètres'!$A$1:$I$88,5,0)</f>
        <v>#N/A</v>
      </c>
      <c r="CA171" s="150" t="str">
        <f t="shared" si="40"/>
        <v>#N/A</v>
      </c>
      <c r="CB171" s="161" t="str">
        <f t="shared" si="11"/>
        <v>#N/A</v>
      </c>
      <c r="CC171" s="153" t="str">
        <f t="shared" si="12"/>
        <v>#N/A</v>
      </c>
      <c r="CD171" s="153" t="str">
        <f>AVERAGE(OFFSET($CC$3,0,0,'Données projet'!$E$12+1,1))-AVERAGE(OFFSET($H$3,0,0,'Données projet'!$E$12+1,1))</f>
        <v>#N/A</v>
      </c>
      <c r="CE171" s="153" t="str">
        <f t="shared" si="41"/>
        <v>#N/A</v>
      </c>
      <c r="CF171" s="154">
        <f>IF(ISNA(VLOOKUP(A171,'Données projet'!$A$113:$I$133,3,0)),0,VLOOKUP(A171,'Données projet'!$A$113:$I$133,3,0))</f>
        <v>0</v>
      </c>
      <c r="CG171" s="154">
        <f>IF(ISNA(VLOOKUP(A171,'Données projet'!$A$113:$I$133,4,0)),0,VLOOKUP(A171,'Données projet'!$A$113:$I$133,4,0))</f>
        <v>0</v>
      </c>
      <c r="CH171" s="155">
        <f>IF(ISNA(VLOOKUP(A171,'Données projet'!$A$113:$I$133,5,0)),0%,VLOOKUP(A171,'Données projet'!$A$113:$I$133,5,0)*VLOOKUP('Données projet'!$B$12,'Paramètres'!$A$1:$I$88,7,0))</f>
        <v>0</v>
      </c>
      <c r="CI171" s="155">
        <f>IF(ISNA(VLOOKUP(A171,'Données projet'!$A$113:$I$133,6,0)),0%,VLOOKUP(A171,'Données projet'!$A$113:$I$133,6,0)*VLOOKUP('Données projet'!$B$12,'Paramètres'!$A$1:$I$88,7,0))</f>
        <v>0</v>
      </c>
      <c r="CJ171" s="155">
        <f>IF(ISNA(VLOOKUP(A171,'Données projet'!$A$113:$I$133,7,0)),0%,VLOOKUP(A171,'Données projet'!$A$113:$I$133,7,0))</f>
        <v>0</v>
      </c>
      <c r="CK171" s="162" t="str">
        <f>EXP(-LN(2)/35)*CK170+(1-EXP(-LN(2)/35))/(LN(2)/35)*CG171*CH171*VLOOKUP('Données projet'!$B$12,'Paramètres'!$A$1:$I$88,3,0)*0.475*44/12</f>
        <v>#N/A</v>
      </c>
      <c r="CL171" s="162" t="str">
        <f>EXP(-LN(2)/25)*CL170+(1-EXP(-LN(2)/25))/(LN(2)/25)*Calculateur!CG171*Calculateur!CI171*VLOOKUP('Données projet'!$B$12,'Paramètres'!$A$1:$I$88,3,0)*0.475*44/12</f>
        <v>#N/A</v>
      </c>
      <c r="CM171" s="162" t="str">
        <f>EXP(-LN(2)/2)*CM170+(1-EXP(-LN(2)/2))/(LN(2)/2)*CG171*CJ171*VLOOKUP('Données projet'!$B$12,'Paramètres'!$A$1:$I$88,3,0)*0.475*44/12</f>
        <v>#N/A</v>
      </c>
      <c r="CN171" s="163" t="str">
        <f t="shared" si="13"/>
        <v>#N/A</v>
      </c>
      <c r="CO171" s="159">
        <f>('Scénario référence'!$F$8+'Scénario référence'!$F$9+'Scénario référence'!$B$17+'Scénario référence'!$B$9+'Scénario référence'!$B$10)*70+IF((45+25*(1-EXP(-0.0175*A171)))&lt;70,'Scénario référence'!$B$16*(45+25*(1-EXP(-0.0175*A171))),70*'Scénario référence'!$B$16)+IF((32+38*(1-EXP(-0.0175*A171)))&lt;70,'Scénario référence'!$B$18*(32+38*(1-EXP(-0.0175*A171))),70*'Scénario référence'!$B$18)</f>
        <v>70</v>
      </c>
      <c r="CP171" s="151">
        <f>IF(A171&gt;30,10,('Scénario référence'!$B$16+'Scénario référence'!$B$17+'Scénario référence'!$B$18+'Scénario référence'!$B$9+'Scénario référence'!$B$10)*A171*10/30+('Scénario référence'!$F$8+'Scénario référence'!$F$9)*10)</f>
        <v>10</v>
      </c>
      <c r="CQ171" s="151" t="str">
        <f>VLOOKUP(A171,'Données projet'!$A$139:$I$159,2,0)</f>
        <v>#N/A</v>
      </c>
      <c r="CR171" s="151" t="str">
        <f>VLOOKUP(A171,'Données projet'!$A$139:$I$159,9,0)</f>
        <v>#N/A</v>
      </c>
      <c r="CS171" s="151" t="str">
        <f t="array" ref="CS171">INDEX(CR:CR,MIN(IF(ISNUMBER(CR171:CR367),ROW(CR171:CR367),"")))</f>
        <v/>
      </c>
      <c r="CT171" s="151">
        <f>IF('Données projet'!$A$140&gt;35,CT170+CS171-DB170,IF(A171&lt;'Données projet'!$A$140,$CQ$205^A171,IF(A171='Données projet'!$A$140,'Données projet'!$B$140,CT170+CS171-DB170)))</f>
        <v>0</v>
      </c>
      <c r="CU171" s="158" t="str">
        <f>CT171*VLOOKUP('Données projet'!$B$13,'Paramètres'!$A$1:$I$88,3,0)*VLOOKUP('Données projet'!$B$13,'Paramètres'!$A$1:$I$88,5,0)</f>
        <v>#N/A</v>
      </c>
      <c r="CV171" s="150" t="str">
        <f t="shared" si="42"/>
        <v>#N/A</v>
      </c>
      <c r="CW171" s="161" t="str">
        <f t="shared" si="14"/>
        <v>#N/A</v>
      </c>
      <c r="CX171" s="153" t="str">
        <f t="shared" si="15"/>
        <v>#N/A</v>
      </c>
      <c r="CY171" s="153" t="str">
        <f>AVERAGE(OFFSET($CX$3,0,0,'Données projet'!$E$13+1,1))-AVERAGE(OFFSET($H$3,0,0,'Données projet'!$E$13+1,1))</f>
        <v>#N/A</v>
      </c>
      <c r="CZ171" s="153" t="str">
        <f t="shared" si="43"/>
        <v>#N/A</v>
      </c>
      <c r="DA171" s="154">
        <f>IF(ISNA(VLOOKUP(A171,'Données projet'!$A$139:$I$159,3,0)),0,VLOOKUP(A171,'Données projet'!$A$139:$I$159,3,0))</f>
        <v>0</v>
      </c>
      <c r="DB171" s="154">
        <f>IF(ISNA(VLOOKUP(A171,'Données projet'!$A$139:$I$159,4,0)),0,VLOOKUP(A171,'Données projet'!$A$139:$I$159,4,0))</f>
        <v>0</v>
      </c>
      <c r="DC171" s="155">
        <f>IF(ISNA(VLOOKUP(A171,'Données projet'!$A$139:$I$159,5,0)),0%,VLOOKUP(A171,'Données projet'!$A$139:$I$159,5,0)*VLOOKUP('Données projet'!$B$13,'Paramètres'!$A$1:$I$88,7,0))</f>
        <v>0</v>
      </c>
      <c r="DD171" s="155">
        <f>IF(ISNA(VLOOKUP(A171,'Données projet'!$A$139:$I$159,6,0)),0%,VLOOKUP(A171,'Données projet'!$A$139:$I$159,6,0)*VLOOKUP('Données projet'!$B$13,'Paramètres'!$A$1:$I$88,7,0))</f>
        <v>0</v>
      </c>
      <c r="DE171" s="155">
        <f>IF(ISNA(VLOOKUP(A171,'Données projet'!$A$139:$I$159,7,0)),0%,VLOOKUP(A171,'Données projet'!$A$139:$I$159,7,0))</f>
        <v>0</v>
      </c>
      <c r="DF171" s="162" t="str">
        <f>EXP(-LN(2)/35)*DF170+(1-EXP(-LN(2)/35))/(LN(2)/35)*DB171*DC171*VLOOKUP('Données projet'!$B$13,'Paramètres'!$A$1:$I$88,3,0)*0.475*44/12</f>
        <v>#N/A</v>
      </c>
      <c r="DG171" s="162" t="str">
        <f>EXP(-LN(2)/25)*DG170+(1-EXP(-LN(2)/25))/(LN(2)/25)*Calculateur!DB171*Calculateur!DD171*VLOOKUP('Données projet'!$B$13,'Paramètres'!$A$1:$I$88,3,0)*0.475*44/12</f>
        <v>#N/A</v>
      </c>
      <c r="DH171" s="162" t="str">
        <f>EXP(-LN(2)/2)*DH170+(1-EXP(-LN(2)/2))/(LN(2)/2)*DB171*DE171*VLOOKUP('Données projet'!$B$13,'Paramètres'!$A$1:$I$88,3,0)*0.475*44/12</f>
        <v>#N/A</v>
      </c>
      <c r="DI171" s="163" t="str">
        <f t="shared" si="16"/>
        <v>#N/A</v>
      </c>
      <c r="DJ171" s="159">
        <f>('Scénario référence'!$F$8+'Scénario référence'!$F$9+'Scénario référence'!$B$17+'Scénario référence'!$B$9+'Scénario référence'!$B$10)*70+IF((45+25*(1-EXP(-0.0175*A171)))&lt;70,'Scénario référence'!$B$16*(45+25*(1-EXP(-0.0175*A171))),70*'Scénario référence'!$B$16)+IF((32+38*(1-EXP(-0.0175*A171)))&lt;70,'Scénario référence'!$B$18*(32+38*(1-EXP(-0.0175*A171))),70*'Scénario référence'!$B$18)</f>
        <v>70</v>
      </c>
      <c r="DK171" s="151">
        <f>IF(A171&gt;30,10,('Scénario référence'!$B$16+'Scénario référence'!$B$17+'Scénario référence'!$B$18+'Scénario référence'!$B$9+'Scénario référence'!$B$10)*A171*10/30+('Scénario référence'!$F$8+'Scénario référence'!$F$9)*10)</f>
        <v>10</v>
      </c>
      <c r="DL171" s="151" t="str">
        <f>VLOOKUP(A171,'Données projet'!$A$165:$I$185,2,0)</f>
        <v>#N/A</v>
      </c>
      <c r="DM171" s="151" t="str">
        <f>VLOOKUP(A171,'Données projet'!$A$165:$I$185,9,0)</f>
        <v>#N/A</v>
      </c>
      <c r="DN171" s="151" t="str">
        <f t="array" ref="DN171">INDEX(DM:DM,MIN(IF(ISNUMBER(DM171:DM367),ROW(DM171:DM367),"")))</f>
        <v/>
      </c>
      <c r="DO171" s="151">
        <f>IF('Données projet'!$A$166&gt;35,DO170+DN171-DW170,IF(A171&lt;'Données projet'!$A$166,$DL$205^A171,IF(A171='Données projet'!$A$166,'Données projet'!$B$166,DO170+DN171-DW170)))</f>
        <v>0</v>
      </c>
      <c r="DP171" s="158" t="str">
        <f>DO171*VLOOKUP('Données projet'!$B$14,'Paramètres'!$A$1:$I$88,3,0)*VLOOKUP('Données projet'!$B$14,'Paramètres'!$A$1:$I$88,5,0)</f>
        <v>#N/A</v>
      </c>
      <c r="DQ171" s="150" t="str">
        <f t="shared" si="44"/>
        <v>#N/A</v>
      </c>
      <c r="DR171" s="161" t="str">
        <f t="shared" si="17"/>
        <v>#N/A</v>
      </c>
      <c r="DS171" s="153" t="str">
        <f t="shared" si="18"/>
        <v>#N/A</v>
      </c>
      <c r="DT171" s="153" t="str">
        <f>AVERAGE(OFFSET($DS$3,0,0,'Données projet'!$E$14+1,1))-AVERAGE(OFFSET($H$3,0,0,'Données projet'!$E$14+1,1))</f>
        <v>#N/A</v>
      </c>
      <c r="DU171" s="153" t="str">
        <f t="shared" si="45"/>
        <v>#N/A</v>
      </c>
      <c r="DV171" s="154">
        <f>IF(ISNA(VLOOKUP(A171,'Données projet'!$A$165:$I$185,3,0)),0,VLOOKUP(A171,'Données projet'!$A$165:$I$185,3,0))</f>
        <v>0</v>
      </c>
      <c r="DW171" s="154">
        <f>IF(ISNA(VLOOKUP(A171,'Données projet'!$A$165:$I$185,4,0)),0,VLOOKUP(A171,'Données projet'!$A$165:$I$185,4,0))</f>
        <v>0</v>
      </c>
      <c r="DX171" s="155">
        <f>IF(ISNA(VLOOKUP(A171,'Données projet'!$A$165:$I$185,5,0)),0%,VLOOKUP(A171,'Données projet'!$A$165:$I$185,5,0)*VLOOKUP('Données projet'!$B$14,'Paramètres'!$A$1:$I$88,7,0))</f>
        <v>0</v>
      </c>
      <c r="DY171" s="155">
        <f>IF(ISNA(VLOOKUP(A171,'Données projet'!$A$165:$I$185,6,0)),0%,VLOOKUP(A171,'Données projet'!$A$165:$I$185,6,0)*VLOOKUP('Données projet'!$B$14,'Paramètres'!$A$1:$I$88,7,0))</f>
        <v>0</v>
      </c>
      <c r="DZ171" s="155">
        <f>IF(ISNA(VLOOKUP(A171,'Données projet'!$A$165:$I$185,7,0)),0%,VLOOKUP(A171,'Données projet'!$A$165:$I$185,7,0))</f>
        <v>0</v>
      </c>
      <c r="EA171" s="162" t="str">
        <f>EXP(-LN(2)/35)*EA170+(1-EXP(-LN(2)/35))/(LN(2)/35)*DW171*DX171*VLOOKUP('Données projet'!$B$14,'Paramètres'!$A$1:$I$88,3,0)*0.475*44/12</f>
        <v>#N/A</v>
      </c>
      <c r="EB171" s="162" t="str">
        <f>EXP(-LN(2)/25)*EB170+(1-EXP(-LN(2)/25))/(LN(2)/25)*Calculateur!DW171*Calculateur!DY171*VLOOKUP('Données projet'!$B$14,'Paramètres'!$A$1:$I$88,3,0)*0.475*44/12</f>
        <v>#N/A</v>
      </c>
      <c r="EC171" s="162" t="str">
        <f>EXP(-LN(2)/2)*EC170+(1-EXP(-LN(2)/2))/(LN(2)/2)*DW171*DZ171*VLOOKUP('Données projet'!$B$14,'Paramètres'!$A$1:$I$88,3,0)*0.475*44/12</f>
        <v>#N/A</v>
      </c>
      <c r="ED171" s="163" t="str">
        <f t="shared" si="19"/>
        <v>#N/A</v>
      </c>
      <c r="EE171" s="159">
        <f>('Scénario référence'!$F$8+'Scénario référence'!$F$9+'Scénario référence'!$B$17+'Scénario référence'!$B$9+'Scénario référence'!$B$10)*70+IF((45+25*(1-EXP(-0.0175*A171)))&lt;70,'Scénario référence'!$B$16*(45+25*(1-EXP(-0.0175*A171))),70*'Scénario référence'!$B$16)+IF((32+38*(1-EXP(-0.0175*A171)))&lt;70,'Scénario référence'!$B$18*(32+38*(1-EXP(-0.0175*A171))),70*'Scénario référence'!$B$18)</f>
        <v>70</v>
      </c>
      <c r="EF171" s="151">
        <f>IF(A171&gt;30,10,('Scénario référence'!$B$16+'Scénario référence'!$B$17+'Scénario référence'!$B$18+'Scénario référence'!$B$9+'Scénario référence'!$B$10)*A171*10/30+('Scénario référence'!$F$8+'Scénario référence'!$F$9)*10)</f>
        <v>10</v>
      </c>
      <c r="EG171" s="151" t="str">
        <f>VLOOKUP(A171,'Données projet'!$A$191:$I$211,2,0)</f>
        <v>#N/A</v>
      </c>
      <c r="EH171" s="151" t="str">
        <f>VLOOKUP(A171,'Données projet'!$A$191:$I$211,9,0)</f>
        <v>#N/A</v>
      </c>
      <c r="EI171" s="151" t="str">
        <f t="array" ref="EI171">INDEX(EH:EH,MIN(IF(ISNUMBER(EH171:EH367),ROW(EH171:EH367),"")))</f>
        <v/>
      </c>
      <c r="EJ171" s="151">
        <f>IF('Données projet'!$A$192&gt;35,EJ170+EI171-ER170,IF(A171&lt;'Données projet'!$A$192,$EG$205^A171,IF(A171='Données projet'!$A$192,'Données projet'!$B$192,EJ170+EI171-ER170)))</f>
        <v>0</v>
      </c>
      <c r="EK171" s="158" t="str">
        <f>EJ171*VLOOKUP('Données projet'!$B$15,'Paramètres'!$A$1:$I$88,3,0)*VLOOKUP('Données projet'!$B$15,'Paramètres'!$A$1:$I$88,5,0)</f>
        <v>#N/A</v>
      </c>
      <c r="EL171" s="150" t="str">
        <f t="shared" si="46"/>
        <v>#N/A</v>
      </c>
      <c r="EM171" s="161" t="str">
        <f t="shared" si="20"/>
        <v>#N/A</v>
      </c>
      <c r="EN171" s="153" t="str">
        <f t="shared" si="21"/>
        <v>#N/A</v>
      </c>
      <c r="EO171" s="153" t="str">
        <f>AVERAGE(OFFSET($EN$3,0,0,'Données projet'!$E$15+1,1))-AVERAGE(OFFSET($H$3,0,0,'Données projet'!$E$15+1,1))</f>
        <v>#N/A</v>
      </c>
      <c r="EP171" s="153" t="str">
        <f t="shared" si="47"/>
        <v>#N/A</v>
      </c>
      <c r="EQ171" s="154">
        <f>IF(ISNA(VLOOKUP(A171,'Données projet'!$A$191:$I$211,3,0)),0,VLOOKUP(A171,'Données projet'!$A$191:$I$211,3,0))</f>
        <v>0</v>
      </c>
      <c r="ER171" s="154">
        <f>IF(ISNA(VLOOKUP(A171,'Données projet'!$A$191:$I$211,4,0)),0,VLOOKUP(A171,'Données projet'!$A$191:$I$211,4,0))</f>
        <v>0</v>
      </c>
      <c r="ES171" s="155">
        <f>IF(ISNA(VLOOKUP(A171,'Données projet'!$A$191:$I$211,5,0)),0%,VLOOKUP(A171,'Données projet'!$A$191:$I$211,5,0)*VLOOKUP('Données projet'!$B$15,'Paramètres'!$A$1:$I$88,7,0))</f>
        <v>0</v>
      </c>
      <c r="ET171" s="155">
        <f>IF(ISNA(VLOOKUP(A171,'Données projet'!$A$191:$I$211,6,0)),0%,VLOOKUP(A171,'Données projet'!$A$191:$I$211,6,0)*VLOOKUP('Données projet'!$B$15,'Paramètres'!$A$1:$I$88,7,0))</f>
        <v>0</v>
      </c>
      <c r="EU171" s="155">
        <f>IF(ISNA(VLOOKUP(A171,'Données projet'!$A$191:$I$211,7,0)),0%,VLOOKUP(A171,'Données projet'!$A$191:$I$211,7,0))</f>
        <v>0</v>
      </c>
      <c r="EV171" s="162" t="str">
        <f>EXP(-LN(2)/35)*EV170+(1-EXP(-LN(2)/35))/(LN(2)/35)*ER171*ES171*VLOOKUP('Données projet'!$B$15,'Paramètres'!$A$1:$I$88,3,0)*0.475*44/12</f>
        <v>#N/A</v>
      </c>
      <c r="EW171" s="162" t="str">
        <f>EXP(-LN(2)/25)*EW170+(1-EXP(-LN(2)/25))/(LN(2)/25)*Calculateur!ER171*Calculateur!ET171*VLOOKUP('Données projet'!$B$15,'Paramètres'!$A$1:$I$88,3,0)*0.475*44/12</f>
        <v>#N/A</v>
      </c>
      <c r="EX171" s="162" t="str">
        <f>EXP(-LN(2)/2)*EX170+(1-EXP(-LN(2)/2))/(LN(2)/2)*ER171*EU171*VLOOKUP('Données projet'!$B$15,'Paramètres'!$A$1:$I$88,3,0)*0.475*44/12</f>
        <v>#N/A</v>
      </c>
      <c r="EY171" s="163" t="str">
        <f t="shared" si="22"/>
        <v>#N/A</v>
      </c>
      <c r="EZ171" s="159">
        <f>('Scénario référence'!$F$8+'Scénario référence'!$F$9+'Scénario référence'!$B$17+'Scénario référence'!$B$9+'Scénario référence'!$B$10)*70+IF((45+25*(1-EXP(-0.0175*A171)))&lt;70,'Scénario référence'!$B$16*(45+25*(1-EXP(-0.0175*A171))),70*'Scénario référence'!$B$16)+IF((32+38*(1-EXP(-0.0175*A171)))&lt;70,'Scénario référence'!$B$18*(32+38*(1-EXP(-0.0175*A171))),70*'Scénario référence'!$B$18)</f>
        <v>70</v>
      </c>
      <c r="FA171" s="151">
        <f>IF(A171&gt;30,10,('Scénario référence'!$B$16+'Scénario référence'!$B$17+'Scénario référence'!$B$18+'Scénario référence'!$B$9+'Scénario référence'!$B$10)*A171*10/30+('Scénario référence'!$F$8+'Scénario référence'!$F$9)*10)</f>
        <v>10</v>
      </c>
      <c r="FB171" s="151" t="str">
        <f>VLOOKUP(A171,'Données projet'!$A$217:$I$237,2,0)</f>
        <v>#N/A</v>
      </c>
      <c r="FC171" s="151" t="str">
        <f>VLOOKUP(A171,'Données projet'!$A$217:$I$237,9,0)</f>
        <v>#N/A</v>
      </c>
      <c r="FD171" s="151" t="str">
        <f t="array" ref="FD171">INDEX(FC:FC,MIN(IF(ISNUMBER(FC171:FC367),ROW(FC171:FC367),"")))</f>
        <v/>
      </c>
      <c r="FE171" s="151">
        <f>IF('Données projet'!$A$218&gt;35,FE170+FD171-FM170,IF(A171&lt;'Données projet'!$A$218,$FB$205^A171,IF(A171='Données projet'!$A$218,'Données projet'!$B$218,FE170+FD171-FM170)))</f>
        <v>0</v>
      </c>
      <c r="FF171" s="158" t="str">
        <f>FE171*VLOOKUP('Données projet'!$B$16,'Paramètres'!$A$1:$I$88,3,0)*VLOOKUP('Données projet'!$B$16,'Paramètres'!$A$1:$I$88,5,0)</f>
        <v>#N/A</v>
      </c>
      <c r="FG171" s="150" t="str">
        <f t="shared" si="48"/>
        <v>#N/A</v>
      </c>
      <c r="FH171" s="161" t="str">
        <f t="shared" si="23"/>
        <v>#N/A</v>
      </c>
      <c r="FI171" s="153" t="str">
        <f t="shared" si="24"/>
        <v>#N/A</v>
      </c>
      <c r="FJ171" s="153" t="str">
        <f>AVERAGE(OFFSET($FI$3,0,0,'Données projet'!$E$16+1,1))-AVERAGE(OFFSET($H$3,0,0,'Données projet'!$E$16+1,1))</f>
        <v>#N/A</v>
      </c>
      <c r="FK171" s="153" t="str">
        <f t="shared" si="49"/>
        <v>#N/A</v>
      </c>
      <c r="FL171" s="154">
        <f>IF(ISNA(VLOOKUP(A171,'Données projet'!$A$217:$I$237,3,0)),0,VLOOKUP(A171,'Données projet'!$A$217:$I$237,3,0))</f>
        <v>0</v>
      </c>
      <c r="FM171" s="154">
        <f>IF(ISNA(VLOOKUP(A171,'Données projet'!$A$217:$I$237,4,0)),0,VLOOKUP(A171,'Données projet'!$A$217:$I$237,4,0))</f>
        <v>0</v>
      </c>
      <c r="FN171" s="155">
        <f>IF(ISNA(VLOOKUP(A171,'Données projet'!$A$217:$I$237,5,0)),0%,VLOOKUP(A171,'Données projet'!$A$217:$I$237,5,0)*VLOOKUP('Données projet'!$B$16,'Paramètres'!$A$1:$I$88,7,0))</f>
        <v>0</v>
      </c>
      <c r="FO171" s="155">
        <f>IF(ISNA(VLOOKUP(A171,'Données projet'!$A$217:$I$237,6,0)),0%,VLOOKUP(A171,'Données projet'!$A$217:$I$237,6,0)*VLOOKUP('Données projet'!$B$16,'Paramètres'!$A$1:$I$88,7,0))</f>
        <v>0</v>
      </c>
      <c r="FP171" s="155">
        <f>IF(ISNA(VLOOKUP(A171,'Données projet'!$A$217:$I$237,7,0)),0%,VLOOKUP(A171,'Données projet'!$A$217:$I$237,7,0))</f>
        <v>0</v>
      </c>
      <c r="FQ171" s="162" t="str">
        <f>EXP(-LN(2)/35)*FQ170+(1-EXP(-LN(2)/35))/(LN(2)/35)*FM171*FN171*VLOOKUP('Données projet'!$B$16,'Paramètres'!$A$1:$I$88,3,0)*0.475*44/12</f>
        <v>#N/A</v>
      </c>
      <c r="FR171" s="162" t="str">
        <f>EXP(-LN(2)/25)*FR170+(1-EXP(-LN(2)/25))/(LN(2)/25)*Calculateur!FM171*Calculateur!FO171*VLOOKUP('Données projet'!$B$16,'Paramètres'!$A$1:$I$88,3,0)*0.475*44/12</f>
        <v>#N/A</v>
      </c>
      <c r="FS171" s="162" t="str">
        <f>EXP(-LN(2)/2)*FS170+(1-EXP(-LN(2)/2))/(LN(2)/2)*FM171*FP171*VLOOKUP('Données projet'!$B$16,'Paramètres'!$A$1:$I$88,3,0)*0.475*44/12</f>
        <v>#N/A</v>
      </c>
      <c r="FT171" s="163" t="str">
        <f t="shared" si="25"/>
        <v>#N/A</v>
      </c>
      <c r="FU171" s="159">
        <f>('Scénario référence'!$F$8+'Scénario référence'!$F$9+'Scénario référence'!$B$17+'Scénario référence'!$B$9+'Scénario référence'!$B$10)*70+IF((45+25*(1-EXP(-0.0175*A171)))&lt;70,'Scénario référence'!$B$16*(45+25*(1-EXP(-0.0175*A171))),70*'Scénario référence'!$B$16)+IF((32+38*(1-EXP(-0.0175*A171)))&lt;70,'Scénario référence'!$B$18*(32+38*(1-EXP(-0.0175*A171))),70*'Scénario référence'!$B$18)</f>
        <v>70</v>
      </c>
      <c r="FV171" s="151">
        <f>IF(A171&gt;30,10,('Scénario référence'!$B$16+'Scénario référence'!$B$17+'Scénario référence'!$B$18+'Scénario référence'!$B$9+'Scénario référence'!$B$10)*A171*10/30+('Scénario référence'!$F$8+'Scénario référence'!$F$9)*10)</f>
        <v>10</v>
      </c>
      <c r="FW171" s="151" t="str">
        <f>VLOOKUP(A171,'Données projet'!$A$243:$I$263,2,0)</f>
        <v>#N/A</v>
      </c>
      <c r="FX171" s="151" t="str">
        <f>VLOOKUP(A171,'Données projet'!$A$243:$I$263,9,0)</f>
        <v>#N/A</v>
      </c>
      <c r="FY171" s="151" t="str">
        <f t="array" ref="FY171">INDEX(FX:FX,MIN(IF(ISNUMBER(FX171:FX367),ROW(FX171:FX367),"")))</f>
        <v/>
      </c>
      <c r="FZ171" s="151">
        <f>IF('Données projet'!$A$244&gt;35,FZ170+FY171-GH170,IF(A171&lt;'Données projet'!$A$244,$FW$205^A171,IF(A171='Données projet'!$A$244,'Données projet'!$B$244,FZ170+FY171-GH170)))</f>
        <v>0</v>
      </c>
      <c r="GA171" s="158" t="str">
        <f>FZ171*VLOOKUP('Données projet'!$B$17,'Paramètres'!$A$1:$I$88,3,0)*VLOOKUP('Données projet'!$B$17,'Paramètres'!$A$1:$I$88,5,0)</f>
        <v>#N/A</v>
      </c>
      <c r="GB171" s="150" t="str">
        <f t="shared" si="50"/>
        <v>#N/A</v>
      </c>
      <c r="GC171" s="161" t="str">
        <f t="shared" si="26"/>
        <v>#N/A</v>
      </c>
      <c r="GD171" s="153" t="str">
        <f t="shared" si="27"/>
        <v>#N/A</v>
      </c>
      <c r="GE171" s="153" t="str">
        <f>AVERAGE(OFFSET($GD$3,0,0,'Données projet'!$E$17+1,1))-AVERAGE(OFFSET($H$3,0,0,'Données projet'!$E$17+1,1))</f>
        <v>#N/A</v>
      </c>
      <c r="GF171" s="153" t="str">
        <f t="shared" si="51"/>
        <v>#N/A</v>
      </c>
      <c r="GG171" s="154">
        <f>IF(ISNA(VLOOKUP(A171,'Données projet'!$A$243:$I$263,3,0)),0,VLOOKUP(A171,'Données projet'!$A$243:$I$263,3,0))</f>
        <v>0</v>
      </c>
      <c r="GH171" s="154">
        <f>IF(ISNA(VLOOKUP(A171,'Données projet'!$A$243:$I$263,4,0)),0,VLOOKUP(A171,'Données projet'!$A$243:$I$263,4,0))</f>
        <v>0</v>
      </c>
      <c r="GI171" s="155">
        <f>IF(ISNA(VLOOKUP(A171,'Données projet'!$A$243:$I$263,5,0)),0%,VLOOKUP(A171,'Données projet'!$A$243:$I$263,5,0)*VLOOKUP('Données projet'!$B$17,'Paramètres'!$A$1:$I$88,7,0))</f>
        <v>0</v>
      </c>
      <c r="GJ171" s="155">
        <f>IF(ISNA(VLOOKUP(A171,'Données projet'!$A$243:$I$263,6,0)),0%,VLOOKUP(A171,'Données projet'!$A$243:$I$263,6,0)*VLOOKUP('Données projet'!$B$17,'Paramètres'!$A$1:$I$88,7,0))</f>
        <v>0</v>
      </c>
      <c r="GK171" s="155">
        <f>IF(ISNA(VLOOKUP(A171,'Données projet'!$A$243:$I$263,7,0)),0%,VLOOKUP(A171,'Données projet'!$A$243:$I$263,7,0))</f>
        <v>0</v>
      </c>
      <c r="GL171" s="162" t="str">
        <f>EXP(-LN(2)/35)*GL170+(1-EXP(-LN(2)/35))/(LN(2)/35)*GH171*GI171*VLOOKUP('Données projet'!$B$17,'Paramètres'!$A$1:$I$88,3,0)*0.475*44/12</f>
        <v>#N/A</v>
      </c>
      <c r="GM171" s="162" t="str">
        <f>EXP(-LN(2)/25)*GM170+(1-EXP(-LN(2)/25))/(LN(2)/25)*Calculateur!GH171*Calculateur!GJ171*VLOOKUP('Données projet'!$B$17,'Paramètres'!$A$1:$I$88,3,0)*0.475*44/12</f>
        <v>#N/A</v>
      </c>
      <c r="GN171" s="162" t="str">
        <f>EXP(-LN(2)/2)*GN170+(1-EXP(-LN(2)/2))/(LN(2)/2)*GH171*GK171*VLOOKUP('Données projet'!$B$17,'Paramètres'!$A$1:$I$88,3,0)*0.475*44/12</f>
        <v>#N/A</v>
      </c>
      <c r="GO171" s="162" t="str">
        <f t="shared" si="28"/>
        <v>#N/A</v>
      </c>
      <c r="GP171" s="159">
        <f>('Scénario référence'!$F$8+'Scénario référence'!$F$9+'Scénario référence'!$B$17+'Scénario référence'!$B$9+'Scénario référence'!$B$10)*70+IF((45+25*(1-EXP(-0.0175*A171)))&lt;70,'Scénario référence'!$B$16*(45+25*(1-EXP(-0.0175*A171))),70*'Scénario référence'!$B$16)+IF((32+38*(1-EXP(-0.0175*A171)))&lt;70,'Scénario référence'!$B$18*(32+38*(1-EXP(-0.0175*A171))),70*'Scénario référence'!$B$18)</f>
        <v>70</v>
      </c>
      <c r="GQ171" s="151">
        <f>IF(A171&gt;30,10,('Scénario référence'!$B$16+'Scénario référence'!$B$17+'Scénario référence'!$B$18+'Scénario référence'!$B$9+'Scénario référence'!$B$10)*A171*10/30+('Scénario référence'!$F$8+'Scénario référence'!$F$9)*10)</f>
        <v>10</v>
      </c>
      <c r="GR171" s="151" t="str">
        <f>VLOOKUP(A171,'Données projet'!$A$269:$I$289,2,0)</f>
        <v>#N/A</v>
      </c>
      <c r="GS171" s="151" t="str">
        <f>VLOOKUP(A171,'Données projet'!$A$269:$I$289,9,0)</f>
        <v>#N/A</v>
      </c>
      <c r="GT171" s="151" t="str">
        <f t="array" ref="GT171">INDEX(GS:GS,MIN(IF(ISNUMBER(GS171:GS367),ROW(GS171:GS367),"")))</f>
        <v/>
      </c>
      <c r="GU171" s="151">
        <f>IF('Données projet'!$A$270&gt;35,GU170+GT171-HC170,IF(A171&lt;'Données projet'!$A$270,$GR$205^A171,IF(A171='Données projet'!$A$270,'Données projet'!$B$270,GU170+GT171-HC170)))</f>
        <v>0</v>
      </c>
      <c r="GV171" s="158" t="str">
        <f>GU171*VLOOKUP('Données projet'!$B$18,'Paramètres'!$A$1:$I$88,3,0)*VLOOKUP('Données projet'!$B$18,'Paramètres'!$A$1:$I$88,5,0)</f>
        <v>#N/A</v>
      </c>
      <c r="GW171" s="150" t="str">
        <f t="shared" si="52"/>
        <v>#N/A</v>
      </c>
      <c r="GX171" s="161" t="str">
        <f t="shared" si="29"/>
        <v>#N/A</v>
      </c>
      <c r="GY171" s="153" t="str">
        <f t="shared" si="30"/>
        <v>#N/A</v>
      </c>
      <c r="GZ171" s="153" t="str">
        <f>AVERAGE(OFFSET($GY$3,0,0,'Données projet'!$E$18+1,1))-AVERAGE(OFFSET($H$3,0,0,'Données projet'!$E$18+1,1))</f>
        <v>#N/A</v>
      </c>
      <c r="HA171" s="153" t="str">
        <f t="shared" si="53"/>
        <v>#N/A</v>
      </c>
      <c r="HB171" s="154">
        <f>IF(ISNA(VLOOKUP(A171,'Données projet'!$A$269:$I$289,3,0)),0,VLOOKUP(A171,'Données projet'!$A$269:$I$289,3,0))</f>
        <v>0</v>
      </c>
      <c r="HC171" s="154">
        <f>IF(ISNA(VLOOKUP(A171,'Données projet'!$A$269:$I$289,4,0)),0,VLOOKUP(A171,'Données projet'!$A$269:$I$289,4,0))</f>
        <v>0</v>
      </c>
      <c r="HD171" s="155">
        <f>IF(ISNA(VLOOKUP(A171,'Données projet'!$A$269:$I$289,5,0)),0%,VLOOKUP(A171,'Données projet'!$A$269:$I$289,5,0)*VLOOKUP('Données projet'!$B$18,'Paramètres'!$A$1:$I$88,7,0))</f>
        <v>0</v>
      </c>
      <c r="HE171" s="155">
        <f>IF(ISNA(VLOOKUP(A171,'Données projet'!$A$269:$I$289,6,0)),0%,VLOOKUP(A171,'Données projet'!$A$269:$I$289,6,0)*VLOOKUP('Données projet'!$B$18,'Paramètres'!$A$1:$I$88,7,0))</f>
        <v>0</v>
      </c>
      <c r="HF171" s="155">
        <f>IF(ISNA(VLOOKUP(A171,'Données projet'!$A$269:$I$289,7,0)),0%,VLOOKUP(A171,'Données projet'!$A$269:$I$289,7,0))</f>
        <v>0</v>
      </c>
      <c r="HG171" s="162" t="str">
        <f>EXP(-LN(2)/35)*HG170+(1-EXP(-LN(2)/35))/(LN(2)/35)*HC171*HD171*VLOOKUP('Données projet'!$B$18,'Paramètres'!$A$1:$I$88,3,0)*0.475*44/12</f>
        <v>#N/A</v>
      </c>
      <c r="HH171" s="162" t="str">
        <f>EXP(-LN(2)/25)*HH170+(1-EXP(-LN(2)/25))/(LN(2)/25)*Calculateur!HC171*Calculateur!HE171*VLOOKUP('Données projet'!$B$18,'Paramètres'!$A$1:$I$88,3,0)*0.475*44/12</f>
        <v>#N/A</v>
      </c>
      <c r="HI171" s="162" t="str">
        <f>EXP(-LN(2)/2)*HI170+(1-EXP(-LN(2)/2))/(LN(2)/2)*HC171*HF171*VLOOKUP('Données projet'!$B$18,'Paramètres'!$A$1:$I$88,3,0)*0.475*44/12</f>
        <v>#N/A</v>
      </c>
      <c r="HJ171" s="163" t="str">
        <f t="shared" si="31"/>
        <v>#N/A</v>
      </c>
    </row>
    <row r="172" ht="15.75" customHeight="1">
      <c r="A172" s="145">
        <f t="shared" si="32"/>
        <v>169</v>
      </c>
      <c r="B172" s="146">
        <f>'Scénario référence'!$B$16*5+'Scénario référence'!$B$17*0+'Scénario référence'!$B$18*5</f>
        <v>0</v>
      </c>
      <c r="C172" s="160">
        <f>Calculateur!C171+'Scénario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72" s="147">
        <f t="shared" si="33"/>
        <v>0</v>
      </c>
      <c r="E172" s="147">
        <f>'Scénario référence'!$B$16*45+('Scénario référence'!$B$17+'Scénario référence'!$F$8+'Scénario référence'!$F$9+'Scénario référence'!$B$10+'Scénario référence'!$B$9)*70+'Scénario référence'!$B$18*32</f>
        <v>70</v>
      </c>
      <c r="F172" s="147">
        <f>IF(OR('Scénario référence'!$F$8&gt;0,'Scénario référence'!$F$9&gt;0),('Scénario référence'!$F$8+'Scénario référence'!$F$9)*10,0)</f>
        <v>0</v>
      </c>
      <c r="G172" s="147">
        <f>'Scénario référence'!$B$8*B172*44/12+'Scénario référence'!$B$9*(C172+D172)/0.475*44/12+'Scénario référence'!$B$10*(C172+D172)/0.475*44/12+'Scénario référence'!$F$8*(C172+D172)/0.475*44/12+'Scénario référence'!$F$9*(C172+D172)/0.475*44/12</f>
        <v>0</v>
      </c>
      <c r="H172" s="148">
        <f t="shared" si="1"/>
        <v>256.6666667</v>
      </c>
      <c r="I172" s="149">
        <f>('Scénario référence'!$F$8+'Scénario référence'!$F$9+'Scénario référence'!$B$17+'Scénario référence'!$B$9+'Scénario référence'!$B$10)*70+IF((45+25*(1-EXP(-0.0175*A172)))&lt;70,'Scénario référence'!$B$16*(45+25*(1-EXP(-0.0175*A172))),70*'Scénario référence'!$B$16)+IF((32+38*(1-EXP(-0.0175*A172)))&lt;70,'Scénario référence'!$B$18*(32+38*(1-EXP(-0.0175*A172))),70*'Scénario référence'!$B$18)</f>
        <v>70</v>
      </c>
      <c r="J172" s="150">
        <f>IF(A172&gt;30,10,('Scénario référence'!$B$16+'Scénario référence'!$B$17+'Scénario référence'!$B$18+'Scénario référence'!$B$9+'Scénario référence'!$B$10)*A172*10/30+('Scénario référence'!$F$8+'Scénario référence'!$F$9)*10)</f>
        <v>10</v>
      </c>
      <c r="K172" s="151" t="str">
        <f>VLOOKUP(A172,'Données projet'!$A$35:$I$55,2,0)</f>
        <v>#N/A</v>
      </c>
      <c r="L172" s="151" t="str">
        <f>VLOOKUP(A172,'Données projet'!$A$35:$I$55,9,0)</f>
        <v>#N/A</v>
      </c>
      <c r="M172" s="151" t="str">
        <f t="array" ref="M172">INDEX(L:L,MIN(IF(ISNUMBER(L172:L368),ROW(L172:L368),"")))</f>
        <v/>
      </c>
      <c r="N172" s="150">
        <f>IF('Données projet'!$A$36&gt;35,N171+M172-V171,IF(A172&lt;'Données projet'!$A$36,$K$205^A172,IF(A172='Données projet'!$A$36,'Données projet'!$B$36,N171+M172-V171)))</f>
        <v>307</v>
      </c>
      <c r="O172" s="150">
        <f>N172*VLOOKUP('Données projet'!$B$9,'Paramètres'!$A$1:$I$88,3,0)*VLOOKUP('Données projet'!$B$9,'Paramètres'!$A$1:$I$88,5,0)</f>
        <v>277.7736</v>
      </c>
      <c r="P172" s="150">
        <f t="shared" si="34"/>
        <v>66.49628818</v>
      </c>
      <c r="Q172" s="161">
        <f t="shared" si="2"/>
        <v>599.6033886</v>
      </c>
      <c r="R172" s="153">
        <f t="shared" si="3"/>
        <v>892.9367219</v>
      </c>
      <c r="S172" s="153">
        <f>AVERAGE(OFFSET($R$3,0,0,'Données projet'!$E$9+1,1))-AVERAGE(OFFSET($H$3,0,0,'Données projet'!$E$9+1,1))</f>
        <v>439.1985427</v>
      </c>
      <c r="T172" s="153">
        <f t="shared" si="35"/>
        <v>278.2174123</v>
      </c>
      <c r="U172" s="154">
        <f>IF(ISNA(VLOOKUP(A172,'Données projet'!$A$35:$I$55,3,0)),0,VLOOKUP(A172,'Données projet'!$A$35:$I$55,3,0))</f>
        <v>0</v>
      </c>
      <c r="V172" s="154">
        <f>IF(ISNA(VLOOKUP(A172,'Données projet'!$A$35:$I$55,4,0)),0,VLOOKUP(A172,'Données projet'!$A$35:$I$55,4,0))</f>
        <v>0</v>
      </c>
      <c r="W172" s="155">
        <f>IF(ISNA(VLOOKUP(A172,'Données projet'!$A$35:$I$55,5,0)),0%,VLOOKUP(A172,'Données projet'!$A$35:$I$55,5,0)*VLOOKUP('Données projet'!$B$9,'Paramètres'!$A$1:$I$88,7,0))</f>
        <v>0</v>
      </c>
      <c r="X172" s="155">
        <f>IF(ISNA(VLOOKUP(A172,'Données projet'!$A$35:$I$55,6,0)),0%,VLOOKUP(A172,'Données projet'!$A$35:$I$55,6,0)*VLOOKUP('Données projet'!$B$9,'Paramètres'!$A$1:$I$88,7,0))</f>
        <v>0</v>
      </c>
      <c r="Y172" s="155">
        <f>IF(ISNA(VLOOKUP(A172,'Données projet'!$A$35:$I$55,7,0)),0%,VLOOKUP(A172,'Données projet'!$A$35:$I$55,7,0))</f>
        <v>0</v>
      </c>
      <c r="Z172" s="162">
        <f>EXP(-LN(2)/35)*Z171+(1-EXP(-LN(2)/35))/(LN(2)/35)*V172*W172*VLOOKUP('Données projet'!$B$9,'Paramètres'!$A$1:$I$88,3,0)*0.475*44/12</f>
        <v>0</v>
      </c>
      <c r="AA172" s="162">
        <f>EXP(-LN(2)/25)*AA171+(1-EXP(-LN(2)/25))/(LN(2)/25)*Calculateur!V172*Calculateur!X172*VLOOKUP('Données projet'!$B$9,'Paramètres'!$A$1:$I$88,3,0)*0.475*44/12</f>
        <v>0.09512299221</v>
      </c>
      <c r="AB172" s="162">
        <f>EXP(-LN(2)/2)*AB171+(1-EXP(-LN(2)/2))/(LN(2)/2)*V172*Y172*VLOOKUP('Données projet'!$B$9,'Paramètres'!$A$1:$I$88,3,0)*0.475*44/12</f>
        <v>0</v>
      </c>
      <c r="AC172" s="163">
        <f t="shared" si="4"/>
        <v>0.09512299221</v>
      </c>
      <c r="AD172" s="150">
        <f>('Scénario référence'!$F$8+'Scénario référence'!$F$9+'Scénario référence'!$B$17+'Scénario référence'!$B$9+'Scénario référence'!$B$10)*70+IF((45+25*(1-EXP(-0.0175*A172)))&lt;70,'Scénario référence'!$B$16*(45+25*(1-EXP(-0.0175*A172))),70*'Scénario référence'!$B$16)+IF((32+38*(1-EXP(-0.0175*A172)))&lt;70,'Scénario référence'!$B$18*(32+38*(1-EXP(-0.0175*A172))),70*'Scénario référence'!$B$18)</f>
        <v>70</v>
      </c>
      <c r="AE172" s="150">
        <f>IF(A172&gt;30,10,('Scénario référence'!$B$16+'Scénario référence'!$B$17+'Scénario référence'!$B$18+'Scénario référence'!$B$9+'Scénario référence'!$B$10)*A172*10/30+('Scénario référence'!$F$8+'Scénario référence'!$F$9)*10)</f>
        <v>10</v>
      </c>
      <c r="AF172" s="151" t="str">
        <f>VLOOKUP(A172,'Données projet'!$A$61:$I$81,2,0)</f>
        <v>#N/A</v>
      </c>
      <c r="AG172" s="151" t="str">
        <f>VLOOKUP(A172,'Données projet'!$A$61:$I$81,9,0)</f>
        <v>#N/A</v>
      </c>
      <c r="AH172" s="151" t="str">
        <f t="array" ref="AH172">INDEX(AG:AG,MIN(IF(ISNUMBER(AG172:AG368),ROW(AG172:AG368),"")))</f>
        <v/>
      </c>
      <c r="AI172" s="150">
        <f>IF('Données projet'!$A$62&gt;35,AI171+AH172-AQ171,IF(A172&lt;'Données projet'!$A$62,$AF$205^A172,IF(A172='Données projet'!$A$62,'Données projet'!$B$62,AI171+AH172-AQ171)))</f>
        <v>369</v>
      </c>
      <c r="AJ172" s="150">
        <f>AI172*VLOOKUP('Données projet'!$B$10,'Paramètres'!$A$1:$I$88,3,0)*VLOOKUP('Données projet'!$B$10,'Paramètres'!$A$1:$I$88,5,0)</f>
        <v>293.5764</v>
      </c>
      <c r="AK172" s="150">
        <f t="shared" si="36"/>
        <v>69.82813851</v>
      </c>
      <c r="AL172" s="161">
        <f t="shared" si="5"/>
        <v>632.9295712</v>
      </c>
      <c r="AM172" s="153">
        <f t="shared" si="6"/>
        <v>926.2629046</v>
      </c>
      <c r="AN172" s="153">
        <f>AVERAGE(OFFSET($AM$3,0,0,'Données projet'!$E$10+1,1))-AVERAGE(OFFSET($H$3,0,0,'Données projet'!$E$10+1,1))</f>
        <v>405.6113614</v>
      </c>
      <c r="AO172" s="153">
        <f t="shared" si="37"/>
        <v>393.0787141</v>
      </c>
      <c r="AP172" s="154">
        <f>IF(ISNA(VLOOKUP(A172,'Données projet'!$A$61:$I$81,3,0)),0,VLOOKUP(A172,'Données projet'!$A$61:$I$81,3,0))</f>
        <v>0</v>
      </c>
      <c r="AQ172" s="154">
        <f>IF(ISNA(VLOOKUP(A172,'Données projet'!$A$61:$I$81,4,0)),0,VLOOKUP(A172,'Données projet'!$A$61:$I$81,4,0))</f>
        <v>0</v>
      </c>
      <c r="AR172" s="155">
        <f>IF(ISNA(VLOOKUP(A172,'Données projet'!$A$61:$I$81,5,0)),0%,VLOOKUP(A172,'Données projet'!$A$61:$I$81,5,0)*VLOOKUP('Données projet'!$B$10,'Paramètres'!$A$1:$I$88,7,0))</f>
        <v>0</v>
      </c>
      <c r="AS172" s="155">
        <f>IF(ISNA(VLOOKUP(A172,'Données projet'!$A$61:$I$81,6,0)),0%,VLOOKUP(A172,'Données projet'!$A$61:$I$81,6,0)*VLOOKUP('Données projet'!$B$10,'Paramètres'!$A$1:$I$88,7,0))</f>
        <v>0</v>
      </c>
      <c r="AT172" s="155">
        <f>IF(ISNA(VLOOKUP(A172,'Données projet'!$A$61:$I$81,7,0)),0%,VLOOKUP(A172,'Données projet'!$A$61:$I$81,7,0))</f>
        <v>0</v>
      </c>
      <c r="AU172" s="162">
        <f>EXP(-LN(2)/35)*AU171+(1-EXP(-LN(2)/35))/(LN(2)/35)*AQ172*AR172*VLOOKUP('Données projet'!$B$10,'Paramètres'!$A$1:$I$88,3,0)*0.475*44/12</f>
        <v>0</v>
      </c>
      <c r="AV172" s="162">
        <f>EXP(-LN(2)/25)*AV171+(1-EXP(-LN(2)/25))/(LN(2)/25)*Calculateur!AQ172*Calculateur!AS172*VLOOKUP('Données projet'!$B$10,'Paramètres'!$A$1:$I$88,3,0)*0.475*44/12</f>
        <v>0.3866040215</v>
      </c>
      <c r="AW172" s="162">
        <f>EXP(-LN(2)/2)*AW171+(1-EXP(-LN(2)/2))/(LN(2)/2)*AQ172*AT172*VLOOKUP('Données projet'!$B$10,'Paramètres'!$A$1:$I$88,3,0)*0.475*44/12</f>
        <v>0</v>
      </c>
      <c r="AX172" s="162">
        <f t="shared" si="7"/>
        <v>0.3866040215</v>
      </c>
      <c r="AY172" s="157">
        <f>('Scénario référence'!$F$8+'Scénario référence'!$F$9+'Scénario référence'!$B$17+'Scénario référence'!$B$9+'Scénario référence'!$B$10)*70+IF((45+25*(1-EXP(-0.0175*A172)))&lt;70,'Scénario référence'!$B$16*(45+25*(1-EXP(-0.0175*A172))),70*'Scénario référence'!$B$16)+IF((32+38*(1-EXP(-0.0175*A172)))&lt;70,'Scénario référence'!$B$18*(32+38*(1-EXP(-0.0175*A172))),70*'Scénario référence'!$B$18)</f>
        <v>70</v>
      </c>
      <c r="AZ172" s="151">
        <f>IF(A172&gt;30,10,('Scénario référence'!$B$16+'Scénario référence'!$B$17+'Scénario référence'!$B$18+'Scénario référence'!$B$9+'Scénario référence'!$B$10)*A172*10/30+('Scénario référence'!$F$8+'Scénario référence'!$F$9)*10)</f>
        <v>10</v>
      </c>
      <c r="BA172" s="151" t="str">
        <f>VLOOKUP(A172,'Données projet'!$A$87:$I$107,2,0)</f>
        <v>#N/A</v>
      </c>
      <c r="BB172" s="151" t="str">
        <f>VLOOKUP(A172,'Données projet'!$A$87:$I$107,9,0)</f>
        <v>#N/A</v>
      </c>
      <c r="BC172" s="151" t="str">
        <f t="array" ref="BC172">INDEX(BB:BB,MIN(IF(ISNUMBER(BB172:BB368),ROW(BB172:BB368),"")))</f>
        <v/>
      </c>
      <c r="BD172" s="150">
        <f>IF('Données projet'!$A$88&gt;35,BD171+BC172-BL171,IF(A172&lt;'Données projet'!$A$88,$BA$205^A172,IF(A172='Données projet'!$A$88,'Données projet'!$B$88,BD171+BC172-BL171)))</f>
        <v>0</v>
      </c>
      <c r="BE172" s="150">
        <f>BD172*VLOOKUP('Données projet'!$B$11,'Paramètres'!$A$1:$I$88,3,0)*VLOOKUP('Données projet'!$B$11,'Paramètres'!$A$1:$I$88,5,0)</f>
        <v>0</v>
      </c>
      <c r="BF172" s="150" t="str">
        <f t="shared" si="38"/>
        <v>#NUM!</v>
      </c>
      <c r="BG172" s="161" t="str">
        <f t="shared" si="8"/>
        <v>#NUM!</v>
      </c>
      <c r="BH172" s="153" t="str">
        <f t="shared" si="9"/>
        <v>#NUM!</v>
      </c>
      <c r="BI172" s="153">
        <f>AVERAGE(OFFSET($BH$3,0,0,'Données projet'!$E$11+1,1))-AVERAGE(OFFSET($H$3,0,0,'Données projet'!$E$11+1,1))</f>
        <v>0</v>
      </c>
      <c r="BJ172" s="153">
        <f t="shared" si="39"/>
        <v>0</v>
      </c>
      <c r="BK172" s="154">
        <f>IF(ISNA(VLOOKUP(A172,'Données projet'!$A$87:$I$107,3,0)),0,VLOOKUP(A172,'Données projet'!$A$87:$I$107,3,0))</f>
        <v>0</v>
      </c>
      <c r="BL172" s="154">
        <f>IF(ISNA(VLOOKUP(A172,'Données projet'!$A$87:$I$107,4,0)),0,VLOOKUP(A172,'Données projet'!$A$87:$I$107,4,0))</f>
        <v>0</v>
      </c>
      <c r="BM172" s="155">
        <f>IF(ISNA(VLOOKUP(A172,'Données projet'!$A$87:$I$107,5,0)),0%,VLOOKUP(A172,'Données projet'!$A$87:$I$107,5,0)*VLOOKUP('Données projet'!$B$11,'Paramètres'!$A$1:$I$88,7,0))</f>
        <v>0</v>
      </c>
      <c r="BN172" s="155">
        <f>IF(ISNA(VLOOKUP(A172,'Données projet'!$A$87:$I$107,6,0)),0%,VLOOKUP(A172,'Données projet'!$A$87:$I$107,6,0)*VLOOKUP('Données projet'!$B$11,'Paramètres'!$A$1:$I$88,7,0))</f>
        <v>0</v>
      </c>
      <c r="BO172" s="155">
        <f>IF(ISNA(VLOOKUP(A172,'Données projet'!$A$87:$I$107,7,0)),0%,VLOOKUP(A172,'Données projet'!$A$87:$I$107,7,0))</f>
        <v>0</v>
      </c>
      <c r="BP172" s="162">
        <f>EXP(-LN(2)/35)*BP171+(1-EXP(-LN(2)/35))/(LN(2)/35)*BL172*BM172*VLOOKUP('Données projet'!$B$11,'Paramètres'!$A$1:$I$88,3,0)*0.475*44/12</f>
        <v>0</v>
      </c>
      <c r="BQ172" s="162">
        <f>EXP(-LN(2)/25)*BQ171+(1-EXP(-LN(2)/25))/(LN(2)/25)*Calculateur!BL172*Calculateur!BN172*VLOOKUP('Données projet'!$B$11,'Paramètres'!$A$1:$I$88,3,0)*0.475*44/12</f>
        <v>0</v>
      </c>
      <c r="BR172" s="162">
        <f>EXP(-LN(2)/2)*BR171+(1-EXP(-LN(2)/2))/(LN(2)/2)*BL172*BO172*VLOOKUP('Données projet'!$B$11,'Paramètres'!$A$1:$I$88,3,0)*0.475*44/12</f>
        <v>0</v>
      </c>
      <c r="BS172" s="163">
        <f t="shared" si="10"/>
        <v>0</v>
      </c>
      <c r="BT172" s="159">
        <f>('Scénario référence'!$F$8+'Scénario référence'!$F$9+'Scénario référence'!$B$17+'Scénario référence'!$B$9+'Scénario référence'!$B$10)*70+IF((45+25*(1-EXP(-0.0175*A172)))&lt;70,'Scénario référence'!$B$16*(45+25*(1-EXP(-0.0175*A172))),70*'Scénario référence'!$B$16)+IF((32+38*(1-EXP(-0.0175*A172)))&lt;70,'Scénario référence'!$B$18*(32+38*(1-EXP(-0.0175*A172))),70*'Scénario référence'!$B$18)</f>
        <v>70</v>
      </c>
      <c r="BU172" s="151">
        <f>IF(A172&gt;30,10,('Scénario référence'!$B$16+'Scénario référence'!$B$17+'Scénario référence'!$B$18+'Scénario référence'!$B$9+'Scénario référence'!$B$10)*A172*10/30+('Scénario référence'!$F$8+'Scénario référence'!$F$9)*10)</f>
        <v>10</v>
      </c>
      <c r="BV172" s="151" t="str">
        <f>VLOOKUP(A172,'Données projet'!$A$113:$I$133,2,0)</f>
        <v>#N/A</v>
      </c>
      <c r="BW172" s="151" t="str">
        <f>VLOOKUP(A172,'Données projet'!$A$113:$I$133,9,0)</f>
        <v>#N/A</v>
      </c>
      <c r="BX172" s="151" t="str">
        <f t="array" ref="BX172">INDEX(BW:BW,MIN(IF(ISNUMBER(BW172:BW368),ROW(BW172:BW368),"")))</f>
        <v/>
      </c>
      <c r="BY172" s="150">
        <f>IF('Données projet'!$A$114&gt;35,BY171+BX172-CG171,IF(A172&lt;'Données projet'!$A$114,$BV$205^A172,IF(A172='Données projet'!$A$114,'Données projet'!$B$114,BY171+BX172-CG171)))</f>
        <v>0</v>
      </c>
      <c r="BZ172" s="150" t="str">
        <f>BY172*VLOOKUP('Données projet'!$B$12,'Paramètres'!$A$1:$I$88,3,0)*VLOOKUP('Données projet'!$B$12,'Paramètres'!$A$1:$I$88,5,0)</f>
        <v>#N/A</v>
      </c>
      <c r="CA172" s="150" t="str">
        <f t="shared" si="40"/>
        <v>#N/A</v>
      </c>
      <c r="CB172" s="161" t="str">
        <f t="shared" si="11"/>
        <v>#N/A</v>
      </c>
      <c r="CC172" s="153" t="str">
        <f t="shared" si="12"/>
        <v>#N/A</v>
      </c>
      <c r="CD172" s="153" t="str">
        <f>AVERAGE(OFFSET($CC$3,0,0,'Données projet'!$E$12+1,1))-AVERAGE(OFFSET($H$3,0,0,'Données projet'!$E$12+1,1))</f>
        <v>#N/A</v>
      </c>
      <c r="CE172" s="153" t="str">
        <f t="shared" si="41"/>
        <v>#N/A</v>
      </c>
      <c r="CF172" s="154">
        <f>IF(ISNA(VLOOKUP(A172,'Données projet'!$A$113:$I$133,3,0)),0,VLOOKUP(A172,'Données projet'!$A$113:$I$133,3,0))</f>
        <v>0</v>
      </c>
      <c r="CG172" s="154">
        <f>IF(ISNA(VLOOKUP(A172,'Données projet'!$A$113:$I$133,4,0)),0,VLOOKUP(A172,'Données projet'!$A$113:$I$133,4,0))</f>
        <v>0</v>
      </c>
      <c r="CH172" s="155">
        <f>IF(ISNA(VLOOKUP(A172,'Données projet'!$A$113:$I$133,5,0)),0%,VLOOKUP(A172,'Données projet'!$A$113:$I$133,5,0)*VLOOKUP('Données projet'!$B$12,'Paramètres'!$A$1:$I$88,7,0))</f>
        <v>0</v>
      </c>
      <c r="CI172" s="155">
        <f>IF(ISNA(VLOOKUP(A172,'Données projet'!$A$113:$I$133,6,0)),0%,VLOOKUP(A172,'Données projet'!$A$113:$I$133,6,0)*VLOOKUP('Données projet'!$B$12,'Paramètres'!$A$1:$I$88,7,0))</f>
        <v>0</v>
      </c>
      <c r="CJ172" s="155">
        <f>IF(ISNA(VLOOKUP(A172,'Données projet'!$A$113:$I$133,7,0)),0%,VLOOKUP(A172,'Données projet'!$A$113:$I$133,7,0))</f>
        <v>0</v>
      </c>
      <c r="CK172" s="162" t="str">
        <f>EXP(-LN(2)/35)*CK171+(1-EXP(-LN(2)/35))/(LN(2)/35)*CG172*CH172*VLOOKUP('Données projet'!$B$12,'Paramètres'!$A$1:$I$88,3,0)*0.475*44/12</f>
        <v>#N/A</v>
      </c>
      <c r="CL172" s="162" t="str">
        <f>EXP(-LN(2)/25)*CL171+(1-EXP(-LN(2)/25))/(LN(2)/25)*Calculateur!CG172*Calculateur!CI172*VLOOKUP('Données projet'!$B$12,'Paramètres'!$A$1:$I$88,3,0)*0.475*44/12</f>
        <v>#N/A</v>
      </c>
      <c r="CM172" s="162" t="str">
        <f>EXP(-LN(2)/2)*CM171+(1-EXP(-LN(2)/2))/(LN(2)/2)*CG172*CJ172*VLOOKUP('Données projet'!$B$12,'Paramètres'!$A$1:$I$88,3,0)*0.475*44/12</f>
        <v>#N/A</v>
      </c>
      <c r="CN172" s="163" t="str">
        <f t="shared" si="13"/>
        <v>#N/A</v>
      </c>
      <c r="CO172" s="159">
        <f>('Scénario référence'!$F$8+'Scénario référence'!$F$9+'Scénario référence'!$B$17+'Scénario référence'!$B$9+'Scénario référence'!$B$10)*70+IF((45+25*(1-EXP(-0.0175*A172)))&lt;70,'Scénario référence'!$B$16*(45+25*(1-EXP(-0.0175*A172))),70*'Scénario référence'!$B$16)+IF((32+38*(1-EXP(-0.0175*A172)))&lt;70,'Scénario référence'!$B$18*(32+38*(1-EXP(-0.0175*A172))),70*'Scénario référence'!$B$18)</f>
        <v>70</v>
      </c>
      <c r="CP172" s="151">
        <f>IF(A172&gt;30,10,('Scénario référence'!$B$16+'Scénario référence'!$B$17+'Scénario référence'!$B$18+'Scénario référence'!$B$9+'Scénario référence'!$B$10)*A172*10/30+('Scénario référence'!$F$8+'Scénario référence'!$F$9)*10)</f>
        <v>10</v>
      </c>
      <c r="CQ172" s="151" t="str">
        <f>VLOOKUP(A172,'Données projet'!$A$139:$I$159,2,0)</f>
        <v>#N/A</v>
      </c>
      <c r="CR172" s="151" t="str">
        <f>VLOOKUP(A172,'Données projet'!$A$139:$I$159,9,0)</f>
        <v>#N/A</v>
      </c>
      <c r="CS172" s="151" t="str">
        <f t="array" ref="CS172">INDEX(CR:CR,MIN(IF(ISNUMBER(CR172:CR368),ROW(CR172:CR368),"")))</f>
        <v/>
      </c>
      <c r="CT172" s="151">
        <f>IF('Données projet'!$A$140&gt;35,CT171+CS172-DB171,IF(A172&lt;'Données projet'!$A$140,$CQ$205^A172,IF(A172='Données projet'!$A$140,'Données projet'!$B$140,CT171+CS172-DB171)))</f>
        <v>0</v>
      </c>
      <c r="CU172" s="158" t="str">
        <f>CT172*VLOOKUP('Données projet'!$B$13,'Paramètres'!$A$1:$I$88,3,0)*VLOOKUP('Données projet'!$B$13,'Paramètres'!$A$1:$I$88,5,0)</f>
        <v>#N/A</v>
      </c>
      <c r="CV172" s="150" t="str">
        <f t="shared" si="42"/>
        <v>#N/A</v>
      </c>
      <c r="CW172" s="161" t="str">
        <f t="shared" si="14"/>
        <v>#N/A</v>
      </c>
      <c r="CX172" s="153" t="str">
        <f t="shared" si="15"/>
        <v>#N/A</v>
      </c>
      <c r="CY172" s="153" t="str">
        <f>AVERAGE(OFFSET($CX$3,0,0,'Données projet'!$E$13+1,1))-AVERAGE(OFFSET($H$3,0,0,'Données projet'!$E$13+1,1))</f>
        <v>#N/A</v>
      </c>
      <c r="CZ172" s="153" t="str">
        <f t="shared" si="43"/>
        <v>#N/A</v>
      </c>
      <c r="DA172" s="154">
        <f>IF(ISNA(VLOOKUP(A172,'Données projet'!$A$139:$I$159,3,0)),0,VLOOKUP(A172,'Données projet'!$A$139:$I$159,3,0))</f>
        <v>0</v>
      </c>
      <c r="DB172" s="154">
        <f>IF(ISNA(VLOOKUP(A172,'Données projet'!$A$139:$I$159,4,0)),0,VLOOKUP(A172,'Données projet'!$A$139:$I$159,4,0))</f>
        <v>0</v>
      </c>
      <c r="DC172" s="155">
        <f>IF(ISNA(VLOOKUP(A172,'Données projet'!$A$139:$I$159,5,0)),0%,VLOOKUP(A172,'Données projet'!$A$139:$I$159,5,0)*VLOOKUP('Données projet'!$B$13,'Paramètres'!$A$1:$I$88,7,0))</f>
        <v>0</v>
      </c>
      <c r="DD172" s="155">
        <f>IF(ISNA(VLOOKUP(A172,'Données projet'!$A$139:$I$159,6,0)),0%,VLOOKUP(A172,'Données projet'!$A$139:$I$159,6,0)*VLOOKUP('Données projet'!$B$13,'Paramètres'!$A$1:$I$88,7,0))</f>
        <v>0</v>
      </c>
      <c r="DE172" s="155">
        <f>IF(ISNA(VLOOKUP(A172,'Données projet'!$A$139:$I$159,7,0)),0%,VLOOKUP(A172,'Données projet'!$A$139:$I$159,7,0))</f>
        <v>0</v>
      </c>
      <c r="DF172" s="162" t="str">
        <f>EXP(-LN(2)/35)*DF171+(1-EXP(-LN(2)/35))/(LN(2)/35)*DB172*DC172*VLOOKUP('Données projet'!$B$13,'Paramètres'!$A$1:$I$88,3,0)*0.475*44/12</f>
        <v>#N/A</v>
      </c>
      <c r="DG172" s="162" t="str">
        <f>EXP(-LN(2)/25)*DG171+(1-EXP(-LN(2)/25))/(LN(2)/25)*Calculateur!DB172*Calculateur!DD172*VLOOKUP('Données projet'!$B$13,'Paramètres'!$A$1:$I$88,3,0)*0.475*44/12</f>
        <v>#N/A</v>
      </c>
      <c r="DH172" s="162" t="str">
        <f>EXP(-LN(2)/2)*DH171+(1-EXP(-LN(2)/2))/(LN(2)/2)*DB172*DE172*VLOOKUP('Données projet'!$B$13,'Paramètres'!$A$1:$I$88,3,0)*0.475*44/12</f>
        <v>#N/A</v>
      </c>
      <c r="DI172" s="163" t="str">
        <f t="shared" si="16"/>
        <v>#N/A</v>
      </c>
      <c r="DJ172" s="159">
        <f>('Scénario référence'!$F$8+'Scénario référence'!$F$9+'Scénario référence'!$B$17+'Scénario référence'!$B$9+'Scénario référence'!$B$10)*70+IF((45+25*(1-EXP(-0.0175*A172)))&lt;70,'Scénario référence'!$B$16*(45+25*(1-EXP(-0.0175*A172))),70*'Scénario référence'!$B$16)+IF((32+38*(1-EXP(-0.0175*A172)))&lt;70,'Scénario référence'!$B$18*(32+38*(1-EXP(-0.0175*A172))),70*'Scénario référence'!$B$18)</f>
        <v>70</v>
      </c>
      <c r="DK172" s="151">
        <f>IF(A172&gt;30,10,('Scénario référence'!$B$16+'Scénario référence'!$B$17+'Scénario référence'!$B$18+'Scénario référence'!$B$9+'Scénario référence'!$B$10)*A172*10/30+('Scénario référence'!$F$8+'Scénario référence'!$F$9)*10)</f>
        <v>10</v>
      </c>
      <c r="DL172" s="151" t="str">
        <f>VLOOKUP(A172,'Données projet'!$A$165:$I$185,2,0)</f>
        <v>#N/A</v>
      </c>
      <c r="DM172" s="151" t="str">
        <f>VLOOKUP(A172,'Données projet'!$A$165:$I$185,9,0)</f>
        <v>#N/A</v>
      </c>
      <c r="DN172" s="151" t="str">
        <f t="array" ref="DN172">INDEX(DM:DM,MIN(IF(ISNUMBER(DM172:DM368),ROW(DM172:DM368),"")))</f>
        <v/>
      </c>
      <c r="DO172" s="151">
        <f>IF('Données projet'!$A$166&gt;35,DO171+DN172-DW171,IF(A172&lt;'Données projet'!$A$166,$DL$205^A172,IF(A172='Données projet'!$A$166,'Données projet'!$B$166,DO171+DN172-DW171)))</f>
        <v>0</v>
      </c>
      <c r="DP172" s="158" t="str">
        <f>DO172*VLOOKUP('Données projet'!$B$14,'Paramètres'!$A$1:$I$88,3,0)*VLOOKUP('Données projet'!$B$14,'Paramètres'!$A$1:$I$88,5,0)</f>
        <v>#N/A</v>
      </c>
      <c r="DQ172" s="150" t="str">
        <f t="shared" si="44"/>
        <v>#N/A</v>
      </c>
      <c r="DR172" s="161" t="str">
        <f t="shared" si="17"/>
        <v>#N/A</v>
      </c>
      <c r="DS172" s="153" t="str">
        <f t="shared" si="18"/>
        <v>#N/A</v>
      </c>
      <c r="DT172" s="153" t="str">
        <f>AVERAGE(OFFSET($DS$3,0,0,'Données projet'!$E$14+1,1))-AVERAGE(OFFSET($H$3,0,0,'Données projet'!$E$14+1,1))</f>
        <v>#N/A</v>
      </c>
      <c r="DU172" s="153" t="str">
        <f t="shared" si="45"/>
        <v>#N/A</v>
      </c>
      <c r="DV172" s="154">
        <f>IF(ISNA(VLOOKUP(A172,'Données projet'!$A$165:$I$185,3,0)),0,VLOOKUP(A172,'Données projet'!$A$165:$I$185,3,0))</f>
        <v>0</v>
      </c>
      <c r="DW172" s="154">
        <f>IF(ISNA(VLOOKUP(A172,'Données projet'!$A$165:$I$185,4,0)),0,VLOOKUP(A172,'Données projet'!$A$165:$I$185,4,0))</f>
        <v>0</v>
      </c>
      <c r="DX172" s="155">
        <f>IF(ISNA(VLOOKUP(A172,'Données projet'!$A$165:$I$185,5,0)),0%,VLOOKUP(A172,'Données projet'!$A$165:$I$185,5,0)*VLOOKUP('Données projet'!$B$14,'Paramètres'!$A$1:$I$88,7,0))</f>
        <v>0</v>
      </c>
      <c r="DY172" s="155">
        <f>IF(ISNA(VLOOKUP(A172,'Données projet'!$A$165:$I$185,6,0)),0%,VLOOKUP(A172,'Données projet'!$A$165:$I$185,6,0)*VLOOKUP('Données projet'!$B$14,'Paramètres'!$A$1:$I$88,7,0))</f>
        <v>0</v>
      </c>
      <c r="DZ172" s="155">
        <f>IF(ISNA(VLOOKUP(A172,'Données projet'!$A$165:$I$185,7,0)),0%,VLOOKUP(A172,'Données projet'!$A$165:$I$185,7,0))</f>
        <v>0</v>
      </c>
      <c r="EA172" s="162" t="str">
        <f>EXP(-LN(2)/35)*EA171+(1-EXP(-LN(2)/35))/(LN(2)/35)*DW172*DX172*VLOOKUP('Données projet'!$B$14,'Paramètres'!$A$1:$I$88,3,0)*0.475*44/12</f>
        <v>#N/A</v>
      </c>
      <c r="EB172" s="162" t="str">
        <f>EXP(-LN(2)/25)*EB171+(1-EXP(-LN(2)/25))/(LN(2)/25)*Calculateur!DW172*Calculateur!DY172*VLOOKUP('Données projet'!$B$14,'Paramètres'!$A$1:$I$88,3,0)*0.475*44/12</f>
        <v>#N/A</v>
      </c>
      <c r="EC172" s="162" t="str">
        <f>EXP(-LN(2)/2)*EC171+(1-EXP(-LN(2)/2))/(LN(2)/2)*DW172*DZ172*VLOOKUP('Données projet'!$B$14,'Paramètres'!$A$1:$I$88,3,0)*0.475*44/12</f>
        <v>#N/A</v>
      </c>
      <c r="ED172" s="163" t="str">
        <f t="shared" si="19"/>
        <v>#N/A</v>
      </c>
      <c r="EE172" s="159">
        <f>('Scénario référence'!$F$8+'Scénario référence'!$F$9+'Scénario référence'!$B$17+'Scénario référence'!$B$9+'Scénario référence'!$B$10)*70+IF((45+25*(1-EXP(-0.0175*A172)))&lt;70,'Scénario référence'!$B$16*(45+25*(1-EXP(-0.0175*A172))),70*'Scénario référence'!$B$16)+IF((32+38*(1-EXP(-0.0175*A172)))&lt;70,'Scénario référence'!$B$18*(32+38*(1-EXP(-0.0175*A172))),70*'Scénario référence'!$B$18)</f>
        <v>70</v>
      </c>
      <c r="EF172" s="151">
        <f>IF(A172&gt;30,10,('Scénario référence'!$B$16+'Scénario référence'!$B$17+'Scénario référence'!$B$18+'Scénario référence'!$B$9+'Scénario référence'!$B$10)*A172*10/30+('Scénario référence'!$F$8+'Scénario référence'!$F$9)*10)</f>
        <v>10</v>
      </c>
      <c r="EG172" s="151" t="str">
        <f>VLOOKUP(A172,'Données projet'!$A$191:$I$211,2,0)</f>
        <v>#N/A</v>
      </c>
      <c r="EH172" s="151" t="str">
        <f>VLOOKUP(A172,'Données projet'!$A$191:$I$211,9,0)</f>
        <v>#N/A</v>
      </c>
      <c r="EI172" s="151" t="str">
        <f t="array" ref="EI172">INDEX(EH:EH,MIN(IF(ISNUMBER(EH172:EH368),ROW(EH172:EH368),"")))</f>
        <v/>
      </c>
      <c r="EJ172" s="151">
        <f>IF('Données projet'!$A$192&gt;35,EJ171+EI172-ER171,IF(A172&lt;'Données projet'!$A$192,$EG$205^A172,IF(A172='Données projet'!$A$192,'Données projet'!$B$192,EJ171+EI172-ER171)))</f>
        <v>0</v>
      </c>
      <c r="EK172" s="158" t="str">
        <f>EJ172*VLOOKUP('Données projet'!$B$15,'Paramètres'!$A$1:$I$88,3,0)*VLOOKUP('Données projet'!$B$15,'Paramètres'!$A$1:$I$88,5,0)</f>
        <v>#N/A</v>
      </c>
      <c r="EL172" s="150" t="str">
        <f t="shared" si="46"/>
        <v>#N/A</v>
      </c>
      <c r="EM172" s="161" t="str">
        <f t="shared" si="20"/>
        <v>#N/A</v>
      </c>
      <c r="EN172" s="153" t="str">
        <f t="shared" si="21"/>
        <v>#N/A</v>
      </c>
      <c r="EO172" s="153" t="str">
        <f>AVERAGE(OFFSET($EN$3,0,0,'Données projet'!$E$15+1,1))-AVERAGE(OFFSET($H$3,0,0,'Données projet'!$E$15+1,1))</f>
        <v>#N/A</v>
      </c>
      <c r="EP172" s="153" t="str">
        <f t="shared" si="47"/>
        <v>#N/A</v>
      </c>
      <c r="EQ172" s="154">
        <f>IF(ISNA(VLOOKUP(A172,'Données projet'!$A$191:$I$211,3,0)),0,VLOOKUP(A172,'Données projet'!$A$191:$I$211,3,0))</f>
        <v>0</v>
      </c>
      <c r="ER172" s="154">
        <f>IF(ISNA(VLOOKUP(A172,'Données projet'!$A$191:$I$211,4,0)),0,VLOOKUP(A172,'Données projet'!$A$191:$I$211,4,0))</f>
        <v>0</v>
      </c>
      <c r="ES172" s="155">
        <f>IF(ISNA(VLOOKUP(A172,'Données projet'!$A$191:$I$211,5,0)),0%,VLOOKUP(A172,'Données projet'!$A$191:$I$211,5,0)*VLOOKUP('Données projet'!$B$15,'Paramètres'!$A$1:$I$88,7,0))</f>
        <v>0</v>
      </c>
      <c r="ET172" s="155">
        <f>IF(ISNA(VLOOKUP(A172,'Données projet'!$A$191:$I$211,6,0)),0%,VLOOKUP(A172,'Données projet'!$A$191:$I$211,6,0)*VLOOKUP('Données projet'!$B$15,'Paramètres'!$A$1:$I$88,7,0))</f>
        <v>0</v>
      </c>
      <c r="EU172" s="155">
        <f>IF(ISNA(VLOOKUP(A172,'Données projet'!$A$191:$I$211,7,0)),0%,VLOOKUP(A172,'Données projet'!$A$191:$I$211,7,0))</f>
        <v>0</v>
      </c>
      <c r="EV172" s="162" t="str">
        <f>EXP(-LN(2)/35)*EV171+(1-EXP(-LN(2)/35))/(LN(2)/35)*ER172*ES172*VLOOKUP('Données projet'!$B$15,'Paramètres'!$A$1:$I$88,3,0)*0.475*44/12</f>
        <v>#N/A</v>
      </c>
      <c r="EW172" s="162" t="str">
        <f>EXP(-LN(2)/25)*EW171+(1-EXP(-LN(2)/25))/(LN(2)/25)*Calculateur!ER172*Calculateur!ET172*VLOOKUP('Données projet'!$B$15,'Paramètres'!$A$1:$I$88,3,0)*0.475*44/12</f>
        <v>#N/A</v>
      </c>
      <c r="EX172" s="162" t="str">
        <f>EXP(-LN(2)/2)*EX171+(1-EXP(-LN(2)/2))/(LN(2)/2)*ER172*EU172*VLOOKUP('Données projet'!$B$15,'Paramètres'!$A$1:$I$88,3,0)*0.475*44/12</f>
        <v>#N/A</v>
      </c>
      <c r="EY172" s="163" t="str">
        <f t="shared" si="22"/>
        <v>#N/A</v>
      </c>
      <c r="EZ172" s="159">
        <f>('Scénario référence'!$F$8+'Scénario référence'!$F$9+'Scénario référence'!$B$17+'Scénario référence'!$B$9+'Scénario référence'!$B$10)*70+IF((45+25*(1-EXP(-0.0175*A172)))&lt;70,'Scénario référence'!$B$16*(45+25*(1-EXP(-0.0175*A172))),70*'Scénario référence'!$B$16)+IF((32+38*(1-EXP(-0.0175*A172)))&lt;70,'Scénario référence'!$B$18*(32+38*(1-EXP(-0.0175*A172))),70*'Scénario référence'!$B$18)</f>
        <v>70</v>
      </c>
      <c r="FA172" s="151">
        <f>IF(A172&gt;30,10,('Scénario référence'!$B$16+'Scénario référence'!$B$17+'Scénario référence'!$B$18+'Scénario référence'!$B$9+'Scénario référence'!$B$10)*A172*10/30+('Scénario référence'!$F$8+'Scénario référence'!$F$9)*10)</f>
        <v>10</v>
      </c>
      <c r="FB172" s="151" t="str">
        <f>VLOOKUP(A172,'Données projet'!$A$217:$I$237,2,0)</f>
        <v>#N/A</v>
      </c>
      <c r="FC172" s="151" t="str">
        <f>VLOOKUP(A172,'Données projet'!$A$217:$I$237,9,0)</f>
        <v>#N/A</v>
      </c>
      <c r="FD172" s="151" t="str">
        <f t="array" ref="FD172">INDEX(FC:FC,MIN(IF(ISNUMBER(FC172:FC368),ROW(FC172:FC368),"")))</f>
        <v/>
      </c>
      <c r="FE172" s="151">
        <f>IF('Données projet'!$A$218&gt;35,FE171+FD172-FM171,IF(A172&lt;'Données projet'!$A$218,$FB$205^A172,IF(A172='Données projet'!$A$218,'Données projet'!$B$218,FE171+FD172-FM171)))</f>
        <v>0</v>
      </c>
      <c r="FF172" s="158" t="str">
        <f>FE172*VLOOKUP('Données projet'!$B$16,'Paramètres'!$A$1:$I$88,3,0)*VLOOKUP('Données projet'!$B$16,'Paramètres'!$A$1:$I$88,5,0)</f>
        <v>#N/A</v>
      </c>
      <c r="FG172" s="150" t="str">
        <f t="shared" si="48"/>
        <v>#N/A</v>
      </c>
      <c r="FH172" s="161" t="str">
        <f t="shared" si="23"/>
        <v>#N/A</v>
      </c>
      <c r="FI172" s="153" t="str">
        <f t="shared" si="24"/>
        <v>#N/A</v>
      </c>
      <c r="FJ172" s="153" t="str">
        <f>AVERAGE(OFFSET($FI$3,0,0,'Données projet'!$E$16+1,1))-AVERAGE(OFFSET($H$3,0,0,'Données projet'!$E$16+1,1))</f>
        <v>#N/A</v>
      </c>
      <c r="FK172" s="153" t="str">
        <f t="shared" si="49"/>
        <v>#N/A</v>
      </c>
      <c r="FL172" s="154">
        <f>IF(ISNA(VLOOKUP(A172,'Données projet'!$A$217:$I$237,3,0)),0,VLOOKUP(A172,'Données projet'!$A$217:$I$237,3,0))</f>
        <v>0</v>
      </c>
      <c r="FM172" s="154">
        <f>IF(ISNA(VLOOKUP(A172,'Données projet'!$A$217:$I$237,4,0)),0,VLOOKUP(A172,'Données projet'!$A$217:$I$237,4,0))</f>
        <v>0</v>
      </c>
      <c r="FN172" s="155">
        <f>IF(ISNA(VLOOKUP(A172,'Données projet'!$A$217:$I$237,5,0)),0%,VLOOKUP(A172,'Données projet'!$A$217:$I$237,5,0)*VLOOKUP('Données projet'!$B$16,'Paramètres'!$A$1:$I$88,7,0))</f>
        <v>0</v>
      </c>
      <c r="FO172" s="155">
        <f>IF(ISNA(VLOOKUP(A172,'Données projet'!$A$217:$I$237,6,0)),0%,VLOOKUP(A172,'Données projet'!$A$217:$I$237,6,0)*VLOOKUP('Données projet'!$B$16,'Paramètres'!$A$1:$I$88,7,0))</f>
        <v>0</v>
      </c>
      <c r="FP172" s="155">
        <f>IF(ISNA(VLOOKUP(A172,'Données projet'!$A$217:$I$237,7,0)),0%,VLOOKUP(A172,'Données projet'!$A$217:$I$237,7,0))</f>
        <v>0</v>
      </c>
      <c r="FQ172" s="162" t="str">
        <f>EXP(-LN(2)/35)*FQ171+(1-EXP(-LN(2)/35))/(LN(2)/35)*FM172*FN172*VLOOKUP('Données projet'!$B$16,'Paramètres'!$A$1:$I$88,3,0)*0.475*44/12</f>
        <v>#N/A</v>
      </c>
      <c r="FR172" s="162" t="str">
        <f>EXP(-LN(2)/25)*FR171+(1-EXP(-LN(2)/25))/(LN(2)/25)*Calculateur!FM172*Calculateur!FO172*VLOOKUP('Données projet'!$B$16,'Paramètres'!$A$1:$I$88,3,0)*0.475*44/12</f>
        <v>#N/A</v>
      </c>
      <c r="FS172" s="162" t="str">
        <f>EXP(-LN(2)/2)*FS171+(1-EXP(-LN(2)/2))/(LN(2)/2)*FM172*FP172*VLOOKUP('Données projet'!$B$16,'Paramètres'!$A$1:$I$88,3,0)*0.475*44/12</f>
        <v>#N/A</v>
      </c>
      <c r="FT172" s="163" t="str">
        <f t="shared" si="25"/>
        <v>#N/A</v>
      </c>
      <c r="FU172" s="159">
        <f>('Scénario référence'!$F$8+'Scénario référence'!$F$9+'Scénario référence'!$B$17+'Scénario référence'!$B$9+'Scénario référence'!$B$10)*70+IF((45+25*(1-EXP(-0.0175*A172)))&lt;70,'Scénario référence'!$B$16*(45+25*(1-EXP(-0.0175*A172))),70*'Scénario référence'!$B$16)+IF((32+38*(1-EXP(-0.0175*A172)))&lt;70,'Scénario référence'!$B$18*(32+38*(1-EXP(-0.0175*A172))),70*'Scénario référence'!$B$18)</f>
        <v>70</v>
      </c>
      <c r="FV172" s="151">
        <f>IF(A172&gt;30,10,('Scénario référence'!$B$16+'Scénario référence'!$B$17+'Scénario référence'!$B$18+'Scénario référence'!$B$9+'Scénario référence'!$B$10)*A172*10/30+('Scénario référence'!$F$8+'Scénario référence'!$F$9)*10)</f>
        <v>10</v>
      </c>
      <c r="FW172" s="151" t="str">
        <f>VLOOKUP(A172,'Données projet'!$A$243:$I$263,2,0)</f>
        <v>#N/A</v>
      </c>
      <c r="FX172" s="151" t="str">
        <f>VLOOKUP(A172,'Données projet'!$A$243:$I$263,9,0)</f>
        <v>#N/A</v>
      </c>
      <c r="FY172" s="151" t="str">
        <f t="array" ref="FY172">INDEX(FX:FX,MIN(IF(ISNUMBER(FX172:FX368),ROW(FX172:FX368),"")))</f>
        <v/>
      </c>
      <c r="FZ172" s="151">
        <f>IF('Données projet'!$A$244&gt;35,FZ171+FY172-GH171,IF(A172&lt;'Données projet'!$A$244,$FW$205^A172,IF(A172='Données projet'!$A$244,'Données projet'!$B$244,FZ171+FY172-GH171)))</f>
        <v>0</v>
      </c>
      <c r="GA172" s="158" t="str">
        <f>FZ172*VLOOKUP('Données projet'!$B$17,'Paramètres'!$A$1:$I$88,3,0)*VLOOKUP('Données projet'!$B$17,'Paramètres'!$A$1:$I$88,5,0)</f>
        <v>#N/A</v>
      </c>
      <c r="GB172" s="150" t="str">
        <f t="shared" si="50"/>
        <v>#N/A</v>
      </c>
      <c r="GC172" s="161" t="str">
        <f t="shared" si="26"/>
        <v>#N/A</v>
      </c>
      <c r="GD172" s="153" t="str">
        <f t="shared" si="27"/>
        <v>#N/A</v>
      </c>
      <c r="GE172" s="153" t="str">
        <f>AVERAGE(OFFSET($GD$3,0,0,'Données projet'!$E$17+1,1))-AVERAGE(OFFSET($H$3,0,0,'Données projet'!$E$17+1,1))</f>
        <v>#N/A</v>
      </c>
      <c r="GF172" s="153" t="str">
        <f t="shared" si="51"/>
        <v>#N/A</v>
      </c>
      <c r="GG172" s="154">
        <f>IF(ISNA(VLOOKUP(A172,'Données projet'!$A$243:$I$263,3,0)),0,VLOOKUP(A172,'Données projet'!$A$243:$I$263,3,0))</f>
        <v>0</v>
      </c>
      <c r="GH172" s="154">
        <f>IF(ISNA(VLOOKUP(A172,'Données projet'!$A$243:$I$263,4,0)),0,VLOOKUP(A172,'Données projet'!$A$243:$I$263,4,0))</f>
        <v>0</v>
      </c>
      <c r="GI172" s="155">
        <f>IF(ISNA(VLOOKUP(A172,'Données projet'!$A$243:$I$263,5,0)),0%,VLOOKUP(A172,'Données projet'!$A$243:$I$263,5,0)*VLOOKUP('Données projet'!$B$17,'Paramètres'!$A$1:$I$88,7,0))</f>
        <v>0</v>
      </c>
      <c r="GJ172" s="155">
        <f>IF(ISNA(VLOOKUP(A172,'Données projet'!$A$243:$I$263,6,0)),0%,VLOOKUP(A172,'Données projet'!$A$243:$I$263,6,0)*VLOOKUP('Données projet'!$B$17,'Paramètres'!$A$1:$I$88,7,0))</f>
        <v>0</v>
      </c>
      <c r="GK172" s="155">
        <f>IF(ISNA(VLOOKUP(A172,'Données projet'!$A$243:$I$263,7,0)),0%,VLOOKUP(A172,'Données projet'!$A$243:$I$263,7,0))</f>
        <v>0</v>
      </c>
      <c r="GL172" s="162" t="str">
        <f>EXP(-LN(2)/35)*GL171+(1-EXP(-LN(2)/35))/(LN(2)/35)*GH172*GI172*VLOOKUP('Données projet'!$B$17,'Paramètres'!$A$1:$I$88,3,0)*0.475*44/12</f>
        <v>#N/A</v>
      </c>
      <c r="GM172" s="162" t="str">
        <f>EXP(-LN(2)/25)*GM171+(1-EXP(-LN(2)/25))/(LN(2)/25)*Calculateur!GH172*Calculateur!GJ172*VLOOKUP('Données projet'!$B$17,'Paramètres'!$A$1:$I$88,3,0)*0.475*44/12</f>
        <v>#N/A</v>
      </c>
      <c r="GN172" s="162" t="str">
        <f>EXP(-LN(2)/2)*GN171+(1-EXP(-LN(2)/2))/(LN(2)/2)*GH172*GK172*VLOOKUP('Données projet'!$B$17,'Paramètres'!$A$1:$I$88,3,0)*0.475*44/12</f>
        <v>#N/A</v>
      </c>
      <c r="GO172" s="162" t="str">
        <f t="shared" si="28"/>
        <v>#N/A</v>
      </c>
      <c r="GP172" s="159">
        <f>('Scénario référence'!$F$8+'Scénario référence'!$F$9+'Scénario référence'!$B$17+'Scénario référence'!$B$9+'Scénario référence'!$B$10)*70+IF((45+25*(1-EXP(-0.0175*A172)))&lt;70,'Scénario référence'!$B$16*(45+25*(1-EXP(-0.0175*A172))),70*'Scénario référence'!$B$16)+IF((32+38*(1-EXP(-0.0175*A172)))&lt;70,'Scénario référence'!$B$18*(32+38*(1-EXP(-0.0175*A172))),70*'Scénario référence'!$B$18)</f>
        <v>70</v>
      </c>
      <c r="GQ172" s="151">
        <f>IF(A172&gt;30,10,('Scénario référence'!$B$16+'Scénario référence'!$B$17+'Scénario référence'!$B$18+'Scénario référence'!$B$9+'Scénario référence'!$B$10)*A172*10/30+('Scénario référence'!$F$8+'Scénario référence'!$F$9)*10)</f>
        <v>10</v>
      </c>
      <c r="GR172" s="151" t="str">
        <f>VLOOKUP(A172,'Données projet'!$A$269:$I$289,2,0)</f>
        <v>#N/A</v>
      </c>
      <c r="GS172" s="151" t="str">
        <f>VLOOKUP(A172,'Données projet'!$A$269:$I$289,9,0)</f>
        <v>#N/A</v>
      </c>
      <c r="GT172" s="151" t="str">
        <f t="array" ref="GT172">INDEX(GS:GS,MIN(IF(ISNUMBER(GS172:GS368),ROW(GS172:GS368),"")))</f>
        <v/>
      </c>
      <c r="GU172" s="151">
        <f>IF('Données projet'!$A$270&gt;35,GU171+GT172-HC171,IF(A172&lt;'Données projet'!$A$270,$GR$205^A172,IF(A172='Données projet'!$A$270,'Données projet'!$B$270,GU171+GT172-HC171)))</f>
        <v>0</v>
      </c>
      <c r="GV172" s="158" t="str">
        <f>GU172*VLOOKUP('Données projet'!$B$18,'Paramètres'!$A$1:$I$88,3,0)*VLOOKUP('Données projet'!$B$18,'Paramètres'!$A$1:$I$88,5,0)</f>
        <v>#N/A</v>
      </c>
      <c r="GW172" s="150" t="str">
        <f t="shared" si="52"/>
        <v>#N/A</v>
      </c>
      <c r="GX172" s="161" t="str">
        <f t="shared" si="29"/>
        <v>#N/A</v>
      </c>
      <c r="GY172" s="153" t="str">
        <f t="shared" si="30"/>
        <v>#N/A</v>
      </c>
      <c r="GZ172" s="153" t="str">
        <f>AVERAGE(OFFSET($GY$3,0,0,'Données projet'!$E$18+1,1))-AVERAGE(OFFSET($H$3,0,0,'Données projet'!$E$18+1,1))</f>
        <v>#N/A</v>
      </c>
      <c r="HA172" s="153" t="str">
        <f t="shared" si="53"/>
        <v>#N/A</v>
      </c>
      <c r="HB172" s="154">
        <f>IF(ISNA(VLOOKUP(A172,'Données projet'!$A$269:$I$289,3,0)),0,VLOOKUP(A172,'Données projet'!$A$269:$I$289,3,0))</f>
        <v>0</v>
      </c>
      <c r="HC172" s="154">
        <f>IF(ISNA(VLOOKUP(A172,'Données projet'!$A$269:$I$289,4,0)),0,VLOOKUP(A172,'Données projet'!$A$269:$I$289,4,0))</f>
        <v>0</v>
      </c>
      <c r="HD172" s="155">
        <f>IF(ISNA(VLOOKUP(A172,'Données projet'!$A$269:$I$289,5,0)),0%,VLOOKUP(A172,'Données projet'!$A$269:$I$289,5,0)*VLOOKUP('Données projet'!$B$18,'Paramètres'!$A$1:$I$88,7,0))</f>
        <v>0</v>
      </c>
      <c r="HE172" s="155">
        <f>IF(ISNA(VLOOKUP(A172,'Données projet'!$A$269:$I$289,6,0)),0%,VLOOKUP(A172,'Données projet'!$A$269:$I$289,6,0)*VLOOKUP('Données projet'!$B$18,'Paramètres'!$A$1:$I$88,7,0))</f>
        <v>0</v>
      </c>
      <c r="HF172" s="155">
        <f>IF(ISNA(VLOOKUP(A172,'Données projet'!$A$269:$I$289,7,0)),0%,VLOOKUP(A172,'Données projet'!$A$269:$I$289,7,0))</f>
        <v>0</v>
      </c>
      <c r="HG172" s="162" t="str">
        <f>EXP(-LN(2)/35)*HG171+(1-EXP(-LN(2)/35))/(LN(2)/35)*HC172*HD172*VLOOKUP('Données projet'!$B$18,'Paramètres'!$A$1:$I$88,3,0)*0.475*44/12</f>
        <v>#N/A</v>
      </c>
      <c r="HH172" s="162" t="str">
        <f>EXP(-LN(2)/25)*HH171+(1-EXP(-LN(2)/25))/(LN(2)/25)*Calculateur!HC172*Calculateur!HE172*VLOOKUP('Données projet'!$B$18,'Paramètres'!$A$1:$I$88,3,0)*0.475*44/12</f>
        <v>#N/A</v>
      </c>
      <c r="HI172" s="162" t="str">
        <f>EXP(-LN(2)/2)*HI171+(1-EXP(-LN(2)/2))/(LN(2)/2)*HC172*HF172*VLOOKUP('Données projet'!$B$18,'Paramètres'!$A$1:$I$88,3,0)*0.475*44/12</f>
        <v>#N/A</v>
      </c>
      <c r="HJ172" s="163" t="str">
        <f t="shared" si="31"/>
        <v>#N/A</v>
      </c>
    </row>
    <row r="173" ht="15.75" customHeight="1">
      <c r="A173" s="145">
        <f t="shared" si="32"/>
        <v>170</v>
      </c>
      <c r="B173" s="146">
        <f>'Scénario référence'!$B$16*5+'Scénario référence'!$B$17*0+'Scénario référence'!$B$18*5</f>
        <v>0</v>
      </c>
      <c r="C173" s="160">
        <f>Calculateur!C172+'Scénario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73" s="147">
        <f t="shared" si="33"/>
        <v>0</v>
      </c>
      <c r="E173" s="147">
        <f>'Scénario référence'!$B$16*45+('Scénario référence'!$B$17+'Scénario référence'!$F$8+'Scénario référence'!$F$9+'Scénario référence'!$B$10+'Scénario référence'!$B$9)*70+'Scénario référence'!$B$18*32</f>
        <v>70</v>
      </c>
      <c r="F173" s="147">
        <f>IF(OR('Scénario référence'!$F$8&gt;0,'Scénario référence'!$F$9&gt;0),('Scénario référence'!$F$8+'Scénario référence'!$F$9)*10,0)</f>
        <v>0</v>
      </c>
      <c r="G173" s="147">
        <f>'Scénario référence'!$B$8*B173*44/12+'Scénario référence'!$B$9*(C173+D173)/0.475*44/12+'Scénario référence'!$B$10*(C173+D173)/0.475*44/12+'Scénario référence'!$F$8*(C173+D173)/0.475*44/12+'Scénario référence'!$F$9*(C173+D173)/0.475*44/12</f>
        <v>0</v>
      </c>
      <c r="H173" s="148">
        <f t="shared" si="1"/>
        <v>256.6666667</v>
      </c>
      <c r="I173" s="149">
        <f>('Scénario référence'!$F$8+'Scénario référence'!$F$9+'Scénario référence'!$B$17+'Scénario référence'!$B$9+'Scénario référence'!$B$10)*70+IF((45+25*(1-EXP(-0.0175*A173)))&lt;70,'Scénario référence'!$B$16*(45+25*(1-EXP(-0.0175*A173))),70*'Scénario référence'!$B$16)+IF((32+38*(1-EXP(-0.0175*A173)))&lt;70,'Scénario référence'!$B$18*(32+38*(1-EXP(-0.0175*A173))),70*'Scénario référence'!$B$18)</f>
        <v>70</v>
      </c>
      <c r="J173" s="150">
        <f>IF(A173&gt;30,10,('Scénario référence'!$B$16+'Scénario référence'!$B$17+'Scénario référence'!$B$18+'Scénario référence'!$B$9+'Scénario référence'!$B$10)*A173*10/30+('Scénario référence'!$F$8+'Scénario référence'!$F$9)*10)</f>
        <v>10</v>
      </c>
      <c r="K173" s="151" t="str">
        <f>VLOOKUP(A173,'Données projet'!$A$35:$I$55,2,0)</f>
        <v>#N/A</v>
      </c>
      <c r="L173" s="151" t="str">
        <f>VLOOKUP(A173,'Données projet'!$A$35:$I$55,9,0)</f>
        <v>#N/A</v>
      </c>
      <c r="M173" s="151" t="str">
        <f t="array" ref="M173">INDEX(L:L,MIN(IF(ISNUMBER(L173:L369),ROW(L173:L369),"")))</f>
        <v/>
      </c>
      <c r="N173" s="150">
        <f>IF('Données projet'!$A$36&gt;35,N172+M173-V172,IF(A173&lt;'Données projet'!$A$36,$K$205^A173,IF(A173='Données projet'!$A$36,'Données projet'!$B$36,N172+M173-V172)))</f>
        <v>307</v>
      </c>
      <c r="O173" s="150">
        <f>N173*VLOOKUP('Données projet'!$B$9,'Paramètres'!$A$1:$I$88,3,0)*VLOOKUP('Données projet'!$B$9,'Paramètres'!$A$1:$I$88,5,0)</f>
        <v>277.7736</v>
      </c>
      <c r="P173" s="150">
        <f t="shared" si="34"/>
        <v>66.49628818</v>
      </c>
      <c r="Q173" s="161">
        <f t="shared" si="2"/>
        <v>599.6033886</v>
      </c>
      <c r="R173" s="153">
        <f t="shared" si="3"/>
        <v>892.9367219</v>
      </c>
      <c r="S173" s="153">
        <f>AVERAGE(OFFSET($R$3,0,0,'Données projet'!$E$9+1,1))-AVERAGE(OFFSET($H$3,0,0,'Données projet'!$E$9+1,1))</f>
        <v>439.1985427</v>
      </c>
      <c r="T173" s="153">
        <f t="shared" si="35"/>
        <v>278.2174123</v>
      </c>
      <c r="U173" s="154">
        <f>IF(ISNA(VLOOKUP(A173,'Données projet'!$A$35:$I$55,3,0)),0,VLOOKUP(A173,'Données projet'!$A$35:$I$55,3,0))</f>
        <v>0</v>
      </c>
      <c r="V173" s="154">
        <f>IF(ISNA(VLOOKUP(A173,'Données projet'!$A$35:$I$55,4,0)),0,VLOOKUP(A173,'Données projet'!$A$35:$I$55,4,0))</f>
        <v>0</v>
      </c>
      <c r="W173" s="155">
        <f>IF(ISNA(VLOOKUP(A173,'Données projet'!$A$35:$I$55,5,0)),0%,VLOOKUP(A173,'Données projet'!$A$35:$I$55,5,0)*VLOOKUP('Données projet'!$B$9,'Paramètres'!$A$1:$I$88,7,0))</f>
        <v>0</v>
      </c>
      <c r="X173" s="155">
        <f>IF(ISNA(VLOOKUP(A173,'Données projet'!$A$35:$I$55,6,0)),0%,VLOOKUP(A173,'Données projet'!$A$35:$I$55,6,0)*VLOOKUP('Données projet'!$B$9,'Paramètres'!$A$1:$I$88,7,0))</f>
        <v>0</v>
      </c>
      <c r="Y173" s="155">
        <f>IF(ISNA(VLOOKUP(A173,'Données projet'!$A$35:$I$55,7,0)),0%,VLOOKUP(A173,'Données projet'!$A$35:$I$55,7,0))</f>
        <v>0</v>
      </c>
      <c r="Z173" s="162">
        <f>EXP(-LN(2)/35)*Z172+(1-EXP(-LN(2)/35))/(LN(2)/35)*V173*W173*VLOOKUP('Données projet'!$B$9,'Paramètres'!$A$1:$I$88,3,0)*0.475*44/12</f>
        <v>0</v>
      </c>
      <c r="AA173" s="162">
        <f>EXP(-LN(2)/25)*AA172+(1-EXP(-LN(2)/25))/(LN(2)/25)*Calculateur!V173*Calculateur!X173*VLOOKUP('Données projet'!$B$9,'Paramètres'!$A$1:$I$88,3,0)*0.475*44/12</f>
        <v>0.09252184898</v>
      </c>
      <c r="AB173" s="162">
        <f>EXP(-LN(2)/2)*AB172+(1-EXP(-LN(2)/2))/(LN(2)/2)*V173*Y173*VLOOKUP('Données projet'!$B$9,'Paramètres'!$A$1:$I$88,3,0)*0.475*44/12</f>
        <v>0</v>
      </c>
      <c r="AC173" s="163">
        <f t="shared" si="4"/>
        <v>0.09252184898</v>
      </c>
      <c r="AD173" s="150">
        <f>('Scénario référence'!$F$8+'Scénario référence'!$F$9+'Scénario référence'!$B$17+'Scénario référence'!$B$9+'Scénario référence'!$B$10)*70+IF((45+25*(1-EXP(-0.0175*A173)))&lt;70,'Scénario référence'!$B$16*(45+25*(1-EXP(-0.0175*A173))),70*'Scénario référence'!$B$16)+IF((32+38*(1-EXP(-0.0175*A173)))&lt;70,'Scénario référence'!$B$18*(32+38*(1-EXP(-0.0175*A173))),70*'Scénario référence'!$B$18)</f>
        <v>70</v>
      </c>
      <c r="AE173" s="150">
        <f>IF(A173&gt;30,10,('Scénario référence'!$B$16+'Scénario référence'!$B$17+'Scénario référence'!$B$18+'Scénario référence'!$B$9+'Scénario référence'!$B$10)*A173*10/30+('Scénario référence'!$F$8+'Scénario référence'!$F$9)*10)</f>
        <v>10</v>
      </c>
      <c r="AF173" s="151" t="str">
        <f>VLOOKUP(A173,'Données projet'!$A$61:$I$81,2,0)</f>
        <v>#N/A</v>
      </c>
      <c r="AG173" s="151" t="str">
        <f>VLOOKUP(A173,'Données projet'!$A$61:$I$81,9,0)</f>
        <v>#N/A</v>
      </c>
      <c r="AH173" s="151" t="str">
        <f t="array" ref="AH173">INDEX(AG:AG,MIN(IF(ISNUMBER(AG173:AG369),ROW(AG173:AG369),"")))</f>
        <v/>
      </c>
      <c r="AI173" s="150">
        <f>IF('Données projet'!$A$62&gt;35,AI172+AH173-AQ172,IF(A173&lt;'Données projet'!$A$62,$AF$205^A173,IF(A173='Données projet'!$A$62,'Données projet'!$B$62,AI172+AH173-AQ172)))</f>
        <v>369</v>
      </c>
      <c r="AJ173" s="150">
        <f>AI173*VLOOKUP('Données projet'!$B$10,'Paramètres'!$A$1:$I$88,3,0)*VLOOKUP('Données projet'!$B$10,'Paramètres'!$A$1:$I$88,5,0)</f>
        <v>293.5764</v>
      </c>
      <c r="AK173" s="150">
        <f t="shared" si="36"/>
        <v>69.82813851</v>
      </c>
      <c r="AL173" s="161">
        <f t="shared" si="5"/>
        <v>632.9295712</v>
      </c>
      <c r="AM173" s="153">
        <f t="shared" si="6"/>
        <v>926.2629046</v>
      </c>
      <c r="AN173" s="153">
        <f>AVERAGE(OFFSET($AM$3,0,0,'Données projet'!$E$10+1,1))-AVERAGE(OFFSET($H$3,0,0,'Données projet'!$E$10+1,1))</f>
        <v>405.6113614</v>
      </c>
      <c r="AO173" s="153">
        <f t="shared" si="37"/>
        <v>393.0787141</v>
      </c>
      <c r="AP173" s="154">
        <f>IF(ISNA(VLOOKUP(A173,'Données projet'!$A$61:$I$81,3,0)),0,VLOOKUP(A173,'Données projet'!$A$61:$I$81,3,0))</f>
        <v>0</v>
      </c>
      <c r="AQ173" s="154">
        <f>IF(ISNA(VLOOKUP(A173,'Données projet'!$A$61:$I$81,4,0)),0,VLOOKUP(A173,'Données projet'!$A$61:$I$81,4,0))</f>
        <v>0</v>
      </c>
      <c r="AR173" s="155">
        <f>IF(ISNA(VLOOKUP(A173,'Données projet'!$A$61:$I$81,5,0)),0%,VLOOKUP(A173,'Données projet'!$A$61:$I$81,5,0)*VLOOKUP('Données projet'!$B$10,'Paramètres'!$A$1:$I$88,7,0))</f>
        <v>0</v>
      </c>
      <c r="AS173" s="155">
        <f>IF(ISNA(VLOOKUP(A173,'Données projet'!$A$61:$I$81,6,0)),0%,VLOOKUP(A173,'Données projet'!$A$61:$I$81,6,0)*VLOOKUP('Données projet'!$B$10,'Paramètres'!$A$1:$I$88,7,0))</f>
        <v>0</v>
      </c>
      <c r="AT173" s="155">
        <f>IF(ISNA(VLOOKUP(A173,'Données projet'!$A$61:$I$81,7,0)),0%,VLOOKUP(A173,'Données projet'!$A$61:$I$81,7,0))</f>
        <v>0</v>
      </c>
      <c r="AU173" s="162">
        <f>EXP(-LN(2)/35)*AU172+(1-EXP(-LN(2)/35))/(LN(2)/35)*AQ173*AR173*VLOOKUP('Données projet'!$B$10,'Paramètres'!$A$1:$I$88,3,0)*0.475*44/12</f>
        <v>0</v>
      </c>
      <c r="AV173" s="162">
        <f>EXP(-LN(2)/25)*AV172+(1-EXP(-LN(2)/25))/(LN(2)/25)*Calculateur!AQ173*Calculateur!AS173*VLOOKUP('Données projet'!$B$10,'Paramètres'!$A$1:$I$88,3,0)*0.475*44/12</f>
        <v>0.3760323142</v>
      </c>
      <c r="AW173" s="162">
        <f>EXP(-LN(2)/2)*AW172+(1-EXP(-LN(2)/2))/(LN(2)/2)*AQ173*AT173*VLOOKUP('Données projet'!$B$10,'Paramètres'!$A$1:$I$88,3,0)*0.475*44/12</f>
        <v>0</v>
      </c>
      <c r="AX173" s="162">
        <f t="shared" si="7"/>
        <v>0.3760323142</v>
      </c>
      <c r="AY173" s="157">
        <f>('Scénario référence'!$F$8+'Scénario référence'!$F$9+'Scénario référence'!$B$17+'Scénario référence'!$B$9+'Scénario référence'!$B$10)*70+IF((45+25*(1-EXP(-0.0175*A173)))&lt;70,'Scénario référence'!$B$16*(45+25*(1-EXP(-0.0175*A173))),70*'Scénario référence'!$B$16)+IF((32+38*(1-EXP(-0.0175*A173)))&lt;70,'Scénario référence'!$B$18*(32+38*(1-EXP(-0.0175*A173))),70*'Scénario référence'!$B$18)</f>
        <v>70</v>
      </c>
      <c r="AZ173" s="151">
        <f>IF(A173&gt;30,10,('Scénario référence'!$B$16+'Scénario référence'!$B$17+'Scénario référence'!$B$18+'Scénario référence'!$B$9+'Scénario référence'!$B$10)*A173*10/30+('Scénario référence'!$F$8+'Scénario référence'!$F$9)*10)</f>
        <v>10</v>
      </c>
      <c r="BA173" s="151" t="str">
        <f>VLOOKUP(A173,'Données projet'!$A$87:$I$107,2,0)</f>
        <v>#N/A</v>
      </c>
      <c r="BB173" s="151" t="str">
        <f>VLOOKUP(A173,'Données projet'!$A$87:$I$107,9,0)</f>
        <v>#N/A</v>
      </c>
      <c r="BC173" s="151" t="str">
        <f t="array" ref="BC173">INDEX(BB:BB,MIN(IF(ISNUMBER(BB173:BB369),ROW(BB173:BB369),"")))</f>
        <v/>
      </c>
      <c r="BD173" s="150">
        <f>IF('Données projet'!$A$88&gt;35,BD172+BC173-BL172,IF(A173&lt;'Données projet'!$A$88,$BA$205^A173,IF(A173='Données projet'!$A$88,'Données projet'!$B$88,BD172+BC173-BL172)))</f>
        <v>0</v>
      </c>
      <c r="BE173" s="150">
        <f>BD173*VLOOKUP('Données projet'!$B$11,'Paramètres'!$A$1:$I$88,3,0)*VLOOKUP('Données projet'!$B$11,'Paramètres'!$A$1:$I$88,5,0)</f>
        <v>0</v>
      </c>
      <c r="BF173" s="150" t="str">
        <f t="shared" si="38"/>
        <v>#NUM!</v>
      </c>
      <c r="BG173" s="161" t="str">
        <f t="shared" si="8"/>
        <v>#NUM!</v>
      </c>
      <c r="BH173" s="153" t="str">
        <f t="shared" si="9"/>
        <v>#NUM!</v>
      </c>
      <c r="BI173" s="153">
        <f>AVERAGE(OFFSET($BH$3,0,0,'Données projet'!$E$11+1,1))-AVERAGE(OFFSET($H$3,0,0,'Données projet'!$E$11+1,1))</f>
        <v>0</v>
      </c>
      <c r="BJ173" s="153">
        <f t="shared" si="39"/>
        <v>0</v>
      </c>
      <c r="BK173" s="154">
        <f>IF(ISNA(VLOOKUP(A173,'Données projet'!$A$87:$I$107,3,0)),0,VLOOKUP(A173,'Données projet'!$A$87:$I$107,3,0))</f>
        <v>0</v>
      </c>
      <c r="BL173" s="154">
        <f>IF(ISNA(VLOOKUP(A173,'Données projet'!$A$87:$I$107,4,0)),0,VLOOKUP(A173,'Données projet'!$A$87:$I$107,4,0))</f>
        <v>0</v>
      </c>
      <c r="BM173" s="155">
        <f>IF(ISNA(VLOOKUP(A173,'Données projet'!$A$87:$I$107,5,0)),0%,VLOOKUP(A173,'Données projet'!$A$87:$I$107,5,0)*VLOOKUP('Données projet'!$B$11,'Paramètres'!$A$1:$I$88,7,0))</f>
        <v>0</v>
      </c>
      <c r="BN173" s="155">
        <f>IF(ISNA(VLOOKUP(A173,'Données projet'!$A$87:$I$107,6,0)),0%,VLOOKUP(A173,'Données projet'!$A$87:$I$107,6,0)*VLOOKUP('Données projet'!$B$11,'Paramètres'!$A$1:$I$88,7,0))</f>
        <v>0</v>
      </c>
      <c r="BO173" s="155">
        <f>IF(ISNA(VLOOKUP(A173,'Données projet'!$A$87:$I$107,7,0)),0%,VLOOKUP(A173,'Données projet'!$A$87:$I$107,7,0))</f>
        <v>0</v>
      </c>
      <c r="BP173" s="162">
        <f>EXP(-LN(2)/35)*BP172+(1-EXP(-LN(2)/35))/(LN(2)/35)*BL173*BM173*VLOOKUP('Données projet'!$B$11,'Paramètres'!$A$1:$I$88,3,0)*0.475*44/12</f>
        <v>0</v>
      </c>
      <c r="BQ173" s="162">
        <f>EXP(-LN(2)/25)*BQ172+(1-EXP(-LN(2)/25))/(LN(2)/25)*Calculateur!BL173*Calculateur!BN173*VLOOKUP('Données projet'!$B$11,'Paramètres'!$A$1:$I$88,3,0)*0.475*44/12</f>
        <v>0</v>
      </c>
      <c r="BR173" s="162">
        <f>EXP(-LN(2)/2)*BR172+(1-EXP(-LN(2)/2))/(LN(2)/2)*BL173*BO173*VLOOKUP('Données projet'!$B$11,'Paramètres'!$A$1:$I$88,3,0)*0.475*44/12</f>
        <v>0</v>
      </c>
      <c r="BS173" s="163">
        <f t="shared" si="10"/>
        <v>0</v>
      </c>
      <c r="BT173" s="159">
        <f>('Scénario référence'!$F$8+'Scénario référence'!$F$9+'Scénario référence'!$B$17+'Scénario référence'!$B$9+'Scénario référence'!$B$10)*70+IF((45+25*(1-EXP(-0.0175*A173)))&lt;70,'Scénario référence'!$B$16*(45+25*(1-EXP(-0.0175*A173))),70*'Scénario référence'!$B$16)+IF((32+38*(1-EXP(-0.0175*A173)))&lt;70,'Scénario référence'!$B$18*(32+38*(1-EXP(-0.0175*A173))),70*'Scénario référence'!$B$18)</f>
        <v>70</v>
      </c>
      <c r="BU173" s="151">
        <f>IF(A173&gt;30,10,('Scénario référence'!$B$16+'Scénario référence'!$B$17+'Scénario référence'!$B$18+'Scénario référence'!$B$9+'Scénario référence'!$B$10)*A173*10/30+('Scénario référence'!$F$8+'Scénario référence'!$F$9)*10)</f>
        <v>10</v>
      </c>
      <c r="BV173" s="151" t="str">
        <f>VLOOKUP(A173,'Données projet'!$A$113:$I$133,2,0)</f>
        <v>#N/A</v>
      </c>
      <c r="BW173" s="151" t="str">
        <f>VLOOKUP(A173,'Données projet'!$A$113:$I$133,9,0)</f>
        <v>#N/A</v>
      </c>
      <c r="BX173" s="151" t="str">
        <f t="array" ref="BX173">INDEX(BW:BW,MIN(IF(ISNUMBER(BW173:BW369),ROW(BW173:BW369),"")))</f>
        <v/>
      </c>
      <c r="BY173" s="150">
        <f>IF('Données projet'!$A$114&gt;35,BY172+BX173-CG172,IF(A173&lt;'Données projet'!$A$114,$BV$205^A173,IF(A173='Données projet'!$A$114,'Données projet'!$B$114,BY172+BX173-CG172)))</f>
        <v>0</v>
      </c>
      <c r="BZ173" s="150" t="str">
        <f>BY173*VLOOKUP('Données projet'!$B$12,'Paramètres'!$A$1:$I$88,3,0)*VLOOKUP('Données projet'!$B$12,'Paramètres'!$A$1:$I$88,5,0)</f>
        <v>#N/A</v>
      </c>
      <c r="CA173" s="150" t="str">
        <f t="shared" si="40"/>
        <v>#N/A</v>
      </c>
      <c r="CB173" s="161" t="str">
        <f t="shared" si="11"/>
        <v>#N/A</v>
      </c>
      <c r="CC173" s="153" t="str">
        <f t="shared" si="12"/>
        <v>#N/A</v>
      </c>
      <c r="CD173" s="153" t="str">
        <f>AVERAGE(OFFSET($CC$3,0,0,'Données projet'!$E$12+1,1))-AVERAGE(OFFSET($H$3,0,0,'Données projet'!$E$12+1,1))</f>
        <v>#N/A</v>
      </c>
      <c r="CE173" s="153" t="str">
        <f t="shared" si="41"/>
        <v>#N/A</v>
      </c>
      <c r="CF173" s="154">
        <f>IF(ISNA(VLOOKUP(A173,'Données projet'!$A$113:$I$133,3,0)),0,VLOOKUP(A173,'Données projet'!$A$113:$I$133,3,0))</f>
        <v>0</v>
      </c>
      <c r="CG173" s="154">
        <f>IF(ISNA(VLOOKUP(A173,'Données projet'!$A$113:$I$133,4,0)),0,VLOOKUP(A173,'Données projet'!$A$113:$I$133,4,0))</f>
        <v>0</v>
      </c>
      <c r="CH173" s="155">
        <f>IF(ISNA(VLOOKUP(A173,'Données projet'!$A$113:$I$133,5,0)),0%,VLOOKUP(A173,'Données projet'!$A$113:$I$133,5,0)*VLOOKUP('Données projet'!$B$12,'Paramètres'!$A$1:$I$88,7,0))</f>
        <v>0</v>
      </c>
      <c r="CI173" s="155">
        <f>IF(ISNA(VLOOKUP(A173,'Données projet'!$A$113:$I$133,6,0)),0%,VLOOKUP(A173,'Données projet'!$A$113:$I$133,6,0)*VLOOKUP('Données projet'!$B$12,'Paramètres'!$A$1:$I$88,7,0))</f>
        <v>0</v>
      </c>
      <c r="CJ173" s="155">
        <f>IF(ISNA(VLOOKUP(A173,'Données projet'!$A$113:$I$133,7,0)),0%,VLOOKUP(A173,'Données projet'!$A$113:$I$133,7,0))</f>
        <v>0</v>
      </c>
      <c r="CK173" s="162" t="str">
        <f>EXP(-LN(2)/35)*CK172+(1-EXP(-LN(2)/35))/(LN(2)/35)*CG173*CH173*VLOOKUP('Données projet'!$B$12,'Paramètres'!$A$1:$I$88,3,0)*0.475*44/12</f>
        <v>#N/A</v>
      </c>
      <c r="CL173" s="162" t="str">
        <f>EXP(-LN(2)/25)*CL172+(1-EXP(-LN(2)/25))/(LN(2)/25)*Calculateur!CG173*Calculateur!CI173*VLOOKUP('Données projet'!$B$12,'Paramètres'!$A$1:$I$88,3,0)*0.475*44/12</f>
        <v>#N/A</v>
      </c>
      <c r="CM173" s="162" t="str">
        <f>EXP(-LN(2)/2)*CM172+(1-EXP(-LN(2)/2))/(LN(2)/2)*CG173*CJ173*VLOOKUP('Données projet'!$B$12,'Paramètres'!$A$1:$I$88,3,0)*0.475*44/12</f>
        <v>#N/A</v>
      </c>
      <c r="CN173" s="163" t="str">
        <f t="shared" si="13"/>
        <v>#N/A</v>
      </c>
      <c r="CO173" s="159">
        <f>('Scénario référence'!$F$8+'Scénario référence'!$F$9+'Scénario référence'!$B$17+'Scénario référence'!$B$9+'Scénario référence'!$B$10)*70+IF((45+25*(1-EXP(-0.0175*A173)))&lt;70,'Scénario référence'!$B$16*(45+25*(1-EXP(-0.0175*A173))),70*'Scénario référence'!$B$16)+IF((32+38*(1-EXP(-0.0175*A173)))&lt;70,'Scénario référence'!$B$18*(32+38*(1-EXP(-0.0175*A173))),70*'Scénario référence'!$B$18)</f>
        <v>70</v>
      </c>
      <c r="CP173" s="151">
        <f>IF(A173&gt;30,10,('Scénario référence'!$B$16+'Scénario référence'!$B$17+'Scénario référence'!$B$18+'Scénario référence'!$B$9+'Scénario référence'!$B$10)*A173*10/30+('Scénario référence'!$F$8+'Scénario référence'!$F$9)*10)</f>
        <v>10</v>
      </c>
      <c r="CQ173" s="151" t="str">
        <f>VLOOKUP(A173,'Données projet'!$A$139:$I$159,2,0)</f>
        <v>#N/A</v>
      </c>
      <c r="CR173" s="151" t="str">
        <f>VLOOKUP(A173,'Données projet'!$A$139:$I$159,9,0)</f>
        <v>#N/A</v>
      </c>
      <c r="CS173" s="151" t="str">
        <f t="array" ref="CS173">INDEX(CR:CR,MIN(IF(ISNUMBER(CR173:CR369),ROW(CR173:CR369),"")))</f>
        <v/>
      </c>
      <c r="CT173" s="151">
        <f>IF('Données projet'!$A$140&gt;35,CT172+CS173-DB172,IF(A173&lt;'Données projet'!$A$140,$CQ$205^A173,IF(A173='Données projet'!$A$140,'Données projet'!$B$140,CT172+CS173-DB172)))</f>
        <v>0</v>
      </c>
      <c r="CU173" s="158" t="str">
        <f>CT173*VLOOKUP('Données projet'!$B$13,'Paramètres'!$A$1:$I$88,3,0)*VLOOKUP('Données projet'!$B$13,'Paramètres'!$A$1:$I$88,5,0)</f>
        <v>#N/A</v>
      </c>
      <c r="CV173" s="150" t="str">
        <f t="shared" si="42"/>
        <v>#N/A</v>
      </c>
      <c r="CW173" s="161" t="str">
        <f t="shared" si="14"/>
        <v>#N/A</v>
      </c>
      <c r="CX173" s="153" t="str">
        <f t="shared" si="15"/>
        <v>#N/A</v>
      </c>
      <c r="CY173" s="153" t="str">
        <f>AVERAGE(OFFSET($CX$3,0,0,'Données projet'!$E$13+1,1))-AVERAGE(OFFSET($H$3,0,0,'Données projet'!$E$13+1,1))</f>
        <v>#N/A</v>
      </c>
      <c r="CZ173" s="153" t="str">
        <f t="shared" si="43"/>
        <v>#N/A</v>
      </c>
      <c r="DA173" s="154">
        <f>IF(ISNA(VLOOKUP(A173,'Données projet'!$A$139:$I$159,3,0)),0,VLOOKUP(A173,'Données projet'!$A$139:$I$159,3,0))</f>
        <v>0</v>
      </c>
      <c r="DB173" s="154">
        <f>IF(ISNA(VLOOKUP(A173,'Données projet'!$A$139:$I$159,4,0)),0,VLOOKUP(A173,'Données projet'!$A$139:$I$159,4,0))</f>
        <v>0</v>
      </c>
      <c r="DC173" s="155">
        <f>IF(ISNA(VLOOKUP(A173,'Données projet'!$A$139:$I$159,5,0)),0%,VLOOKUP(A173,'Données projet'!$A$139:$I$159,5,0)*VLOOKUP('Données projet'!$B$13,'Paramètres'!$A$1:$I$88,7,0))</f>
        <v>0</v>
      </c>
      <c r="DD173" s="155">
        <f>IF(ISNA(VLOOKUP(A173,'Données projet'!$A$139:$I$159,6,0)),0%,VLOOKUP(A173,'Données projet'!$A$139:$I$159,6,0)*VLOOKUP('Données projet'!$B$13,'Paramètres'!$A$1:$I$88,7,0))</f>
        <v>0</v>
      </c>
      <c r="DE173" s="155">
        <f>IF(ISNA(VLOOKUP(A173,'Données projet'!$A$139:$I$159,7,0)),0%,VLOOKUP(A173,'Données projet'!$A$139:$I$159,7,0))</f>
        <v>0</v>
      </c>
      <c r="DF173" s="162" t="str">
        <f>EXP(-LN(2)/35)*DF172+(1-EXP(-LN(2)/35))/(LN(2)/35)*DB173*DC173*VLOOKUP('Données projet'!$B$13,'Paramètres'!$A$1:$I$88,3,0)*0.475*44/12</f>
        <v>#N/A</v>
      </c>
      <c r="DG173" s="162" t="str">
        <f>EXP(-LN(2)/25)*DG172+(1-EXP(-LN(2)/25))/(LN(2)/25)*Calculateur!DB173*Calculateur!DD173*VLOOKUP('Données projet'!$B$13,'Paramètres'!$A$1:$I$88,3,0)*0.475*44/12</f>
        <v>#N/A</v>
      </c>
      <c r="DH173" s="162" t="str">
        <f>EXP(-LN(2)/2)*DH172+(1-EXP(-LN(2)/2))/(LN(2)/2)*DB173*DE173*VLOOKUP('Données projet'!$B$13,'Paramètres'!$A$1:$I$88,3,0)*0.475*44/12</f>
        <v>#N/A</v>
      </c>
      <c r="DI173" s="163" t="str">
        <f t="shared" si="16"/>
        <v>#N/A</v>
      </c>
      <c r="DJ173" s="159">
        <f>('Scénario référence'!$F$8+'Scénario référence'!$F$9+'Scénario référence'!$B$17+'Scénario référence'!$B$9+'Scénario référence'!$B$10)*70+IF((45+25*(1-EXP(-0.0175*A173)))&lt;70,'Scénario référence'!$B$16*(45+25*(1-EXP(-0.0175*A173))),70*'Scénario référence'!$B$16)+IF((32+38*(1-EXP(-0.0175*A173)))&lt;70,'Scénario référence'!$B$18*(32+38*(1-EXP(-0.0175*A173))),70*'Scénario référence'!$B$18)</f>
        <v>70</v>
      </c>
      <c r="DK173" s="151">
        <f>IF(A173&gt;30,10,('Scénario référence'!$B$16+'Scénario référence'!$B$17+'Scénario référence'!$B$18+'Scénario référence'!$B$9+'Scénario référence'!$B$10)*A173*10/30+('Scénario référence'!$F$8+'Scénario référence'!$F$9)*10)</f>
        <v>10</v>
      </c>
      <c r="DL173" s="151" t="str">
        <f>VLOOKUP(A173,'Données projet'!$A$165:$I$185,2,0)</f>
        <v>#N/A</v>
      </c>
      <c r="DM173" s="151" t="str">
        <f>VLOOKUP(A173,'Données projet'!$A$165:$I$185,9,0)</f>
        <v>#N/A</v>
      </c>
      <c r="DN173" s="151" t="str">
        <f t="array" ref="DN173">INDEX(DM:DM,MIN(IF(ISNUMBER(DM173:DM369),ROW(DM173:DM369),"")))</f>
        <v/>
      </c>
      <c r="DO173" s="151">
        <f>IF('Données projet'!$A$166&gt;35,DO172+DN173-DW172,IF(A173&lt;'Données projet'!$A$166,$DL$205^A173,IF(A173='Données projet'!$A$166,'Données projet'!$B$166,DO172+DN173-DW172)))</f>
        <v>0</v>
      </c>
      <c r="DP173" s="158" t="str">
        <f>DO173*VLOOKUP('Données projet'!$B$14,'Paramètres'!$A$1:$I$88,3,0)*VLOOKUP('Données projet'!$B$14,'Paramètres'!$A$1:$I$88,5,0)</f>
        <v>#N/A</v>
      </c>
      <c r="DQ173" s="150" t="str">
        <f t="shared" si="44"/>
        <v>#N/A</v>
      </c>
      <c r="DR173" s="161" t="str">
        <f t="shared" si="17"/>
        <v>#N/A</v>
      </c>
      <c r="DS173" s="153" t="str">
        <f t="shared" si="18"/>
        <v>#N/A</v>
      </c>
      <c r="DT173" s="153" t="str">
        <f>AVERAGE(OFFSET($DS$3,0,0,'Données projet'!$E$14+1,1))-AVERAGE(OFFSET($H$3,0,0,'Données projet'!$E$14+1,1))</f>
        <v>#N/A</v>
      </c>
      <c r="DU173" s="153" t="str">
        <f t="shared" si="45"/>
        <v>#N/A</v>
      </c>
      <c r="DV173" s="154">
        <f>IF(ISNA(VLOOKUP(A173,'Données projet'!$A$165:$I$185,3,0)),0,VLOOKUP(A173,'Données projet'!$A$165:$I$185,3,0))</f>
        <v>0</v>
      </c>
      <c r="DW173" s="154">
        <f>IF(ISNA(VLOOKUP(A173,'Données projet'!$A$165:$I$185,4,0)),0,VLOOKUP(A173,'Données projet'!$A$165:$I$185,4,0))</f>
        <v>0</v>
      </c>
      <c r="DX173" s="155">
        <f>IF(ISNA(VLOOKUP(A173,'Données projet'!$A$165:$I$185,5,0)),0%,VLOOKUP(A173,'Données projet'!$A$165:$I$185,5,0)*VLOOKUP('Données projet'!$B$14,'Paramètres'!$A$1:$I$88,7,0))</f>
        <v>0</v>
      </c>
      <c r="DY173" s="155">
        <f>IF(ISNA(VLOOKUP(A173,'Données projet'!$A$165:$I$185,6,0)),0%,VLOOKUP(A173,'Données projet'!$A$165:$I$185,6,0)*VLOOKUP('Données projet'!$B$14,'Paramètres'!$A$1:$I$88,7,0))</f>
        <v>0</v>
      </c>
      <c r="DZ173" s="155">
        <f>IF(ISNA(VLOOKUP(A173,'Données projet'!$A$165:$I$185,7,0)),0%,VLOOKUP(A173,'Données projet'!$A$165:$I$185,7,0))</f>
        <v>0</v>
      </c>
      <c r="EA173" s="162" t="str">
        <f>EXP(-LN(2)/35)*EA172+(1-EXP(-LN(2)/35))/(LN(2)/35)*DW173*DX173*VLOOKUP('Données projet'!$B$14,'Paramètres'!$A$1:$I$88,3,0)*0.475*44/12</f>
        <v>#N/A</v>
      </c>
      <c r="EB173" s="162" t="str">
        <f>EXP(-LN(2)/25)*EB172+(1-EXP(-LN(2)/25))/(LN(2)/25)*Calculateur!DW173*Calculateur!DY173*VLOOKUP('Données projet'!$B$14,'Paramètres'!$A$1:$I$88,3,0)*0.475*44/12</f>
        <v>#N/A</v>
      </c>
      <c r="EC173" s="162" t="str">
        <f>EXP(-LN(2)/2)*EC172+(1-EXP(-LN(2)/2))/(LN(2)/2)*DW173*DZ173*VLOOKUP('Données projet'!$B$14,'Paramètres'!$A$1:$I$88,3,0)*0.475*44/12</f>
        <v>#N/A</v>
      </c>
      <c r="ED173" s="163" t="str">
        <f t="shared" si="19"/>
        <v>#N/A</v>
      </c>
      <c r="EE173" s="159">
        <f>('Scénario référence'!$F$8+'Scénario référence'!$F$9+'Scénario référence'!$B$17+'Scénario référence'!$B$9+'Scénario référence'!$B$10)*70+IF((45+25*(1-EXP(-0.0175*A173)))&lt;70,'Scénario référence'!$B$16*(45+25*(1-EXP(-0.0175*A173))),70*'Scénario référence'!$B$16)+IF((32+38*(1-EXP(-0.0175*A173)))&lt;70,'Scénario référence'!$B$18*(32+38*(1-EXP(-0.0175*A173))),70*'Scénario référence'!$B$18)</f>
        <v>70</v>
      </c>
      <c r="EF173" s="151">
        <f>IF(A173&gt;30,10,('Scénario référence'!$B$16+'Scénario référence'!$B$17+'Scénario référence'!$B$18+'Scénario référence'!$B$9+'Scénario référence'!$B$10)*A173*10/30+('Scénario référence'!$F$8+'Scénario référence'!$F$9)*10)</f>
        <v>10</v>
      </c>
      <c r="EG173" s="151" t="str">
        <f>VLOOKUP(A173,'Données projet'!$A$191:$I$211,2,0)</f>
        <v>#N/A</v>
      </c>
      <c r="EH173" s="151" t="str">
        <f>VLOOKUP(A173,'Données projet'!$A$191:$I$211,9,0)</f>
        <v>#N/A</v>
      </c>
      <c r="EI173" s="151" t="str">
        <f t="array" ref="EI173">INDEX(EH:EH,MIN(IF(ISNUMBER(EH173:EH369),ROW(EH173:EH369),"")))</f>
        <v/>
      </c>
      <c r="EJ173" s="151">
        <f>IF('Données projet'!$A$192&gt;35,EJ172+EI173-ER172,IF(A173&lt;'Données projet'!$A$192,$EG$205^A173,IF(A173='Données projet'!$A$192,'Données projet'!$B$192,EJ172+EI173-ER172)))</f>
        <v>0</v>
      </c>
      <c r="EK173" s="158" t="str">
        <f>EJ173*VLOOKUP('Données projet'!$B$15,'Paramètres'!$A$1:$I$88,3,0)*VLOOKUP('Données projet'!$B$15,'Paramètres'!$A$1:$I$88,5,0)</f>
        <v>#N/A</v>
      </c>
      <c r="EL173" s="150" t="str">
        <f t="shared" si="46"/>
        <v>#N/A</v>
      </c>
      <c r="EM173" s="161" t="str">
        <f t="shared" si="20"/>
        <v>#N/A</v>
      </c>
      <c r="EN173" s="153" t="str">
        <f t="shared" si="21"/>
        <v>#N/A</v>
      </c>
      <c r="EO173" s="153" t="str">
        <f>AVERAGE(OFFSET($EN$3,0,0,'Données projet'!$E$15+1,1))-AVERAGE(OFFSET($H$3,0,0,'Données projet'!$E$15+1,1))</f>
        <v>#N/A</v>
      </c>
      <c r="EP173" s="153" t="str">
        <f t="shared" si="47"/>
        <v>#N/A</v>
      </c>
      <c r="EQ173" s="154">
        <f>IF(ISNA(VLOOKUP(A173,'Données projet'!$A$191:$I$211,3,0)),0,VLOOKUP(A173,'Données projet'!$A$191:$I$211,3,0))</f>
        <v>0</v>
      </c>
      <c r="ER173" s="154">
        <f>IF(ISNA(VLOOKUP(A173,'Données projet'!$A$191:$I$211,4,0)),0,VLOOKUP(A173,'Données projet'!$A$191:$I$211,4,0))</f>
        <v>0</v>
      </c>
      <c r="ES173" s="155">
        <f>IF(ISNA(VLOOKUP(A173,'Données projet'!$A$191:$I$211,5,0)),0%,VLOOKUP(A173,'Données projet'!$A$191:$I$211,5,0)*VLOOKUP('Données projet'!$B$15,'Paramètres'!$A$1:$I$88,7,0))</f>
        <v>0</v>
      </c>
      <c r="ET173" s="155">
        <f>IF(ISNA(VLOOKUP(A173,'Données projet'!$A$191:$I$211,6,0)),0%,VLOOKUP(A173,'Données projet'!$A$191:$I$211,6,0)*VLOOKUP('Données projet'!$B$15,'Paramètres'!$A$1:$I$88,7,0))</f>
        <v>0</v>
      </c>
      <c r="EU173" s="155">
        <f>IF(ISNA(VLOOKUP(A173,'Données projet'!$A$191:$I$211,7,0)),0%,VLOOKUP(A173,'Données projet'!$A$191:$I$211,7,0))</f>
        <v>0</v>
      </c>
      <c r="EV173" s="162" t="str">
        <f>EXP(-LN(2)/35)*EV172+(1-EXP(-LN(2)/35))/(LN(2)/35)*ER173*ES173*VLOOKUP('Données projet'!$B$15,'Paramètres'!$A$1:$I$88,3,0)*0.475*44/12</f>
        <v>#N/A</v>
      </c>
      <c r="EW173" s="162" t="str">
        <f>EXP(-LN(2)/25)*EW172+(1-EXP(-LN(2)/25))/(LN(2)/25)*Calculateur!ER173*Calculateur!ET173*VLOOKUP('Données projet'!$B$15,'Paramètres'!$A$1:$I$88,3,0)*0.475*44/12</f>
        <v>#N/A</v>
      </c>
      <c r="EX173" s="162" t="str">
        <f>EXP(-LN(2)/2)*EX172+(1-EXP(-LN(2)/2))/(LN(2)/2)*ER173*EU173*VLOOKUP('Données projet'!$B$15,'Paramètres'!$A$1:$I$88,3,0)*0.475*44/12</f>
        <v>#N/A</v>
      </c>
      <c r="EY173" s="163" t="str">
        <f t="shared" si="22"/>
        <v>#N/A</v>
      </c>
      <c r="EZ173" s="159">
        <f>('Scénario référence'!$F$8+'Scénario référence'!$F$9+'Scénario référence'!$B$17+'Scénario référence'!$B$9+'Scénario référence'!$B$10)*70+IF((45+25*(1-EXP(-0.0175*A173)))&lt;70,'Scénario référence'!$B$16*(45+25*(1-EXP(-0.0175*A173))),70*'Scénario référence'!$B$16)+IF((32+38*(1-EXP(-0.0175*A173)))&lt;70,'Scénario référence'!$B$18*(32+38*(1-EXP(-0.0175*A173))),70*'Scénario référence'!$B$18)</f>
        <v>70</v>
      </c>
      <c r="FA173" s="151">
        <f>IF(A173&gt;30,10,('Scénario référence'!$B$16+'Scénario référence'!$B$17+'Scénario référence'!$B$18+'Scénario référence'!$B$9+'Scénario référence'!$B$10)*A173*10/30+('Scénario référence'!$F$8+'Scénario référence'!$F$9)*10)</f>
        <v>10</v>
      </c>
      <c r="FB173" s="151" t="str">
        <f>VLOOKUP(A173,'Données projet'!$A$217:$I$237,2,0)</f>
        <v>#N/A</v>
      </c>
      <c r="FC173" s="151" t="str">
        <f>VLOOKUP(A173,'Données projet'!$A$217:$I$237,9,0)</f>
        <v>#N/A</v>
      </c>
      <c r="FD173" s="151" t="str">
        <f t="array" ref="FD173">INDEX(FC:FC,MIN(IF(ISNUMBER(FC173:FC369),ROW(FC173:FC369),"")))</f>
        <v/>
      </c>
      <c r="FE173" s="151">
        <f>IF('Données projet'!$A$218&gt;35,FE172+FD173-FM172,IF(A173&lt;'Données projet'!$A$218,$FB$205^A173,IF(A173='Données projet'!$A$218,'Données projet'!$B$218,FE172+FD173-FM172)))</f>
        <v>0</v>
      </c>
      <c r="FF173" s="158" t="str">
        <f>FE173*VLOOKUP('Données projet'!$B$16,'Paramètres'!$A$1:$I$88,3,0)*VLOOKUP('Données projet'!$B$16,'Paramètres'!$A$1:$I$88,5,0)</f>
        <v>#N/A</v>
      </c>
      <c r="FG173" s="150" t="str">
        <f t="shared" si="48"/>
        <v>#N/A</v>
      </c>
      <c r="FH173" s="161" t="str">
        <f t="shared" si="23"/>
        <v>#N/A</v>
      </c>
      <c r="FI173" s="153" t="str">
        <f t="shared" si="24"/>
        <v>#N/A</v>
      </c>
      <c r="FJ173" s="153" t="str">
        <f>AVERAGE(OFFSET($FI$3,0,0,'Données projet'!$E$16+1,1))-AVERAGE(OFFSET($H$3,0,0,'Données projet'!$E$16+1,1))</f>
        <v>#N/A</v>
      </c>
      <c r="FK173" s="153" t="str">
        <f t="shared" si="49"/>
        <v>#N/A</v>
      </c>
      <c r="FL173" s="154">
        <f>IF(ISNA(VLOOKUP(A173,'Données projet'!$A$217:$I$237,3,0)),0,VLOOKUP(A173,'Données projet'!$A$217:$I$237,3,0))</f>
        <v>0</v>
      </c>
      <c r="FM173" s="154">
        <f>IF(ISNA(VLOOKUP(A173,'Données projet'!$A$217:$I$237,4,0)),0,VLOOKUP(A173,'Données projet'!$A$217:$I$237,4,0))</f>
        <v>0</v>
      </c>
      <c r="FN173" s="155">
        <f>IF(ISNA(VLOOKUP(A173,'Données projet'!$A$217:$I$237,5,0)),0%,VLOOKUP(A173,'Données projet'!$A$217:$I$237,5,0)*VLOOKUP('Données projet'!$B$16,'Paramètres'!$A$1:$I$88,7,0))</f>
        <v>0</v>
      </c>
      <c r="FO173" s="155">
        <f>IF(ISNA(VLOOKUP(A173,'Données projet'!$A$217:$I$237,6,0)),0%,VLOOKUP(A173,'Données projet'!$A$217:$I$237,6,0)*VLOOKUP('Données projet'!$B$16,'Paramètres'!$A$1:$I$88,7,0))</f>
        <v>0</v>
      </c>
      <c r="FP173" s="155">
        <f>IF(ISNA(VLOOKUP(A173,'Données projet'!$A$217:$I$237,7,0)),0%,VLOOKUP(A173,'Données projet'!$A$217:$I$237,7,0))</f>
        <v>0</v>
      </c>
      <c r="FQ173" s="162" t="str">
        <f>EXP(-LN(2)/35)*FQ172+(1-EXP(-LN(2)/35))/(LN(2)/35)*FM173*FN173*VLOOKUP('Données projet'!$B$16,'Paramètres'!$A$1:$I$88,3,0)*0.475*44/12</f>
        <v>#N/A</v>
      </c>
      <c r="FR173" s="162" t="str">
        <f>EXP(-LN(2)/25)*FR172+(1-EXP(-LN(2)/25))/(LN(2)/25)*Calculateur!FM173*Calculateur!FO173*VLOOKUP('Données projet'!$B$16,'Paramètres'!$A$1:$I$88,3,0)*0.475*44/12</f>
        <v>#N/A</v>
      </c>
      <c r="FS173" s="162" t="str">
        <f>EXP(-LN(2)/2)*FS172+(1-EXP(-LN(2)/2))/(LN(2)/2)*FM173*FP173*VLOOKUP('Données projet'!$B$16,'Paramètres'!$A$1:$I$88,3,0)*0.475*44/12</f>
        <v>#N/A</v>
      </c>
      <c r="FT173" s="163" t="str">
        <f t="shared" si="25"/>
        <v>#N/A</v>
      </c>
      <c r="FU173" s="159">
        <f>('Scénario référence'!$F$8+'Scénario référence'!$F$9+'Scénario référence'!$B$17+'Scénario référence'!$B$9+'Scénario référence'!$B$10)*70+IF((45+25*(1-EXP(-0.0175*A173)))&lt;70,'Scénario référence'!$B$16*(45+25*(1-EXP(-0.0175*A173))),70*'Scénario référence'!$B$16)+IF((32+38*(1-EXP(-0.0175*A173)))&lt;70,'Scénario référence'!$B$18*(32+38*(1-EXP(-0.0175*A173))),70*'Scénario référence'!$B$18)</f>
        <v>70</v>
      </c>
      <c r="FV173" s="151">
        <f>IF(A173&gt;30,10,('Scénario référence'!$B$16+'Scénario référence'!$B$17+'Scénario référence'!$B$18+'Scénario référence'!$B$9+'Scénario référence'!$B$10)*A173*10/30+('Scénario référence'!$F$8+'Scénario référence'!$F$9)*10)</f>
        <v>10</v>
      </c>
      <c r="FW173" s="151" t="str">
        <f>VLOOKUP(A173,'Données projet'!$A$243:$I$263,2,0)</f>
        <v>#N/A</v>
      </c>
      <c r="FX173" s="151" t="str">
        <f>VLOOKUP(A173,'Données projet'!$A$243:$I$263,9,0)</f>
        <v>#N/A</v>
      </c>
      <c r="FY173" s="151" t="str">
        <f t="array" ref="FY173">INDEX(FX:FX,MIN(IF(ISNUMBER(FX173:FX369),ROW(FX173:FX369),"")))</f>
        <v/>
      </c>
      <c r="FZ173" s="151">
        <f>IF('Données projet'!$A$244&gt;35,FZ172+FY173-GH172,IF(A173&lt;'Données projet'!$A$244,$FW$205^A173,IF(A173='Données projet'!$A$244,'Données projet'!$B$244,FZ172+FY173-GH172)))</f>
        <v>0</v>
      </c>
      <c r="GA173" s="158" t="str">
        <f>FZ173*VLOOKUP('Données projet'!$B$17,'Paramètres'!$A$1:$I$88,3,0)*VLOOKUP('Données projet'!$B$17,'Paramètres'!$A$1:$I$88,5,0)</f>
        <v>#N/A</v>
      </c>
      <c r="GB173" s="150" t="str">
        <f t="shared" si="50"/>
        <v>#N/A</v>
      </c>
      <c r="GC173" s="161" t="str">
        <f t="shared" si="26"/>
        <v>#N/A</v>
      </c>
      <c r="GD173" s="153" t="str">
        <f t="shared" si="27"/>
        <v>#N/A</v>
      </c>
      <c r="GE173" s="153" t="str">
        <f>AVERAGE(OFFSET($GD$3,0,0,'Données projet'!$E$17+1,1))-AVERAGE(OFFSET($H$3,0,0,'Données projet'!$E$17+1,1))</f>
        <v>#N/A</v>
      </c>
      <c r="GF173" s="153" t="str">
        <f t="shared" si="51"/>
        <v>#N/A</v>
      </c>
      <c r="GG173" s="154">
        <f>IF(ISNA(VLOOKUP(A173,'Données projet'!$A$243:$I$263,3,0)),0,VLOOKUP(A173,'Données projet'!$A$243:$I$263,3,0))</f>
        <v>0</v>
      </c>
      <c r="GH173" s="154">
        <f>IF(ISNA(VLOOKUP(A173,'Données projet'!$A$243:$I$263,4,0)),0,VLOOKUP(A173,'Données projet'!$A$243:$I$263,4,0))</f>
        <v>0</v>
      </c>
      <c r="GI173" s="155">
        <f>IF(ISNA(VLOOKUP(A173,'Données projet'!$A$243:$I$263,5,0)),0%,VLOOKUP(A173,'Données projet'!$A$243:$I$263,5,0)*VLOOKUP('Données projet'!$B$17,'Paramètres'!$A$1:$I$88,7,0))</f>
        <v>0</v>
      </c>
      <c r="GJ173" s="155">
        <f>IF(ISNA(VLOOKUP(A173,'Données projet'!$A$243:$I$263,6,0)),0%,VLOOKUP(A173,'Données projet'!$A$243:$I$263,6,0)*VLOOKUP('Données projet'!$B$17,'Paramètres'!$A$1:$I$88,7,0))</f>
        <v>0</v>
      </c>
      <c r="GK173" s="155">
        <f>IF(ISNA(VLOOKUP(A173,'Données projet'!$A$243:$I$263,7,0)),0%,VLOOKUP(A173,'Données projet'!$A$243:$I$263,7,0))</f>
        <v>0</v>
      </c>
      <c r="GL173" s="162" t="str">
        <f>EXP(-LN(2)/35)*GL172+(1-EXP(-LN(2)/35))/(LN(2)/35)*GH173*GI173*VLOOKUP('Données projet'!$B$17,'Paramètres'!$A$1:$I$88,3,0)*0.475*44/12</f>
        <v>#N/A</v>
      </c>
      <c r="GM173" s="162" t="str">
        <f>EXP(-LN(2)/25)*GM172+(1-EXP(-LN(2)/25))/(LN(2)/25)*Calculateur!GH173*Calculateur!GJ173*VLOOKUP('Données projet'!$B$17,'Paramètres'!$A$1:$I$88,3,0)*0.475*44/12</f>
        <v>#N/A</v>
      </c>
      <c r="GN173" s="162" t="str">
        <f>EXP(-LN(2)/2)*GN172+(1-EXP(-LN(2)/2))/(LN(2)/2)*GH173*GK173*VLOOKUP('Données projet'!$B$17,'Paramètres'!$A$1:$I$88,3,0)*0.475*44/12</f>
        <v>#N/A</v>
      </c>
      <c r="GO173" s="162" t="str">
        <f t="shared" si="28"/>
        <v>#N/A</v>
      </c>
      <c r="GP173" s="159">
        <f>('Scénario référence'!$F$8+'Scénario référence'!$F$9+'Scénario référence'!$B$17+'Scénario référence'!$B$9+'Scénario référence'!$B$10)*70+IF((45+25*(1-EXP(-0.0175*A173)))&lt;70,'Scénario référence'!$B$16*(45+25*(1-EXP(-0.0175*A173))),70*'Scénario référence'!$B$16)+IF((32+38*(1-EXP(-0.0175*A173)))&lt;70,'Scénario référence'!$B$18*(32+38*(1-EXP(-0.0175*A173))),70*'Scénario référence'!$B$18)</f>
        <v>70</v>
      </c>
      <c r="GQ173" s="151">
        <f>IF(A173&gt;30,10,('Scénario référence'!$B$16+'Scénario référence'!$B$17+'Scénario référence'!$B$18+'Scénario référence'!$B$9+'Scénario référence'!$B$10)*A173*10/30+('Scénario référence'!$F$8+'Scénario référence'!$F$9)*10)</f>
        <v>10</v>
      </c>
      <c r="GR173" s="151" t="str">
        <f>VLOOKUP(A173,'Données projet'!$A$269:$I$289,2,0)</f>
        <v>#N/A</v>
      </c>
      <c r="GS173" s="151" t="str">
        <f>VLOOKUP(A173,'Données projet'!$A$269:$I$289,9,0)</f>
        <v>#N/A</v>
      </c>
      <c r="GT173" s="151" t="str">
        <f t="array" ref="GT173">INDEX(GS:GS,MIN(IF(ISNUMBER(GS173:GS369),ROW(GS173:GS369),"")))</f>
        <v/>
      </c>
      <c r="GU173" s="151">
        <f>IF('Données projet'!$A$270&gt;35,GU172+GT173-HC172,IF(A173&lt;'Données projet'!$A$270,$GR$205^A173,IF(A173='Données projet'!$A$270,'Données projet'!$B$270,GU172+GT173-HC172)))</f>
        <v>0</v>
      </c>
      <c r="GV173" s="158" t="str">
        <f>GU173*VLOOKUP('Données projet'!$B$18,'Paramètres'!$A$1:$I$88,3,0)*VLOOKUP('Données projet'!$B$18,'Paramètres'!$A$1:$I$88,5,0)</f>
        <v>#N/A</v>
      </c>
      <c r="GW173" s="150" t="str">
        <f t="shared" si="52"/>
        <v>#N/A</v>
      </c>
      <c r="GX173" s="161" t="str">
        <f t="shared" si="29"/>
        <v>#N/A</v>
      </c>
      <c r="GY173" s="153" t="str">
        <f t="shared" si="30"/>
        <v>#N/A</v>
      </c>
      <c r="GZ173" s="153" t="str">
        <f>AVERAGE(OFFSET($GY$3,0,0,'Données projet'!$E$18+1,1))-AVERAGE(OFFSET($H$3,0,0,'Données projet'!$E$18+1,1))</f>
        <v>#N/A</v>
      </c>
      <c r="HA173" s="153" t="str">
        <f t="shared" si="53"/>
        <v>#N/A</v>
      </c>
      <c r="HB173" s="154">
        <f>IF(ISNA(VLOOKUP(A173,'Données projet'!$A$269:$I$289,3,0)),0,VLOOKUP(A173,'Données projet'!$A$269:$I$289,3,0))</f>
        <v>0</v>
      </c>
      <c r="HC173" s="154">
        <f>IF(ISNA(VLOOKUP(A173,'Données projet'!$A$269:$I$289,4,0)),0,VLOOKUP(A173,'Données projet'!$A$269:$I$289,4,0))</f>
        <v>0</v>
      </c>
      <c r="HD173" s="155">
        <f>IF(ISNA(VLOOKUP(A173,'Données projet'!$A$269:$I$289,5,0)),0%,VLOOKUP(A173,'Données projet'!$A$269:$I$289,5,0)*VLOOKUP('Données projet'!$B$18,'Paramètres'!$A$1:$I$88,7,0))</f>
        <v>0</v>
      </c>
      <c r="HE173" s="155">
        <f>IF(ISNA(VLOOKUP(A173,'Données projet'!$A$269:$I$289,6,0)),0%,VLOOKUP(A173,'Données projet'!$A$269:$I$289,6,0)*VLOOKUP('Données projet'!$B$18,'Paramètres'!$A$1:$I$88,7,0))</f>
        <v>0</v>
      </c>
      <c r="HF173" s="155">
        <f>IF(ISNA(VLOOKUP(A173,'Données projet'!$A$269:$I$289,7,0)),0%,VLOOKUP(A173,'Données projet'!$A$269:$I$289,7,0))</f>
        <v>0</v>
      </c>
      <c r="HG173" s="162" t="str">
        <f>EXP(-LN(2)/35)*HG172+(1-EXP(-LN(2)/35))/(LN(2)/35)*HC173*HD173*VLOOKUP('Données projet'!$B$18,'Paramètres'!$A$1:$I$88,3,0)*0.475*44/12</f>
        <v>#N/A</v>
      </c>
      <c r="HH173" s="162" t="str">
        <f>EXP(-LN(2)/25)*HH172+(1-EXP(-LN(2)/25))/(LN(2)/25)*Calculateur!HC173*Calculateur!HE173*VLOOKUP('Données projet'!$B$18,'Paramètres'!$A$1:$I$88,3,0)*0.475*44/12</f>
        <v>#N/A</v>
      </c>
      <c r="HI173" s="162" t="str">
        <f>EXP(-LN(2)/2)*HI172+(1-EXP(-LN(2)/2))/(LN(2)/2)*HC173*HF173*VLOOKUP('Données projet'!$B$18,'Paramètres'!$A$1:$I$88,3,0)*0.475*44/12</f>
        <v>#N/A</v>
      </c>
      <c r="HJ173" s="163" t="str">
        <f t="shared" si="31"/>
        <v>#N/A</v>
      </c>
    </row>
    <row r="174" ht="15.75" customHeight="1">
      <c r="A174" s="145">
        <f t="shared" si="32"/>
        <v>171</v>
      </c>
      <c r="B174" s="146">
        <f>'Scénario référence'!$B$16*5+'Scénario référence'!$B$17*0+'Scénario référence'!$B$18*5</f>
        <v>0</v>
      </c>
      <c r="C174" s="160">
        <f>Calculateur!C173+'Scénario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74" s="147">
        <f t="shared" si="33"/>
        <v>0</v>
      </c>
      <c r="E174" s="147">
        <f>'Scénario référence'!$B$16*45+('Scénario référence'!$B$17+'Scénario référence'!$F$8+'Scénario référence'!$F$9+'Scénario référence'!$B$10+'Scénario référence'!$B$9)*70+'Scénario référence'!$B$18*32</f>
        <v>70</v>
      </c>
      <c r="F174" s="147">
        <f>IF(OR('Scénario référence'!$F$8&gt;0,'Scénario référence'!$F$9&gt;0),('Scénario référence'!$F$8+'Scénario référence'!$F$9)*10,0)</f>
        <v>0</v>
      </c>
      <c r="G174" s="147">
        <f>'Scénario référence'!$B$8*B174*44/12+'Scénario référence'!$B$9*(C174+D174)/0.475*44/12+'Scénario référence'!$B$10*(C174+D174)/0.475*44/12+'Scénario référence'!$F$8*(C174+D174)/0.475*44/12+'Scénario référence'!$F$9*(C174+D174)/0.475*44/12</f>
        <v>0</v>
      </c>
      <c r="H174" s="148">
        <f t="shared" si="1"/>
        <v>256.6666667</v>
      </c>
      <c r="I174" s="149">
        <f>('Scénario référence'!$F$8+'Scénario référence'!$F$9+'Scénario référence'!$B$17+'Scénario référence'!$B$9+'Scénario référence'!$B$10)*70+IF((45+25*(1-EXP(-0.0175*A174)))&lt;70,'Scénario référence'!$B$16*(45+25*(1-EXP(-0.0175*A174))),70*'Scénario référence'!$B$16)+IF((32+38*(1-EXP(-0.0175*A174)))&lt;70,'Scénario référence'!$B$18*(32+38*(1-EXP(-0.0175*A174))),70*'Scénario référence'!$B$18)</f>
        <v>70</v>
      </c>
      <c r="J174" s="150">
        <f>IF(A174&gt;30,10,('Scénario référence'!$B$16+'Scénario référence'!$B$17+'Scénario référence'!$B$18+'Scénario référence'!$B$9+'Scénario référence'!$B$10)*A174*10/30+('Scénario référence'!$F$8+'Scénario référence'!$F$9)*10)</f>
        <v>10</v>
      </c>
      <c r="K174" s="151" t="str">
        <f>VLOOKUP(A174,'Données projet'!$A$35:$I$55,2,0)</f>
        <v>#N/A</v>
      </c>
      <c r="L174" s="151" t="str">
        <f>VLOOKUP(A174,'Données projet'!$A$35:$I$55,9,0)</f>
        <v>#N/A</v>
      </c>
      <c r="M174" s="151" t="str">
        <f t="array" ref="M174">INDEX(L:L,MIN(IF(ISNUMBER(L174:L370),ROW(L174:L370),"")))</f>
        <v/>
      </c>
      <c r="N174" s="150">
        <f>IF('Données projet'!$A$36&gt;35,N173+M174-V173,IF(A174&lt;'Données projet'!$A$36,$K$205^A174,IF(A174='Données projet'!$A$36,'Données projet'!$B$36,N173+M174-V173)))</f>
        <v>307</v>
      </c>
      <c r="O174" s="150">
        <f>N174*VLOOKUP('Données projet'!$B$9,'Paramètres'!$A$1:$I$88,3,0)*VLOOKUP('Données projet'!$B$9,'Paramètres'!$A$1:$I$88,5,0)</f>
        <v>277.7736</v>
      </c>
      <c r="P174" s="150">
        <f t="shared" si="34"/>
        <v>66.49628818</v>
      </c>
      <c r="Q174" s="161">
        <f t="shared" si="2"/>
        <v>599.6033886</v>
      </c>
      <c r="R174" s="153">
        <f t="shared" si="3"/>
        <v>892.9367219</v>
      </c>
      <c r="S174" s="153">
        <f>AVERAGE(OFFSET($R$3,0,0,'Données projet'!$E$9+1,1))-AVERAGE(OFFSET($H$3,0,0,'Données projet'!$E$9+1,1))</f>
        <v>439.1985427</v>
      </c>
      <c r="T174" s="153">
        <f t="shared" si="35"/>
        <v>278.2174123</v>
      </c>
      <c r="U174" s="154">
        <f>IF(ISNA(VLOOKUP(A174,'Données projet'!$A$35:$I$55,3,0)),0,VLOOKUP(A174,'Données projet'!$A$35:$I$55,3,0))</f>
        <v>0</v>
      </c>
      <c r="V174" s="154">
        <f>IF(ISNA(VLOOKUP(A174,'Données projet'!$A$35:$I$55,4,0)),0,VLOOKUP(A174,'Données projet'!$A$35:$I$55,4,0))</f>
        <v>0</v>
      </c>
      <c r="W174" s="155">
        <f>IF(ISNA(VLOOKUP(A174,'Données projet'!$A$35:$I$55,5,0)),0%,VLOOKUP(A174,'Données projet'!$A$35:$I$55,5,0)*VLOOKUP('Données projet'!$B$9,'Paramètres'!$A$1:$I$88,7,0))</f>
        <v>0</v>
      </c>
      <c r="X174" s="155">
        <f>IF(ISNA(VLOOKUP(A174,'Données projet'!$A$35:$I$55,6,0)),0%,VLOOKUP(A174,'Données projet'!$A$35:$I$55,6,0)*VLOOKUP('Données projet'!$B$9,'Paramètres'!$A$1:$I$88,7,0))</f>
        <v>0</v>
      </c>
      <c r="Y174" s="155">
        <f>IF(ISNA(VLOOKUP(A174,'Données projet'!$A$35:$I$55,7,0)),0%,VLOOKUP(A174,'Données projet'!$A$35:$I$55,7,0))</f>
        <v>0</v>
      </c>
      <c r="Z174" s="162">
        <f>EXP(-LN(2)/35)*Z173+(1-EXP(-LN(2)/35))/(LN(2)/35)*V174*W174*VLOOKUP('Données projet'!$B$9,'Paramètres'!$A$1:$I$88,3,0)*0.475*44/12</f>
        <v>0</v>
      </c>
      <c r="AA174" s="162">
        <f>EXP(-LN(2)/25)*AA173+(1-EXP(-LN(2)/25))/(LN(2)/25)*Calculateur!V174*Calculateur!X174*VLOOKUP('Données projet'!$B$9,'Paramètres'!$A$1:$I$88,3,0)*0.475*44/12</f>
        <v>0.08999183416</v>
      </c>
      <c r="AB174" s="162">
        <f>EXP(-LN(2)/2)*AB173+(1-EXP(-LN(2)/2))/(LN(2)/2)*V174*Y174*VLOOKUP('Données projet'!$B$9,'Paramètres'!$A$1:$I$88,3,0)*0.475*44/12</f>
        <v>0</v>
      </c>
      <c r="AC174" s="163">
        <f t="shared" si="4"/>
        <v>0.08999183416</v>
      </c>
      <c r="AD174" s="150">
        <f>('Scénario référence'!$F$8+'Scénario référence'!$F$9+'Scénario référence'!$B$17+'Scénario référence'!$B$9+'Scénario référence'!$B$10)*70+IF((45+25*(1-EXP(-0.0175*A174)))&lt;70,'Scénario référence'!$B$16*(45+25*(1-EXP(-0.0175*A174))),70*'Scénario référence'!$B$16)+IF((32+38*(1-EXP(-0.0175*A174)))&lt;70,'Scénario référence'!$B$18*(32+38*(1-EXP(-0.0175*A174))),70*'Scénario référence'!$B$18)</f>
        <v>70</v>
      </c>
      <c r="AE174" s="150">
        <f>IF(A174&gt;30,10,('Scénario référence'!$B$16+'Scénario référence'!$B$17+'Scénario référence'!$B$18+'Scénario référence'!$B$9+'Scénario référence'!$B$10)*A174*10/30+('Scénario référence'!$F$8+'Scénario référence'!$F$9)*10)</f>
        <v>10</v>
      </c>
      <c r="AF174" s="151" t="str">
        <f>VLOOKUP(A174,'Données projet'!$A$61:$I$81,2,0)</f>
        <v>#N/A</v>
      </c>
      <c r="AG174" s="151" t="str">
        <f>VLOOKUP(A174,'Données projet'!$A$61:$I$81,9,0)</f>
        <v>#N/A</v>
      </c>
      <c r="AH174" s="151" t="str">
        <f t="array" ref="AH174">INDEX(AG:AG,MIN(IF(ISNUMBER(AG174:AG370),ROW(AG174:AG370),"")))</f>
        <v/>
      </c>
      <c r="AI174" s="150">
        <f>IF('Données projet'!$A$62&gt;35,AI173+AH174-AQ173,IF(A174&lt;'Données projet'!$A$62,$AF$205^A174,IF(A174='Données projet'!$A$62,'Données projet'!$B$62,AI173+AH174-AQ173)))</f>
        <v>369</v>
      </c>
      <c r="AJ174" s="150">
        <f>AI174*VLOOKUP('Données projet'!$B$10,'Paramètres'!$A$1:$I$88,3,0)*VLOOKUP('Données projet'!$B$10,'Paramètres'!$A$1:$I$88,5,0)</f>
        <v>293.5764</v>
      </c>
      <c r="AK174" s="150">
        <f t="shared" si="36"/>
        <v>69.82813851</v>
      </c>
      <c r="AL174" s="161">
        <f t="shared" si="5"/>
        <v>632.9295712</v>
      </c>
      <c r="AM174" s="153">
        <f t="shared" si="6"/>
        <v>926.2629046</v>
      </c>
      <c r="AN174" s="153">
        <f>AVERAGE(OFFSET($AM$3,0,0,'Données projet'!$E$10+1,1))-AVERAGE(OFFSET($H$3,0,0,'Données projet'!$E$10+1,1))</f>
        <v>405.6113614</v>
      </c>
      <c r="AO174" s="153">
        <f t="shared" si="37"/>
        <v>393.0787141</v>
      </c>
      <c r="AP174" s="154">
        <f>IF(ISNA(VLOOKUP(A174,'Données projet'!$A$61:$I$81,3,0)),0,VLOOKUP(A174,'Données projet'!$A$61:$I$81,3,0))</f>
        <v>0</v>
      </c>
      <c r="AQ174" s="154">
        <f>IF(ISNA(VLOOKUP(A174,'Données projet'!$A$61:$I$81,4,0)),0,VLOOKUP(A174,'Données projet'!$A$61:$I$81,4,0))</f>
        <v>0</v>
      </c>
      <c r="AR174" s="155">
        <f>IF(ISNA(VLOOKUP(A174,'Données projet'!$A$61:$I$81,5,0)),0%,VLOOKUP(A174,'Données projet'!$A$61:$I$81,5,0)*VLOOKUP('Données projet'!$B$10,'Paramètres'!$A$1:$I$88,7,0))</f>
        <v>0</v>
      </c>
      <c r="AS174" s="155">
        <f>IF(ISNA(VLOOKUP(A174,'Données projet'!$A$61:$I$81,6,0)),0%,VLOOKUP(A174,'Données projet'!$A$61:$I$81,6,0)*VLOOKUP('Données projet'!$B$10,'Paramètres'!$A$1:$I$88,7,0))</f>
        <v>0</v>
      </c>
      <c r="AT174" s="155">
        <f>IF(ISNA(VLOOKUP(A174,'Données projet'!$A$61:$I$81,7,0)),0%,VLOOKUP(A174,'Données projet'!$A$61:$I$81,7,0))</f>
        <v>0</v>
      </c>
      <c r="AU174" s="162">
        <f>EXP(-LN(2)/35)*AU173+(1-EXP(-LN(2)/35))/(LN(2)/35)*AQ174*AR174*VLOOKUP('Données projet'!$B$10,'Paramètres'!$A$1:$I$88,3,0)*0.475*44/12</f>
        <v>0</v>
      </c>
      <c r="AV174" s="162">
        <f>EXP(-LN(2)/25)*AV173+(1-EXP(-LN(2)/25))/(LN(2)/25)*Calculateur!AQ174*Calculateur!AS174*VLOOKUP('Données projet'!$B$10,'Paramètres'!$A$1:$I$88,3,0)*0.475*44/12</f>
        <v>0.3657496908</v>
      </c>
      <c r="AW174" s="162">
        <f>EXP(-LN(2)/2)*AW173+(1-EXP(-LN(2)/2))/(LN(2)/2)*AQ174*AT174*VLOOKUP('Données projet'!$B$10,'Paramètres'!$A$1:$I$88,3,0)*0.475*44/12</f>
        <v>0</v>
      </c>
      <c r="AX174" s="162">
        <f t="shared" si="7"/>
        <v>0.3657496908</v>
      </c>
      <c r="AY174" s="157">
        <f>('Scénario référence'!$F$8+'Scénario référence'!$F$9+'Scénario référence'!$B$17+'Scénario référence'!$B$9+'Scénario référence'!$B$10)*70+IF((45+25*(1-EXP(-0.0175*A174)))&lt;70,'Scénario référence'!$B$16*(45+25*(1-EXP(-0.0175*A174))),70*'Scénario référence'!$B$16)+IF((32+38*(1-EXP(-0.0175*A174)))&lt;70,'Scénario référence'!$B$18*(32+38*(1-EXP(-0.0175*A174))),70*'Scénario référence'!$B$18)</f>
        <v>70</v>
      </c>
      <c r="AZ174" s="151">
        <f>IF(A174&gt;30,10,('Scénario référence'!$B$16+'Scénario référence'!$B$17+'Scénario référence'!$B$18+'Scénario référence'!$B$9+'Scénario référence'!$B$10)*A174*10/30+('Scénario référence'!$F$8+'Scénario référence'!$F$9)*10)</f>
        <v>10</v>
      </c>
      <c r="BA174" s="151" t="str">
        <f>VLOOKUP(A174,'Données projet'!$A$87:$I$107,2,0)</f>
        <v>#N/A</v>
      </c>
      <c r="BB174" s="151" t="str">
        <f>VLOOKUP(A174,'Données projet'!$A$87:$I$107,9,0)</f>
        <v>#N/A</v>
      </c>
      <c r="BC174" s="151" t="str">
        <f t="array" ref="BC174">INDEX(BB:BB,MIN(IF(ISNUMBER(BB174:BB370),ROW(BB174:BB370),"")))</f>
        <v/>
      </c>
      <c r="BD174" s="150">
        <f>IF('Données projet'!$A$88&gt;35,BD173+BC174-BL173,IF(A174&lt;'Données projet'!$A$88,$BA$205^A174,IF(A174='Données projet'!$A$88,'Données projet'!$B$88,BD173+BC174-BL173)))</f>
        <v>0</v>
      </c>
      <c r="BE174" s="150">
        <f>BD174*VLOOKUP('Données projet'!$B$11,'Paramètres'!$A$1:$I$88,3,0)*VLOOKUP('Données projet'!$B$11,'Paramètres'!$A$1:$I$88,5,0)</f>
        <v>0</v>
      </c>
      <c r="BF174" s="150" t="str">
        <f t="shared" si="38"/>
        <v>#NUM!</v>
      </c>
      <c r="BG174" s="161" t="str">
        <f t="shared" si="8"/>
        <v>#NUM!</v>
      </c>
      <c r="BH174" s="153" t="str">
        <f t="shared" si="9"/>
        <v>#NUM!</v>
      </c>
      <c r="BI174" s="153">
        <f>AVERAGE(OFFSET($BH$3,0,0,'Données projet'!$E$11+1,1))-AVERAGE(OFFSET($H$3,0,0,'Données projet'!$E$11+1,1))</f>
        <v>0</v>
      </c>
      <c r="BJ174" s="153">
        <f t="shared" si="39"/>
        <v>0</v>
      </c>
      <c r="BK174" s="154">
        <f>IF(ISNA(VLOOKUP(A174,'Données projet'!$A$87:$I$107,3,0)),0,VLOOKUP(A174,'Données projet'!$A$87:$I$107,3,0))</f>
        <v>0</v>
      </c>
      <c r="BL174" s="154">
        <f>IF(ISNA(VLOOKUP(A174,'Données projet'!$A$87:$I$107,4,0)),0,VLOOKUP(A174,'Données projet'!$A$87:$I$107,4,0))</f>
        <v>0</v>
      </c>
      <c r="BM174" s="155">
        <f>IF(ISNA(VLOOKUP(A174,'Données projet'!$A$87:$I$107,5,0)),0%,VLOOKUP(A174,'Données projet'!$A$87:$I$107,5,0)*VLOOKUP('Données projet'!$B$11,'Paramètres'!$A$1:$I$88,7,0))</f>
        <v>0</v>
      </c>
      <c r="BN174" s="155">
        <f>IF(ISNA(VLOOKUP(A174,'Données projet'!$A$87:$I$107,6,0)),0%,VLOOKUP(A174,'Données projet'!$A$87:$I$107,6,0)*VLOOKUP('Données projet'!$B$11,'Paramètres'!$A$1:$I$88,7,0))</f>
        <v>0</v>
      </c>
      <c r="BO174" s="155">
        <f>IF(ISNA(VLOOKUP(A174,'Données projet'!$A$87:$I$107,7,0)),0%,VLOOKUP(A174,'Données projet'!$A$87:$I$107,7,0))</f>
        <v>0</v>
      </c>
      <c r="BP174" s="162">
        <f>EXP(-LN(2)/35)*BP173+(1-EXP(-LN(2)/35))/(LN(2)/35)*BL174*BM174*VLOOKUP('Données projet'!$B$11,'Paramètres'!$A$1:$I$88,3,0)*0.475*44/12</f>
        <v>0</v>
      </c>
      <c r="BQ174" s="162">
        <f>EXP(-LN(2)/25)*BQ173+(1-EXP(-LN(2)/25))/(LN(2)/25)*Calculateur!BL174*Calculateur!BN174*VLOOKUP('Données projet'!$B$11,'Paramètres'!$A$1:$I$88,3,0)*0.475*44/12</f>
        <v>0</v>
      </c>
      <c r="BR174" s="162">
        <f>EXP(-LN(2)/2)*BR173+(1-EXP(-LN(2)/2))/(LN(2)/2)*BL174*BO174*VLOOKUP('Données projet'!$B$11,'Paramètres'!$A$1:$I$88,3,0)*0.475*44/12</f>
        <v>0</v>
      </c>
      <c r="BS174" s="163">
        <f t="shared" si="10"/>
        <v>0</v>
      </c>
      <c r="BT174" s="159">
        <f>('Scénario référence'!$F$8+'Scénario référence'!$F$9+'Scénario référence'!$B$17+'Scénario référence'!$B$9+'Scénario référence'!$B$10)*70+IF((45+25*(1-EXP(-0.0175*A174)))&lt;70,'Scénario référence'!$B$16*(45+25*(1-EXP(-0.0175*A174))),70*'Scénario référence'!$B$16)+IF((32+38*(1-EXP(-0.0175*A174)))&lt;70,'Scénario référence'!$B$18*(32+38*(1-EXP(-0.0175*A174))),70*'Scénario référence'!$B$18)</f>
        <v>70</v>
      </c>
      <c r="BU174" s="151">
        <f>IF(A174&gt;30,10,('Scénario référence'!$B$16+'Scénario référence'!$B$17+'Scénario référence'!$B$18+'Scénario référence'!$B$9+'Scénario référence'!$B$10)*A174*10/30+('Scénario référence'!$F$8+'Scénario référence'!$F$9)*10)</f>
        <v>10</v>
      </c>
      <c r="BV174" s="151" t="str">
        <f>VLOOKUP(A174,'Données projet'!$A$113:$I$133,2,0)</f>
        <v>#N/A</v>
      </c>
      <c r="BW174" s="151" t="str">
        <f>VLOOKUP(A174,'Données projet'!$A$113:$I$133,9,0)</f>
        <v>#N/A</v>
      </c>
      <c r="BX174" s="151" t="str">
        <f t="array" ref="BX174">INDEX(BW:BW,MIN(IF(ISNUMBER(BW174:BW370),ROW(BW174:BW370),"")))</f>
        <v/>
      </c>
      <c r="BY174" s="150">
        <f>IF('Données projet'!$A$114&gt;35,BY173+BX174-CG173,IF(A174&lt;'Données projet'!$A$114,$BV$205^A174,IF(A174='Données projet'!$A$114,'Données projet'!$B$114,BY173+BX174-CG173)))</f>
        <v>0</v>
      </c>
      <c r="BZ174" s="150" t="str">
        <f>BY174*VLOOKUP('Données projet'!$B$12,'Paramètres'!$A$1:$I$88,3,0)*VLOOKUP('Données projet'!$B$12,'Paramètres'!$A$1:$I$88,5,0)</f>
        <v>#N/A</v>
      </c>
      <c r="CA174" s="150" t="str">
        <f t="shared" si="40"/>
        <v>#N/A</v>
      </c>
      <c r="CB174" s="161" t="str">
        <f t="shared" si="11"/>
        <v>#N/A</v>
      </c>
      <c r="CC174" s="153" t="str">
        <f t="shared" si="12"/>
        <v>#N/A</v>
      </c>
      <c r="CD174" s="153" t="str">
        <f>AVERAGE(OFFSET($CC$3,0,0,'Données projet'!$E$12+1,1))-AVERAGE(OFFSET($H$3,0,0,'Données projet'!$E$12+1,1))</f>
        <v>#N/A</v>
      </c>
      <c r="CE174" s="153" t="str">
        <f t="shared" si="41"/>
        <v>#N/A</v>
      </c>
      <c r="CF174" s="154">
        <f>IF(ISNA(VLOOKUP(A174,'Données projet'!$A$113:$I$133,3,0)),0,VLOOKUP(A174,'Données projet'!$A$113:$I$133,3,0))</f>
        <v>0</v>
      </c>
      <c r="CG174" s="154">
        <f>IF(ISNA(VLOOKUP(A174,'Données projet'!$A$113:$I$133,4,0)),0,VLOOKUP(A174,'Données projet'!$A$113:$I$133,4,0))</f>
        <v>0</v>
      </c>
      <c r="CH174" s="155">
        <f>IF(ISNA(VLOOKUP(A174,'Données projet'!$A$113:$I$133,5,0)),0%,VLOOKUP(A174,'Données projet'!$A$113:$I$133,5,0)*VLOOKUP('Données projet'!$B$12,'Paramètres'!$A$1:$I$88,7,0))</f>
        <v>0</v>
      </c>
      <c r="CI174" s="155">
        <f>IF(ISNA(VLOOKUP(A174,'Données projet'!$A$113:$I$133,6,0)),0%,VLOOKUP(A174,'Données projet'!$A$113:$I$133,6,0)*VLOOKUP('Données projet'!$B$12,'Paramètres'!$A$1:$I$88,7,0))</f>
        <v>0</v>
      </c>
      <c r="CJ174" s="155">
        <f>IF(ISNA(VLOOKUP(A174,'Données projet'!$A$113:$I$133,7,0)),0%,VLOOKUP(A174,'Données projet'!$A$113:$I$133,7,0))</f>
        <v>0</v>
      </c>
      <c r="CK174" s="162" t="str">
        <f>EXP(-LN(2)/35)*CK173+(1-EXP(-LN(2)/35))/(LN(2)/35)*CG174*CH174*VLOOKUP('Données projet'!$B$12,'Paramètres'!$A$1:$I$88,3,0)*0.475*44/12</f>
        <v>#N/A</v>
      </c>
      <c r="CL174" s="162" t="str">
        <f>EXP(-LN(2)/25)*CL173+(1-EXP(-LN(2)/25))/(LN(2)/25)*Calculateur!CG174*Calculateur!CI174*VLOOKUP('Données projet'!$B$12,'Paramètres'!$A$1:$I$88,3,0)*0.475*44/12</f>
        <v>#N/A</v>
      </c>
      <c r="CM174" s="162" t="str">
        <f>EXP(-LN(2)/2)*CM173+(1-EXP(-LN(2)/2))/(LN(2)/2)*CG174*CJ174*VLOOKUP('Données projet'!$B$12,'Paramètres'!$A$1:$I$88,3,0)*0.475*44/12</f>
        <v>#N/A</v>
      </c>
      <c r="CN174" s="163" t="str">
        <f t="shared" si="13"/>
        <v>#N/A</v>
      </c>
      <c r="CO174" s="159">
        <f>('Scénario référence'!$F$8+'Scénario référence'!$F$9+'Scénario référence'!$B$17+'Scénario référence'!$B$9+'Scénario référence'!$B$10)*70+IF((45+25*(1-EXP(-0.0175*A174)))&lt;70,'Scénario référence'!$B$16*(45+25*(1-EXP(-0.0175*A174))),70*'Scénario référence'!$B$16)+IF((32+38*(1-EXP(-0.0175*A174)))&lt;70,'Scénario référence'!$B$18*(32+38*(1-EXP(-0.0175*A174))),70*'Scénario référence'!$B$18)</f>
        <v>70</v>
      </c>
      <c r="CP174" s="151">
        <f>IF(A174&gt;30,10,('Scénario référence'!$B$16+'Scénario référence'!$B$17+'Scénario référence'!$B$18+'Scénario référence'!$B$9+'Scénario référence'!$B$10)*A174*10/30+('Scénario référence'!$F$8+'Scénario référence'!$F$9)*10)</f>
        <v>10</v>
      </c>
      <c r="CQ174" s="151" t="str">
        <f>VLOOKUP(A174,'Données projet'!$A$139:$I$159,2,0)</f>
        <v>#N/A</v>
      </c>
      <c r="CR174" s="151" t="str">
        <f>VLOOKUP(A174,'Données projet'!$A$139:$I$159,9,0)</f>
        <v>#N/A</v>
      </c>
      <c r="CS174" s="151" t="str">
        <f t="array" ref="CS174">INDEX(CR:CR,MIN(IF(ISNUMBER(CR174:CR370),ROW(CR174:CR370),"")))</f>
        <v/>
      </c>
      <c r="CT174" s="151">
        <f>IF('Données projet'!$A$140&gt;35,CT173+CS174-DB173,IF(A174&lt;'Données projet'!$A$140,$CQ$205^A174,IF(A174='Données projet'!$A$140,'Données projet'!$B$140,CT173+CS174-DB173)))</f>
        <v>0</v>
      </c>
      <c r="CU174" s="158" t="str">
        <f>CT174*VLOOKUP('Données projet'!$B$13,'Paramètres'!$A$1:$I$88,3,0)*VLOOKUP('Données projet'!$B$13,'Paramètres'!$A$1:$I$88,5,0)</f>
        <v>#N/A</v>
      </c>
      <c r="CV174" s="150" t="str">
        <f t="shared" si="42"/>
        <v>#N/A</v>
      </c>
      <c r="CW174" s="161" t="str">
        <f t="shared" si="14"/>
        <v>#N/A</v>
      </c>
      <c r="CX174" s="153" t="str">
        <f t="shared" si="15"/>
        <v>#N/A</v>
      </c>
      <c r="CY174" s="153" t="str">
        <f>AVERAGE(OFFSET($CX$3,0,0,'Données projet'!$E$13+1,1))-AVERAGE(OFFSET($H$3,0,0,'Données projet'!$E$13+1,1))</f>
        <v>#N/A</v>
      </c>
      <c r="CZ174" s="153" t="str">
        <f t="shared" si="43"/>
        <v>#N/A</v>
      </c>
      <c r="DA174" s="154">
        <f>IF(ISNA(VLOOKUP(A174,'Données projet'!$A$139:$I$159,3,0)),0,VLOOKUP(A174,'Données projet'!$A$139:$I$159,3,0))</f>
        <v>0</v>
      </c>
      <c r="DB174" s="154">
        <f>IF(ISNA(VLOOKUP(A174,'Données projet'!$A$139:$I$159,4,0)),0,VLOOKUP(A174,'Données projet'!$A$139:$I$159,4,0))</f>
        <v>0</v>
      </c>
      <c r="DC174" s="155">
        <f>IF(ISNA(VLOOKUP(A174,'Données projet'!$A$139:$I$159,5,0)),0%,VLOOKUP(A174,'Données projet'!$A$139:$I$159,5,0)*VLOOKUP('Données projet'!$B$13,'Paramètres'!$A$1:$I$88,7,0))</f>
        <v>0</v>
      </c>
      <c r="DD174" s="155">
        <f>IF(ISNA(VLOOKUP(A174,'Données projet'!$A$139:$I$159,6,0)),0%,VLOOKUP(A174,'Données projet'!$A$139:$I$159,6,0)*VLOOKUP('Données projet'!$B$13,'Paramètres'!$A$1:$I$88,7,0))</f>
        <v>0</v>
      </c>
      <c r="DE174" s="155">
        <f>IF(ISNA(VLOOKUP(A174,'Données projet'!$A$139:$I$159,7,0)),0%,VLOOKUP(A174,'Données projet'!$A$139:$I$159,7,0))</f>
        <v>0</v>
      </c>
      <c r="DF174" s="162" t="str">
        <f>EXP(-LN(2)/35)*DF173+(1-EXP(-LN(2)/35))/(LN(2)/35)*DB174*DC174*VLOOKUP('Données projet'!$B$13,'Paramètres'!$A$1:$I$88,3,0)*0.475*44/12</f>
        <v>#N/A</v>
      </c>
      <c r="DG174" s="162" t="str">
        <f>EXP(-LN(2)/25)*DG173+(1-EXP(-LN(2)/25))/(LN(2)/25)*Calculateur!DB174*Calculateur!DD174*VLOOKUP('Données projet'!$B$13,'Paramètres'!$A$1:$I$88,3,0)*0.475*44/12</f>
        <v>#N/A</v>
      </c>
      <c r="DH174" s="162" t="str">
        <f>EXP(-LN(2)/2)*DH173+(1-EXP(-LN(2)/2))/(LN(2)/2)*DB174*DE174*VLOOKUP('Données projet'!$B$13,'Paramètres'!$A$1:$I$88,3,0)*0.475*44/12</f>
        <v>#N/A</v>
      </c>
      <c r="DI174" s="163" t="str">
        <f t="shared" si="16"/>
        <v>#N/A</v>
      </c>
      <c r="DJ174" s="159">
        <f>('Scénario référence'!$F$8+'Scénario référence'!$F$9+'Scénario référence'!$B$17+'Scénario référence'!$B$9+'Scénario référence'!$B$10)*70+IF((45+25*(1-EXP(-0.0175*A174)))&lt;70,'Scénario référence'!$B$16*(45+25*(1-EXP(-0.0175*A174))),70*'Scénario référence'!$B$16)+IF((32+38*(1-EXP(-0.0175*A174)))&lt;70,'Scénario référence'!$B$18*(32+38*(1-EXP(-0.0175*A174))),70*'Scénario référence'!$B$18)</f>
        <v>70</v>
      </c>
      <c r="DK174" s="151">
        <f>IF(A174&gt;30,10,('Scénario référence'!$B$16+'Scénario référence'!$B$17+'Scénario référence'!$B$18+'Scénario référence'!$B$9+'Scénario référence'!$B$10)*A174*10/30+('Scénario référence'!$F$8+'Scénario référence'!$F$9)*10)</f>
        <v>10</v>
      </c>
      <c r="DL174" s="151" t="str">
        <f>VLOOKUP(A174,'Données projet'!$A$165:$I$185,2,0)</f>
        <v>#N/A</v>
      </c>
      <c r="DM174" s="151" t="str">
        <f>VLOOKUP(A174,'Données projet'!$A$165:$I$185,9,0)</f>
        <v>#N/A</v>
      </c>
      <c r="DN174" s="151" t="str">
        <f t="array" ref="DN174">INDEX(DM:DM,MIN(IF(ISNUMBER(DM174:DM370),ROW(DM174:DM370),"")))</f>
        <v/>
      </c>
      <c r="DO174" s="151">
        <f>IF('Données projet'!$A$166&gt;35,DO173+DN174-DW173,IF(A174&lt;'Données projet'!$A$166,$DL$205^A174,IF(A174='Données projet'!$A$166,'Données projet'!$B$166,DO173+DN174-DW173)))</f>
        <v>0</v>
      </c>
      <c r="DP174" s="158" t="str">
        <f>DO174*VLOOKUP('Données projet'!$B$14,'Paramètres'!$A$1:$I$88,3,0)*VLOOKUP('Données projet'!$B$14,'Paramètres'!$A$1:$I$88,5,0)</f>
        <v>#N/A</v>
      </c>
      <c r="DQ174" s="150" t="str">
        <f t="shared" si="44"/>
        <v>#N/A</v>
      </c>
      <c r="DR174" s="161" t="str">
        <f t="shared" si="17"/>
        <v>#N/A</v>
      </c>
      <c r="DS174" s="153" t="str">
        <f t="shared" si="18"/>
        <v>#N/A</v>
      </c>
      <c r="DT174" s="153" t="str">
        <f>AVERAGE(OFFSET($DS$3,0,0,'Données projet'!$E$14+1,1))-AVERAGE(OFFSET($H$3,0,0,'Données projet'!$E$14+1,1))</f>
        <v>#N/A</v>
      </c>
      <c r="DU174" s="153" t="str">
        <f t="shared" si="45"/>
        <v>#N/A</v>
      </c>
      <c r="DV174" s="154">
        <f>IF(ISNA(VLOOKUP(A174,'Données projet'!$A$165:$I$185,3,0)),0,VLOOKUP(A174,'Données projet'!$A$165:$I$185,3,0))</f>
        <v>0</v>
      </c>
      <c r="DW174" s="154">
        <f>IF(ISNA(VLOOKUP(A174,'Données projet'!$A$165:$I$185,4,0)),0,VLOOKUP(A174,'Données projet'!$A$165:$I$185,4,0))</f>
        <v>0</v>
      </c>
      <c r="DX174" s="155">
        <f>IF(ISNA(VLOOKUP(A174,'Données projet'!$A$165:$I$185,5,0)),0%,VLOOKUP(A174,'Données projet'!$A$165:$I$185,5,0)*VLOOKUP('Données projet'!$B$14,'Paramètres'!$A$1:$I$88,7,0))</f>
        <v>0</v>
      </c>
      <c r="DY174" s="155">
        <f>IF(ISNA(VLOOKUP(A174,'Données projet'!$A$165:$I$185,6,0)),0%,VLOOKUP(A174,'Données projet'!$A$165:$I$185,6,0)*VLOOKUP('Données projet'!$B$14,'Paramètres'!$A$1:$I$88,7,0))</f>
        <v>0</v>
      </c>
      <c r="DZ174" s="155">
        <f>IF(ISNA(VLOOKUP(A174,'Données projet'!$A$165:$I$185,7,0)),0%,VLOOKUP(A174,'Données projet'!$A$165:$I$185,7,0))</f>
        <v>0</v>
      </c>
      <c r="EA174" s="162" t="str">
        <f>EXP(-LN(2)/35)*EA173+(1-EXP(-LN(2)/35))/(LN(2)/35)*DW174*DX174*VLOOKUP('Données projet'!$B$14,'Paramètres'!$A$1:$I$88,3,0)*0.475*44/12</f>
        <v>#N/A</v>
      </c>
      <c r="EB174" s="162" t="str">
        <f>EXP(-LN(2)/25)*EB173+(1-EXP(-LN(2)/25))/(LN(2)/25)*Calculateur!DW174*Calculateur!DY174*VLOOKUP('Données projet'!$B$14,'Paramètres'!$A$1:$I$88,3,0)*0.475*44/12</f>
        <v>#N/A</v>
      </c>
      <c r="EC174" s="162" t="str">
        <f>EXP(-LN(2)/2)*EC173+(1-EXP(-LN(2)/2))/(LN(2)/2)*DW174*DZ174*VLOOKUP('Données projet'!$B$14,'Paramètres'!$A$1:$I$88,3,0)*0.475*44/12</f>
        <v>#N/A</v>
      </c>
      <c r="ED174" s="163" t="str">
        <f t="shared" si="19"/>
        <v>#N/A</v>
      </c>
      <c r="EE174" s="159">
        <f>('Scénario référence'!$F$8+'Scénario référence'!$F$9+'Scénario référence'!$B$17+'Scénario référence'!$B$9+'Scénario référence'!$B$10)*70+IF((45+25*(1-EXP(-0.0175*A174)))&lt;70,'Scénario référence'!$B$16*(45+25*(1-EXP(-0.0175*A174))),70*'Scénario référence'!$B$16)+IF((32+38*(1-EXP(-0.0175*A174)))&lt;70,'Scénario référence'!$B$18*(32+38*(1-EXP(-0.0175*A174))),70*'Scénario référence'!$B$18)</f>
        <v>70</v>
      </c>
      <c r="EF174" s="151">
        <f>IF(A174&gt;30,10,('Scénario référence'!$B$16+'Scénario référence'!$B$17+'Scénario référence'!$B$18+'Scénario référence'!$B$9+'Scénario référence'!$B$10)*A174*10/30+('Scénario référence'!$F$8+'Scénario référence'!$F$9)*10)</f>
        <v>10</v>
      </c>
      <c r="EG174" s="151" t="str">
        <f>VLOOKUP(A174,'Données projet'!$A$191:$I$211,2,0)</f>
        <v>#N/A</v>
      </c>
      <c r="EH174" s="151" t="str">
        <f>VLOOKUP(A174,'Données projet'!$A$191:$I$211,9,0)</f>
        <v>#N/A</v>
      </c>
      <c r="EI174" s="151" t="str">
        <f t="array" ref="EI174">INDEX(EH:EH,MIN(IF(ISNUMBER(EH174:EH370),ROW(EH174:EH370),"")))</f>
        <v/>
      </c>
      <c r="EJ174" s="151">
        <f>IF('Données projet'!$A$192&gt;35,EJ173+EI174-ER173,IF(A174&lt;'Données projet'!$A$192,$EG$205^A174,IF(A174='Données projet'!$A$192,'Données projet'!$B$192,EJ173+EI174-ER173)))</f>
        <v>0</v>
      </c>
      <c r="EK174" s="158" t="str">
        <f>EJ174*VLOOKUP('Données projet'!$B$15,'Paramètres'!$A$1:$I$88,3,0)*VLOOKUP('Données projet'!$B$15,'Paramètres'!$A$1:$I$88,5,0)</f>
        <v>#N/A</v>
      </c>
      <c r="EL174" s="150" t="str">
        <f t="shared" si="46"/>
        <v>#N/A</v>
      </c>
      <c r="EM174" s="161" t="str">
        <f t="shared" si="20"/>
        <v>#N/A</v>
      </c>
      <c r="EN174" s="153" t="str">
        <f t="shared" si="21"/>
        <v>#N/A</v>
      </c>
      <c r="EO174" s="153" t="str">
        <f>AVERAGE(OFFSET($EN$3,0,0,'Données projet'!$E$15+1,1))-AVERAGE(OFFSET($H$3,0,0,'Données projet'!$E$15+1,1))</f>
        <v>#N/A</v>
      </c>
      <c r="EP174" s="153" t="str">
        <f t="shared" si="47"/>
        <v>#N/A</v>
      </c>
      <c r="EQ174" s="154">
        <f>IF(ISNA(VLOOKUP(A174,'Données projet'!$A$191:$I$211,3,0)),0,VLOOKUP(A174,'Données projet'!$A$191:$I$211,3,0))</f>
        <v>0</v>
      </c>
      <c r="ER174" s="154">
        <f>IF(ISNA(VLOOKUP(A174,'Données projet'!$A$191:$I$211,4,0)),0,VLOOKUP(A174,'Données projet'!$A$191:$I$211,4,0))</f>
        <v>0</v>
      </c>
      <c r="ES174" s="155">
        <f>IF(ISNA(VLOOKUP(A174,'Données projet'!$A$191:$I$211,5,0)),0%,VLOOKUP(A174,'Données projet'!$A$191:$I$211,5,0)*VLOOKUP('Données projet'!$B$15,'Paramètres'!$A$1:$I$88,7,0))</f>
        <v>0</v>
      </c>
      <c r="ET174" s="155">
        <f>IF(ISNA(VLOOKUP(A174,'Données projet'!$A$191:$I$211,6,0)),0%,VLOOKUP(A174,'Données projet'!$A$191:$I$211,6,0)*VLOOKUP('Données projet'!$B$15,'Paramètres'!$A$1:$I$88,7,0))</f>
        <v>0</v>
      </c>
      <c r="EU174" s="155">
        <f>IF(ISNA(VLOOKUP(A174,'Données projet'!$A$191:$I$211,7,0)),0%,VLOOKUP(A174,'Données projet'!$A$191:$I$211,7,0))</f>
        <v>0</v>
      </c>
      <c r="EV174" s="162" t="str">
        <f>EXP(-LN(2)/35)*EV173+(1-EXP(-LN(2)/35))/(LN(2)/35)*ER174*ES174*VLOOKUP('Données projet'!$B$15,'Paramètres'!$A$1:$I$88,3,0)*0.475*44/12</f>
        <v>#N/A</v>
      </c>
      <c r="EW174" s="162" t="str">
        <f>EXP(-LN(2)/25)*EW173+(1-EXP(-LN(2)/25))/(LN(2)/25)*Calculateur!ER174*Calculateur!ET174*VLOOKUP('Données projet'!$B$15,'Paramètres'!$A$1:$I$88,3,0)*0.475*44/12</f>
        <v>#N/A</v>
      </c>
      <c r="EX174" s="162" t="str">
        <f>EXP(-LN(2)/2)*EX173+(1-EXP(-LN(2)/2))/(LN(2)/2)*ER174*EU174*VLOOKUP('Données projet'!$B$15,'Paramètres'!$A$1:$I$88,3,0)*0.475*44/12</f>
        <v>#N/A</v>
      </c>
      <c r="EY174" s="163" t="str">
        <f t="shared" si="22"/>
        <v>#N/A</v>
      </c>
      <c r="EZ174" s="159">
        <f>('Scénario référence'!$F$8+'Scénario référence'!$F$9+'Scénario référence'!$B$17+'Scénario référence'!$B$9+'Scénario référence'!$B$10)*70+IF((45+25*(1-EXP(-0.0175*A174)))&lt;70,'Scénario référence'!$B$16*(45+25*(1-EXP(-0.0175*A174))),70*'Scénario référence'!$B$16)+IF((32+38*(1-EXP(-0.0175*A174)))&lt;70,'Scénario référence'!$B$18*(32+38*(1-EXP(-0.0175*A174))),70*'Scénario référence'!$B$18)</f>
        <v>70</v>
      </c>
      <c r="FA174" s="151">
        <f>IF(A174&gt;30,10,('Scénario référence'!$B$16+'Scénario référence'!$B$17+'Scénario référence'!$B$18+'Scénario référence'!$B$9+'Scénario référence'!$B$10)*A174*10/30+('Scénario référence'!$F$8+'Scénario référence'!$F$9)*10)</f>
        <v>10</v>
      </c>
      <c r="FB174" s="151" t="str">
        <f>VLOOKUP(A174,'Données projet'!$A$217:$I$237,2,0)</f>
        <v>#N/A</v>
      </c>
      <c r="FC174" s="151" t="str">
        <f>VLOOKUP(A174,'Données projet'!$A$217:$I$237,9,0)</f>
        <v>#N/A</v>
      </c>
      <c r="FD174" s="151" t="str">
        <f t="array" ref="FD174">INDEX(FC:FC,MIN(IF(ISNUMBER(FC174:FC370),ROW(FC174:FC370),"")))</f>
        <v/>
      </c>
      <c r="FE174" s="151">
        <f>IF('Données projet'!$A$218&gt;35,FE173+FD174-FM173,IF(A174&lt;'Données projet'!$A$218,$FB$205^A174,IF(A174='Données projet'!$A$218,'Données projet'!$B$218,FE173+FD174-FM173)))</f>
        <v>0</v>
      </c>
      <c r="FF174" s="158" t="str">
        <f>FE174*VLOOKUP('Données projet'!$B$16,'Paramètres'!$A$1:$I$88,3,0)*VLOOKUP('Données projet'!$B$16,'Paramètres'!$A$1:$I$88,5,0)</f>
        <v>#N/A</v>
      </c>
      <c r="FG174" s="150" t="str">
        <f t="shared" si="48"/>
        <v>#N/A</v>
      </c>
      <c r="FH174" s="161" t="str">
        <f t="shared" si="23"/>
        <v>#N/A</v>
      </c>
      <c r="FI174" s="153" t="str">
        <f t="shared" si="24"/>
        <v>#N/A</v>
      </c>
      <c r="FJ174" s="153" t="str">
        <f>AVERAGE(OFFSET($FI$3,0,0,'Données projet'!$E$16+1,1))-AVERAGE(OFFSET($H$3,0,0,'Données projet'!$E$16+1,1))</f>
        <v>#N/A</v>
      </c>
      <c r="FK174" s="153" t="str">
        <f t="shared" si="49"/>
        <v>#N/A</v>
      </c>
      <c r="FL174" s="154">
        <f>IF(ISNA(VLOOKUP(A174,'Données projet'!$A$217:$I$237,3,0)),0,VLOOKUP(A174,'Données projet'!$A$217:$I$237,3,0))</f>
        <v>0</v>
      </c>
      <c r="FM174" s="154">
        <f>IF(ISNA(VLOOKUP(A174,'Données projet'!$A$217:$I$237,4,0)),0,VLOOKUP(A174,'Données projet'!$A$217:$I$237,4,0))</f>
        <v>0</v>
      </c>
      <c r="FN174" s="155">
        <f>IF(ISNA(VLOOKUP(A174,'Données projet'!$A$217:$I$237,5,0)),0%,VLOOKUP(A174,'Données projet'!$A$217:$I$237,5,0)*VLOOKUP('Données projet'!$B$16,'Paramètres'!$A$1:$I$88,7,0))</f>
        <v>0</v>
      </c>
      <c r="FO174" s="155">
        <f>IF(ISNA(VLOOKUP(A174,'Données projet'!$A$217:$I$237,6,0)),0%,VLOOKUP(A174,'Données projet'!$A$217:$I$237,6,0)*VLOOKUP('Données projet'!$B$16,'Paramètres'!$A$1:$I$88,7,0))</f>
        <v>0</v>
      </c>
      <c r="FP174" s="155">
        <f>IF(ISNA(VLOOKUP(A174,'Données projet'!$A$217:$I$237,7,0)),0%,VLOOKUP(A174,'Données projet'!$A$217:$I$237,7,0))</f>
        <v>0</v>
      </c>
      <c r="FQ174" s="162" t="str">
        <f>EXP(-LN(2)/35)*FQ173+(1-EXP(-LN(2)/35))/(LN(2)/35)*FM174*FN174*VLOOKUP('Données projet'!$B$16,'Paramètres'!$A$1:$I$88,3,0)*0.475*44/12</f>
        <v>#N/A</v>
      </c>
      <c r="FR174" s="162" t="str">
        <f>EXP(-LN(2)/25)*FR173+(1-EXP(-LN(2)/25))/(LN(2)/25)*Calculateur!FM174*Calculateur!FO174*VLOOKUP('Données projet'!$B$16,'Paramètres'!$A$1:$I$88,3,0)*0.475*44/12</f>
        <v>#N/A</v>
      </c>
      <c r="FS174" s="162" t="str">
        <f>EXP(-LN(2)/2)*FS173+(1-EXP(-LN(2)/2))/(LN(2)/2)*FM174*FP174*VLOOKUP('Données projet'!$B$16,'Paramètres'!$A$1:$I$88,3,0)*0.475*44/12</f>
        <v>#N/A</v>
      </c>
      <c r="FT174" s="163" t="str">
        <f t="shared" si="25"/>
        <v>#N/A</v>
      </c>
      <c r="FU174" s="159">
        <f>('Scénario référence'!$F$8+'Scénario référence'!$F$9+'Scénario référence'!$B$17+'Scénario référence'!$B$9+'Scénario référence'!$B$10)*70+IF((45+25*(1-EXP(-0.0175*A174)))&lt;70,'Scénario référence'!$B$16*(45+25*(1-EXP(-0.0175*A174))),70*'Scénario référence'!$B$16)+IF((32+38*(1-EXP(-0.0175*A174)))&lt;70,'Scénario référence'!$B$18*(32+38*(1-EXP(-0.0175*A174))),70*'Scénario référence'!$B$18)</f>
        <v>70</v>
      </c>
      <c r="FV174" s="151">
        <f>IF(A174&gt;30,10,('Scénario référence'!$B$16+'Scénario référence'!$B$17+'Scénario référence'!$B$18+'Scénario référence'!$B$9+'Scénario référence'!$B$10)*A174*10/30+('Scénario référence'!$F$8+'Scénario référence'!$F$9)*10)</f>
        <v>10</v>
      </c>
      <c r="FW174" s="151" t="str">
        <f>VLOOKUP(A174,'Données projet'!$A$243:$I$263,2,0)</f>
        <v>#N/A</v>
      </c>
      <c r="FX174" s="151" t="str">
        <f>VLOOKUP(A174,'Données projet'!$A$243:$I$263,9,0)</f>
        <v>#N/A</v>
      </c>
      <c r="FY174" s="151" t="str">
        <f t="array" ref="FY174">INDEX(FX:FX,MIN(IF(ISNUMBER(FX174:FX370),ROW(FX174:FX370),"")))</f>
        <v/>
      </c>
      <c r="FZ174" s="151">
        <f>IF('Données projet'!$A$244&gt;35,FZ173+FY174-GH173,IF(A174&lt;'Données projet'!$A$244,$FW$205^A174,IF(A174='Données projet'!$A$244,'Données projet'!$B$244,FZ173+FY174-GH173)))</f>
        <v>0</v>
      </c>
      <c r="GA174" s="158" t="str">
        <f>FZ174*VLOOKUP('Données projet'!$B$17,'Paramètres'!$A$1:$I$88,3,0)*VLOOKUP('Données projet'!$B$17,'Paramètres'!$A$1:$I$88,5,0)</f>
        <v>#N/A</v>
      </c>
      <c r="GB174" s="150" t="str">
        <f t="shared" si="50"/>
        <v>#N/A</v>
      </c>
      <c r="GC174" s="161" t="str">
        <f t="shared" si="26"/>
        <v>#N/A</v>
      </c>
      <c r="GD174" s="153" t="str">
        <f t="shared" si="27"/>
        <v>#N/A</v>
      </c>
      <c r="GE174" s="153" t="str">
        <f>AVERAGE(OFFSET($GD$3,0,0,'Données projet'!$E$17+1,1))-AVERAGE(OFFSET($H$3,0,0,'Données projet'!$E$17+1,1))</f>
        <v>#N/A</v>
      </c>
      <c r="GF174" s="153" t="str">
        <f t="shared" si="51"/>
        <v>#N/A</v>
      </c>
      <c r="GG174" s="154">
        <f>IF(ISNA(VLOOKUP(A174,'Données projet'!$A$243:$I$263,3,0)),0,VLOOKUP(A174,'Données projet'!$A$243:$I$263,3,0))</f>
        <v>0</v>
      </c>
      <c r="GH174" s="154">
        <f>IF(ISNA(VLOOKUP(A174,'Données projet'!$A$243:$I$263,4,0)),0,VLOOKUP(A174,'Données projet'!$A$243:$I$263,4,0))</f>
        <v>0</v>
      </c>
      <c r="GI174" s="155">
        <f>IF(ISNA(VLOOKUP(A174,'Données projet'!$A$243:$I$263,5,0)),0%,VLOOKUP(A174,'Données projet'!$A$243:$I$263,5,0)*VLOOKUP('Données projet'!$B$17,'Paramètres'!$A$1:$I$88,7,0))</f>
        <v>0</v>
      </c>
      <c r="GJ174" s="155">
        <f>IF(ISNA(VLOOKUP(A174,'Données projet'!$A$243:$I$263,6,0)),0%,VLOOKUP(A174,'Données projet'!$A$243:$I$263,6,0)*VLOOKUP('Données projet'!$B$17,'Paramètres'!$A$1:$I$88,7,0))</f>
        <v>0</v>
      </c>
      <c r="GK174" s="155">
        <f>IF(ISNA(VLOOKUP(A174,'Données projet'!$A$243:$I$263,7,0)),0%,VLOOKUP(A174,'Données projet'!$A$243:$I$263,7,0))</f>
        <v>0</v>
      </c>
      <c r="GL174" s="162" t="str">
        <f>EXP(-LN(2)/35)*GL173+(1-EXP(-LN(2)/35))/(LN(2)/35)*GH174*GI174*VLOOKUP('Données projet'!$B$17,'Paramètres'!$A$1:$I$88,3,0)*0.475*44/12</f>
        <v>#N/A</v>
      </c>
      <c r="GM174" s="162" t="str">
        <f>EXP(-LN(2)/25)*GM173+(1-EXP(-LN(2)/25))/(LN(2)/25)*Calculateur!GH174*Calculateur!GJ174*VLOOKUP('Données projet'!$B$17,'Paramètres'!$A$1:$I$88,3,0)*0.475*44/12</f>
        <v>#N/A</v>
      </c>
      <c r="GN174" s="162" t="str">
        <f>EXP(-LN(2)/2)*GN173+(1-EXP(-LN(2)/2))/(LN(2)/2)*GH174*GK174*VLOOKUP('Données projet'!$B$17,'Paramètres'!$A$1:$I$88,3,0)*0.475*44/12</f>
        <v>#N/A</v>
      </c>
      <c r="GO174" s="162" t="str">
        <f t="shared" si="28"/>
        <v>#N/A</v>
      </c>
      <c r="GP174" s="159">
        <f>('Scénario référence'!$F$8+'Scénario référence'!$F$9+'Scénario référence'!$B$17+'Scénario référence'!$B$9+'Scénario référence'!$B$10)*70+IF((45+25*(1-EXP(-0.0175*A174)))&lt;70,'Scénario référence'!$B$16*(45+25*(1-EXP(-0.0175*A174))),70*'Scénario référence'!$B$16)+IF((32+38*(1-EXP(-0.0175*A174)))&lt;70,'Scénario référence'!$B$18*(32+38*(1-EXP(-0.0175*A174))),70*'Scénario référence'!$B$18)</f>
        <v>70</v>
      </c>
      <c r="GQ174" s="151">
        <f>IF(A174&gt;30,10,('Scénario référence'!$B$16+'Scénario référence'!$B$17+'Scénario référence'!$B$18+'Scénario référence'!$B$9+'Scénario référence'!$B$10)*A174*10/30+('Scénario référence'!$F$8+'Scénario référence'!$F$9)*10)</f>
        <v>10</v>
      </c>
      <c r="GR174" s="151" t="str">
        <f>VLOOKUP(A174,'Données projet'!$A$269:$I$289,2,0)</f>
        <v>#N/A</v>
      </c>
      <c r="GS174" s="151" t="str">
        <f>VLOOKUP(A174,'Données projet'!$A$269:$I$289,9,0)</f>
        <v>#N/A</v>
      </c>
      <c r="GT174" s="151" t="str">
        <f t="array" ref="GT174">INDEX(GS:GS,MIN(IF(ISNUMBER(GS174:GS370),ROW(GS174:GS370),"")))</f>
        <v/>
      </c>
      <c r="GU174" s="151">
        <f>IF('Données projet'!$A$270&gt;35,GU173+GT174-HC173,IF(A174&lt;'Données projet'!$A$270,$GR$205^A174,IF(A174='Données projet'!$A$270,'Données projet'!$B$270,GU173+GT174-HC173)))</f>
        <v>0</v>
      </c>
      <c r="GV174" s="158" t="str">
        <f>GU174*VLOOKUP('Données projet'!$B$18,'Paramètres'!$A$1:$I$88,3,0)*VLOOKUP('Données projet'!$B$18,'Paramètres'!$A$1:$I$88,5,0)</f>
        <v>#N/A</v>
      </c>
      <c r="GW174" s="150" t="str">
        <f t="shared" si="52"/>
        <v>#N/A</v>
      </c>
      <c r="GX174" s="161" t="str">
        <f t="shared" si="29"/>
        <v>#N/A</v>
      </c>
      <c r="GY174" s="153" t="str">
        <f t="shared" si="30"/>
        <v>#N/A</v>
      </c>
      <c r="GZ174" s="153" t="str">
        <f>AVERAGE(OFFSET($GY$3,0,0,'Données projet'!$E$18+1,1))-AVERAGE(OFFSET($H$3,0,0,'Données projet'!$E$18+1,1))</f>
        <v>#N/A</v>
      </c>
      <c r="HA174" s="153" t="str">
        <f t="shared" si="53"/>
        <v>#N/A</v>
      </c>
      <c r="HB174" s="154">
        <f>IF(ISNA(VLOOKUP(A174,'Données projet'!$A$269:$I$289,3,0)),0,VLOOKUP(A174,'Données projet'!$A$269:$I$289,3,0))</f>
        <v>0</v>
      </c>
      <c r="HC174" s="154">
        <f>IF(ISNA(VLOOKUP(A174,'Données projet'!$A$269:$I$289,4,0)),0,VLOOKUP(A174,'Données projet'!$A$269:$I$289,4,0))</f>
        <v>0</v>
      </c>
      <c r="HD174" s="155">
        <f>IF(ISNA(VLOOKUP(A174,'Données projet'!$A$269:$I$289,5,0)),0%,VLOOKUP(A174,'Données projet'!$A$269:$I$289,5,0)*VLOOKUP('Données projet'!$B$18,'Paramètres'!$A$1:$I$88,7,0))</f>
        <v>0</v>
      </c>
      <c r="HE174" s="155">
        <f>IF(ISNA(VLOOKUP(A174,'Données projet'!$A$269:$I$289,6,0)),0%,VLOOKUP(A174,'Données projet'!$A$269:$I$289,6,0)*VLOOKUP('Données projet'!$B$18,'Paramètres'!$A$1:$I$88,7,0))</f>
        <v>0</v>
      </c>
      <c r="HF174" s="155">
        <f>IF(ISNA(VLOOKUP(A174,'Données projet'!$A$269:$I$289,7,0)),0%,VLOOKUP(A174,'Données projet'!$A$269:$I$289,7,0))</f>
        <v>0</v>
      </c>
      <c r="HG174" s="162" t="str">
        <f>EXP(-LN(2)/35)*HG173+(1-EXP(-LN(2)/35))/(LN(2)/35)*HC174*HD174*VLOOKUP('Données projet'!$B$18,'Paramètres'!$A$1:$I$88,3,0)*0.475*44/12</f>
        <v>#N/A</v>
      </c>
      <c r="HH174" s="162" t="str">
        <f>EXP(-LN(2)/25)*HH173+(1-EXP(-LN(2)/25))/(LN(2)/25)*Calculateur!HC174*Calculateur!HE174*VLOOKUP('Données projet'!$B$18,'Paramètres'!$A$1:$I$88,3,0)*0.475*44/12</f>
        <v>#N/A</v>
      </c>
      <c r="HI174" s="162" t="str">
        <f>EXP(-LN(2)/2)*HI173+(1-EXP(-LN(2)/2))/(LN(2)/2)*HC174*HF174*VLOOKUP('Données projet'!$B$18,'Paramètres'!$A$1:$I$88,3,0)*0.475*44/12</f>
        <v>#N/A</v>
      </c>
      <c r="HJ174" s="163" t="str">
        <f t="shared" si="31"/>
        <v>#N/A</v>
      </c>
    </row>
    <row r="175" ht="15.75" customHeight="1">
      <c r="A175" s="145">
        <f t="shared" si="32"/>
        <v>172</v>
      </c>
      <c r="B175" s="146">
        <f>'Scénario référence'!$B$16*5+'Scénario référence'!$B$17*0+'Scénario référence'!$B$18*5</f>
        <v>0</v>
      </c>
      <c r="C175" s="160">
        <f>Calculateur!C174+'Scénario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75" s="147">
        <f t="shared" si="33"/>
        <v>0</v>
      </c>
      <c r="E175" s="147">
        <f>'Scénario référence'!$B$16*45+('Scénario référence'!$B$17+'Scénario référence'!$F$8+'Scénario référence'!$F$9+'Scénario référence'!$B$10+'Scénario référence'!$B$9)*70+'Scénario référence'!$B$18*32</f>
        <v>70</v>
      </c>
      <c r="F175" s="147">
        <f>IF(OR('Scénario référence'!$F$8&gt;0,'Scénario référence'!$F$9&gt;0),('Scénario référence'!$F$8+'Scénario référence'!$F$9)*10,0)</f>
        <v>0</v>
      </c>
      <c r="G175" s="147">
        <f>'Scénario référence'!$B$8*B175*44/12+'Scénario référence'!$B$9*(C175+D175)/0.475*44/12+'Scénario référence'!$B$10*(C175+D175)/0.475*44/12+'Scénario référence'!$F$8*(C175+D175)/0.475*44/12+'Scénario référence'!$F$9*(C175+D175)/0.475*44/12</f>
        <v>0</v>
      </c>
      <c r="H175" s="148">
        <f t="shared" si="1"/>
        <v>256.6666667</v>
      </c>
      <c r="I175" s="149">
        <f>('Scénario référence'!$F$8+'Scénario référence'!$F$9+'Scénario référence'!$B$17+'Scénario référence'!$B$9+'Scénario référence'!$B$10)*70+IF((45+25*(1-EXP(-0.0175*A175)))&lt;70,'Scénario référence'!$B$16*(45+25*(1-EXP(-0.0175*A175))),70*'Scénario référence'!$B$16)+IF((32+38*(1-EXP(-0.0175*A175)))&lt;70,'Scénario référence'!$B$18*(32+38*(1-EXP(-0.0175*A175))),70*'Scénario référence'!$B$18)</f>
        <v>70</v>
      </c>
      <c r="J175" s="150">
        <f>IF(A175&gt;30,10,('Scénario référence'!$B$16+'Scénario référence'!$B$17+'Scénario référence'!$B$18+'Scénario référence'!$B$9+'Scénario référence'!$B$10)*A175*10/30+('Scénario référence'!$F$8+'Scénario référence'!$F$9)*10)</f>
        <v>10</v>
      </c>
      <c r="K175" s="151" t="str">
        <f>VLOOKUP(A175,'Données projet'!$A$35:$I$55,2,0)</f>
        <v>#N/A</v>
      </c>
      <c r="L175" s="151" t="str">
        <f>VLOOKUP(A175,'Données projet'!$A$35:$I$55,9,0)</f>
        <v>#N/A</v>
      </c>
      <c r="M175" s="151" t="str">
        <f t="array" ref="M175">INDEX(L:L,MIN(IF(ISNUMBER(L175:L371),ROW(L175:L371),"")))</f>
        <v/>
      </c>
      <c r="N175" s="150">
        <f>IF('Données projet'!$A$36&gt;35,N174+M175-V174,IF(A175&lt;'Données projet'!$A$36,$K$205^A175,IF(A175='Données projet'!$A$36,'Données projet'!$B$36,N174+M175-V174)))</f>
        <v>307</v>
      </c>
      <c r="O175" s="150">
        <f>N175*VLOOKUP('Données projet'!$B$9,'Paramètres'!$A$1:$I$88,3,0)*VLOOKUP('Données projet'!$B$9,'Paramètres'!$A$1:$I$88,5,0)</f>
        <v>277.7736</v>
      </c>
      <c r="P175" s="150">
        <f t="shared" si="34"/>
        <v>66.49628818</v>
      </c>
      <c r="Q175" s="161">
        <f t="shared" si="2"/>
        <v>599.6033886</v>
      </c>
      <c r="R175" s="153">
        <f t="shared" si="3"/>
        <v>892.9367219</v>
      </c>
      <c r="S175" s="153">
        <f>AVERAGE(OFFSET($R$3,0,0,'Données projet'!$E$9+1,1))-AVERAGE(OFFSET($H$3,0,0,'Données projet'!$E$9+1,1))</f>
        <v>439.1985427</v>
      </c>
      <c r="T175" s="153">
        <f t="shared" si="35"/>
        <v>278.2174123</v>
      </c>
      <c r="U175" s="154">
        <f>IF(ISNA(VLOOKUP(A175,'Données projet'!$A$35:$I$55,3,0)),0,VLOOKUP(A175,'Données projet'!$A$35:$I$55,3,0))</f>
        <v>0</v>
      </c>
      <c r="V175" s="154">
        <f>IF(ISNA(VLOOKUP(A175,'Données projet'!$A$35:$I$55,4,0)),0,VLOOKUP(A175,'Données projet'!$A$35:$I$55,4,0))</f>
        <v>0</v>
      </c>
      <c r="W175" s="155">
        <f>IF(ISNA(VLOOKUP(A175,'Données projet'!$A$35:$I$55,5,0)),0%,VLOOKUP(A175,'Données projet'!$A$35:$I$55,5,0)*VLOOKUP('Données projet'!$B$9,'Paramètres'!$A$1:$I$88,7,0))</f>
        <v>0</v>
      </c>
      <c r="X175" s="155">
        <f>IF(ISNA(VLOOKUP(A175,'Données projet'!$A$35:$I$55,6,0)),0%,VLOOKUP(A175,'Données projet'!$A$35:$I$55,6,0)*VLOOKUP('Données projet'!$B$9,'Paramètres'!$A$1:$I$88,7,0))</f>
        <v>0</v>
      </c>
      <c r="Y175" s="155">
        <f>IF(ISNA(VLOOKUP(A175,'Données projet'!$A$35:$I$55,7,0)),0%,VLOOKUP(A175,'Données projet'!$A$35:$I$55,7,0))</f>
        <v>0</v>
      </c>
      <c r="Z175" s="162">
        <f>EXP(-LN(2)/35)*Z174+(1-EXP(-LN(2)/35))/(LN(2)/35)*V175*W175*VLOOKUP('Données projet'!$B$9,'Paramètres'!$A$1:$I$88,3,0)*0.475*44/12</f>
        <v>0</v>
      </c>
      <c r="AA175" s="162">
        <f>EXP(-LN(2)/25)*AA174+(1-EXP(-LN(2)/25))/(LN(2)/25)*Calculateur!V175*Calculateur!X175*VLOOKUP('Données projet'!$B$9,'Paramètres'!$A$1:$I$88,3,0)*0.475*44/12</f>
        <v>0.08753100272</v>
      </c>
      <c r="AB175" s="162">
        <f>EXP(-LN(2)/2)*AB174+(1-EXP(-LN(2)/2))/(LN(2)/2)*V175*Y175*VLOOKUP('Données projet'!$B$9,'Paramètres'!$A$1:$I$88,3,0)*0.475*44/12</f>
        <v>0</v>
      </c>
      <c r="AC175" s="163">
        <f t="shared" si="4"/>
        <v>0.08753100272</v>
      </c>
      <c r="AD175" s="150">
        <f>('Scénario référence'!$F$8+'Scénario référence'!$F$9+'Scénario référence'!$B$17+'Scénario référence'!$B$9+'Scénario référence'!$B$10)*70+IF((45+25*(1-EXP(-0.0175*A175)))&lt;70,'Scénario référence'!$B$16*(45+25*(1-EXP(-0.0175*A175))),70*'Scénario référence'!$B$16)+IF((32+38*(1-EXP(-0.0175*A175)))&lt;70,'Scénario référence'!$B$18*(32+38*(1-EXP(-0.0175*A175))),70*'Scénario référence'!$B$18)</f>
        <v>70</v>
      </c>
      <c r="AE175" s="150">
        <f>IF(A175&gt;30,10,('Scénario référence'!$B$16+'Scénario référence'!$B$17+'Scénario référence'!$B$18+'Scénario référence'!$B$9+'Scénario référence'!$B$10)*A175*10/30+('Scénario référence'!$F$8+'Scénario référence'!$F$9)*10)</f>
        <v>10</v>
      </c>
      <c r="AF175" s="151" t="str">
        <f>VLOOKUP(A175,'Données projet'!$A$61:$I$81,2,0)</f>
        <v>#N/A</v>
      </c>
      <c r="AG175" s="151" t="str">
        <f>VLOOKUP(A175,'Données projet'!$A$61:$I$81,9,0)</f>
        <v>#N/A</v>
      </c>
      <c r="AH175" s="151" t="str">
        <f t="array" ref="AH175">INDEX(AG:AG,MIN(IF(ISNUMBER(AG175:AG371),ROW(AG175:AG371),"")))</f>
        <v/>
      </c>
      <c r="AI175" s="150">
        <f>IF('Données projet'!$A$62&gt;35,AI174+AH175-AQ174,IF(A175&lt;'Données projet'!$A$62,$AF$205^A175,IF(A175='Données projet'!$A$62,'Données projet'!$B$62,AI174+AH175-AQ174)))</f>
        <v>369</v>
      </c>
      <c r="AJ175" s="150">
        <f>AI175*VLOOKUP('Données projet'!$B$10,'Paramètres'!$A$1:$I$88,3,0)*VLOOKUP('Données projet'!$B$10,'Paramètres'!$A$1:$I$88,5,0)</f>
        <v>293.5764</v>
      </c>
      <c r="AK175" s="150">
        <f t="shared" si="36"/>
        <v>69.82813851</v>
      </c>
      <c r="AL175" s="161">
        <f t="shared" si="5"/>
        <v>632.9295712</v>
      </c>
      <c r="AM175" s="153">
        <f t="shared" si="6"/>
        <v>926.2629046</v>
      </c>
      <c r="AN175" s="153">
        <f>AVERAGE(OFFSET($AM$3,0,0,'Données projet'!$E$10+1,1))-AVERAGE(OFFSET($H$3,0,0,'Données projet'!$E$10+1,1))</f>
        <v>405.6113614</v>
      </c>
      <c r="AO175" s="153">
        <f t="shared" si="37"/>
        <v>393.0787141</v>
      </c>
      <c r="AP175" s="154">
        <f>IF(ISNA(VLOOKUP(A175,'Données projet'!$A$61:$I$81,3,0)),0,VLOOKUP(A175,'Données projet'!$A$61:$I$81,3,0))</f>
        <v>0</v>
      </c>
      <c r="AQ175" s="154">
        <f>IF(ISNA(VLOOKUP(A175,'Données projet'!$A$61:$I$81,4,0)),0,VLOOKUP(A175,'Données projet'!$A$61:$I$81,4,0))</f>
        <v>0</v>
      </c>
      <c r="AR175" s="155">
        <f>IF(ISNA(VLOOKUP(A175,'Données projet'!$A$61:$I$81,5,0)),0%,VLOOKUP(A175,'Données projet'!$A$61:$I$81,5,0)*VLOOKUP('Données projet'!$B$10,'Paramètres'!$A$1:$I$88,7,0))</f>
        <v>0</v>
      </c>
      <c r="AS175" s="155">
        <f>IF(ISNA(VLOOKUP(A175,'Données projet'!$A$61:$I$81,6,0)),0%,VLOOKUP(A175,'Données projet'!$A$61:$I$81,6,0)*VLOOKUP('Données projet'!$B$10,'Paramètres'!$A$1:$I$88,7,0))</f>
        <v>0</v>
      </c>
      <c r="AT175" s="155">
        <f>IF(ISNA(VLOOKUP(A175,'Données projet'!$A$61:$I$81,7,0)),0%,VLOOKUP(A175,'Données projet'!$A$61:$I$81,7,0))</f>
        <v>0</v>
      </c>
      <c r="AU175" s="162">
        <f>EXP(-LN(2)/35)*AU174+(1-EXP(-LN(2)/35))/(LN(2)/35)*AQ175*AR175*VLOOKUP('Données projet'!$B$10,'Paramètres'!$A$1:$I$88,3,0)*0.475*44/12</f>
        <v>0</v>
      </c>
      <c r="AV175" s="162">
        <f>EXP(-LN(2)/25)*AV174+(1-EXP(-LN(2)/25))/(LN(2)/25)*Calculateur!AQ175*Calculateur!AS175*VLOOKUP('Données projet'!$B$10,'Paramètres'!$A$1:$I$88,3,0)*0.475*44/12</f>
        <v>0.3557482463</v>
      </c>
      <c r="AW175" s="162">
        <f>EXP(-LN(2)/2)*AW174+(1-EXP(-LN(2)/2))/(LN(2)/2)*AQ175*AT175*VLOOKUP('Données projet'!$B$10,'Paramètres'!$A$1:$I$88,3,0)*0.475*44/12</f>
        <v>0</v>
      </c>
      <c r="AX175" s="162">
        <f t="shared" si="7"/>
        <v>0.3557482463</v>
      </c>
      <c r="AY175" s="157">
        <f>('Scénario référence'!$F$8+'Scénario référence'!$F$9+'Scénario référence'!$B$17+'Scénario référence'!$B$9+'Scénario référence'!$B$10)*70+IF((45+25*(1-EXP(-0.0175*A175)))&lt;70,'Scénario référence'!$B$16*(45+25*(1-EXP(-0.0175*A175))),70*'Scénario référence'!$B$16)+IF((32+38*(1-EXP(-0.0175*A175)))&lt;70,'Scénario référence'!$B$18*(32+38*(1-EXP(-0.0175*A175))),70*'Scénario référence'!$B$18)</f>
        <v>70</v>
      </c>
      <c r="AZ175" s="151">
        <f>IF(A175&gt;30,10,('Scénario référence'!$B$16+'Scénario référence'!$B$17+'Scénario référence'!$B$18+'Scénario référence'!$B$9+'Scénario référence'!$B$10)*A175*10/30+('Scénario référence'!$F$8+'Scénario référence'!$F$9)*10)</f>
        <v>10</v>
      </c>
      <c r="BA175" s="151" t="str">
        <f>VLOOKUP(A175,'Données projet'!$A$87:$I$107,2,0)</f>
        <v>#N/A</v>
      </c>
      <c r="BB175" s="151" t="str">
        <f>VLOOKUP(A175,'Données projet'!$A$87:$I$107,9,0)</f>
        <v>#N/A</v>
      </c>
      <c r="BC175" s="151" t="str">
        <f t="array" ref="BC175">INDEX(BB:BB,MIN(IF(ISNUMBER(BB175:BB371),ROW(BB175:BB371),"")))</f>
        <v/>
      </c>
      <c r="BD175" s="150">
        <f>IF('Données projet'!$A$88&gt;35,BD174+BC175-BL174,IF(A175&lt;'Données projet'!$A$88,$BA$205^A175,IF(A175='Données projet'!$A$88,'Données projet'!$B$88,BD174+BC175-BL174)))</f>
        <v>0</v>
      </c>
      <c r="BE175" s="150">
        <f>BD175*VLOOKUP('Données projet'!$B$11,'Paramètres'!$A$1:$I$88,3,0)*VLOOKUP('Données projet'!$B$11,'Paramètres'!$A$1:$I$88,5,0)</f>
        <v>0</v>
      </c>
      <c r="BF175" s="150" t="str">
        <f t="shared" si="38"/>
        <v>#NUM!</v>
      </c>
      <c r="BG175" s="161" t="str">
        <f t="shared" si="8"/>
        <v>#NUM!</v>
      </c>
      <c r="BH175" s="153" t="str">
        <f t="shared" si="9"/>
        <v>#NUM!</v>
      </c>
      <c r="BI175" s="153">
        <f>AVERAGE(OFFSET($BH$3,0,0,'Données projet'!$E$11+1,1))-AVERAGE(OFFSET($H$3,0,0,'Données projet'!$E$11+1,1))</f>
        <v>0</v>
      </c>
      <c r="BJ175" s="153">
        <f t="shared" si="39"/>
        <v>0</v>
      </c>
      <c r="BK175" s="154">
        <f>IF(ISNA(VLOOKUP(A175,'Données projet'!$A$87:$I$107,3,0)),0,VLOOKUP(A175,'Données projet'!$A$87:$I$107,3,0))</f>
        <v>0</v>
      </c>
      <c r="BL175" s="154">
        <f>IF(ISNA(VLOOKUP(A175,'Données projet'!$A$87:$I$107,4,0)),0,VLOOKUP(A175,'Données projet'!$A$87:$I$107,4,0))</f>
        <v>0</v>
      </c>
      <c r="BM175" s="155">
        <f>IF(ISNA(VLOOKUP(A175,'Données projet'!$A$87:$I$107,5,0)),0%,VLOOKUP(A175,'Données projet'!$A$87:$I$107,5,0)*VLOOKUP('Données projet'!$B$11,'Paramètres'!$A$1:$I$88,7,0))</f>
        <v>0</v>
      </c>
      <c r="BN175" s="155">
        <f>IF(ISNA(VLOOKUP(A175,'Données projet'!$A$87:$I$107,6,0)),0%,VLOOKUP(A175,'Données projet'!$A$87:$I$107,6,0)*VLOOKUP('Données projet'!$B$11,'Paramètres'!$A$1:$I$88,7,0))</f>
        <v>0</v>
      </c>
      <c r="BO175" s="155">
        <f>IF(ISNA(VLOOKUP(A175,'Données projet'!$A$87:$I$107,7,0)),0%,VLOOKUP(A175,'Données projet'!$A$87:$I$107,7,0))</f>
        <v>0</v>
      </c>
      <c r="BP175" s="162">
        <f>EXP(-LN(2)/35)*BP174+(1-EXP(-LN(2)/35))/(LN(2)/35)*BL175*BM175*VLOOKUP('Données projet'!$B$11,'Paramètres'!$A$1:$I$88,3,0)*0.475*44/12</f>
        <v>0</v>
      </c>
      <c r="BQ175" s="162">
        <f>EXP(-LN(2)/25)*BQ174+(1-EXP(-LN(2)/25))/(LN(2)/25)*Calculateur!BL175*Calculateur!BN175*VLOOKUP('Données projet'!$B$11,'Paramètres'!$A$1:$I$88,3,0)*0.475*44/12</f>
        <v>0</v>
      </c>
      <c r="BR175" s="162">
        <f>EXP(-LN(2)/2)*BR174+(1-EXP(-LN(2)/2))/(LN(2)/2)*BL175*BO175*VLOOKUP('Données projet'!$B$11,'Paramètres'!$A$1:$I$88,3,0)*0.475*44/12</f>
        <v>0</v>
      </c>
      <c r="BS175" s="163">
        <f t="shared" si="10"/>
        <v>0</v>
      </c>
      <c r="BT175" s="159">
        <f>('Scénario référence'!$F$8+'Scénario référence'!$F$9+'Scénario référence'!$B$17+'Scénario référence'!$B$9+'Scénario référence'!$B$10)*70+IF((45+25*(1-EXP(-0.0175*A175)))&lt;70,'Scénario référence'!$B$16*(45+25*(1-EXP(-0.0175*A175))),70*'Scénario référence'!$B$16)+IF((32+38*(1-EXP(-0.0175*A175)))&lt;70,'Scénario référence'!$B$18*(32+38*(1-EXP(-0.0175*A175))),70*'Scénario référence'!$B$18)</f>
        <v>70</v>
      </c>
      <c r="BU175" s="151">
        <f>IF(A175&gt;30,10,('Scénario référence'!$B$16+'Scénario référence'!$B$17+'Scénario référence'!$B$18+'Scénario référence'!$B$9+'Scénario référence'!$B$10)*A175*10/30+('Scénario référence'!$F$8+'Scénario référence'!$F$9)*10)</f>
        <v>10</v>
      </c>
      <c r="BV175" s="151" t="str">
        <f>VLOOKUP(A175,'Données projet'!$A$113:$I$133,2,0)</f>
        <v>#N/A</v>
      </c>
      <c r="BW175" s="151" t="str">
        <f>VLOOKUP(A175,'Données projet'!$A$113:$I$133,9,0)</f>
        <v>#N/A</v>
      </c>
      <c r="BX175" s="151" t="str">
        <f t="array" ref="BX175">INDEX(BW:BW,MIN(IF(ISNUMBER(BW175:BW371),ROW(BW175:BW371),"")))</f>
        <v/>
      </c>
      <c r="BY175" s="150">
        <f>IF('Données projet'!$A$114&gt;35,BY174+BX175-CG174,IF(A175&lt;'Données projet'!$A$114,$BV$205^A175,IF(A175='Données projet'!$A$114,'Données projet'!$B$114,BY174+BX175-CG174)))</f>
        <v>0</v>
      </c>
      <c r="BZ175" s="150" t="str">
        <f>BY175*VLOOKUP('Données projet'!$B$12,'Paramètres'!$A$1:$I$88,3,0)*VLOOKUP('Données projet'!$B$12,'Paramètres'!$A$1:$I$88,5,0)</f>
        <v>#N/A</v>
      </c>
      <c r="CA175" s="150" t="str">
        <f t="shared" si="40"/>
        <v>#N/A</v>
      </c>
      <c r="CB175" s="161" t="str">
        <f t="shared" si="11"/>
        <v>#N/A</v>
      </c>
      <c r="CC175" s="153" t="str">
        <f t="shared" si="12"/>
        <v>#N/A</v>
      </c>
      <c r="CD175" s="153" t="str">
        <f>AVERAGE(OFFSET($CC$3,0,0,'Données projet'!$E$12+1,1))-AVERAGE(OFFSET($H$3,0,0,'Données projet'!$E$12+1,1))</f>
        <v>#N/A</v>
      </c>
      <c r="CE175" s="153" t="str">
        <f t="shared" si="41"/>
        <v>#N/A</v>
      </c>
      <c r="CF175" s="154">
        <f>IF(ISNA(VLOOKUP(A175,'Données projet'!$A$113:$I$133,3,0)),0,VLOOKUP(A175,'Données projet'!$A$113:$I$133,3,0))</f>
        <v>0</v>
      </c>
      <c r="CG175" s="154">
        <f>IF(ISNA(VLOOKUP(A175,'Données projet'!$A$113:$I$133,4,0)),0,VLOOKUP(A175,'Données projet'!$A$113:$I$133,4,0))</f>
        <v>0</v>
      </c>
      <c r="CH175" s="155">
        <f>IF(ISNA(VLOOKUP(A175,'Données projet'!$A$113:$I$133,5,0)),0%,VLOOKUP(A175,'Données projet'!$A$113:$I$133,5,0)*VLOOKUP('Données projet'!$B$12,'Paramètres'!$A$1:$I$88,7,0))</f>
        <v>0</v>
      </c>
      <c r="CI175" s="155">
        <f>IF(ISNA(VLOOKUP(A175,'Données projet'!$A$113:$I$133,6,0)),0%,VLOOKUP(A175,'Données projet'!$A$113:$I$133,6,0)*VLOOKUP('Données projet'!$B$12,'Paramètres'!$A$1:$I$88,7,0))</f>
        <v>0</v>
      </c>
      <c r="CJ175" s="155">
        <f>IF(ISNA(VLOOKUP(A175,'Données projet'!$A$113:$I$133,7,0)),0%,VLOOKUP(A175,'Données projet'!$A$113:$I$133,7,0))</f>
        <v>0</v>
      </c>
      <c r="CK175" s="162" t="str">
        <f>EXP(-LN(2)/35)*CK174+(1-EXP(-LN(2)/35))/(LN(2)/35)*CG175*CH175*VLOOKUP('Données projet'!$B$12,'Paramètres'!$A$1:$I$88,3,0)*0.475*44/12</f>
        <v>#N/A</v>
      </c>
      <c r="CL175" s="162" t="str">
        <f>EXP(-LN(2)/25)*CL174+(1-EXP(-LN(2)/25))/(LN(2)/25)*Calculateur!CG175*Calculateur!CI175*VLOOKUP('Données projet'!$B$12,'Paramètres'!$A$1:$I$88,3,0)*0.475*44/12</f>
        <v>#N/A</v>
      </c>
      <c r="CM175" s="162" t="str">
        <f>EXP(-LN(2)/2)*CM174+(1-EXP(-LN(2)/2))/(LN(2)/2)*CG175*CJ175*VLOOKUP('Données projet'!$B$12,'Paramètres'!$A$1:$I$88,3,0)*0.475*44/12</f>
        <v>#N/A</v>
      </c>
      <c r="CN175" s="163" t="str">
        <f t="shared" si="13"/>
        <v>#N/A</v>
      </c>
      <c r="CO175" s="159">
        <f>('Scénario référence'!$F$8+'Scénario référence'!$F$9+'Scénario référence'!$B$17+'Scénario référence'!$B$9+'Scénario référence'!$B$10)*70+IF((45+25*(1-EXP(-0.0175*A175)))&lt;70,'Scénario référence'!$B$16*(45+25*(1-EXP(-0.0175*A175))),70*'Scénario référence'!$B$16)+IF((32+38*(1-EXP(-0.0175*A175)))&lt;70,'Scénario référence'!$B$18*(32+38*(1-EXP(-0.0175*A175))),70*'Scénario référence'!$B$18)</f>
        <v>70</v>
      </c>
      <c r="CP175" s="151">
        <f>IF(A175&gt;30,10,('Scénario référence'!$B$16+'Scénario référence'!$B$17+'Scénario référence'!$B$18+'Scénario référence'!$B$9+'Scénario référence'!$B$10)*A175*10/30+('Scénario référence'!$F$8+'Scénario référence'!$F$9)*10)</f>
        <v>10</v>
      </c>
      <c r="CQ175" s="151" t="str">
        <f>VLOOKUP(A175,'Données projet'!$A$139:$I$159,2,0)</f>
        <v>#N/A</v>
      </c>
      <c r="CR175" s="151" t="str">
        <f>VLOOKUP(A175,'Données projet'!$A$139:$I$159,9,0)</f>
        <v>#N/A</v>
      </c>
      <c r="CS175" s="151" t="str">
        <f t="array" ref="CS175">INDEX(CR:CR,MIN(IF(ISNUMBER(CR175:CR371),ROW(CR175:CR371),"")))</f>
        <v/>
      </c>
      <c r="CT175" s="151">
        <f>IF('Données projet'!$A$140&gt;35,CT174+CS175-DB174,IF(A175&lt;'Données projet'!$A$140,$CQ$205^A175,IF(A175='Données projet'!$A$140,'Données projet'!$B$140,CT174+CS175-DB174)))</f>
        <v>0</v>
      </c>
      <c r="CU175" s="158" t="str">
        <f>CT175*VLOOKUP('Données projet'!$B$13,'Paramètres'!$A$1:$I$88,3,0)*VLOOKUP('Données projet'!$B$13,'Paramètres'!$A$1:$I$88,5,0)</f>
        <v>#N/A</v>
      </c>
      <c r="CV175" s="150" t="str">
        <f t="shared" si="42"/>
        <v>#N/A</v>
      </c>
      <c r="CW175" s="161" t="str">
        <f t="shared" si="14"/>
        <v>#N/A</v>
      </c>
      <c r="CX175" s="153" t="str">
        <f t="shared" si="15"/>
        <v>#N/A</v>
      </c>
      <c r="CY175" s="153" t="str">
        <f>AVERAGE(OFFSET($CX$3,0,0,'Données projet'!$E$13+1,1))-AVERAGE(OFFSET($H$3,0,0,'Données projet'!$E$13+1,1))</f>
        <v>#N/A</v>
      </c>
      <c r="CZ175" s="153" t="str">
        <f t="shared" si="43"/>
        <v>#N/A</v>
      </c>
      <c r="DA175" s="154">
        <f>IF(ISNA(VLOOKUP(A175,'Données projet'!$A$139:$I$159,3,0)),0,VLOOKUP(A175,'Données projet'!$A$139:$I$159,3,0))</f>
        <v>0</v>
      </c>
      <c r="DB175" s="154">
        <f>IF(ISNA(VLOOKUP(A175,'Données projet'!$A$139:$I$159,4,0)),0,VLOOKUP(A175,'Données projet'!$A$139:$I$159,4,0))</f>
        <v>0</v>
      </c>
      <c r="DC175" s="155">
        <f>IF(ISNA(VLOOKUP(A175,'Données projet'!$A$139:$I$159,5,0)),0%,VLOOKUP(A175,'Données projet'!$A$139:$I$159,5,0)*VLOOKUP('Données projet'!$B$13,'Paramètres'!$A$1:$I$88,7,0))</f>
        <v>0</v>
      </c>
      <c r="DD175" s="155">
        <f>IF(ISNA(VLOOKUP(A175,'Données projet'!$A$139:$I$159,6,0)),0%,VLOOKUP(A175,'Données projet'!$A$139:$I$159,6,0)*VLOOKUP('Données projet'!$B$13,'Paramètres'!$A$1:$I$88,7,0))</f>
        <v>0</v>
      </c>
      <c r="DE175" s="155">
        <f>IF(ISNA(VLOOKUP(A175,'Données projet'!$A$139:$I$159,7,0)),0%,VLOOKUP(A175,'Données projet'!$A$139:$I$159,7,0))</f>
        <v>0</v>
      </c>
      <c r="DF175" s="162" t="str">
        <f>EXP(-LN(2)/35)*DF174+(1-EXP(-LN(2)/35))/(LN(2)/35)*DB175*DC175*VLOOKUP('Données projet'!$B$13,'Paramètres'!$A$1:$I$88,3,0)*0.475*44/12</f>
        <v>#N/A</v>
      </c>
      <c r="DG175" s="162" t="str">
        <f>EXP(-LN(2)/25)*DG174+(1-EXP(-LN(2)/25))/(LN(2)/25)*Calculateur!DB175*Calculateur!DD175*VLOOKUP('Données projet'!$B$13,'Paramètres'!$A$1:$I$88,3,0)*0.475*44/12</f>
        <v>#N/A</v>
      </c>
      <c r="DH175" s="162" t="str">
        <f>EXP(-LN(2)/2)*DH174+(1-EXP(-LN(2)/2))/(LN(2)/2)*DB175*DE175*VLOOKUP('Données projet'!$B$13,'Paramètres'!$A$1:$I$88,3,0)*0.475*44/12</f>
        <v>#N/A</v>
      </c>
      <c r="DI175" s="163" t="str">
        <f t="shared" si="16"/>
        <v>#N/A</v>
      </c>
      <c r="DJ175" s="159">
        <f>('Scénario référence'!$F$8+'Scénario référence'!$F$9+'Scénario référence'!$B$17+'Scénario référence'!$B$9+'Scénario référence'!$B$10)*70+IF((45+25*(1-EXP(-0.0175*A175)))&lt;70,'Scénario référence'!$B$16*(45+25*(1-EXP(-0.0175*A175))),70*'Scénario référence'!$B$16)+IF((32+38*(1-EXP(-0.0175*A175)))&lt;70,'Scénario référence'!$B$18*(32+38*(1-EXP(-0.0175*A175))),70*'Scénario référence'!$B$18)</f>
        <v>70</v>
      </c>
      <c r="DK175" s="151">
        <f>IF(A175&gt;30,10,('Scénario référence'!$B$16+'Scénario référence'!$B$17+'Scénario référence'!$B$18+'Scénario référence'!$B$9+'Scénario référence'!$B$10)*A175*10/30+('Scénario référence'!$F$8+'Scénario référence'!$F$9)*10)</f>
        <v>10</v>
      </c>
      <c r="DL175" s="151" t="str">
        <f>VLOOKUP(A175,'Données projet'!$A$165:$I$185,2,0)</f>
        <v>#N/A</v>
      </c>
      <c r="DM175" s="151" t="str">
        <f>VLOOKUP(A175,'Données projet'!$A$165:$I$185,9,0)</f>
        <v>#N/A</v>
      </c>
      <c r="DN175" s="151" t="str">
        <f t="array" ref="DN175">INDEX(DM:DM,MIN(IF(ISNUMBER(DM175:DM371),ROW(DM175:DM371),"")))</f>
        <v/>
      </c>
      <c r="DO175" s="151">
        <f>IF('Données projet'!$A$166&gt;35,DO174+DN175-DW174,IF(A175&lt;'Données projet'!$A$166,$DL$205^A175,IF(A175='Données projet'!$A$166,'Données projet'!$B$166,DO174+DN175-DW174)))</f>
        <v>0</v>
      </c>
      <c r="DP175" s="158" t="str">
        <f>DO175*VLOOKUP('Données projet'!$B$14,'Paramètres'!$A$1:$I$88,3,0)*VLOOKUP('Données projet'!$B$14,'Paramètres'!$A$1:$I$88,5,0)</f>
        <v>#N/A</v>
      </c>
      <c r="DQ175" s="150" t="str">
        <f t="shared" si="44"/>
        <v>#N/A</v>
      </c>
      <c r="DR175" s="161" t="str">
        <f t="shared" si="17"/>
        <v>#N/A</v>
      </c>
      <c r="DS175" s="153" t="str">
        <f t="shared" si="18"/>
        <v>#N/A</v>
      </c>
      <c r="DT175" s="153" t="str">
        <f>AVERAGE(OFFSET($DS$3,0,0,'Données projet'!$E$14+1,1))-AVERAGE(OFFSET($H$3,0,0,'Données projet'!$E$14+1,1))</f>
        <v>#N/A</v>
      </c>
      <c r="DU175" s="153" t="str">
        <f t="shared" si="45"/>
        <v>#N/A</v>
      </c>
      <c r="DV175" s="154">
        <f>IF(ISNA(VLOOKUP(A175,'Données projet'!$A$165:$I$185,3,0)),0,VLOOKUP(A175,'Données projet'!$A$165:$I$185,3,0))</f>
        <v>0</v>
      </c>
      <c r="DW175" s="154">
        <f>IF(ISNA(VLOOKUP(A175,'Données projet'!$A$165:$I$185,4,0)),0,VLOOKUP(A175,'Données projet'!$A$165:$I$185,4,0))</f>
        <v>0</v>
      </c>
      <c r="DX175" s="155">
        <f>IF(ISNA(VLOOKUP(A175,'Données projet'!$A$165:$I$185,5,0)),0%,VLOOKUP(A175,'Données projet'!$A$165:$I$185,5,0)*VLOOKUP('Données projet'!$B$14,'Paramètres'!$A$1:$I$88,7,0))</f>
        <v>0</v>
      </c>
      <c r="DY175" s="155">
        <f>IF(ISNA(VLOOKUP(A175,'Données projet'!$A$165:$I$185,6,0)),0%,VLOOKUP(A175,'Données projet'!$A$165:$I$185,6,0)*VLOOKUP('Données projet'!$B$14,'Paramètres'!$A$1:$I$88,7,0))</f>
        <v>0</v>
      </c>
      <c r="DZ175" s="155">
        <f>IF(ISNA(VLOOKUP(A175,'Données projet'!$A$165:$I$185,7,0)),0%,VLOOKUP(A175,'Données projet'!$A$165:$I$185,7,0))</f>
        <v>0</v>
      </c>
      <c r="EA175" s="162" t="str">
        <f>EXP(-LN(2)/35)*EA174+(1-EXP(-LN(2)/35))/(LN(2)/35)*DW175*DX175*VLOOKUP('Données projet'!$B$14,'Paramètres'!$A$1:$I$88,3,0)*0.475*44/12</f>
        <v>#N/A</v>
      </c>
      <c r="EB175" s="162" t="str">
        <f>EXP(-LN(2)/25)*EB174+(1-EXP(-LN(2)/25))/(LN(2)/25)*Calculateur!DW175*Calculateur!DY175*VLOOKUP('Données projet'!$B$14,'Paramètres'!$A$1:$I$88,3,0)*0.475*44/12</f>
        <v>#N/A</v>
      </c>
      <c r="EC175" s="162" t="str">
        <f>EXP(-LN(2)/2)*EC174+(1-EXP(-LN(2)/2))/(LN(2)/2)*DW175*DZ175*VLOOKUP('Données projet'!$B$14,'Paramètres'!$A$1:$I$88,3,0)*0.475*44/12</f>
        <v>#N/A</v>
      </c>
      <c r="ED175" s="163" t="str">
        <f t="shared" si="19"/>
        <v>#N/A</v>
      </c>
      <c r="EE175" s="159">
        <f>('Scénario référence'!$F$8+'Scénario référence'!$F$9+'Scénario référence'!$B$17+'Scénario référence'!$B$9+'Scénario référence'!$B$10)*70+IF((45+25*(1-EXP(-0.0175*A175)))&lt;70,'Scénario référence'!$B$16*(45+25*(1-EXP(-0.0175*A175))),70*'Scénario référence'!$B$16)+IF((32+38*(1-EXP(-0.0175*A175)))&lt;70,'Scénario référence'!$B$18*(32+38*(1-EXP(-0.0175*A175))),70*'Scénario référence'!$B$18)</f>
        <v>70</v>
      </c>
      <c r="EF175" s="151">
        <f>IF(A175&gt;30,10,('Scénario référence'!$B$16+'Scénario référence'!$B$17+'Scénario référence'!$B$18+'Scénario référence'!$B$9+'Scénario référence'!$B$10)*A175*10/30+('Scénario référence'!$F$8+'Scénario référence'!$F$9)*10)</f>
        <v>10</v>
      </c>
      <c r="EG175" s="151" t="str">
        <f>VLOOKUP(A175,'Données projet'!$A$191:$I$211,2,0)</f>
        <v>#N/A</v>
      </c>
      <c r="EH175" s="151" t="str">
        <f>VLOOKUP(A175,'Données projet'!$A$191:$I$211,9,0)</f>
        <v>#N/A</v>
      </c>
      <c r="EI175" s="151" t="str">
        <f t="array" ref="EI175">INDEX(EH:EH,MIN(IF(ISNUMBER(EH175:EH371),ROW(EH175:EH371),"")))</f>
        <v/>
      </c>
      <c r="EJ175" s="151">
        <f>IF('Données projet'!$A$192&gt;35,EJ174+EI175-ER174,IF(A175&lt;'Données projet'!$A$192,$EG$205^A175,IF(A175='Données projet'!$A$192,'Données projet'!$B$192,EJ174+EI175-ER174)))</f>
        <v>0</v>
      </c>
      <c r="EK175" s="158" t="str">
        <f>EJ175*VLOOKUP('Données projet'!$B$15,'Paramètres'!$A$1:$I$88,3,0)*VLOOKUP('Données projet'!$B$15,'Paramètres'!$A$1:$I$88,5,0)</f>
        <v>#N/A</v>
      </c>
      <c r="EL175" s="150" t="str">
        <f t="shared" si="46"/>
        <v>#N/A</v>
      </c>
      <c r="EM175" s="161" t="str">
        <f t="shared" si="20"/>
        <v>#N/A</v>
      </c>
      <c r="EN175" s="153" t="str">
        <f t="shared" si="21"/>
        <v>#N/A</v>
      </c>
      <c r="EO175" s="153" t="str">
        <f>AVERAGE(OFFSET($EN$3,0,0,'Données projet'!$E$15+1,1))-AVERAGE(OFFSET($H$3,0,0,'Données projet'!$E$15+1,1))</f>
        <v>#N/A</v>
      </c>
      <c r="EP175" s="153" t="str">
        <f t="shared" si="47"/>
        <v>#N/A</v>
      </c>
      <c r="EQ175" s="154">
        <f>IF(ISNA(VLOOKUP(A175,'Données projet'!$A$191:$I$211,3,0)),0,VLOOKUP(A175,'Données projet'!$A$191:$I$211,3,0))</f>
        <v>0</v>
      </c>
      <c r="ER175" s="154">
        <f>IF(ISNA(VLOOKUP(A175,'Données projet'!$A$191:$I$211,4,0)),0,VLOOKUP(A175,'Données projet'!$A$191:$I$211,4,0))</f>
        <v>0</v>
      </c>
      <c r="ES175" s="155">
        <f>IF(ISNA(VLOOKUP(A175,'Données projet'!$A$191:$I$211,5,0)),0%,VLOOKUP(A175,'Données projet'!$A$191:$I$211,5,0)*VLOOKUP('Données projet'!$B$15,'Paramètres'!$A$1:$I$88,7,0))</f>
        <v>0</v>
      </c>
      <c r="ET175" s="155">
        <f>IF(ISNA(VLOOKUP(A175,'Données projet'!$A$191:$I$211,6,0)),0%,VLOOKUP(A175,'Données projet'!$A$191:$I$211,6,0)*VLOOKUP('Données projet'!$B$15,'Paramètres'!$A$1:$I$88,7,0))</f>
        <v>0</v>
      </c>
      <c r="EU175" s="155">
        <f>IF(ISNA(VLOOKUP(A175,'Données projet'!$A$191:$I$211,7,0)),0%,VLOOKUP(A175,'Données projet'!$A$191:$I$211,7,0))</f>
        <v>0</v>
      </c>
      <c r="EV175" s="162" t="str">
        <f>EXP(-LN(2)/35)*EV174+(1-EXP(-LN(2)/35))/(LN(2)/35)*ER175*ES175*VLOOKUP('Données projet'!$B$15,'Paramètres'!$A$1:$I$88,3,0)*0.475*44/12</f>
        <v>#N/A</v>
      </c>
      <c r="EW175" s="162" t="str">
        <f>EXP(-LN(2)/25)*EW174+(1-EXP(-LN(2)/25))/(LN(2)/25)*Calculateur!ER175*Calculateur!ET175*VLOOKUP('Données projet'!$B$15,'Paramètres'!$A$1:$I$88,3,0)*0.475*44/12</f>
        <v>#N/A</v>
      </c>
      <c r="EX175" s="162" t="str">
        <f>EXP(-LN(2)/2)*EX174+(1-EXP(-LN(2)/2))/(LN(2)/2)*ER175*EU175*VLOOKUP('Données projet'!$B$15,'Paramètres'!$A$1:$I$88,3,0)*0.475*44/12</f>
        <v>#N/A</v>
      </c>
      <c r="EY175" s="163" t="str">
        <f t="shared" si="22"/>
        <v>#N/A</v>
      </c>
      <c r="EZ175" s="159">
        <f>('Scénario référence'!$F$8+'Scénario référence'!$F$9+'Scénario référence'!$B$17+'Scénario référence'!$B$9+'Scénario référence'!$B$10)*70+IF((45+25*(1-EXP(-0.0175*A175)))&lt;70,'Scénario référence'!$B$16*(45+25*(1-EXP(-0.0175*A175))),70*'Scénario référence'!$B$16)+IF((32+38*(1-EXP(-0.0175*A175)))&lt;70,'Scénario référence'!$B$18*(32+38*(1-EXP(-0.0175*A175))),70*'Scénario référence'!$B$18)</f>
        <v>70</v>
      </c>
      <c r="FA175" s="151">
        <f>IF(A175&gt;30,10,('Scénario référence'!$B$16+'Scénario référence'!$B$17+'Scénario référence'!$B$18+'Scénario référence'!$B$9+'Scénario référence'!$B$10)*A175*10/30+('Scénario référence'!$F$8+'Scénario référence'!$F$9)*10)</f>
        <v>10</v>
      </c>
      <c r="FB175" s="151" t="str">
        <f>VLOOKUP(A175,'Données projet'!$A$217:$I$237,2,0)</f>
        <v>#N/A</v>
      </c>
      <c r="FC175" s="151" t="str">
        <f>VLOOKUP(A175,'Données projet'!$A$217:$I$237,9,0)</f>
        <v>#N/A</v>
      </c>
      <c r="FD175" s="151" t="str">
        <f t="array" ref="FD175">INDEX(FC:FC,MIN(IF(ISNUMBER(FC175:FC371),ROW(FC175:FC371),"")))</f>
        <v/>
      </c>
      <c r="FE175" s="151">
        <f>IF('Données projet'!$A$218&gt;35,FE174+FD175-FM174,IF(A175&lt;'Données projet'!$A$218,$FB$205^A175,IF(A175='Données projet'!$A$218,'Données projet'!$B$218,FE174+FD175-FM174)))</f>
        <v>0</v>
      </c>
      <c r="FF175" s="158" t="str">
        <f>FE175*VLOOKUP('Données projet'!$B$16,'Paramètres'!$A$1:$I$88,3,0)*VLOOKUP('Données projet'!$B$16,'Paramètres'!$A$1:$I$88,5,0)</f>
        <v>#N/A</v>
      </c>
      <c r="FG175" s="150" t="str">
        <f t="shared" si="48"/>
        <v>#N/A</v>
      </c>
      <c r="FH175" s="161" t="str">
        <f t="shared" si="23"/>
        <v>#N/A</v>
      </c>
      <c r="FI175" s="153" t="str">
        <f t="shared" si="24"/>
        <v>#N/A</v>
      </c>
      <c r="FJ175" s="153" t="str">
        <f>AVERAGE(OFFSET($FI$3,0,0,'Données projet'!$E$16+1,1))-AVERAGE(OFFSET($H$3,0,0,'Données projet'!$E$16+1,1))</f>
        <v>#N/A</v>
      </c>
      <c r="FK175" s="153" t="str">
        <f t="shared" si="49"/>
        <v>#N/A</v>
      </c>
      <c r="FL175" s="154">
        <f>IF(ISNA(VLOOKUP(A175,'Données projet'!$A$217:$I$237,3,0)),0,VLOOKUP(A175,'Données projet'!$A$217:$I$237,3,0))</f>
        <v>0</v>
      </c>
      <c r="FM175" s="154">
        <f>IF(ISNA(VLOOKUP(A175,'Données projet'!$A$217:$I$237,4,0)),0,VLOOKUP(A175,'Données projet'!$A$217:$I$237,4,0))</f>
        <v>0</v>
      </c>
      <c r="FN175" s="155">
        <f>IF(ISNA(VLOOKUP(A175,'Données projet'!$A$217:$I$237,5,0)),0%,VLOOKUP(A175,'Données projet'!$A$217:$I$237,5,0)*VLOOKUP('Données projet'!$B$16,'Paramètres'!$A$1:$I$88,7,0))</f>
        <v>0</v>
      </c>
      <c r="FO175" s="155">
        <f>IF(ISNA(VLOOKUP(A175,'Données projet'!$A$217:$I$237,6,0)),0%,VLOOKUP(A175,'Données projet'!$A$217:$I$237,6,0)*VLOOKUP('Données projet'!$B$16,'Paramètres'!$A$1:$I$88,7,0))</f>
        <v>0</v>
      </c>
      <c r="FP175" s="155">
        <f>IF(ISNA(VLOOKUP(A175,'Données projet'!$A$217:$I$237,7,0)),0%,VLOOKUP(A175,'Données projet'!$A$217:$I$237,7,0))</f>
        <v>0</v>
      </c>
      <c r="FQ175" s="162" t="str">
        <f>EXP(-LN(2)/35)*FQ174+(1-EXP(-LN(2)/35))/(LN(2)/35)*FM175*FN175*VLOOKUP('Données projet'!$B$16,'Paramètres'!$A$1:$I$88,3,0)*0.475*44/12</f>
        <v>#N/A</v>
      </c>
      <c r="FR175" s="162" t="str">
        <f>EXP(-LN(2)/25)*FR174+(1-EXP(-LN(2)/25))/(LN(2)/25)*Calculateur!FM175*Calculateur!FO175*VLOOKUP('Données projet'!$B$16,'Paramètres'!$A$1:$I$88,3,0)*0.475*44/12</f>
        <v>#N/A</v>
      </c>
      <c r="FS175" s="162" t="str">
        <f>EXP(-LN(2)/2)*FS174+(1-EXP(-LN(2)/2))/(LN(2)/2)*FM175*FP175*VLOOKUP('Données projet'!$B$16,'Paramètres'!$A$1:$I$88,3,0)*0.475*44/12</f>
        <v>#N/A</v>
      </c>
      <c r="FT175" s="163" t="str">
        <f t="shared" si="25"/>
        <v>#N/A</v>
      </c>
      <c r="FU175" s="159">
        <f>('Scénario référence'!$F$8+'Scénario référence'!$F$9+'Scénario référence'!$B$17+'Scénario référence'!$B$9+'Scénario référence'!$B$10)*70+IF((45+25*(1-EXP(-0.0175*A175)))&lt;70,'Scénario référence'!$B$16*(45+25*(1-EXP(-0.0175*A175))),70*'Scénario référence'!$B$16)+IF((32+38*(1-EXP(-0.0175*A175)))&lt;70,'Scénario référence'!$B$18*(32+38*(1-EXP(-0.0175*A175))),70*'Scénario référence'!$B$18)</f>
        <v>70</v>
      </c>
      <c r="FV175" s="151">
        <f>IF(A175&gt;30,10,('Scénario référence'!$B$16+'Scénario référence'!$B$17+'Scénario référence'!$B$18+'Scénario référence'!$B$9+'Scénario référence'!$B$10)*A175*10/30+('Scénario référence'!$F$8+'Scénario référence'!$F$9)*10)</f>
        <v>10</v>
      </c>
      <c r="FW175" s="151" t="str">
        <f>VLOOKUP(A175,'Données projet'!$A$243:$I$263,2,0)</f>
        <v>#N/A</v>
      </c>
      <c r="FX175" s="151" t="str">
        <f>VLOOKUP(A175,'Données projet'!$A$243:$I$263,9,0)</f>
        <v>#N/A</v>
      </c>
      <c r="FY175" s="151" t="str">
        <f t="array" ref="FY175">INDEX(FX:FX,MIN(IF(ISNUMBER(FX175:FX371),ROW(FX175:FX371),"")))</f>
        <v/>
      </c>
      <c r="FZ175" s="151">
        <f>IF('Données projet'!$A$244&gt;35,FZ174+FY175-GH174,IF(A175&lt;'Données projet'!$A$244,$FW$205^A175,IF(A175='Données projet'!$A$244,'Données projet'!$B$244,FZ174+FY175-GH174)))</f>
        <v>0</v>
      </c>
      <c r="GA175" s="158" t="str">
        <f>FZ175*VLOOKUP('Données projet'!$B$17,'Paramètres'!$A$1:$I$88,3,0)*VLOOKUP('Données projet'!$B$17,'Paramètres'!$A$1:$I$88,5,0)</f>
        <v>#N/A</v>
      </c>
      <c r="GB175" s="150" t="str">
        <f t="shared" si="50"/>
        <v>#N/A</v>
      </c>
      <c r="GC175" s="161" t="str">
        <f t="shared" si="26"/>
        <v>#N/A</v>
      </c>
      <c r="GD175" s="153" t="str">
        <f t="shared" si="27"/>
        <v>#N/A</v>
      </c>
      <c r="GE175" s="153" t="str">
        <f>AVERAGE(OFFSET($GD$3,0,0,'Données projet'!$E$17+1,1))-AVERAGE(OFFSET($H$3,0,0,'Données projet'!$E$17+1,1))</f>
        <v>#N/A</v>
      </c>
      <c r="GF175" s="153" t="str">
        <f t="shared" si="51"/>
        <v>#N/A</v>
      </c>
      <c r="GG175" s="154">
        <f>IF(ISNA(VLOOKUP(A175,'Données projet'!$A$243:$I$263,3,0)),0,VLOOKUP(A175,'Données projet'!$A$243:$I$263,3,0))</f>
        <v>0</v>
      </c>
      <c r="GH175" s="154">
        <f>IF(ISNA(VLOOKUP(A175,'Données projet'!$A$243:$I$263,4,0)),0,VLOOKUP(A175,'Données projet'!$A$243:$I$263,4,0))</f>
        <v>0</v>
      </c>
      <c r="GI175" s="155">
        <f>IF(ISNA(VLOOKUP(A175,'Données projet'!$A$243:$I$263,5,0)),0%,VLOOKUP(A175,'Données projet'!$A$243:$I$263,5,0)*VLOOKUP('Données projet'!$B$17,'Paramètres'!$A$1:$I$88,7,0))</f>
        <v>0</v>
      </c>
      <c r="GJ175" s="155">
        <f>IF(ISNA(VLOOKUP(A175,'Données projet'!$A$243:$I$263,6,0)),0%,VLOOKUP(A175,'Données projet'!$A$243:$I$263,6,0)*VLOOKUP('Données projet'!$B$17,'Paramètres'!$A$1:$I$88,7,0))</f>
        <v>0</v>
      </c>
      <c r="GK175" s="155">
        <f>IF(ISNA(VLOOKUP(A175,'Données projet'!$A$243:$I$263,7,0)),0%,VLOOKUP(A175,'Données projet'!$A$243:$I$263,7,0))</f>
        <v>0</v>
      </c>
      <c r="GL175" s="162" t="str">
        <f>EXP(-LN(2)/35)*GL174+(1-EXP(-LN(2)/35))/(LN(2)/35)*GH175*GI175*VLOOKUP('Données projet'!$B$17,'Paramètres'!$A$1:$I$88,3,0)*0.475*44/12</f>
        <v>#N/A</v>
      </c>
      <c r="GM175" s="162" t="str">
        <f>EXP(-LN(2)/25)*GM174+(1-EXP(-LN(2)/25))/(LN(2)/25)*Calculateur!GH175*Calculateur!GJ175*VLOOKUP('Données projet'!$B$17,'Paramètres'!$A$1:$I$88,3,0)*0.475*44/12</f>
        <v>#N/A</v>
      </c>
      <c r="GN175" s="162" t="str">
        <f>EXP(-LN(2)/2)*GN174+(1-EXP(-LN(2)/2))/(LN(2)/2)*GH175*GK175*VLOOKUP('Données projet'!$B$17,'Paramètres'!$A$1:$I$88,3,0)*0.475*44/12</f>
        <v>#N/A</v>
      </c>
      <c r="GO175" s="162" t="str">
        <f t="shared" si="28"/>
        <v>#N/A</v>
      </c>
      <c r="GP175" s="159">
        <f>('Scénario référence'!$F$8+'Scénario référence'!$F$9+'Scénario référence'!$B$17+'Scénario référence'!$B$9+'Scénario référence'!$B$10)*70+IF((45+25*(1-EXP(-0.0175*A175)))&lt;70,'Scénario référence'!$B$16*(45+25*(1-EXP(-0.0175*A175))),70*'Scénario référence'!$B$16)+IF((32+38*(1-EXP(-0.0175*A175)))&lt;70,'Scénario référence'!$B$18*(32+38*(1-EXP(-0.0175*A175))),70*'Scénario référence'!$B$18)</f>
        <v>70</v>
      </c>
      <c r="GQ175" s="151">
        <f>IF(A175&gt;30,10,('Scénario référence'!$B$16+'Scénario référence'!$B$17+'Scénario référence'!$B$18+'Scénario référence'!$B$9+'Scénario référence'!$B$10)*A175*10/30+('Scénario référence'!$F$8+'Scénario référence'!$F$9)*10)</f>
        <v>10</v>
      </c>
      <c r="GR175" s="151" t="str">
        <f>VLOOKUP(A175,'Données projet'!$A$269:$I$289,2,0)</f>
        <v>#N/A</v>
      </c>
      <c r="GS175" s="151" t="str">
        <f>VLOOKUP(A175,'Données projet'!$A$269:$I$289,9,0)</f>
        <v>#N/A</v>
      </c>
      <c r="GT175" s="151" t="str">
        <f t="array" ref="GT175">INDEX(GS:GS,MIN(IF(ISNUMBER(GS175:GS371),ROW(GS175:GS371),"")))</f>
        <v/>
      </c>
      <c r="GU175" s="151">
        <f>IF('Données projet'!$A$270&gt;35,GU174+GT175-HC174,IF(A175&lt;'Données projet'!$A$270,$GR$205^A175,IF(A175='Données projet'!$A$270,'Données projet'!$B$270,GU174+GT175-HC174)))</f>
        <v>0</v>
      </c>
      <c r="GV175" s="158" t="str">
        <f>GU175*VLOOKUP('Données projet'!$B$18,'Paramètres'!$A$1:$I$88,3,0)*VLOOKUP('Données projet'!$B$18,'Paramètres'!$A$1:$I$88,5,0)</f>
        <v>#N/A</v>
      </c>
      <c r="GW175" s="150" t="str">
        <f t="shared" si="52"/>
        <v>#N/A</v>
      </c>
      <c r="GX175" s="161" t="str">
        <f t="shared" si="29"/>
        <v>#N/A</v>
      </c>
      <c r="GY175" s="153" t="str">
        <f t="shared" si="30"/>
        <v>#N/A</v>
      </c>
      <c r="GZ175" s="153" t="str">
        <f>AVERAGE(OFFSET($GY$3,0,0,'Données projet'!$E$18+1,1))-AVERAGE(OFFSET($H$3,0,0,'Données projet'!$E$18+1,1))</f>
        <v>#N/A</v>
      </c>
      <c r="HA175" s="153" t="str">
        <f t="shared" si="53"/>
        <v>#N/A</v>
      </c>
      <c r="HB175" s="154">
        <f>IF(ISNA(VLOOKUP(A175,'Données projet'!$A$269:$I$289,3,0)),0,VLOOKUP(A175,'Données projet'!$A$269:$I$289,3,0))</f>
        <v>0</v>
      </c>
      <c r="HC175" s="154">
        <f>IF(ISNA(VLOOKUP(A175,'Données projet'!$A$269:$I$289,4,0)),0,VLOOKUP(A175,'Données projet'!$A$269:$I$289,4,0))</f>
        <v>0</v>
      </c>
      <c r="HD175" s="155">
        <f>IF(ISNA(VLOOKUP(A175,'Données projet'!$A$269:$I$289,5,0)),0%,VLOOKUP(A175,'Données projet'!$A$269:$I$289,5,0)*VLOOKUP('Données projet'!$B$18,'Paramètres'!$A$1:$I$88,7,0))</f>
        <v>0</v>
      </c>
      <c r="HE175" s="155">
        <f>IF(ISNA(VLOOKUP(A175,'Données projet'!$A$269:$I$289,6,0)),0%,VLOOKUP(A175,'Données projet'!$A$269:$I$289,6,0)*VLOOKUP('Données projet'!$B$18,'Paramètres'!$A$1:$I$88,7,0))</f>
        <v>0</v>
      </c>
      <c r="HF175" s="155">
        <f>IF(ISNA(VLOOKUP(A175,'Données projet'!$A$269:$I$289,7,0)),0%,VLOOKUP(A175,'Données projet'!$A$269:$I$289,7,0))</f>
        <v>0</v>
      </c>
      <c r="HG175" s="162" t="str">
        <f>EXP(-LN(2)/35)*HG174+(1-EXP(-LN(2)/35))/(LN(2)/35)*HC175*HD175*VLOOKUP('Données projet'!$B$18,'Paramètres'!$A$1:$I$88,3,0)*0.475*44/12</f>
        <v>#N/A</v>
      </c>
      <c r="HH175" s="162" t="str">
        <f>EXP(-LN(2)/25)*HH174+(1-EXP(-LN(2)/25))/(LN(2)/25)*Calculateur!HC175*Calculateur!HE175*VLOOKUP('Données projet'!$B$18,'Paramètres'!$A$1:$I$88,3,0)*0.475*44/12</f>
        <v>#N/A</v>
      </c>
      <c r="HI175" s="162" t="str">
        <f>EXP(-LN(2)/2)*HI174+(1-EXP(-LN(2)/2))/(LN(2)/2)*HC175*HF175*VLOOKUP('Données projet'!$B$18,'Paramètres'!$A$1:$I$88,3,0)*0.475*44/12</f>
        <v>#N/A</v>
      </c>
      <c r="HJ175" s="163" t="str">
        <f t="shared" si="31"/>
        <v>#N/A</v>
      </c>
    </row>
    <row r="176" ht="15.75" customHeight="1">
      <c r="A176" s="145">
        <f t="shared" si="32"/>
        <v>173</v>
      </c>
      <c r="B176" s="146">
        <f>'Scénario référence'!$B$16*5+'Scénario référence'!$B$17*0+'Scénario référence'!$B$18*5</f>
        <v>0</v>
      </c>
      <c r="C176" s="160">
        <f>Calculateur!C175+'Scénario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76" s="147">
        <f t="shared" si="33"/>
        <v>0</v>
      </c>
      <c r="E176" s="147">
        <f>'Scénario référence'!$B$16*45+('Scénario référence'!$B$17+'Scénario référence'!$F$8+'Scénario référence'!$F$9+'Scénario référence'!$B$10+'Scénario référence'!$B$9)*70+'Scénario référence'!$B$18*32</f>
        <v>70</v>
      </c>
      <c r="F176" s="147">
        <f>IF(OR('Scénario référence'!$F$8&gt;0,'Scénario référence'!$F$9&gt;0),('Scénario référence'!$F$8+'Scénario référence'!$F$9)*10,0)</f>
        <v>0</v>
      </c>
      <c r="G176" s="147">
        <f>'Scénario référence'!$B$8*B176*44/12+'Scénario référence'!$B$9*(C176+D176)/0.475*44/12+'Scénario référence'!$B$10*(C176+D176)/0.475*44/12+'Scénario référence'!$F$8*(C176+D176)/0.475*44/12+'Scénario référence'!$F$9*(C176+D176)/0.475*44/12</f>
        <v>0</v>
      </c>
      <c r="H176" s="148">
        <f t="shared" si="1"/>
        <v>256.6666667</v>
      </c>
      <c r="I176" s="149">
        <f>('Scénario référence'!$F$8+'Scénario référence'!$F$9+'Scénario référence'!$B$17+'Scénario référence'!$B$9+'Scénario référence'!$B$10)*70+IF((45+25*(1-EXP(-0.0175*A176)))&lt;70,'Scénario référence'!$B$16*(45+25*(1-EXP(-0.0175*A176))),70*'Scénario référence'!$B$16)+IF((32+38*(1-EXP(-0.0175*A176)))&lt;70,'Scénario référence'!$B$18*(32+38*(1-EXP(-0.0175*A176))),70*'Scénario référence'!$B$18)</f>
        <v>70</v>
      </c>
      <c r="J176" s="150">
        <f>IF(A176&gt;30,10,('Scénario référence'!$B$16+'Scénario référence'!$B$17+'Scénario référence'!$B$18+'Scénario référence'!$B$9+'Scénario référence'!$B$10)*A176*10/30+('Scénario référence'!$F$8+'Scénario référence'!$F$9)*10)</f>
        <v>10</v>
      </c>
      <c r="K176" s="151" t="str">
        <f>VLOOKUP(A176,'Données projet'!$A$35:$I$55,2,0)</f>
        <v>#N/A</v>
      </c>
      <c r="L176" s="151" t="str">
        <f>VLOOKUP(A176,'Données projet'!$A$35:$I$55,9,0)</f>
        <v>#N/A</v>
      </c>
      <c r="M176" s="151" t="str">
        <f t="array" ref="M176">INDEX(L:L,MIN(IF(ISNUMBER(L176:L372),ROW(L176:L372),"")))</f>
        <v/>
      </c>
      <c r="N176" s="150">
        <f>IF('Données projet'!$A$36&gt;35,N175+M176-V175,IF(A176&lt;'Données projet'!$A$36,$K$205^A176,IF(A176='Données projet'!$A$36,'Données projet'!$B$36,N175+M176-V175)))</f>
        <v>307</v>
      </c>
      <c r="O176" s="150">
        <f>N176*VLOOKUP('Données projet'!$B$9,'Paramètres'!$A$1:$I$88,3,0)*VLOOKUP('Données projet'!$B$9,'Paramètres'!$A$1:$I$88,5,0)</f>
        <v>277.7736</v>
      </c>
      <c r="P176" s="150">
        <f t="shared" si="34"/>
        <v>66.49628818</v>
      </c>
      <c r="Q176" s="161">
        <f t="shared" si="2"/>
        <v>599.6033886</v>
      </c>
      <c r="R176" s="153">
        <f t="shared" si="3"/>
        <v>892.9367219</v>
      </c>
      <c r="S176" s="153">
        <f>AVERAGE(OFFSET($R$3,0,0,'Données projet'!$E$9+1,1))-AVERAGE(OFFSET($H$3,0,0,'Données projet'!$E$9+1,1))</f>
        <v>439.1985427</v>
      </c>
      <c r="T176" s="153">
        <f t="shared" si="35"/>
        <v>278.2174123</v>
      </c>
      <c r="U176" s="154">
        <f>IF(ISNA(VLOOKUP(A176,'Données projet'!$A$35:$I$55,3,0)),0,VLOOKUP(A176,'Données projet'!$A$35:$I$55,3,0))</f>
        <v>0</v>
      </c>
      <c r="V176" s="154">
        <f>IF(ISNA(VLOOKUP(A176,'Données projet'!$A$35:$I$55,4,0)),0,VLOOKUP(A176,'Données projet'!$A$35:$I$55,4,0))</f>
        <v>0</v>
      </c>
      <c r="W176" s="155">
        <f>IF(ISNA(VLOOKUP(A176,'Données projet'!$A$35:$I$55,5,0)),0%,VLOOKUP(A176,'Données projet'!$A$35:$I$55,5,0)*VLOOKUP('Données projet'!$B$9,'Paramètres'!$A$1:$I$88,7,0))</f>
        <v>0</v>
      </c>
      <c r="X176" s="155">
        <f>IF(ISNA(VLOOKUP(A176,'Données projet'!$A$35:$I$55,6,0)),0%,VLOOKUP(A176,'Données projet'!$A$35:$I$55,6,0)*VLOOKUP('Données projet'!$B$9,'Paramètres'!$A$1:$I$88,7,0))</f>
        <v>0</v>
      </c>
      <c r="Y176" s="155">
        <f>IF(ISNA(VLOOKUP(A176,'Données projet'!$A$35:$I$55,7,0)),0%,VLOOKUP(A176,'Données projet'!$A$35:$I$55,7,0))</f>
        <v>0</v>
      </c>
      <c r="Z176" s="162">
        <f>EXP(-LN(2)/35)*Z175+(1-EXP(-LN(2)/35))/(LN(2)/35)*V176*W176*VLOOKUP('Données projet'!$B$9,'Paramètres'!$A$1:$I$88,3,0)*0.475*44/12</f>
        <v>0</v>
      </c>
      <c r="AA176" s="162">
        <f>EXP(-LN(2)/25)*AA175+(1-EXP(-LN(2)/25))/(LN(2)/25)*Calculateur!V176*Calculateur!X176*VLOOKUP('Données projet'!$B$9,'Paramètres'!$A$1:$I$88,3,0)*0.475*44/12</f>
        <v>0.08513746285</v>
      </c>
      <c r="AB176" s="162">
        <f>EXP(-LN(2)/2)*AB175+(1-EXP(-LN(2)/2))/(LN(2)/2)*V176*Y176*VLOOKUP('Données projet'!$B$9,'Paramètres'!$A$1:$I$88,3,0)*0.475*44/12</f>
        <v>0</v>
      </c>
      <c r="AC176" s="163">
        <f t="shared" si="4"/>
        <v>0.08513746285</v>
      </c>
      <c r="AD176" s="150">
        <f>('Scénario référence'!$F$8+'Scénario référence'!$F$9+'Scénario référence'!$B$17+'Scénario référence'!$B$9+'Scénario référence'!$B$10)*70+IF((45+25*(1-EXP(-0.0175*A176)))&lt;70,'Scénario référence'!$B$16*(45+25*(1-EXP(-0.0175*A176))),70*'Scénario référence'!$B$16)+IF((32+38*(1-EXP(-0.0175*A176)))&lt;70,'Scénario référence'!$B$18*(32+38*(1-EXP(-0.0175*A176))),70*'Scénario référence'!$B$18)</f>
        <v>70</v>
      </c>
      <c r="AE176" s="150">
        <f>IF(A176&gt;30,10,('Scénario référence'!$B$16+'Scénario référence'!$B$17+'Scénario référence'!$B$18+'Scénario référence'!$B$9+'Scénario référence'!$B$10)*A176*10/30+('Scénario référence'!$F$8+'Scénario référence'!$F$9)*10)</f>
        <v>10</v>
      </c>
      <c r="AF176" s="151" t="str">
        <f>VLOOKUP(A176,'Données projet'!$A$61:$I$81,2,0)</f>
        <v>#N/A</v>
      </c>
      <c r="AG176" s="151" t="str">
        <f>VLOOKUP(A176,'Données projet'!$A$61:$I$81,9,0)</f>
        <v>#N/A</v>
      </c>
      <c r="AH176" s="151" t="str">
        <f t="array" ref="AH176">INDEX(AG:AG,MIN(IF(ISNUMBER(AG176:AG372),ROW(AG176:AG372),"")))</f>
        <v/>
      </c>
      <c r="AI176" s="150">
        <f>IF('Données projet'!$A$62&gt;35,AI175+AH176-AQ175,IF(A176&lt;'Données projet'!$A$62,$AF$205^A176,IF(A176='Données projet'!$A$62,'Données projet'!$B$62,AI175+AH176-AQ175)))</f>
        <v>369</v>
      </c>
      <c r="AJ176" s="150">
        <f>AI176*VLOOKUP('Données projet'!$B$10,'Paramètres'!$A$1:$I$88,3,0)*VLOOKUP('Données projet'!$B$10,'Paramètres'!$A$1:$I$88,5,0)</f>
        <v>293.5764</v>
      </c>
      <c r="AK176" s="150">
        <f t="shared" si="36"/>
        <v>69.82813851</v>
      </c>
      <c r="AL176" s="161">
        <f t="shared" si="5"/>
        <v>632.9295712</v>
      </c>
      <c r="AM176" s="153">
        <f t="shared" si="6"/>
        <v>926.2629046</v>
      </c>
      <c r="AN176" s="153">
        <f>AVERAGE(OFFSET($AM$3,0,0,'Données projet'!$E$10+1,1))-AVERAGE(OFFSET($H$3,0,0,'Données projet'!$E$10+1,1))</f>
        <v>405.6113614</v>
      </c>
      <c r="AO176" s="153">
        <f t="shared" si="37"/>
        <v>393.0787141</v>
      </c>
      <c r="AP176" s="154">
        <f>IF(ISNA(VLOOKUP(A176,'Données projet'!$A$61:$I$81,3,0)),0,VLOOKUP(A176,'Données projet'!$A$61:$I$81,3,0))</f>
        <v>0</v>
      </c>
      <c r="AQ176" s="154">
        <f>IF(ISNA(VLOOKUP(A176,'Données projet'!$A$61:$I$81,4,0)),0,VLOOKUP(A176,'Données projet'!$A$61:$I$81,4,0))</f>
        <v>0</v>
      </c>
      <c r="AR176" s="155">
        <f>IF(ISNA(VLOOKUP(A176,'Données projet'!$A$61:$I$81,5,0)),0%,VLOOKUP(A176,'Données projet'!$A$61:$I$81,5,0)*VLOOKUP('Données projet'!$B$10,'Paramètres'!$A$1:$I$88,7,0))</f>
        <v>0</v>
      </c>
      <c r="AS176" s="155">
        <f>IF(ISNA(VLOOKUP(A176,'Données projet'!$A$61:$I$81,6,0)),0%,VLOOKUP(A176,'Données projet'!$A$61:$I$81,6,0)*VLOOKUP('Données projet'!$B$10,'Paramètres'!$A$1:$I$88,7,0))</f>
        <v>0</v>
      </c>
      <c r="AT176" s="155">
        <f>IF(ISNA(VLOOKUP(A176,'Données projet'!$A$61:$I$81,7,0)),0%,VLOOKUP(A176,'Données projet'!$A$61:$I$81,7,0))</f>
        <v>0</v>
      </c>
      <c r="AU176" s="162">
        <f>EXP(-LN(2)/35)*AU175+(1-EXP(-LN(2)/35))/(LN(2)/35)*AQ176*AR176*VLOOKUP('Données projet'!$B$10,'Paramètres'!$A$1:$I$88,3,0)*0.475*44/12</f>
        <v>0</v>
      </c>
      <c r="AV176" s="162">
        <f>EXP(-LN(2)/25)*AV175+(1-EXP(-LN(2)/25))/(LN(2)/25)*Calculateur!AQ176*Calculateur!AS176*VLOOKUP('Données projet'!$B$10,'Paramètres'!$A$1:$I$88,3,0)*0.475*44/12</f>
        <v>0.3460202918</v>
      </c>
      <c r="AW176" s="162">
        <f>EXP(-LN(2)/2)*AW175+(1-EXP(-LN(2)/2))/(LN(2)/2)*AQ176*AT176*VLOOKUP('Données projet'!$B$10,'Paramètres'!$A$1:$I$88,3,0)*0.475*44/12</f>
        <v>0</v>
      </c>
      <c r="AX176" s="162">
        <f t="shared" si="7"/>
        <v>0.3460202918</v>
      </c>
      <c r="AY176" s="157">
        <f>('Scénario référence'!$F$8+'Scénario référence'!$F$9+'Scénario référence'!$B$17+'Scénario référence'!$B$9+'Scénario référence'!$B$10)*70+IF((45+25*(1-EXP(-0.0175*A176)))&lt;70,'Scénario référence'!$B$16*(45+25*(1-EXP(-0.0175*A176))),70*'Scénario référence'!$B$16)+IF((32+38*(1-EXP(-0.0175*A176)))&lt;70,'Scénario référence'!$B$18*(32+38*(1-EXP(-0.0175*A176))),70*'Scénario référence'!$B$18)</f>
        <v>70</v>
      </c>
      <c r="AZ176" s="151">
        <f>IF(A176&gt;30,10,('Scénario référence'!$B$16+'Scénario référence'!$B$17+'Scénario référence'!$B$18+'Scénario référence'!$B$9+'Scénario référence'!$B$10)*A176*10/30+('Scénario référence'!$F$8+'Scénario référence'!$F$9)*10)</f>
        <v>10</v>
      </c>
      <c r="BA176" s="151" t="str">
        <f>VLOOKUP(A176,'Données projet'!$A$87:$I$107,2,0)</f>
        <v>#N/A</v>
      </c>
      <c r="BB176" s="151" t="str">
        <f>VLOOKUP(A176,'Données projet'!$A$87:$I$107,9,0)</f>
        <v>#N/A</v>
      </c>
      <c r="BC176" s="151" t="str">
        <f t="array" ref="BC176">INDEX(BB:BB,MIN(IF(ISNUMBER(BB176:BB372),ROW(BB176:BB372),"")))</f>
        <v/>
      </c>
      <c r="BD176" s="150">
        <f>IF('Données projet'!$A$88&gt;35,BD175+BC176-BL175,IF(A176&lt;'Données projet'!$A$88,$BA$205^A176,IF(A176='Données projet'!$A$88,'Données projet'!$B$88,BD175+BC176-BL175)))</f>
        <v>0</v>
      </c>
      <c r="BE176" s="150">
        <f>BD176*VLOOKUP('Données projet'!$B$11,'Paramètres'!$A$1:$I$88,3,0)*VLOOKUP('Données projet'!$B$11,'Paramètres'!$A$1:$I$88,5,0)</f>
        <v>0</v>
      </c>
      <c r="BF176" s="150" t="str">
        <f t="shared" si="38"/>
        <v>#NUM!</v>
      </c>
      <c r="BG176" s="161" t="str">
        <f t="shared" si="8"/>
        <v>#NUM!</v>
      </c>
      <c r="BH176" s="153" t="str">
        <f t="shared" si="9"/>
        <v>#NUM!</v>
      </c>
      <c r="BI176" s="153">
        <f>AVERAGE(OFFSET($BH$3,0,0,'Données projet'!$E$11+1,1))-AVERAGE(OFFSET($H$3,0,0,'Données projet'!$E$11+1,1))</f>
        <v>0</v>
      </c>
      <c r="BJ176" s="153">
        <f t="shared" si="39"/>
        <v>0</v>
      </c>
      <c r="BK176" s="154">
        <f>IF(ISNA(VLOOKUP(A176,'Données projet'!$A$87:$I$107,3,0)),0,VLOOKUP(A176,'Données projet'!$A$87:$I$107,3,0))</f>
        <v>0</v>
      </c>
      <c r="BL176" s="154">
        <f>IF(ISNA(VLOOKUP(A176,'Données projet'!$A$87:$I$107,4,0)),0,VLOOKUP(A176,'Données projet'!$A$87:$I$107,4,0))</f>
        <v>0</v>
      </c>
      <c r="BM176" s="155">
        <f>IF(ISNA(VLOOKUP(A176,'Données projet'!$A$87:$I$107,5,0)),0%,VLOOKUP(A176,'Données projet'!$A$87:$I$107,5,0)*VLOOKUP('Données projet'!$B$11,'Paramètres'!$A$1:$I$88,7,0))</f>
        <v>0</v>
      </c>
      <c r="BN176" s="155">
        <f>IF(ISNA(VLOOKUP(A176,'Données projet'!$A$87:$I$107,6,0)),0%,VLOOKUP(A176,'Données projet'!$A$87:$I$107,6,0)*VLOOKUP('Données projet'!$B$11,'Paramètres'!$A$1:$I$88,7,0))</f>
        <v>0</v>
      </c>
      <c r="BO176" s="155">
        <f>IF(ISNA(VLOOKUP(A176,'Données projet'!$A$87:$I$107,7,0)),0%,VLOOKUP(A176,'Données projet'!$A$87:$I$107,7,0))</f>
        <v>0</v>
      </c>
      <c r="BP176" s="162">
        <f>EXP(-LN(2)/35)*BP175+(1-EXP(-LN(2)/35))/(LN(2)/35)*BL176*BM176*VLOOKUP('Données projet'!$B$11,'Paramètres'!$A$1:$I$88,3,0)*0.475*44/12</f>
        <v>0</v>
      </c>
      <c r="BQ176" s="162">
        <f>EXP(-LN(2)/25)*BQ175+(1-EXP(-LN(2)/25))/(LN(2)/25)*Calculateur!BL176*Calculateur!BN176*VLOOKUP('Données projet'!$B$11,'Paramètres'!$A$1:$I$88,3,0)*0.475*44/12</f>
        <v>0</v>
      </c>
      <c r="BR176" s="162">
        <f>EXP(-LN(2)/2)*BR175+(1-EXP(-LN(2)/2))/(LN(2)/2)*BL176*BO176*VLOOKUP('Données projet'!$B$11,'Paramètres'!$A$1:$I$88,3,0)*0.475*44/12</f>
        <v>0</v>
      </c>
      <c r="BS176" s="163">
        <f t="shared" si="10"/>
        <v>0</v>
      </c>
      <c r="BT176" s="159">
        <f>('Scénario référence'!$F$8+'Scénario référence'!$F$9+'Scénario référence'!$B$17+'Scénario référence'!$B$9+'Scénario référence'!$B$10)*70+IF((45+25*(1-EXP(-0.0175*A176)))&lt;70,'Scénario référence'!$B$16*(45+25*(1-EXP(-0.0175*A176))),70*'Scénario référence'!$B$16)+IF((32+38*(1-EXP(-0.0175*A176)))&lt;70,'Scénario référence'!$B$18*(32+38*(1-EXP(-0.0175*A176))),70*'Scénario référence'!$B$18)</f>
        <v>70</v>
      </c>
      <c r="BU176" s="151">
        <f>IF(A176&gt;30,10,('Scénario référence'!$B$16+'Scénario référence'!$B$17+'Scénario référence'!$B$18+'Scénario référence'!$B$9+'Scénario référence'!$B$10)*A176*10/30+('Scénario référence'!$F$8+'Scénario référence'!$F$9)*10)</f>
        <v>10</v>
      </c>
      <c r="BV176" s="151" t="str">
        <f>VLOOKUP(A176,'Données projet'!$A$113:$I$133,2,0)</f>
        <v>#N/A</v>
      </c>
      <c r="BW176" s="151" t="str">
        <f>VLOOKUP(A176,'Données projet'!$A$113:$I$133,9,0)</f>
        <v>#N/A</v>
      </c>
      <c r="BX176" s="151" t="str">
        <f t="array" ref="BX176">INDEX(BW:BW,MIN(IF(ISNUMBER(BW176:BW372),ROW(BW176:BW372),"")))</f>
        <v/>
      </c>
      <c r="BY176" s="150">
        <f>IF('Données projet'!$A$114&gt;35,BY175+BX176-CG175,IF(A176&lt;'Données projet'!$A$114,$BV$205^A176,IF(A176='Données projet'!$A$114,'Données projet'!$B$114,BY175+BX176-CG175)))</f>
        <v>0</v>
      </c>
      <c r="BZ176" s="150" t="str">
        <f>BY176*VLOOKUP('Données projet'!$B$12,'Paramètres'!$A$1:$I$88,3,0)*VLOOKUP('Données projet'!$B$12,'Paramètres'!$A$1:$I$88,5,0)</f>
        <v>#N/A</v>
      </c>
      <c r="CA176" s="150" t="str">
        <f t="shared" si="40"/>
        <v>#N/A</v>
      </c>
      <c r="CB176" s="161" t="str">
        <f t="shared" si="11"/>
        <v>#N/A</v>
      </c>
      <c r="CC176" s="153" t="str">
        <f t="shared" si="12"/>
        <v>#N/A</v>
      </c>
      <c r="CD176" s="153" t="str">
        <f>AVERAGE(OFFSET($CC$3,0,0,'Données projet'!$E$12+1,1))-AVERAGE(OFFSET($H$3,0,0,'Données projet'!$E$12+1,1))</f>
        <v>#N/A</v>
      </c>
      <c r="CE176" s="153" t="str">
        <f t="shared" si="41"/>
        <v>#N/A</v>
      </c>
      <c r="CF176" s="154">
        <f>IF(ISNA(VLOOKUP(A176,'Données projet'!$A$113:$I$133,3,0)),0,VLOOKUP(A176,'Données projet'!$A$113:$I$133,3,0))</f>
        <v>0</v>
      </c>
      <c r="CG176" s="154">
        <f>IF(ISNA(VLOOKUP(A176,'Données projet'!$A$113:$I$133,4,0)),0,VLOOKUP(A176,'Données projet'!$A$113:$I$133,4,0))</f>
        <v>0</v>
      </c>
      <c r="CH176" s="155">
        <f>IF(ISNA(VLOOKUP(A176,'Données projet'!$A$113:$I$133,5,0)),0%,VLOOKUP(A176,'Données projet'!$A$113:$I$133,5,0)*VLOOKUP('Données projet'!$B$12,'Paramètres'!$A$1:$I$88,7,0))</f>
        <v>0</v>
      </c>
      <c r="CI176" s="155">
        <f>IF(ISNA(VLOOKUP(A176,'Données projet'!$A$113:$I$133,6,0)),0%,VLOOKUP(A176,'Données projet'!$A$113:$I$133,6,0)*VLOOKUP('Données projet'!$B$12,'Paramètres'!$A$1:$I$88,7,0))</f>
        <v>0</v>
      </c>
      <c r="CJ176" s="155">
        <f>IF(ISNA(VLOOKUP(A176,'Données projet'!$A$113:$I$133,7,0)),0%,VLOOKUP(A176,'Données projet'!$A$113:$I$133,7,0))</f>
        <v>0</v>
      </c>
      <c r="CK176" s="162" t="str">
        <f>EXP(-LN(2)/35)*CK175+(1-EXP(-LN(2)/35))/(LN(2)/35)*CG176*CH176*VLOOKUP('Données projet'!$B$12,'Paramètres'!$A$1:$I$88,3,0)*0.475*44/12</f>
        <v>#N/A</v>
      </c>
      <c r="CL176" s="162" t="str">
        <f>EXP(-LN(2)/25)*CL175+(1-EXP(-LN(2)/25))/(LN(2)/25)*Calculateur!CG176*Calculateur!CI176*VLOOKUP('Données projet'!$B$12,'Paramètres'!$A$1:$I$88,3,0)*0.475*44/12</f>
        <v>#N/A</v>
      </c>
      <c r="CM176" s="162" t="str">
        <f>EXP(-LN(2)/2)*CM175+(1-EXP(-LN(2)/2))/(LN(2)/2)*CG176*CJ176*VLOOKUP('Données projet'!$B$12,'Paramètres'!$A$1:$I$88,3,0)*0.475*44/12</f>
        <v>#N/A</v>
      </c>
      <c r="CN176" s="163" t="str">
        <f t="shared" si="13"/>
        <v>#N/A</v>
      </c>
      <c r="CO176" s="159">
        <f>('Scénario référence'!$F$8+'Scénario référence'!$F$9+'Scénario référence'!$B$17+'Scénario référence'!$B$9+'Scénario référence'!$B$10)*70+IF((45+25*(1-EXP(-0.0175*A176)))&lt;70,'Scénario référence'!$B$16*(45+25*(1-EXP(-0.0175*A176))),70*'Scénario référence'!$B$16)+IF((32+38*(1-EXP(-0.0175*A176)))&lt;70,'Scénario référence'!$B$18*(32+38*(1-EXP(-0.0175*A176))),70*'Scénario référence'!$B$18)</f>
        <v>70</v>
      </c>
      <c r="CP176" s="151">
        <f>IF(A176&gt;30,10,('Scénario référence'!$B$16+'Scénario référence'!$B$17+'Scénario référence'!$B$18+'Scénario référence'!$B$9+'Scénario référence'!$B$10)*A176*10/30+('Scénario référence'!$F$8+'Scénario référence'!$F$9)*10)</f>
        <v>10</v>
      </c>
      <c r="CQ176" s="151" t="str">
        <f>VLOOKUP(A176,'Données projet'!$A$139:$I$159,2,0)</f>
        <v>#N/A</v>
      </c>
      <c r="CR176" s="151" t="str">
        <f>VLOOKUP(A176,'Données projet'!$A$139:$I$159,9,0)</f>
        <v>#N/A</v>
      </c>
      <c r="CS176" s="151" t="str">
        <f t="array" ref="CS176">INDEX(CR:CR,MIN(IF(ISNUMBER(CR176:CR372),ROW(CR176:CR372),"")))</f>
        <v/>
      </c>
      <c r="CT176" s="151">
        <f>IF('Données projet'!$A$140&gt;35,CT175+CS176-DB175,IF(A176&lt;'Données projet'!$A$140,$CQ$205^A176,IF(A176='Données projet'!$A$140,'Données projet'!$B$140,CT175+CS176-DB175)))</f>
        <v>0</v>
      </c>
      <c r="CU176" s="158" t="str">
        <f>CT176*VLOOKUP('Données projet'!$B$13,'Paramètres'!$A$1:$I$88,3,0)*VLOOKUP('Données projet'!$B$13,'Paramètres'!$A$1:$I$88,5,0)</f>
        <v>#N/A</v>
      </c>
      <c r="CV176" s="150" t="str">
        <f t="shared" si="42"/>
        <v>#N/A</v>
      </c>
      <c r="CW176" s="161" t="str">
        <f t="shared" si="14"/>
        <v>#N/A</v>
      </c>
      <c r="CX176" s="153" t="str">
        <f t="shared" si="15"/>
        <v>#N/A</v>
      </c>
      <c r="CY176" s="153" t="str">
        <f>AVERAGE(OFFSET($CX$3,0,0,'Données projet'!$E$13+1,1))-AVERAGE(OFFSET($H$3,0,0,'Données projet'!$E$13+1,1))</f>
        <v>#N/A</v>
      </c>
      <c r="CZ176" s="153" t="str">
        <f t="shared" si="43"/>
        <v>#N/A</v>
      </c>
      <c r="DA176" s="154">
        <f>IF(ISNA(VLOOKUP(A176,'Données projet'!$A$139:$I$159,3,0)),0,VLOOKUP(A176,'Données projet'!$A$139:$I$159,3,0))</f>
        <v>0</v>
      </c>
      <c r="DB176" s="154">
        <f>IF(ISNA(VLOOKUP(A176,'Données projet'!$A$139:$I$159,4,0)),0,VLOOKUP(A176,'Données projet'!$A$139:$I$159,4,0))</f>
        <v>0</v>
      </c>
      <c r="DC176" s="155">
        <f>IF(ISNA(VLOOKUP(A176,'Données projet'!$A$139:$I$159,5,0)),0%,VLOOKUP(A176,'Données projet'!$A$139:$I$159,5,0)*VLOOKUP('Données projet'!$B$13,'Paramètres'!$A$1:$I$88,7,0))</f>
        <v>0</v>
      </c>
      <c r="DD176" s="155">
        <f>IF(ISNA(VLOOKUP(A176,'Données projet'!$A$139:$I$159,6,0)),0%,VLOOKUP(A176,'Données projet'!$A$139:$I$159,6,0)*VLOOKUP('Données projet'!$B$13,'Paramètres'!$A$1:$I$88,7,0))</f>
        <v>0</v>
      </c>
      <c r="DE176" s="155">
        <f>IF(ISNA(VLOOKUP(A176,'Données projet'!$A$139:$I$159,7,0)),0%,VLOOKUP(A176,'Données projet'!$A$139:$I$159,7,0))</f>
        <v>0</v>
      </c>
      <c r="DF176" s="162" t="str">
        <f>EXP(-LN(2)/35)*DF175+(1-EXP(-LN(2)/35))/(LN(2)/35)*DB176*DC176*VLOOKUP('Données projet'!$B$13,'Paramètres'!$A$1:$I$88,3,0)*0.475*44/12</f>
        <v>#N/A</v>
      </c>
      <c r="DG176" s="162" t="str">
        <f>EXP(-LN(2)/25)*DG175+(1-EXP(-LN(2)/25))/(LN(2)/25)*Calculateur!DB176*Calculateur!DD176*VLOOKUP('Données projet'!$B$13,'Paramètres'!$A$1:$I$88,3,0)*0.475*44/12</f>
        <v>#N/A</v>
      </c>
      <c r="DH176" s="162" t="str">
        <f>EXP(-LN(2)/2)*DH175+(1-EXP(-LN(2)/2))/(LN(2)/2)*DB176*DE176*VLOOKUP('Données projet'!$B$13,'Paramètres'!$A$1:$I$88,3,0)*0.475*44/12</f>
        <v>#N/A</v>
      </c>
      <c r="DI176" s="163" t="str">
        <f t="shared" si="16"/>
        <v>#N/A</v>
      </c>
      <c r="DJ176" s="159">
        <f>('Scénario référence'!$F$8+'Scénario référence'!$F$9+'Scénario référence'!$B$17+'Scénario référence'!$B$9+'Scénario référence'!$B$10)*70+IF((45+25*(1-EXP(-0.0175*A176)))&lt;70,'Scénario référence'!$B$16*(45+25*(1-EXP(-0.0175*A176))),70*'Scénario référence'!$B$16)+IF((32+38*(1-EXP(-0.0175*A176)))&lt;70,'Scénario référence'!$B$18*(32+38*(1-EXP(-0.0175*A176))),70*'Scénario référence'!$B$18)</f>
        <v>70</v>
      </c>
      <c r="DK176" s="151">
        <f>IF(A176&gt;30,10,('Scénario référence'!$B$16+'Scénario référence'!$B$17+'Scénario référence'!$B$18+'Scénario référence'!$B$9+'Scénario référence'!$B$10)*A176*10/30+('Scénario référence'!$F$8+'Scénario référence'!$F$9)*10)</f>
        <v>10</v>
      </c>
      <c r="DL176" s="151" t="str">
        <f>VLOOKUP(A176,'Données projet'!$A$165:$I$185,2,0)</f>
        <v>#N/A</v>
      </c>
      <c r="DM176" s="151" t="str">
        <f>VLOOKUP(A176,'Données projet'!$A$165:$I$185,9,0)</f>
        <v>#N/A</v>
      </c>
      <c r="DN176" s="151" t="str">
        <f t="array" ref="DN176">INDEX(DM:DM,MIN(IF(ISNUMBER(DM176:DM372),ROW(DM176:DM372),"")))</f>
        <v/>
      </c>
      <c r="DO176" s="151">
        <f>IF('Données projet'!$A$166&gt;35,DO175+DN176-DW175,IF(A176&lt;'Données projet'!$A$166,$DL$205^A176,IF(A176='Données projet'!$A$166,'Données projet'!$B$166,DO175+DN176-DW175)))</f>
        <v>0</v>
      </c>
      <c r="DP176" s="158" t="str">
        <f>DO176*VLOOKUP('Données projet'!$B$14,'Paramètres'!$A$1:$I$88,3,0)*VLOOKUP('Données projet'!$B$14,'Paramètres'!$A$1:$I$88,5,0)</f>
        <v>#N/A</v>
      </c>
      <c r="DQ176" s="150" t="str">
        <f t="shared" si="44"/>
        <v>#N/A</v>
      </c>
      <c r="DR176" s="161" t="str">
        <f t="shared" si="17"/>
        <v>#N/A</v>
      </c>
      <c r="DS176" s="153" t="str">
        <f t="shared" si="18"/>
        <v>#N/A</v>
      </c>
      <c r="DT176" s="153" t="str">
        <f>AVERAGE(OFFSET($DS$3,0,0,'Données projet'!$E$14+1,1))-AVERAGE(OFFSET($H$3,0,0,'Données projet'!$E$14+1,1))</f>
        <v>#N/A</v>
      </c>
      <c r="DU176" s="153" t="str">
        <f t="shared" si="45"/>
        <v>#N/A</v>
      </c>
      <c r="DV176" s="154">
        <f>IF(ISNA(VLOOKUP(A176,'Données projet'!$A$165:$I$185,3,0)),0,VLOOKUP(A176,'Données projet'!$A$165:$I$185,3,0))</f>
        <v>0</v>
      </c>
      <c r="DW176" s="154">
        <f>IF(ISNA(VLOOKUP(A176,'Données projet'!$A$165:$I$185,4,0)),0,VLOOKUP(A176,'Données projet'!$A$165:$I$185,4,0))</f>
        <v>0</v>
      </c>
      <c r="DX176" s="155">
        <f>IF(ISNA(VLOOKUP(A176,'Données projet'!$A$165:$I$185,5,0)),0%,VLOOKUP(A176,'Données projet'!$A$165:$I$185,5,0)*VLOOKUP('Données projet'!$B$14,'Paramètres'!$A$1:$I$88,7,0))</f>
        <v>0</v>
      </c>
      <c r="DY176" s="155">
        <f>IF(ISNA(VLOOKUP(A176,'Données projet'!$A$165:$I$185,6,0)),0%,VLOOKUP(A176,'Données projet'!$A$165:$I$185,6,0)*VLOOKUP('Données projet'!$B$14,'Paramètres'!$A$1:$I$88,7,0))</f>
        <v>0</v>
      </c>
      <c r="DZ176" s="155">
        <f>IF(ISNA(VLOOKUP(A176,'Données projet'!$A$165:$I$185,7,0)),0%,VLOOKUP(A176,'Données projet'!$A$165:$I$185,7,0))</f>
        <v>0</v>
      </c>
      <c r="EA176" s="162" t="str">
        <f>EXP(-LN(2)/35)*EA175+(1-EXP(-LN(2)/35))/(LN(2)/35)*DW176*DX176*VLOOKUP('Données projet'!$B$14,'Paramètres'!$A$1:$I$88,3,0)*0.475*44/12</f>
        <v>#N/A</v>
      </c>
      <c r="EB176" s="162" t="str">
        <f>EXP(-LN(2)/25)*EB175+(1-EXP(-LN(2)/25))/(LN(2)/25)*Calculateur!DW176*Calculateur!DY176*VLOOKUP('Données projet'!$B$14,'Paramètres'!$A$1:$I$88,3,0)*0.475*44/12</f>
        <v>#N/A</v>
      </c>
      <c r="EC176" s="162" t="str">
        <f>EXP(-LN(2)/2)*EC175+(1-EXP(-LN(2)/2))/(LN(2)/2)*DW176*DZ176*VLOOKUP('Données projet'!$B$14,'Paramètres'!$A$1:$I$88,3,0)*0.475*44/12</f>
        <v>#N/A</v>
      </c>
      <c r="ED176" s="163" t="str">
        <f t="shared" si="19"/>
        <v>#N/A</v>
      </c>
      <c r="EE176" s="159">
        <f>('Scénario référence'!$F$8+'Scénario référence'!$F$9+'Scénario référence'!$B$17+'Scénario référence'!$B$9+'Scénario référence'!$B$10)*70+IF((45+25*(1-EXP(-0.0175*A176)))&lt;70,'Scénario référence'!$B$16*(45+25*(1-EXP(-0.0175*A176))),70*'Scénario référence'!$B$16)+IF((32+38*(1-EXP(-0.0175*A176)))&lt;70,'Scénario référence'!$B$18*(32+38*(1-EXP(-0.0175*A176))),70*'Scénario référence'!$B$18)</f>
        <v>70</v>
      </c>
      <c r="EF176" s="151">
        <f>IF(A176&gt;30,10,('Scénario référence'!$B$16+'Scénario référence'!$B$17+'Scénario référence'!$B$18+'Scénario référence'!$B$9+'Scénario référence'!$B$10)*A176*10/30+('Scénario référence'!$F$8+'Scénario référence'!$F$9)*10)</f>
        <v>10</v>
      </c>
      <c r="EG176" s="151" t="str">
        <f>VLOOKUP(A176,'Données projet'!$A$191:$I$211,2,0)</f>
        <v>#N/A</v>
      </c>
      <c r="EH176" s="151" t="str">
        <f>VLOOKUP(A176,'Données projet'!$A$191:$I$211,9,0)</f>
        <v>#N/A</v>
      </c>
      <c r="EI176" s="151" t="str">
        <f t="array" ref="EI176">INDEX(EH:EH,MIN(IF(ISNUMBER(EH176:EH372),ROW(EH176:EH372),"")))</f>
        <v/>
      </c>
      <c r="EJ176" s="151">
        <f>IF('Données projet'!$A$192&gt;35,EJ175+EI176-ER175,IF(A176&lt;'Données projet'!$A$192,$EG$205^A176,IF(A176='Données projet'!$A$192,'Données projet'!$B$192,EJ175+EI176-ER175)))</f>
        <v>0</v>
      </c>
      <c r="EK176" s="158" t="str">
        <f>EJ176*VLOOKUP('Données projet'!$B$15,'Paramètres'!$A$1:$I$88,3,0)*VLOOKUP('Données projet'!$B$15,'Paramètres'!$A$1:$I$88,5,0)</f>
        <v>#N/A</v>
      </c>
      <c r="EL176" s="150" t="str">
        <f t="shared" si="46"/>
        <v>#N/A</v>
      </c>
      <c r="EM176" s="161" t="str">
        <f t="shared" si="20"/>
        <v>#N/A</v>
      </c>
      <c r="EN176" s="153" t="str">
        <f t="shared" si="21"/>
        <v>#N/A</v>
      </c>
      <c r="EO176" s="153" t="str">
        <f>AVERAGE(OFFSET($EN$3,0,0,'Données projet'!$E$15+1,1))-AVERAGE(OFFSET($H$3,0,0,'Données projet'!$E$15+1,1))</f>
        <v>#N/A</v>
      </c>
      <c r="EP176" s="153" t="str">
        <f t="shared" si="47"/>
        <v>#N/A</v>
      </c>
      <c r="EQ176" s="154">
        <f>IF(ISNA(VLOOKUP(A176,'Données projet'!$A$191:$I$211,3,0)),0,VLOOKUP(A176,'Données projet'!$A$191:$I$211,3,0))</f>
        <v>0</v>
      </c>
      <c r="ER176" s="154">
        <f>IF(ISNA(VLOOKUP(A176,'Données projet'!$A$191:$I$211,4,0)),0,VLOOKUP(A176,'Données projet'!$A$191:$I$211,4,0))</f>
        <v>0</v>
      </c>
      <c r="ES176" s="155">
        <f>IF(ISNA(VLOOKUP(A176,'Données projet'!$A$191:$I$211,5,0)),0%,VLOOKUP(A176,'Données projet'!$A$191:$I$211,5,0)*VLOOKUP('Données projet'!$B$15,'Paramètres'!$A$1:$I$88,7,0))</f>
        <v>0</v>
      </c>
      <c r="ET176" s="155">
        <f>IF(ISNA(VLOOKUP(A176,'Données projet'!$A$191:$I$211,6,0)),0%,VLOOKUP(A176,'Données projet'!$A$191:$I$211,6,0)*VLOOKUP('Données projet'!$B$15,'Paramètres'!$A$1:$I$88,7,0))</f>
        <v>0</v>
      </c>
      <c r="EU176" s="155">
        <f>IF(ISNA(VLOOKUP(A176,'Données projet'!$A$191:$I$211,7,0)),0%,VLOOKUP(A176,'Données projet'!$A$191:$I$211,7,0))</f>
        <v>0</v>
      </c>
      <c r="EV176" s="162" t="str">
        <f>EXP(-LN(2)/35)*EV175+(1-EXP(-LN(2)/35))/(LN(2)/35)*ER176*ES176*VLOOKUP('Données projet'!$B$15,'Paramètres'!$A$1:$I$88,3,0)*0.475*44/12</f>
        <v>#N/A</v>
      </c>
      <c r="EW176" s="162" t="str">
        <f>EXP(-LN(2)/25)*EW175+(1-EXP(-LN(2)/25))/(LN(2)/25)*Calculateur!ER176*Calculateur!ET176*VLOOKUP('Données projet'!$B$15,'Paramètres'!$A$1:$I$88,3,0)*0.475*44/12</f>
        <v>#N/A</v>
      </c>
      <c r="EX176" s="162" t="str">
        <f>EXP(-LN(2)/2)*EX175+(1-EXP(-LN(2)/2))/(LN(2)/2)*ER176*EU176*VLOOKUP('Données projet'!$B$15,'Paramètres'!$A$1:$I$88,3,0)*0.475*44/12</f>
        <v>#N/A</v>
      </c>
      <c r="EY176" s="163" t="str">
        <f t="shared" si="22"/>
        <v>#N/A</v>
      </c>
      <c r="EZ176" s="159">
        <f>('Scénario référence'!$F$8+'Scénario référence'!$F$9+'Scénario référence'!$B$17+'Scénario référence'!$B$9+'Scénario référence'!$B$10)*70+IF((45+25*(1-EXP(-0.0175*A176)))&lt;70,'Scénario référence'!$B$16*(45+25*(1-EXP(-0.0175*A176))),70*'Scénario référence'!$B$16)+IF((32+38*(1-EXP(-0.0175*A176)))&lt;70,'Scénario référence'!$B$18*(32+38*(1-EXP(-0.0175*A176))),70*'Scénario référence'!$B$18)</f>
        <v>70</v>
      </c>
      <c r="FA176" s="151">
        <f>IF(A176&gt;30,10,('Scénario référence'!$B$16+'Scénario référence'!$B$17+'Scénario référence'!$B$18+'Scénario référence'!$B$9+'Scénario référence'!$B$10)*A176*10/30+('Scénario référence'!$F$8+'Scénario référence'!$F$9)*10)</f>
        <v>10</v>
      </c>
      <c r="FB176" s="151" t="str">
        <f>VLOOKUP(A176,'Données projet'!$A$217:$I$237,2,0)</f>
        <v>#N/A</v>
      </c>
      <c r="FC176" s="151" t="str">
        <f>VLOOKUP(A176,'Données projet'!$A$217:$I$237,9,0)</f>
        <v>#N/A</v>
      </c>
      <c r="FD176" s="151" t="str">
        <f t="array" ref="FD176">INDEX(FC:FC,MIN(IF(ISNUMBER(FC176:FC372),ROW(FC176:FC372),"")))</f>
        <v/>
      </c>
      <c r="FE176" s="151">
        <f>IF('Données projet'!$A$218&gt;35,FE175+FD176-FM175,IF(A176&lt;'Données projet'!$A$218,$FB$205^A176,IF(A176='Données projet'!$A$218,'Données projet'!$B$218,FE175+FD176-FM175)))</f>
        <v>0</v>
      </c>
      <c r="FF176" s="158" t="str">
        <f>FE176*VLOOKUP('Données projet'!$B$16,'Paramètres'!$A$1:$I$88,3,0)*VLOOKUP('Données projet'!$B$16,'Paramètres'!$A$1:$I$88,5,0)</f>
        <v>#N/A</v>
      </c>
      <c r="FG176" s="150" t="str">
        <f t="shared" si="48"/>
        <v>#N/A</v>
      </c>
      <c r="FH176" s="161" t="str">
        <f t="shared" si="23"/>
        <v>#N/A</v>
      </c>
      <c r="FI176" s="153" t="str">
        <f t="shared" si="24"/>
        <v>#N/A</v>
      </c>
      <c r="FJ176" s="153" t="str">
        <f>AVERAGE(OFFSET($FI$3,0,0,'Données projet'!$E$16+1,1))-AVERAGE(OFFSET($H$3,0,0,'Données projet'!$E$16+1,1))</f>
        <v>#N/A</v>
      </c>
      <c r="FK176" s="153" t="str">
        <f t="shared" si="49"/>
        <v>#N/A</v>
      </c>
      <c r="FL176" s="154">
        <f>IF(ISNA(VLOOKUP(A176,'Données projet'!$A$217:$I$237,3,0)),0,VLOOKUP(A176,'Données projet'!$A$217:$I$237,3,0))</f>
        <v>0</v>
      </c>
      <c r="FM176" s="154">
        <f>IF(ISNA(VLOOKUP(A176,'Données projet'!$A$217:$I$237,4,0)),0,VLOOKUP(A176,'Données projet'!$A$217:$I$237,4,0))</f>
        <v>0</v>
      </c>
      <c r="FN176" s="155">
        <f>IF(ISNA(VLOOKUP(A176,'Données projet'!$A$217:$I$237,5,0)),0%,VLOOKUP(A176,'Données projet'!$A$217:$I$237,5,0)*VLOOKUP('Données projet'!$B$16,'Paramètres'!$A$1:$I$88,7,0))</f>
        <v>0</v>
      </c>
      <c r="FO176" s="155">
        <f>IF(ISNA(VLOOKUP(A176,'Données projet'!$A$217:$I$237,6,0)),0%,VLOOKUP(A176,'Données projet'!$A$217:$I$237,6,0)*VLOOKUP('Données projet'!$B$16,'Paramètres'!$A$1:$I$88,7,0))</f>
        <v>0</v>
      </c>
      <c r="FP176" s="155">
        <f>IF(ISNA(VLOOKUP(A176,'Données projet'!$A$217:$I$237,7,0)),0%,VLOOKUP(A176,'Données projet'!$A$217:$I$237,7,0))</f>
        <v>0</v>
      </c>
      <c r="FQ176" s="162" t="str">
        <f>EXP(-LN(2)/35)*FQ175+(1-EXP(-LN(2)/35))/(LN(2)/35)*FM176*FN176*VLOOKUP('Données projet'!$B$16,'Paramètres'!$A$1:$I$88,3,0)*0.475*44/12</f>
        <v>#N/A</v>
      </c>
      <c r="FR176" s="162" t="str">
        <f>EXP(-LN(2)/25)*FR175+(1-EXP(-LN(2)/25))/(LN(2)/25)*Calculateur!FM176*Calculateur!FO176*VLOOKUP('Données projet'!$B$16,'Paramètres'!$A$1:$I$88,3,0)*0.475*44/12</f>
        <v>#N/A</v>
      </c>
      <c r="FS176" s="162" t="str">
        <f>EXP(-LN(2)/2)*FS175+(1-EXP(-LN(2)/2))/(LN(2)/2)*FM176*FP176*VLOOKUP('Données projet'!$B$16,'Paramètres'!$A$1:$I$88,3,0)*0.475*44/12</f>
        <v>#N/A</v>
      </c>
      <c r="FT176" s="163" t="str">
        <f t="shared" si="25"/>
        <v>#N/A</v>
      </c>
      <c r="FU176" s="159">
        <f>('Scénario référence'!$F$8+'Scénario référence'!$F$9+'Scénario référence'!$B$17+'Scénario référence'!$B$9+'Scénario référence'!$B$10)*70+IF((45+25*(1-EXP(-0.0175*A176)))&lt;70,'Scénario référence'!$B$16*(45+25*(1-EXP(-0.0175*A176))),70*'Scénario référence'!$B$16)+IF((32+38*(1-EXP(-0.0175*A176)))&lt;70,'Scénario référence'!$B$18*(32+38*(1-EXP(-0.0175*A176))),70*'Scénario référence'!$B$18)</f>
        <v>70</v>
      </c>
      <c r="FV176" s="151">
        <f>IF(A176&gt;30,10,('Scénario référence'!$B$16+'Scénario référence'!$B$17+'Scénario référence'!$B$18+'Scénario référence'!$B$9+'Scénario référence'!$B$10)*A176*10/30+('Scénario référence'!$F$8+'Scénario référence'!$F$9)*10)</f>
        <v>10</v>
      </c>
      <c r="FW176" s="151" t="str">
        <f>VLOOKUP(A176,'Données projet'!$A$243:$I$263,2,0)</f>
        <v>#N/A</v>
      </c>
      <c r="FX176" s="151" t="str">
        <f>VLOOKUP(A176,'Données projet'!$A$243:$I$263,9,0)</f>
        <v>#N/A</v>
      </c>
      <c r="FY176" s="151" t="str">
        <f t="array" ref="FY176">INDEX(FX:FX,MIN(IF(ISNUMBER(FX176:FX372),ROW(FX176:FX372),"")))</f>
        <v/>
      </c>
      <c r="FZ176" s="151">
        <f>IF('Données projet'!$A$244&gt;35,FZ175+FY176-GH175,IF(A176&lt;'Données projet'!$A$244,$FW$205^A176,IF(A176='Données projet'!$A$244,'Données projet'!$B$244,FZ175+FY176-GH175)))</f>
        <v>0</v>
      </c>
      <c r="GA176" s="158" t="str">
        <f>FZ176*VLOOKUP('Données projet'!$B$17,'Paramètres'!$A$1:$I$88,3,0)*VLOOKUP('Données projet'!$B$17,'Paramètres'!$A$1:$I$88,5,0)</f>
        <v>#N/A</v>
      </c>
      <c r="GB176" s="150" t="str">
        <f t="shared" si="50"/>
        <v>#N/A</v>
      </c>
      <c r="GC176" s="161" t="str">
        <f t="shared" si="26"/>
        <v>#N/A</v>
      </c>
      <c r="GD176" s="153" t="str">
        <f t="shared" si="27"/>
        <v>#N/A</v>
      </c>
      <c r="GE176" s="153" t="str">
        <f>AVERAGE(OFFSET($GD$3,0,0,'Données projet'!$E$17+1,1))-AVERAGE(OFFSET($H$3,0,0,'Données projet'!$E$17+1,1))</f>
        <v>#N/A</v>
      </c>
      <c r="GF176" s="153" t="str">
        <f t="shared" si="51"/>
        <v>#N/A</v>
      </c>
      <c r="GG176" s="154">
        <f>IF(ISNA(VLOOKUP(A176,'Données projet'!$A$243:$I$263,3,0)),0,VLOOKUP(A176,'Données projet'!$A$243:$I$263,3,0))</f>
        <v>0</v>
      </c>
      <c r="GH176" s="154">
        <f>IF(ISNA(VLOOKUP(A176,'Données projet'!$A$243:$I$263,4,0)),0,VLOOKUP(A176,'Données projet'!$A$243:$I$263,4,0))</f>
        <v>0</v>
      </c>
      <c r="GI176" s="155">
        <f>IF(ISNA(VLOOKUP(A176,'Données projet'!$A$243:$I$263,5,0)),0%,VLOOKUP(A176,'Données projet'!$A$243:$I$263,5,0)*VLOOKUP('Données projet'!$B$17,'Paramètres'!$A$1:$I$88,7,0))</f>
        <v>0</v>
      </c>
      <c r="GJ176" s="155">
        <f>IF(ISNA(VLOOKUP(A176,'Données projet'!$A$243:$I$263,6,0)),0%,VLOOKUP(A176,'Données projet'!$A$243:$I$263,6,0)*VLOOKUP('Données projet'!$B$17,'Paramètres'!$A$1:$I$88,7,0))</f>
        <v>0</v>
      </c>
      <c r="GK176" s="155">
        <f>IF(ISNA(VLOOKUP(A176,'Données projet'!$A$243:$I$263,7,0)),0%,VLOOKUP(A176,'Données projet'!$A$243:$I$263,7,0))</f>
        <v>0</v>
      </c>
      <c r="GL176" s="162" t="str">
        <f>EXP(-LN(2)/35)*GL175+(1-EXP(-LN(2)/35))/(LN(2)/35)*GH176*GI176*VLOOKUP('Données projet'!$B$17,'Paramètres'!$A$1:$I$88,3,0)*0.475*44/12</f>
        <v>#N/A</v>
      </c>
      <c r="GM176" s="162" t="str">
        <f>EXP(-LN(2)/25)*GM175+(1-EXP(-LN(2)/25))/(LN(2)/25)*Calculateur!GH176*Calculateur!GJ176*VLOOKUP('Données projet'!$B$17,'Paramètres'!$A$1:$I$88,3,0)*0.475*44/12</f>
        <v>#N/A</v>
      </c>
      <c r="GN176" s="162" t="str">
        <f>EXP(-LN(2)/2)*GN175+(1-EXP(-LN(2)/2))/(LN(2)/2)*GH176*GK176*VLOOKUP('Données projet'!$B$17,'Paramètres'!$A$1:$I$88,3,0)*0.475*44/12</f>
        <v>#N/A</v>
      </c>
      <c r="GO176" s="162" t="str">
        <f t="shared" si="28"/>
        <v>#N/A</v>
      </c>
      <c r="GP176" s="159">
        <f>('Scénario référence'!$F$8+'Scénario référence'!$F$9+'Scénario référence'!$B$17+'Scénario référence'!$B$9+'Scénario référence'!$B$10)*70+IF((45+25*(1-EXP(-0.0175*A176)))&lt;70,'Scénario référence'!$B$16*(45+25*(1-EXP(-0.0175*A176))),70*'Scénario référence'!$B$16)+IF((32+38*(1-EXP(-0.0175*A176)))&lt;70,'Scénario référence'!$B$18*(32+38*(1-EXP(-0.0175*A176))),70*'Scénario référence'!$B$18)</f>
        <v>70</v>
      </c>
      <c r="GQ176" s="151">
        <f>IF(A176&gt;30,10,('Scénario référence'!$B$16+'Scénario référence'!$B$17+'Scénario référence'!$B$18+'Scénario référence'!$B$9+'Scénario référence'!$B$10)*A176*10/30+('Scénario référence'!$F$8+'Scénario référence'!$F$9)*10)</f>
        <v>10</v>
      </c>
      <c r="GR176" s="151" t="str">
        <f>VLOOKUP(A176,'Données projet'!$A$269:$I$289,2,0)</f>
        <v>#N/A</v>
      </c>
      <c r="GS176" s="151" t="str">
        <f>VLOOKUP(A176,'Données projet'!$A$269:$I$289,9,0)</f>
        <v>#N/A</v>
      </c>
      <c r="GT176" s="151" t="str">
        <f t="array" ref="GT176">INDEX(GS:GS,MIN(IF(ISNUMBER(GS176:GS372),ROW(GS176:GS372),"")))</f>
        <v/>
      </c>
      <c r="GU176" s="151">
        <f>IF('Données projet'!$A$270&gt;35,GU175+GT176-HC175,IF(A176&lt;'Données projet'!$A$270,$GR$205^A176,IF(A176='Données projet'!$A$270,'Données projet'!$B$270,GU175+GT176-HC175)))</f>
        <v>0</v>
      </c>
      <c r="GV176" s="158" t="str">
        <f>GU176*VLOOKUP('Données projet'!$B$18,'Paramètres'!$A$1:$I$88,3,0)*VLOOKUP('Données projet'!$B$18,'Paramètres'!$A$1:$I$88,5,0)</f>
        <v>#N/A</v>
      </c>
      <c r="GW176" s="150" t="str">
        <f t="shared" si="52"/>
        <v>#N/A</v>
      </c>
      <c r="GX176" s="161" t="str">
        <f t="shared" si="29"/>
        <v>#N/A</v>
      </c>
      <c r="GY176" s="153" t="str">
        <f t="shared" si="30"/>
        <v>#N/A</v>
      </c>
      <c r="GZ176" s="153" t="str">
        <f>AVERAGE(OFFSET($GY$3,0,0,'Données projet'!$E$18+1,1))-AVERAGE(OFFSET($H$3,0,0,'Données projet'!$E$18+1,1))</f>
        <v>#N/A</v>
      </c>
      <c r="HA176" s="153" t="str">
        <f t="shared" si="53"/>
        <v>#N/A</v>
      </c>
      <c r="HB176" s="154">
        <f>IF(ISNA(VLOOKUP(A176,'Données projet'!$A$269:$I$289,3,0)),0,VLOOKUP(A176,'Données projet'!$A$269:$I$289,3,0))</f>
        <v>0</v>
      </c>
      <c r="HC176" s="154">
        <f>IF(ISNA(VLOOKUP(A176,'Données projet'!$A$269:$I$289,4,0)),0,VLOOKUP(A176,'Données projet'!$A$269:$I$289,4,0))</f>
        <v>0</v>
      </c>
      <c r="HD176" s="155">
        <f>IF(ISNA(VLOOKUP(A176,'Données projet'!$A$269:$I$289,5,0)),0%,VLOOKUP(A176,'Données projet'!$A$269:$I$289,5,0)*VLOOKUP('Données projet'!$B$18,'Paramètres'!$A$1:$I$88,7,0))</f>
        <v>0</v>
      </c>
      <c r="HE176" s="155">
        <f>IF(ISNA(VLOOKUP(A176,'Données projet'!$A$269:$I$289,6,0)),0%,VLOOKUP(A176,'Données projet'!$A$269:$I$289,6,0)*VLOOKUP('Données projet'!$B$18,'Paramètres'!$A$1:$I$88,7,0))</f>
        <v>0</v>
      </c>
      <c r="HF176" s="155">
        <f>IF(ISNA(VLOOKUP(A176,'Données projet'!$A$269:$I$289,7,0)),0%,VLOOKUP(A176,'Données projet'!$A$269:$I$289,7,0))</f>
        <v>0</v>
      </c>
      <c r="HG176" s="162" t="str">
        <f>EXP(-LN(2)/35)*HG175+(1-EXP(-LN(2)/35))/(LN(2)/35)*HC176*HD176*VLOOKUP('Données projet'!$B$18,'Paramètres'!$A$1:$I$88,3,0)*0.475*44/12</f>
        <v>#N/A</v>
      </c>
      <c r="HH176" s="162" t="str">
        <f>EXP(-LN(2)/25)*HH175+(1-EXP(-LN(2)/25))/(LN(2)/25)*Calculateur!HC176*Calculateur!HE176*VLOOKUP('Données projet'!$B$18,'Paramètres'!$A$1:$I$88,3,0)*0.475*44/12</f>
        <v>#N/A</v>
      </c>
      <c r="HI176" s="162" t="str">
        <f>EXP(-LN(2)/2)*HI175+(1-EXP(-LN(2)/2))/(LN(2)/2)*HC176*HF176*VLOOKUP('Données projet'!$B$18,'Paramètres'!$A$1:$I$88,3,0)*0.475*44/12</f>
        <v>#N/A</v>
      </c>
      <c r="HJ176" s="163" t="str">
        <f t="shared" si="31"/>
        <v>#N/A</v>
      </c>
    </row>
    <row r="177" ht="15.75" customHeight="1">
      <c r="A177" s="145">
        <f t="shared" si="32"/>
        <v>174</v>
      </c>
      <c r="B177" s="146">
        <f>'Scénario référence'!$B$16*5+'Scénario référence'!$B$17*0+'Scénario référence'!$B$18*5</f>
        <v>0</v>
      </c>
      <c r="C177" s="160">
        <f>Calculateur!C176+'Scénario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77" s="147">
        <f t="shared" si="33"/>
        <v>0</v>
      </c>
      <c r="E177" s="147">
        <f>'Scénario référence'!$B$16*45+('Scénario référence'!$B$17+'Scénario référence'!$F$8+'Scénario référence'!$F$9+'Scénario référence'!$B$10+'Scénario référence'!$B$9)*70+'Scénario référence'!$B$18*32</f>
        <v>70</v>
      </c>
      <c r="F177" s="147">
        <f>IF(OR('Scénario référence'!$F$8&gt;0,'Scénario référence'!$F$9&gt;0),('Scénario référence'!$F$8+'Scénario référence'!$F$9)*10,0)</f>
        <v>0</v>
      </c>
      <c r="G177" s="147">
        <f>'Scénario référence'!$B$8*B177*44/12+'Scénario référence'!$B$9*(C177+D177)/0.475*44/12+'Scénario référence'!$B$10*(C177+D177)/0.475*44/12+'Scénario référence'!$F$8*(C177+D177)/0.475*44/12+'Scénario référence'!$F$9*(C177+D177)/0.475*44/12</f>
        <v>0</v>
      </c>
      <c r="H177" s="148">
        <f t="shared" si="1"/>
        <v>256.6666667</v>
      </c>
      <c r="I177" s="149">
        <f>('Scénario référence'!$F$8+'Scénario référence'!$F$9+'Scénario référence'!$B$17+'Scénario référence'!$B$9+'Scénario référence'!$B$10)*70+IF((45+25*(1-EXP(-0.0175*A177)))&lt;70,'Scénario référence'!$B$16*(45+25*(1-EXP(-0.0175*A177))),70*'Scénario référence'!$B$16)+IF((32+38*(1-EXP(-0.0175*A177)))&lt;70,'Scénario référence'!$B$18*(32+38*(1-EXP(-0.0175*A177))),70*'Scénario référence'!$B$18)</f>
        <v>70</v>
      </c>
      <c r="J177" s="150">
        <f>IF(A177&gt;30,10,('Scénario référence'!$B$16+'Scénario référence'!$B$17+'Scénario référence'!$B$18+'Scénario référence'!$B$9+'Scénario référence'!$B$10)*A177*10/30+('Scénario référence'!$F$8+'Scénario référence'!$F$9)*10)</f>
        <v>10</v>
      </c>
      <c r="K177" s="151" t="str">
        <f>VLOOKUP(A177,'Données projet'!$A$35:$I$55,2,0)</f>
        <v>#N/A</v>
      </c>
      <c r="L177" s="151" t="str">
        <f>VLOOKUP(A177,'Données projet'!$A$35:$I$55,9,0)</f>
        <v>#N/A</v>
      </c>
      <c r="M177" s="151" t="str">
        <f t="array" ref="M177">INDEX(L:L,MIN(IF(ISNUMBER(L177:L373),ROW(L177:L373),"")))</f>
        <v/>
      </c>
      <c r="N177" s="150">
        <f>IF('Données projet'!$A$36&gt;35,N176+M177-V176,IF(A177&lt;'Données projet'!$A$36,$K$205^A177,IF(A177='Données projet'!$A$36,'Données projet'!$B$36,N176+M177-V176)))</f>
        <v>307</v>
      </c>
      <c r="O177" s="150">
        <f>N177*VLOOKUP('Données projet'!$B$9,'Paramètres'!$A$1:$I$88,3,0)*VLOOKUP('Données projet'!$B$9,'Paramètres'!$A$1:$I$88,5,0)</f>
        <v>277.7736</v>
      </c>
      <c r="P177" s="150">
        <f t="shared" si="34"/>
        <v>66.49628818</v>
      </c>
      <c r="Q177" s="161">
        <f t="shared" si="2"/>
        <v>599.6033886</v>
      </c>
      <c r="R177" s="153">
        <f t="shared" si="3"/>
        <v>892.9367219</v>
      </c>
      <c r="S177" s="153">
        <f>AVERAGE(OFFSET($R$3,0,0,'Données projet'!$E$9+1,1))-AVERAGE(OFFSET($H$3,0,0,'Données projet'!$E$9+1,1))</f>
        <v>439.1985427</v>
      </c>
      <c r="T177" s="153">
        <f t="shared" si="35"/>
        <v>278.2174123</v>
      </c>
      <c r="U177" s="154">
        <f>IF(ISNA(VLOOKUP(A177,'Données projet'!$A$35:$I$55,3,0)),0,VLOOKUP(A177,'Données projet'!$A$35:$I$55,3,0))</f>
        <v>0</v>
      </c>
      <c r="V177" s="154">
        <f>IF(ISNA(VLOOKUP(A177,'Données projet'!$A$35:$I$55,4,0)),0,VLOOKUP(A177,'Données projet'!$A$35:$I$55,4,0))</f>
        <v>0</v>
      </c>
      <c r="W177" s="155">
        <f>IF(ISNA(VLOOKUP(A177,'Données projet'!$A$35:$I$55,5,0)),0%,VLOOKUP(A177,'Données projet'!$A$35:$I$55,5,0)*VLOOKUP('Données projet'!$B$9,'Paramètres'!$A$1:$I$88,7,0))</f>
        <v>0</v>
      </c>
      <c r="X177" s="155">
        <f>IF(ISNA(VLOOKUP(A177,'Données projet'!$A$35:$I$55,6,0)),0%,VLOOKUP(A177,'Données projet'!$A$35:$I$55,6,0)*VLOOKUP('Données projet'!$B$9,'Paramètres'!$A$1:$I$88,7,0))</f>
        <v>0</v>
      </c>
      <c r="Y177" s="155">
        <f>IF(ISNA(VLOOKUP(A177,'Données projet'!$A$35:$I$55,7,0)),0%,VLOOKUP(A177,'Données projet'!$A$35:$I$55,7,0))</f>
        <v>0</v>
      </c>
      <c r="Z177" s="162">
        <f>EXP(-LN(2)/35)*Z176+(1-EXP(-LN(2)/35))/(LN(2)/35)*V177*W177*VLOOKUP('Données projet'!$B$9,'Paramètres'!$A$1:$I$88,3,0)*0.475*44/12</f>
        <v>0</v>
      </c>
      <c r="AA177" s="162">
        <f>EXP(-LN(2)/25)*AA176+(1-EXP(-LN(2)/25))/(LN(2)/25)*Calculateur!V177*Calculateur!X177*VLOOKUP('Données projet'!$B$9,'Paramètres'!$A$1:$I$88,3,0)*0.475*44/12</f>
        <v>0.08280937445</v>
      </c>
      <c r="AB177" s="162">
        <f>EXP(-LN(2)/2)*AB176+(1-EXP(-LN(2)/2))/(LN(2)/2)*V177*Y177*VLOOKUP('Données projet'!$B$9,'Paramètres'!$A$1:$I$88,3,0)*0.475*44/12</f>
        <v>0</v>
      </c>
      <c r="AC177" s="163">
        <f t="shared" si="4"/>
        <v>0.08280937445</v>
      </c>
      <c r="AD177" s="150">
        <f>('Scénario référence'!$F$8+'Scénario référence'!$F$9+'Scénario référence'!$B$17+'Scénario référence'!$B$9+'Scénario référence'!$B$10)*70+IF((45+25*(1-EXP(-0.0175*A177)))&lt;70,'Scénario référence'!$B$16*(45+25*(1-EXP(-0.0175*A177))),70*'Scénario référence'!$B$16)+IF((32+38*(1-EXP(-0.0175*A177)))&lt;70,'Scénario référence'!$B$18*(32+38*(1-EXP(-0.0175*A177))),70*'Scénario référence'!$B$18)</f>
        <v>70</v>
      </c>
      <c r="AE177" s="150">
        <f>IF(A177&gt;30,10,('Scénario référence'!$B$16+'Scénario référence'!$B$17+'Scénario référence'!$B$18+'Scénario référence'!$B$9+'Scénario référence'!$B$10)*A177*10/30+('Scénario référence'!$F$8+'Scénario référence'!$F$9)*10)</f>
        <v>10</v>
      </c>
      <c r="AF177" s="151" t="str">
        <f>VLOOKUP(A177,'Données projet'!$A$61:$I$81,2,0)</f>
        <v>#N/A</v>
      </c>
      <c r="AG177" s="151" t="str">
        <f>VLOOKUP(A177,'Données projet'!$A$61:$I$81,9,0)</f>
        <v>#N/A</v>
      </c>
      <c r="AH177" s="151" t="str">
        <f t="array" ref="AH177">INDEX(AG:AG,MIN(IF(ISNUMBER(AG177:AG373),ROW(AG177:AG373),"")))</f>
        <v/>
      </c>
      <c r="AI177" s="150">
        <f>IF('Données projet'!$A$62&gt;35,AI176+AH177-AQ176,IF(A177&lt;'Données projet'!$A$62,$AF$205^A177,IF(A177='Données projet'!$A$62,'Données projet'!$B$62,AI176+AH177-AQ176)))</f>
        <v>369</v>
      </c>
      <c r="AJ177" s="150">
        <f>AI177*VLOOKUP('Données projet'!$B$10,'Paramètres'!$A$1:$I$88,3,0)*VLOOKUP('Données projet'!$B$10,'Paramètres'!$A$1:$I$88,5,0)</f>
        <v>293.5764</v>
      </c>
      <c r="AK177" s="150">
        <f t="shared" si="36"/>
        <v>69.82813851</v>
      </c>
      <c r="AL177" s="161">
        <f t="shared" si="5"/>
        <v>632.9295712</v>
      </c>
      <c r="AM177" s="153">
        <f t="shared" si="6"/>
        <v>926.2629046</v>
      </c>
      <c r="AN177" s="153">
        <f>AVERAGE(OFFSET($AM$3,0,0,'Données projet'!$E$10+1,1))-AVERAGE(OFFSET($H$3,0,0,'Données projet'!$E$10+1,1))</f>
        <v>405.6113614</v>
      </c>
      <c r="AO177" s="153">
        <f t="shared" si="37"/>
        <v>393.0787141</v>
      </c>
      <c r="AP177" s="154">
        <f>IF(ISNA(VLOOKUP(A177,'Données projet'!$A$61:$I$81,3,0)),0,VLOOKUP(A177,'Données projet'!$A$61:$I$81,3,0))</f>
        <v>0</v>
      </c>
      <c r="AQ177" s="154">
        <f>IF(ISNA(VLOOKUP(A177,'Données projet'!$A$61:$I$81,4,0)),0,VLOOKUP(A177,'Données projet'!$A$61:$I$81,4,0))</f>
        <v>0</v>
      </c>
      <c r="AR177" s="155">
        <f>IF(ISNA(VLOOKUP(A177,'Données projet'!$A$61:$I$81,5,0)),0%,VLOOKUP(A177,'Données projet'!$A$61:$I$81,5,0)*VLOOKUP('Données projet'!$B$10,'Paramètres'!$A$1:$I$88,7,0))</f>
        <v>0</v>
      </c>
      <c r="AS177" s="155">
        <f>IF(ISNA(VLOOKUP(A177,'Données projet'!$A$61:$I$81,6,0)),0%,VLOOKUP(A177,'Données projet'!$A$61:$I$81,6,0)*VLOOKUP('Données projet'!$B$10,'Paramètres'!$A$1:$I$88,7,0))</f>
        <v>0</v>
      </c>
      <c r="AT177" s="155">
        <f>IF(ISNA(VLOOKUP(A177,'Données projet'!$A$61:$I$81,7,0)),0%,VLOOKUP(A177,'Données projet'!$A$61:$I$81,7,0))</f>
        <v>0</v>
      </c>
      <c r="AU177" s="162">
        <f>EXP(-LN(2)/35)*AU176+(1-EXP(-LN(2)/35))/(LN(2)/35)*AQ177*AR177*VLOOKUP('Données projet'!$B$10,'Paramètres'!$A$1:$I$88,3,0)*0.475*44/12</f>
        <v>0</v>
      </c>
      <c r="AV177" s="162">
        <f>EXP(-LN(2)/25)*AV176+(1-EXP(-LN(2)/25))/(LN(2)/25)*Calculateur!AQ177*Calculateur!AS177*VLOOKUP('Données projet'!$B$10,'Paramètres'!$A$1:$I$88,3,0)*0.475*44/12</f>
        <v>0.3365583487</v>
      </c>
      <c r="AW177" s="162">
        <f>EXP(-LN(2)/2)*AW176+(1-EXP(-LN(2)/2))/(LN(2)/2)*AQ177*AT177*VLOOKUP('Données projet'!$B$10,'Paramètres'!$A$1:$I$88,3,0)*0.475*44/12</f>
        <v>0</v>
      </c>
      <c r="AX177" s="162">
        <f t="shared" si="7"/>
        <v>0.3365583487</v>
      </c>
      <c r="AY177" s="157">
        <f>('Scénario référence'!$F$8+'Scénario référence'!$F$9+'Scénario référence'!$B$17+'Scénario référence'!$B$9+'Scénario référence'!$B$10)*70+IF((45+25*(1-EXP(-0.0175*A177)))&lt;70,'Scénario référence'!$B$16*(45+25*(1-EXP(-0.0175*A177))),70*'Scénario référence'!$B$16)+IF((32+38*(1-EXP(-0.0175*A177)))&lt;70,'Scénario référence'!$B$18*(32+38*(1-EXP(-0.0175*A177))),70*'Scénario référence'!$B$18)</f>
        <v>70</v>
      </c>
      <c r="AZ177" s="151">
        <f>IF(A177&gt;30,10,('Scénario référence'!$B$16+'Scénario référence'!$B$17+'Scénario référence'!$B$18+'Scénario référence'!$B$9+'Scénario référence'!$B$10)*A177*10/30+('Scénario référence'!$F$8+'Scénario référence'!$F$9)*10)</f>
        <v>10</v>
      </c>
      <c r="BA177" s="151" t="str">
        <f>VLOOKUP(A177,'Données projet'!$A$87:$I$107,2,0)</f>
        <v>#N/A</v>
      </c>
      <c r="BB177" s="151" t="str">
        <f>VLOOKUP(A177,'Données projet'!$A$87:$I$107,9,0)</f>
        <v>#N/A</v>
      </c>
      <c r="BC177" s="151" t="str">
        <f t="array" ref="BC177">INDEX(BB:BB,MIN(IF(ISNUMBER(BB177:BB373),ROW(BB177:BB373),"")))</f>
        <v/>
      </c>
      <c r="BD177" s="150">
        <f>IF('Données projet'!$A$88&gt;35,BD176+BC177-BL176,IF(A177&lt;'Données projet'!$A$88,$BA$205^A177,IF(A177='Données projet'!$A$88,'Données projet'!$B$88,BD176+BC177-BL176)))</f>
        <v>0</v>
      </c>
      <c r="BE177" s="150">
        <f>BD177*VLOOKUP('Données projet'!$B$11,'Paramètres'!$A$1:$I$88,3,0)*VLOOKUP('Données projet'!$B$11,'Paramètres'!$A$1:$I$88,5,0)</f>
        <v>0</v>
      </c>
      <c r="BF177" s="150" t="str">
        <f t="shared" si="38"/>
        <v>#NUM!</v>
      </c>
      <c r="BG177" s="161" t="str">
        <f t="shared" si="8"/>
        <v>#NUM!</v>
      </c>
      <c r="BH177" s="153" t="str">
        <f t="shared" si="9"/>
        <v>#NUM!</v>
      </c>
      <c r="BI177" s="153">
        <f>AVERAGE(OFFSET($BH$3,0,0,'Données projet'!$E$11+1,1))-AVERAGE(OFFSET($H$3,0,0,'Données projet'!$E$11+1,1))</f>
        <v>0</v>
      </c>
      <c r="BJ177" s="153">
        <f t="shared" si="39"/>
        <v>0</v>
      </c>
      <c r="BK177" s="154">
        <f>IF(ISNA(VLOOKUP(A177,'Données projet'!$A$87:$I$107,3,0)),0,VLOOKUP(A177,'Données projet'!$A$87:$I$107,3,0))</f>
        <v>0</v>
      </c>
      <c r="BL177" s="154">
        <f>IF(ISNA(VLOOKUP(A177,'Données projet'!$A$87:$I$107,4,0)),0,VLOOKUP(A177,'Données projet'!$A$87:$I$107,4,0))</f>
        <v>0</v>
      </c>
      <c r="BM177" s="155">
        <f>IF(ISNA(VLOOKUP(A177,'Données projet'!$A$87:$I$107,5,0)),0%,VLOOKUP(A177,'Données projet'!$A$87:$I$107,5,0)*VLOOKUP('Données projet'!$B$11,'Paramètres'!$A$1:$I$88,7,0))</f>
        <v>0</v>
      </c>
      <c r="BN177" s="155">
        <f>IF(ISNA(VLOOKUP(A177,'Données projet'!$A$87:$I$107,6,0)),0%,VLOOKUP(A177,'Données projet'!$A$87:$I$107,6,0)*VLOOKUP('Données projet'!$B$11,'Paramètres'!$A$1:$I$88,7,0))</f>
        <v>0</v>
      </c>
      <c r="BO177" s="155">
        <f>IF(ISNA(VLOOKUP(A177,'Données projet'!$A$87:$I$107,7,0)),0%,VLOOKUP(A177,'Données projet'!$A$87:$I$107,7,0))</f>
        <v>0</v>
      </c>
      <c r="BP177" s="162">
        <f>EXP(-LN(2)/35)*BP176+(1-EXP(-LN(2)/35))/(LN(2)/35)*BL177*BM177*VLOOKUP('Données projet'!$B$11,'Paramètres'!$A$1:$I$88,3,0)*0.475*44/12</f>
        <v>0</v>
      </c>
      <c r="BQ177" s="162">
        <f>EXP(-LN(2)/25)*BQ176+(1-EXP(-LN(2)/25))/(LN(2)/25)*Calculateur!BL177*Calculateur!BN177*VLOOKUP('Données projet'!$B$11,'Paramètres'!$A$1:$I$88,3,0)*0.475*44/12</f>
        <v>0</v>
      </c>
      <c r="BR177" s="162">
        <f>EXP(-LN(2)/2)*BR176+(1-EXP(-LN(2)/2))/(LN(2)/2)*BL177*BO177*VLOOKUP('Données projet'!$B$11,'Paramètres'!$A$1:$I$88,3,0)*0.475*44/12</f>
        <v>0</v>
      </c>
      <c r="BS177" s="163">
        <f t="shared" si="10"/>
        <v>0</v>
      </c>
      <c r="BT177" s="159">
        <f>('Scénario référence'!$F$8+'Scénario référence'!$F$9+'Scénario référence'!$B$17+'Scénario référence'!$B$9+'Scénario référence'!$B$10)*70+IF((45+25*(1-EXP(-0.0175*A177)))&lt;70,'Scénario référence'!$B$16*(45+25*(1-EXP(-0.0175*A177))),70*'Scénario référence'!$B$16)+IF((32+38*(1-EXP(-0.0175*A177)))&lt;70,'Scénario référence'!$B$18*(32+38*(1-EXP(-0.0175*A177))),70*'Scénario référence'!$B$18)</f>
        <v>70</v>
      </c>
      <c r="BU177" s="151">
        <f>IF(A177&gt;30,10,('Scénario référence'!$B$16+'Scénario référence'!$B$17+'Scénario référence'!$B$18+'Scénario référence'!$B$9+'Scénario référence'!$B$10)*A177*10/30+('Scénario référence'!$F$8+'Scénario référence'!$F$9)*10)</f>
        <v>10</v>
      </c>
      <c r="BV177" s="151" t="str">
        <f>VLOOKUP(A177,'Données projet'!$A$113:$I$133,2,0)</f>
        <v>#N/A</v>
      </c>
      <c r="BW177" s="151" t="str">
        <f>VLOOKUP(A177,'Données projet'!$A$113:$I$133,9,0)</f>
        <v>#N/A</v>
      </c>
      <c r="BX177" s="151" t="str">
        <f t="array" ref="BX177">INDEX(BW:BW,MIN(IF(ISNUMBER(BW177:BW373),ROW(BW177:BW373),"")))</f>
        <v/>
      </c>
      <c r="BY177" s="150">
        <f>IF('Données projet'!$A$114&gt;35,BY176+BX177-CG176,IF(A177&lt;'Données projet'!$A$114,$BV$205^A177,IF(A177='Données projet'!$A$114,'Données projet'!$B$114,BY176+BX177-CG176)))</f>
        <v>0</v>
      </c>
      <c r="BZ177" s="150" t="str">
        <f>BY177*VLOOKUP('Données projet'!$B$12,'Paramètres'!$A$1:$I$88,3,0)*VLOOKUP('Données projet'!$B$12,'Paramètres'!$A$1:$I$88,5,0)</f>
        <v>#N/A</v>
      </c>
      <c r="CA177" s="150" t="str">
        <f t="shared" si="40"/>
        <v>#N/A</v>
      </c>
      <c r="CB177" s="161" t="str">
        <f t="shared" si="11"/>
        <v>#N/A</v>
      </c>
      <c r="CC177" s="153" t="str">
        <f t="shared" si="12"/>
        <v>#N/A</v>
      </c>
      <c r="CD177" s="153" t="str">
        <f>AVERAGE(OFFSET($CC$3,0,0,'Données projet'!$E$12+1,1))-AVERAGE(OFFSET($H$3,0,0,'Données projet'!$E$12+1,1))</f>
        <v>#N/A</v>
      </c>
      <c r="CE177" s="153" t="str">
        <f t="shared" si="41"/>
        <v>#N/A</v>
      </c>
      <c r="CF177" s="154">
        <f>IF(ISNA(VLOOKUP(A177,'Données projet'!$A$113:$I$133,3,0)),0,VLOOKUP(A177,'Données projet'!$A$113:$I$133,3,0))</f>
        <v>0</v>
      </c>
      <c r="CG177" s="154">
        <f>IF(ISNA(VLOOKUP(A177,'Données projet'!$A$113:$I$133,4,0)),0,VLOOKUP(A177,'Données projet'!$A$113:$I$133,4,0))</f>
        <v>0</v>
      </c>
      <c r="CH177" s="155">
        <f>IF(ISNA(VLOOKUP(A177,'Données projet'!$A$113:$I$133,5,0)),0%,VLOOKUP(A177,'Données projet'!$A$113:$I$133,5,0)*VLOOKUP('Données projet'!$B$12,'Paramètres'!$A$1:$I$88,7,0))</f>
        <v>0</v>
      </c>
      <c r="CI177" s="155">
        <f>IF(ISNA(VLOOKUP(A177,'Données projet'!$A$113:$I$133,6,0)),0%,VLOOKUP(A177,'Données projet'!$A$113:$I$133,6,0)*VLOOKUP('Données projet'!$B$12,'Paramètres'!$A$1:$I$88,7,0))</f>
        <v>0</v>
      </c>
      <c r="CJ177" s="155">
        <f>IF(ISNA(VLOOKUP(A177,'Données projet'!$A$113:$I$133,7,0)),0%,VLOOKUP(A177,'Données projet'!$A$113:$I$133,7,0))</f>
        <v>0</v>
      </c>
      <c r="CK177" s="162" t="str">
        <f>EXP(-LN(2)/35)*CK176+(1-EXP(-LN(2)/35))/(LN(2)/35)*CG177*CH177*VLOOKUP('Données projet'!$B$12,'Paramètres'!$A$1:$I$88,3,0)*0.475*44/12</f>
        <v>#N/A</v>
      </c>
      <c r="CL177" s="162" t="str">
        <f>EXP(-LN(2)/25)*CL176+(1-EXP(-LN(2)/25))/(LN(2)/25)*Calculateur!CG177*Calculateur!CI177*VLOOKUP('Données projet'!$B$12,'Paramètres'!$A$1:$I$88,3,0)*0.475*44/12</f>
        <v>#N/A</v>
      </c>
      <c r="CM177" s="162" t="str">
        <f>EXP(-LN(2)/2)*CM176+(1-EXP(-LN(2)/2))/(LN(2)/2)*CG177*CJ177*VLOOKUP('Données projet'!$B$12,'Paramètres'!$A$1:$I$88,3,0)*0.475*44/12</f>
        <v>#N/A</v>
      </c>
      <c r="CN177" s="163" t="str">
        <f t="shared" si="13"/>
        <v>#N/A</v>
      </c>
      <c r="CO177" s="159">
        <f>('Scénario référence'!$F$8+'Scénario référence'!$F$9+'Scénario référence'!$B$17+'Scénario référence'!$B$9+'Scénario référence'!$B$10)*70+IF((45+25*(1-EXP(-0.0175*A177)))&lt;70,'Scénario référence'!$B$16*(45+25*(1-EXP(-0.0175*A177))),70*'Scénario référence'!$B$16)+IF((32+38*(1-EXP(-0.0175*A177)))&lt;70,'Scénario référence'!$B$18*(32+38*(1-EXP(-0.0175*A177))),70*'Scénario référence'!$B$18)</f>
        <v>70</v>
      </c>
      <c r="CP177" s="151">
        <f>IF(A177&gt;30,10,('Scénario référence'!$B$16+'Scénario référence'!$B$17+'Scénario référence'!$B$18+'Scénario référence'!$B$9+'Scénario référence'!$B$10)*A177*10/30+('Scénario référence'!$F$8+'Scénario référence'!$F$9)*10)</f>
        <v>10</v>
      </c>
      <c r="CQ177" s="151" t="str">
        <f>VLOOKUP(A177,'Données projet'!$A$139:$I$159,2,0)</f>
        <v>#N/A</v>
      </c>
      <c r="CR177" s="151" t="str">
        <f>VLOOKUP(A177,'Données projet'!$A$139:$I$159,9,0)</f>
        <v>#N/A</v>
      </c>
      <c r="CS177" s="151" t="str">
        <f t="array" ref="CS177">INDEX(CR:CR,MIN(IF(ISNUMBER(CR177:CR373),ROW(CR177:CR373),"")))</f>
        <v/>
      </c>
      <c r="CT177" s="151">
        <f>IF('Données projet'!$A$140&gt;35,CT176+CS177-DB176,IF(A177&lt;'Données projet'!$A$140,$CQ$205^A177,IF(A177='Données projet'!$A$140,'Données projet'!$B$140,CT176+CS177-DB176)))</f>
        <v>0</v>
      </c>
      <c r="CU177" s="158" t="str">
        <f>CT177*VLOOKUP('Données projet'!$B$13,'Paramètres'!$A$1:$I$88,3,0)*VLOOKUP('Données projet'!$B$13,'Paramètres'!$A$1:$I$88,5,0)</f>
        <v>#N/A</v>
      </c>
      <c r="CV177" s="150" t="str">
        <f t="shared" si="42"/>
        <v>#N/A</v>
      </c>
      <c r="CW177" s="161" t="str">
        <f t="shared" si="14"/>
        <v>#N/A</v>
      </c>
      <c r="CX177" s="153" t="str">
        <f t="shared" si="15"/>
        <v>#N/A</v>
      </c>
      <c r="CY177" s="153" t="str">
        <f>AVERAGE(OFFSET($CX$3,0,0,'Données projet'!$E$13+1,1))-AVERAGE(OFFSET($H$3,0,0,'Données projet'!$E$13+1,1))</f>
        <v>#N/A</v>
      </c>
      <c r="CZ177" s="153" t="str">
        <f t="shared" si="43"/>
        <v>#N/A</v>
      </c>
      <c r="DA177" s="154">
        <f>IF(ISNA(VLOOKUP(A177,'Données projet'!$A$139:$I$159,3,0)),0,VLOOKUP(A177,'Données projet'!$A$139:$I$159,3,0))</f>
        <v>0</v>
      </c>
      <c r="DB177" s="154">
        <f>IF(ISNA(VLOOKUP(A177,'Données projet'!$A$139:$I$159,4,0)),0,VLOOKUP(A177,'Données projet'!$A$139:$I$159,4,0))</f>
        <v>0</v>
      </c>
      <c r="DC177" s="155">
        <f>IF(ISNA(VLOOKUP(A177,'Données projet'!$A$139:$I$159,5,0)),0%,VLOOKUP(A177,'Données projet'!$A$139:$I$159,5,0)*VLOOKUP('Données projet'!$B$13,'Paramètres'!$A$1:$I$88,7,0))</f>
        <v>0</v>
      </c>
      <c r="DD177" s="155">
        <f>IF(ISNA(VLOOKUP(A177,'Données projet'!$A$139:$I$159,6,0)),0%,VLOOKUP(A177,'Données projet'!$A$139:$I$159,6,0)*VLOOKUP('Données projet'!$B$13,'Paramètres'!$A$1:$I$88,7,0))</f>
        <v>0</v>
      </c>
      <c r="DE177" s="155">
        <f>IF(ISNA(VLOOKUP(A177,'Données projet'!$A$139:$I$159,7,0)),0%,VLOOKUP(A177,'Données projet'!$A$139:$I$159,7,0))</f>
        <v>0</v>
      </c>
      <c r="DF177" s="162" t="str">
        <f>EXP(-LN(2)/35)*DF176+(1-EXP(-LN(2)/35))/(LN(2)/35)*DB177*DC177*VLOOKUP('Données projet'!$B$13,'Paramètres'!$A$1:$I$88,3,0)*0.475*44/12</f>
        <v>#N/A</v>
      </c>
      <c r="DG177" s="162" t="str">
        <f>EXP(-LN(2)/25)*DG176+(1-EXP(-LN(2)/25))/(LN(2)/25)*Calculateur!DB177*Calculateur!DD177*VLOOKUP('Données projet'!$B$13,'Paramètres'!$A$1:$I$88,3,0)*0.475*44/12</f>
        <v>#N/A</v>
      </c>
      <c r="DH177" s="162" t="str">
        <f>EXP(-LN(2)/2)*DH176+(1-EXP(-LN(2)/2))/(LN(2)/2)*DB177*DE177*VLOOKUP('Données projet'!$B$13,'Paramètres'!$A$1:$I$88,3,0)*0.475*44/12</f>
        <v>#N/A</v>
      </c>
      <c r="DI177" s="163" t="str">
        <f t="shared" si="16"/>
        <v>#N/A</v>
      </c>
      <c r="DJ177" s="159">
        <f>('Scénario référence'!$F$8+'Scénario référence'!$F$9+'Scénario référence'!$B$17+'Scénario référence'!$B$9+'Scénario référence'!$B$10)*70+IF((45+25*(1-EXP(-0.0175*A177)))&lt;70,'Scénario référence'!$B$16*(45+25*(1-EXP(-0.0175*A177))),70*'Scénario référence'!$B$16)+IF((32+38*(1-EXP(-0.0175*A177)))&lt;70,'Scénario référence'!$B$18*(32+38*(1-EXP(-0.0175*A177))),70*'Scénario référence'!$B$18)</f>
        <v>70</v>
      </c>
      <c r="DK177" s="151">
        <f>IF(A177&gt;30,10,('Scénario référence'!$B$16+'Scénario référence'!$B$17+'Scénario référence'!$B$18+'Scénario référence'!$B$9+'Scénario référence'!$B$10)*A177*10/30+('Scénario référence'!$F$8+'Scénario référence'!$F$9)*10)</f>
        <v>10</v>
      </c>
      <c r="DL177" s="151" t="str">
        <f>VLOOKUP(A177,'Données projet'!$A$165:$I$185,2,0)</f>
        <v>#N/A</v>
      </c>
      <c r="DM177" s="151" t="str">
        <f>VLOOKUP(A177,'Données projet'!$A$165:$I$185,9,0)</f>
        <v>#N/A</v>
      </c>
      <c r="DN177" s="151" t="str">
        <f t="array" ref="DN177">INDEX(DM:DM,MIN(IF(ISNUMBER(DM177:DM373),ROW(DM177:DM373),"")))</f>
        <v/>
      </c>
      <c r="DO177" s="151">
        <f>IF('Données projet'!$A$166&gt;35,DO176+DN177-DW176,IF(A177&lt;'Données projet'!$A$166,$DL$205^A177,IF(A177='Données projet'!$A$166,'Données projet'!$B$166,DO176+DN177-DW176)))</f>
        <v>0</v>
      </c>
      <c r="DP177" s="158" t="str">
        <f>DO177*VLOOKUP('Données projet'!$B$14,'Paramètres'!$A$1:$I$88,3,0)*VLOOKUP('Données projet'!$B$14,'Paramètres'!$A$1:$I$88,5,0)</f>
        <v>#N/A</v>
      </c>
      <c r="DQ177" s="150" t="str">
        <f t="shared" si="44"/>
        <v>#N/A</v>
      </c>
      <c r="DR177" s="161" t="str">
        <f t="shared" si="17"/>
        <v>#N/A</v>
      </c>
      <c r="DS177" s="153" t="str">
        <f t="shared" si="18"/>
        <v>#N/A</v>
      </c>
      <c r="DT177" s="153" t="str">
        <f>AVERAGE(OFFSET($DS$3,0,0,'Données projet'!$E$14+1,1))-AVERAGE(OFFSET($H$3,0,0,'Données projet'!$E$14+1,1))</f>
        <v>#N/A</v>
      </c>
      <c r="DU177" s="153" t="str">
        <f t="shared" si="45"/>
        <v>#N/A</v>
      </c>
      <c r="DV177" s="154">
        <f>IF(ISNA(VLOOKUP(A177,'Données projet'!$A$165:$I$185,3,0)),0,VLOOKUP(A177,'Données projet'!$A$165:$I$185,3,0))</f>
        <v>0</v>
      </c>
      <c r="DW177" s="154">
        <f>IF(ISNA(VLOOKUP(A177,'Données projet'!$A$165:$I$185,4,0)),0,VLOOKUP(A177,'Données projet'!$A$165:$I$185,4,0))</f>
        <v>0</v>
      </c>
      <c r="DX177" s="155">
        <f>IF(ISNA(VLOOKUP(A177,'Données projet'!$A$165:$I$185,5,0)),0%,VLOOKUP(A177,'Données projet'!$A$165:$I$185,5,0)*VLOOKUP('Données projet'!$B$14,'Paramètres'!$A$1:$I$88,7,0))</f>
        <v>0</v>
      </c>
      <c r="DY177" s="155">
        <f>IF(ISNA(VLOOKUP(A177,'Données projet'!$A$165:$I$185,6,0)),0%,VLOOKUP(A177,'Données projet'!$A$165:$I$185,6,0)*VLOOKUP('Données projet'!$B$14,'Paramètres'!$A$1:$I$88,7,0))</f>
        <v>0</v>
      </c>
      <c r="DZ177" s="155">
        <f>IF(ISNA(VLOOKUP(A177,'Données projet'!$A$165:$I$185,7,0)),0%,VLOOKUP(A177,'Données projet'!$A$165:$I$185,7,0))</f>
        <v>0</v>
      </c>
      <c r="EA177" s="162" t="str">
        <f>EXP(-LN(2)/35)*EA176+(1-EXP(-LN(2)/35))/(LN(2)/35)*DW177*DX177*VLOOKUP('Données projet'!$B$14,'Paramètres'!$A$1:$I$88,3,0)*0.475*44/12</f>
        <v>#N/A</v>
      </c>
      <c r="EB177" s="162" t="str">
        <f>EXP(-LN(2)/25)*EB176+(1-EXP(-LN(2)/25))/(LN(2)/25)*Calculateur!DW177*Calculateur!DY177*VLOOKUP('Données projet'!$B$14,'Paramètres'!$A$1:$I$88,3,0)*0.475*44/12</f>
        <v>#N/A</v>
      </c>
      <c r="EC177" s="162" t="str">
        <f>EXP(-LN(2)/2)*EC176+(1-EXP(-LN(2)/2))/(LN(2)/2)*DW177*DZ177*VLOOKUP('Données projet'!$B$14,'Paramètres'!$A$1:$I$88,3,0)*0.475*44/12</f>
        <v>#N/A</v>
      </c>
      <c r="ED177" s="163" t="str">
        <f t="shared" si="19"/>
        <v>#N/A</v>
      </c>
      <c r="EE177" s="159">
        <f>('Scénario référence'!$F$8+'Scénario référence'!$F$9+'Scénario référence'!$B$17+'Scénario référence'!$B$9+'Scénario référence'!$B$10)*70+IF((45+25*(1-EXP(-0.0175*A177)))&lt;70,'Scénario référence'!$B$16*(45+25*(1-EXP(-0.0175*A177))),70*'Scénario référence'!$B$16)+IF((32+38*(1-EXP(-0.0175*A177)))&lt;70,'Scénario référence'!$B$18*(32+38*(1-EXP(-0.0175*A177))),70*'Scénario référence'!$B$18)</f>
        <v>70</v>
      </c>
      <c r="EF177" s="151">
        <f>IF(A177&gt;30,10,('Scénario référence'!$B$16+'Scénario référence'!$B$17+'Scénario référence'!$B$18+'Scénario référence'!$B$9+'Scénario référence'!$B$10)*A177*10/30+('Scénario référence'!$F$8+'Scénario référence'!$F$9)*10)</f>
        <v>10</v>
      </c>
      <c r="EG177" s="151" t="str">
        <f>VLOOKUP(A177,'Données projet'!$A$191:$I$211,2,0)</f>
        <v>#N/A</v>
      </c>
      <c r="EH177" s="151" t="str">
        <f>VLOOKUP(A177,'Données projet'!$A$191:$I$211,9,0)</f>
        <v>#N/A</v>
      </c>
      <c r="EI177" s="151" t="str">
        <f t="array" ref="EI177">INDEX(EH:EH,MIN(IF(ISNUMBER(EH177:EH373),ROW(EH177:EH373),"")))</f>
        <v/>
      </c>
      <c r="EJ177" s="151">
        <f>IF('Données projet'!$A$192&gt;35,EJ176+EI177-ER176,IF(A177&lt;'Données projet'!$A$192,$EG$205^A177,IF(A177='Données projet'!$A$192,'Données projet'!$B$192,EJ176+EI177-ER176)))</f>
        <v>0</v>
      </c>
      <c r="EK177" s="158" t="str">
        <f>EJ177*VLOOKUP('Données projet'!$B$15,'Paramètres'!$A$1:$I$88,3,0)*VLOOKUP('Données projet'!$B$15,'Paramètres'!$A$1:$I$88,5,0)</f>
        <v>#N/A</v>
      </c>
      <c r="EL177" s="150" t="str">
        <f t="shared" si="46"/>
        <v>#N/A</v>
      </c>
      <c r="EM177" s="161" t="str">
        <f t="shared" si="20"/>
        <v>#N/A</v>
      </c>
      <c r="EN177" s="153" t="str">
        <f t="shared" si="21"/>
        <v>#N/A</v>
      </c>
      <c r="EO177" s="153" t="str">
        <f>AVERAGE(OFFSET($EN$3,0,0,'Données projet'!$E$15+1,1))-AVERAGE(OFFSET($H$3,0,0,'Données projet'!$E$15+1,1))</f>
        <v>#N/A</v>
      </c>
      <c r="EP177" s="153" t="str">
        <f t="shared" si="47"/>
        <v>#N/A</v>
      </c>
      <c r="EQ177" s="154">
        <f>IF(ISNA(VLOOKUP(A177,'Données projet'!$A$191:$I$211,3,0)),0,VLOOKUP(A177,'Données projet'!$A$191:$I$211,3,0))</f>
        <v>0</v>
      </c>
      <c r="ER177" s="154">
        <f>IF(ISNA(VLOOKUP(A177,'Données projet'!$A$191:$I$211,4,0)),0,VLOOKUP(A177,'Données projet'!$A$191:$I$211,4,0))</f>
        <v>0</v>
      </c>
      <c r="ES177" s="155">
        <f>IF(ISNA(VLOOKUP(A177,'Données projet'!$A$191:$I$211,5,0)),0%,VLOOKUP(A177,'Données projet'!$A$191:$I$211,5,0)*VLOOKUP('Données projet'!$B$15,'Paramètres'!$A$1:$I$88,7,0))</f>
        <v>0</v>
      </c>
      <c r="ET177" s="155">
        <f>IF(ISNA(VLOOKUP(A177,'Données projet'!$A$191:$I$211,6,0)),0%,VLOOKUP(A177,'Données projet'!$A$191:$I$211,6,0)*VLOOKUP('Données projet'!$B$15,'Paramètres'!$A$1:$I$88,7,0))</f>
        <v>0</v>
      </c>
      <c r="EU177" s="155">
        <f>IF(ISNA(VLOOKUP(A177,'Données projet'!$A$191:$I$211,7,0)),0%,VLOOKUP(A177,'Données projet'!$A$191:$I$211,7,0))</f>
        <v>0</v>
      </c>
      <c r="EV177" s="162" t="str">
        <f>EXP(-LN(2)/35)*EV176+(1-EXP(-LN(2)/35))/(LN(2)/35)*ER177*ES177*VLOOKUP('Données projet'!$B$15,'Paramètres'!$A$1:$I$88,3,0)*0.475*44/12</f>
        <v>#N/A</v>
      </c>
      <c r="EW177" s="162" t="str">
        <f>EXP(-LN(2)/25)*EW176+(1-EXP(-LN(2)/25))/(LN(2)/25)*Calculateur!ER177*Calculateur!ET177*VLOOKUP('Données projet'!$B$15,'Paramètres'!$A$1:$I$88,3,0)*0.475*44/12</f>
        <v>#N/A</v>
      </c>
      <c r="EX177" s="162" t="str">
        <f>EXP(-LN(2)/2)*EX176+(1-EXP(-LN(2)/2))/(LN(2)/2)*ER177*EU177*VLOOKUP('Données projet'!$B$15,'Paramètres'!$A$1:$I$88,3,0)*0.475*44/12</f>
        <v>#N/A</v>
      </c>
      <c r="EY177" s="163" t="str">
        <f t="shared" si="22"/>
        <v>#N/A</v>
      </c>
      <c r="EZ177" s="159">
        <f>('Scénario référence'!$F$8+'Scénario référence'!$F$9+'Scénario référence'!$B$17+'Scénario référence'!$B$9+'Scénario référence'!$B$10)*70+IF((45+25*(1-EXP(-0.0175*A177)))&lt;70,'Scénario référence'!$B$16*(45+25*(1-EXP(-0.0175*A177))),70*'Scénario référence'!$B$16)+IF((32+38*(1-EXP(-0.0175*A177)))&lt;70,'Scénario référence'!$B$18*(32+38*(1-EXP(-0.0175*A177))),70*'Scénario référence'!$B$18)</f>
        <v>70</v>
      </c>
      <c r="FA177" s="151">
        <f>IF(A177&gt;30,10,('Scénario référence'!$B$16+'Scénario référence'!$B$17+'Scénario référence'!$B$18+'Scénario référence'!$B$9+'Scénario référence'!$B$10)*A177*10/30+('Scénario référence'!$F$8+'Scénario référence'!$F$9)*10)</f>
        <v>10</v>
      </c>
      <c r="FB177" s="151" t="str">
        <f>VLOOKUP(A177,'Données projet'!$A$217:$I$237,2,0)</f>
        <v>#N/A</v>
      </c>
      <c r="FC177" s="151" t="str">
        <f>VLOOKUP(A177,'Données projet'!$A$217:$I$237,9,0)</f>
        <v>#N/A</v>
      </c>
      <c r="FD177" s="151" t="str">
        <f t="array" ref="FD177">INDEX(FC:FC,MIN(IF(ISNUMBER(FC177:FC373),ROW(FC177:FC373),"")))</f>
        <v/>
      </c>
      <c r="FE177" s="151">
        <f>IF('Données projet'!$A$218&gt;35,FE176+FD177-FM176,IF(A177&lt;'Données projet'!$A$218,$FB$205^A177,IF(A177='Données projet'!$A$218,'Données projet'!$B$218,FE176+FD177-FM176)))</f>
        <v>0</v>
      </c>
      <c r="FF177" s="158" t="str">
        <f>FE177*VLOOKUP('Données projet'!$B$16,'Paramètres'!$A$1:$I$88,3,0)*VLOOKUP('Données projet'!$B$16,'Paramètres'!$A$1:$I$88,5,0)</f>
        <v>#N/A</v>
      </c>
      <c r="FG177" s="150" t="str">
        <f t="shared" si="48"/>
        <v>#N/A</v>
      </c>
      <c r="FH177" s="161" t="str">
        <f t="shared" si="23"/>
        <v>#N/A</v>
      </c>
      <c r="FI177" s="153" t="str">
        <f t="shared" si="24"/>
        <v>#N/A</v>
      </c>
      <c r="FJ177" s="153" t="str">
        <f>AVERAGE(OFFSET($FI$3,0,0,'Données projet'!$E$16+1,1))-AVERAGE(OFFSET($H$3,0,0,'Données projet'!$E$16+1,1))</f>
        <v>#N/A</v>
      </c>
      <c r="FK177" s="153" t="str">
        <f t="shared" si="49"/>
        <v>#N/A</v>
      </c>
      <c r="FL177" s="154">
        <f>IF(ISNA(VLOOKUP(A177,'Données projet'!$A$217:$I$237,3,0)),0,VLOOKUP(A177,'Données projet'!$A$217:$I$237,3,0))</f>
        <v>0</v>
      </c>
      <c r="FM177" s="154">
        <f>IF(ISNA(VLOOKUP(A177,'Données projet'!$A$217:$I$237,4,0)),0,VLOOKUP(A177,'Données projet'!$A$217:$I$237,4,0))</f>
        <v>0</v>
      </c>
      <c r="FN177" s="155">
        <f>IF(ISNA(VLOOKUP(A177,'Données projet'!$A$217:$I$237,5,0)),0%,VLOOKUP(A177,'Données projet'!$A$217:$I$237,5,0)*VLOOKUP('Données projet'!$B$16,'Paramètres'!$A$1:$I$88,7,0))</f>
        <v>0</v>
      </c>
      <c r="FO177" s="155">
        <f>IF(ISNA(VLOOKUP(A177,'Données projet'!$A$217:$I$237,6,0)),0%,VLOOKUP(A177,'Données projet'!$A$217:$I$237,6,0)*VLOOKUP('Données projet'!$B$16,'Paramètres'!$A$1:$I$88,7,0))</f>
        <v>0</v>
      </c>
      <c r="FP177" s="155">
        <f>IF(ISNA(VLOOKUP(A177,'Données projet'!$A$217:$I$237,7,0)),0%,VLOOKUP(A177,'Données projet'!$A$217:$I$237,7,0))</f>
        <v>0</v>
      </c>
      <c r="FQ177" s="162" t="str">
        <f>EXP(-LN(2)/35)*FQ176+(1-EXP(-LN(2)/35))/(LN(2)/35)*FM177*FN177*VLOOKUP('Données projet'!$B$16,'Paramètres'!$A$1:$I$88,3,0)*0.475*44/12</f>
        <v>#N/A</v>
      </c>
      <c r="FR177" s="162" t="str">
        <f>EXP(-LN(2)/25)*FR176+(1-EXP(-LN(2)/25))/(LN(2)/25)*Calculateur!FM177*Calculateur!FO177*VLOOKUP('Données projet'!$B$16,'Paramètres'!$A$1:$I$88,3,0)*0.475*44/12</f>
        <v>#N/A</v>
      </c>
      <c r="FS177" s="162" t="str">
        <f>EXP(-LN(2)/2)*FS176+(1-EXP(-LN(2)/2))/(LN(2)/2)*FM177*FP177*VLOOKUP('Données projet'!$B$16,'Paramètres'!$A$1:$I$88,3,0)*0.475*44/12</f>
        <v>#N/A</v>
      </c>
      <c r="FT177" s="163" t="str">
        <f t="shared" si="25"/>
        <v>#N/A</v>
      </c>
      <c r="FU177" s="159">
        <f>('Scénario référence'!$F$8+'Scénario référence'!$F$9+'Scénario référence'!$B$17+'Scénario référence'!$B$9+'Scénario référence'!$B$10)*70+IF((45+25*(1-EXP(-0.0175*A177)))&lt;70,'Scénario référence'!$B$16*(45+25*(1-EXP(-0.0175*A177))),70*'Scénario référence'!$B$16)+IF((32+38*(1-EXP(-0.0175*A177)))&lt;70,'Scénario référence'!$B$18*(32+38*(1-EXP(-0.0175*A177))),70*'Scénario référence'!$B$18)</f>
        <v>70</v>
      </c>
      <c r="FV177" s="151">
        <f>IF(A177&gt;30,10,('Scénario référence'!$B$16+'Scénario référence'!$B$17+'Scénario référence'!$B$18+'Scénario référence'!$B$9+'Scénario référence'!$B$10)*A177*10/30+('Scénario référence'!$F$8+'Scénario référence'!$F$9)*10)</f>
        <v>10</v>
      </c>
      <c r="FW177" s="151" t="str">
        <f>VLOOKUP(A177,'Données projet'!$A$243:$I$263,2,0)</f>
        <v>#N/A</v>
      </c>
      <c r="FX177" s="151" t="str">
        <f>VLOOKUP(A177,'Données projet'!$A$243:$I$263,9,0)</f>
        <v>#N/A</v>
      </c>
      <c r="FY177" s="151" t="str">
        <f t="array" ref="FY177">INDEX(FX:FX,MIN(IF(ISNUMBER(FX177:FX373),ROW(FX177:FX373),"")))</f>
        <v/>
      </c>
      <c r="FZ177" s="151">
        <f>IF('Données projet'!$A$244&gt;35,FZ176+FY177-GH176,IF(A177&lt;'Données projet'!$A$244,$FW$205^A177,IF(A177='Données projet'!$A$244,'Données projet'!$B$244,FZ176+FY177-GH176)))</f>
        <v>0</v>
      </c>
      <c r="GA177" s="158" t="str">
        <f>FZ177*VLOOKUP('Données projet'!$B$17,'Paramètres'!$A$1:$I$88,3,0)*VLOOKUP('Données projet'!$B$17,'Paramètres'!$A$1:$I$88,5,0)</f>
        <v>#N/A</v>
      </c>
      <c r="GB177" s="150" t="str">
        <f t="shared" si="50"/>
        <v>#N/A</v>
      </c>
      <c r="GC177" s="161" t="str">
        <f t="shared" si="26"/>
        <v>#N/A</v>
      </c>
      <c r="GD177" s="153" t="str">
        <f t="shared" si="27"/>
        <v>#N/A</v>
      </c>
      <c r="GE177" s="153" t="str">
        <f>AVERAGE(OFFSET($GD$3,0,0,'Données projet'!$E$17+1,1))-AVERAGE(OFFSET($H$3,0,0,'Données projet'!$E$17+1,1))</f>
        <v>#N/A</v>
      </c>
      <c r="GF177" s="153" t="str">
        <f t="shared" si="51"/>
        <v>#N/A</v>
      </c>
      <c r="GG177" s="154">
        <f>IF(ISNA(VLOOKUP(A177,'Données projet'!$A$243:$I$263,3,0)),0,VLOOKUP(A177,'Données projet'!$A$243:$I$263,3,0))</f>
        <v>0</v>
      </c>
      <c r="GH177" s="154">
        <f>IF(ISNA(VLOOKUP(A177,'Données projet'!$A$243:$I$263,4,0)),0,VLOOKUP(A177,'Données projet'!$A$243:$I$263,4,0))</f>
        <v>0</v>
      </c>
      <c r="GI177" s="155">
        <f>IF(ISNA(VLOOKUP(A177,'Données projet'!$A$243:$I$263,5,0)),0%,VLOOKUP(A177,'Données projet'!$A$243:$I$263,5,0)*VLOOKUP('Données projet'!$B$17,'Paramètres'!$A$1:$I$88,7,0))</f>
        <v>0</v>
      </c>
      <c r="GJ177" s="155">
        <f>IF(ISNA(VLOOKUP(A177,'Données projet'!$A$243:$I$263,6,0)),0%,VLOOKUP(A177,'Données projet'!$A$243:$I$263,6,0)*VLOOKUP('Données projet'!$B$17,'Paramètres'!$A$1:$I$88,7,0))</f>
        <v>0</v>
      </c>
      <c r="GK177" s="155">
        <f>IF(ISNA(VLOOKUP(A177,'Données projet'!$A$243:$I$263,7,0)),0%,VLOOKUP(A177,'Données projet'!$A$243:$I$263,7,0))</f>
        <v>0</v>
      </c>
      <c r="GL177" s="162" t="str">
        <f>EXP(-LN(2)/35)*GL176+(1-EXP(-LN(2)/35))/(LN(2)/35)*GH177*GI177*VLOOKUP('Données projet'!$B$17,'Paramètres'!$A$1:$I$88,3,0)*0.475*44/12</f>
        <v>#N/A</v>
      </c>
      <c r="GM177" s="162" t="str">
        <f>EXP(-LN(2)/25)*GM176+(1-EXP(-LN(2)/25))/(LN(2)/25)*Calculateur!GH177*Calculateur!GJ177*VLOOKUP('Données projet'!$B$17,'Paramètres'!$A$1:$I$88,3,0)*0.475*44/12</f>
        <v>#N/A</v>
      </c>
      <c r="GN177" s="162" t="str">
        <f>EXP(-LN(2)/2)*GN176+(1-EXP(-LN(2)/2))/(LN(2)/2)*GH177*GK177*VLOOKUP('Données projet'!$B$17,'Paramètres'!$A$1:$I$88,3,0)*0.475*44/12</f>
        <v>#N/A</v>
      </c>
      <c r="GO177" s="162" t="str">
        <f t="shared" si="28"/>
        <v>#N/A</v>
      </c>
      <c r="GP177" s="159">
        <f>('Scénario référence'!$F$8+'Scénario référence'!$F$9+'Scénario référence'!$B$17+'Scénario référence'!$B$9+'Scénario référence'!$B$10)*70+IF((45+25*(1-EXP(-0.0175*A177)))&lt;70,'Scénario référence'!$B$16*(45+25*(1-EXP(-0.0175*A177))),70*'Scénario référence'!$B$16)+IF((32+38*(1-EXP(-0.0175*A177)))&lt;70,'Scénario référence'!$B$18*(32+38*(1-EXP(-0.0175*A177))),70*'Scénario référence'!$B$18)</f>
        <v>70</v>
      </c>
      <c r="GQ177" s="151">
        <f>IF(A177&gt;30,10,('Scénario référence'!$B$16+'Scénario référence'!$B$17+'Scénario référence'!$B$18+'Scénario référence'!$B$9+'Scénario référence'!$B$10)*A177*10/30+('Scénario référence'!$F$8+'Scénario référence'!$F$9)*10)</f>
        <v>10</v>
      </c>
      <c r="GR177" s="151" t="str">
        <f>VLOOKUP(A177,'Données projet'!$A$269:$I$289,2,0)</f>
        <v>#N/A</v>
      </c>
      <c r="GS177" s="151" t="str">
        <f>VLOOKUP(A177,'Données projet'!$A$269:$I$289,9,0)</f>
        <v>#N/A</v>
      </c>
      <c r="GT177" s="151" t="str">
        <f t="array" ref="GT177">INDEX(GS:GS,MIN(IF(ISNUMBER(GS177:GS373),ROW(GS177:GS373),"")))</f>
        <v/>
      </c>
      <c r="GU177" s="151">
        <f>IF('Données projet'!$A$270&gt;35,GU176+GT177-HC176,IF(A177&lt;'Données projet'!$A$270,$GR$205^A177,IF(A177='Données projet'!$A$270,'Données projet'!$B$270,GU176+GT177-HC176)))</f>
        <v>0</v>
      </c>
      <c r="GV177" s="158" t="str">
        <f>GU177*VLOOKUP('Données projet'!$B$18,'Paramètres'!$A$1:$I$88,3,0)*VLOOKUP('Données projet'!$B$18,'Paramètres'!$A$1:$I$88,5,0)</f>
        <v>#N/A</v>
      </c>
      <c r="GW177" s="150" t="str">
        <f t="shared" si="52"/>
        <v>#N/A</v>
      </c>
      <c r="GX177" s="161" t="str">
        <f t="shared" si="29"/>
        <v>#N/A</v>
      </c>
      <c r="GY177" s="153" t="str">
        <f t="shared" si="30"/>
        <v>#N/A</v>
      </c>
      <c r="GZ177" s="153" t="str">
        <f>AVERAGE(OFFSET($GY$3,0,0,'Données projet'!$E$18+1,1))-AVERAGE(OFFSET($H$3,0,0,'Données projet'!$E$18+1,1))</f>
        <v>#N/A</v>
      </c>
      <c r="HA177" s="153" t="str">
        <f t="shared" si="53"/>
        <v>#N/A</v>
      </c>
      <c r="HB177" s="154">
        <f>IF(ISNA(VLOOKUP(A177,'Données projet'!$A$269:$I$289,3,0)),0,VLOOKUP(A177,'Données projet'!$A$269:$I$289,3,0))</f>
        <v>0</v>
      </c>
      <c r="HC177" s="154">
        <f>IF(ISNA(VLOOKUP(A177,'Données projet'!$A$269:$I$289,4,0)),0,VLOOKUP(A177,'Données projet'!$A$269:$I$289,4,0))</f>
        <v>0</v>
      </c>
      <c r="HD177" s="155">
        <f>IF(ISNA(VLOOKUP(A177,'Données projet'!$A$269:$I$289,5,0)),0%,VLOOKUP(A177,'Données projet'!$A$269:$I$289,5,0)*VLOOKUP('Données projet'!$B$18,'Paramètres'!$A$1:$I$88,7,0))</f>
        <v>0</v>
      </c>
      <c r="HE177" s="155">
        <f>IF(ISNA(VLOOKUP(A177,'Données projet'!$A$269:$I$289,6,0)),0%,VLOOKUP(A177,'Données projet'!$A$269:$I$289,6,0)*VLOOKUP('Données projet'!$B$18,'Paramètres'!$A$1:$I$88,7,0))</f>
        <v>0</v>
      </c>
      <c r="HF177" s="155">
        <f>IF(ISNA(VLOOKUP(A177,'Données projet'!$A$269:$I$289,7,0)),0%,VLOOKUP(A177,'Données projet'!$A$269:$I$289,7,0))</f>
        <v>0</v>
      </c>
      <c r="HG177" s="162" t="str">
        <f>EXP(-LN(2)/35)*HG176+(1-EXP(-LN(2)/35))/(LN(2)/35)*HC177*HD177*VLOOKUP('Données projet'!$B$18,'Paramètres'!$A$1:$I$88,3,0)*0.475*44/12</f>
        <v>#N/A</v>
      </c>
      <c r="HH177" s="162" t="str">
        <f>EXP(-LN(2)/25)*HH176+(1-EXP(-LN(2)/25))/(LN(2)/25)*Calculateur!HC177*Calculateur!HE177*VLOOKUP('Données projet'!$B$18,'Paramètres'!$A$1:$I$88,3,0)*0.475*44/12</f>
        <v>#N/A</v>
      </c>
      <c r="HI177" s="162" t="str">
        <f>EXP(-LN(2)/2)*HI176+(1-EXP(-LN(2)/2))/(LN(2)/2)*HC177*HF177*VLOOKUP('Données projet'!$B$18,'Paramètres'!$A$1:$I$88,3,0)*0.475*44/12</f>
        <v>#N/A</v>
      </c>
      <c r="HJ177" s="163" t="str">
        <f t="shared" si="31"/>
        <v>#N/A</v>
      </c>
    </row>
    <row r="178" ht="15.75" customHeight="1">
      <c r="A178" s="145">
        <f t="shared" si="32"/>
        <v>175</v>
      </c>
      <c r="B178" s="146">
        <f>'Scénario référence'!$B$16*5+'Scénario référence'!$B$17*0+'Scénario référence'!$B$18*5</f>
        <v>0</v>
      </c>
      <c r="C178" s="160">
        <f>Calculateur!C177+'Scénario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78" s="147">
        <f t="shared" si="33"/>
        <v>0</v>
      </c>
      <c r="E178" s="147">
        <f>'Scénario référence'!$B$16*45+('Scénario référence'!$B$17+'Scénario référence'!$F$8+'Scénario référence'!$F$9+'Scénario référence'!$B$10+'Scénario référence'!$B$9)*70+'Scénario référence'!$B$18*32</f>
        <v>70</v>
      </c>
      <c r="F178" s="147">
        <f>IF(OR('Scénario référence'!$F$8&gt;0,'Scénario référence'!$F$9&gt;0),('Scénario référence'!$F$8+'Scénario référence'!$F$9)*10,0)</f>
        <v>0</v>
      </c>
      <c r="G178" s="147">
        <f>'Scénario référence'!$B$8*B178*44/12+'Scénario référence'!$B$9*(C178+D178)/0.475*44/12+'Scénario référence'!$B$10*(C178+D178)/0.475*44/12+'Scénario référence'!$F$8*(C178+D178)/0.475*44/12+'Scénario référence'!$F$9*(C178+D178)/0.475*44/12</f>
        <v>0</v>
      </c>
      <c r="H178" s="148">
        <f t="shared" si="1"/>
        <v>256.6666667</v>
      </c>
      <c r="I178" s="149">
        <f>('Scénario référence'!$F$8+'Scénario référence'!$F$9+'Scénario référence'!$B$17+'Scénario référence'!$B$9+'Scénario référence'!$B$10)*70+IF((45+25*(1-EXP(-0.0175*A178)))&lt;70,'Scénario référence'!$B$16*(45+25*(1-EXP(-0.0175*A178))),70*'Scénario référence'!$B$16)+IF((32+38*(1-EXP(-0.0175*A178)))&lt;70,'Scénario référence'!$B$18*(32+38*(1-EXP(-0.0175*A178))),70*'Scénario référence'!$B$18)</f>
        <v>70</v>
      </c>
      <c r="J178" s="150">
        <f>IF(A178&gt;30,10,('Scénario référence'!$B$16+'Scénario référence'!$B$17+'Scénario référence'!$B$18+'Scénario référence'!$B$9+'Scénario référence'!$B$10)*A178*10/30+('Scénario référence'!$F$8+'Scénario référence'!$F$9)*10)</f>
        <v>10</v>
      </c>
      <c r="K178" s="151" t="str">
        <f>VLOOKUP(A178,'Données projet'!$A$35:$I$55,2,0)</f>
        <v>#N/A</v>
      </c>
      <c r="L178" s="151" t="str">
        <f>VLOOKUP(A178,'Données projet'!$A$35:$I$55,9,0)</f>
        <v>#N/A</v>
      </c>
      <c r="M178" s="151" t="str">
        <f t="array" ref="M178">INDEX(L:L,MIN(IF(ISNUMBER(L178:L374),ROW(L178:L374),"")))</f>
        <v/>
      </c>
      <c r="N178" s="150">
        <f>IF('Données projet'!$A$36&gt;35,N177+M178-V177,IF(A178&lt;'Données projet'!$A$36,$K$205^A178,IF(A178='Données projet'!$A$36,'Données projet'!$B$36,N177+M178-V177)))</f>
        <v>307</v>
      </c>
      <c r="O178" s="150">
        <f>N178*VLOOKUP('Données projet'!$B$9,'Paramètres'!$A$1:$I$88,3,0)*VLOOKUP('Données projet'!$B$9,'Paramètres'!$A$1:$I$88,5,0)</f>
        <v>277.7736</v>
      </c>
      <c r="P178" s="150">
        <f t="shared" si="34"/>
        <v>66.49628818</v>
      </c>
      <c r="Q178" s="161">
        <f t="shared" si="2"/>
        <v>599.6033886</v>
      </c>
      <c r="R178" s="153">
        <f t="shared" si="3"/>
        <v>892.9367219</v>
      </c>
      <c r="S178" s="153">
        <f>AVERAGE(OFFSET($R$3,0,0,'Données projet'!$E$9+1,1))-AVERAGE(OFFSET($H$3,0,0,'Données projet'!$E$9+1,1))</f>
        <v>439.1985427</v>
      </c>
      <c r="T178" s="153">
        <f t="shared" si="35"/>
        <v>278.2174123</v>
      </c>
      <c r="U178" s="154">
        <f>IF(ISNA(VLOOKUP(A178,'Données projet'!$A$35:$I$55,3,0)),0,VLOOKUP(A178,'Données projet'!$A$35:$I$55,3,0))</f>
        <v>0</v>
      </c>
      <c r="V178" s="154">
        <f>IF(ISNA(VLOOKUP(A178,'Données projet'!$A$35:$I$55,4,0)),0,VLOOKUP(A178,'Données projet'!$A$35:$I$55,4,0))</f>
        <v>0</v>
      </c>
      <c r="W178" s="155">
        <f>IF(ISNA(VLOOKUP(A178,'Données projet'!$A$35:$I$55,5,0)),0%,VLOOKUP(A178,'Données projet'!$A$35:$I$55,5,0)*VLOOKUP('Données projet'!$B$9,'Paramètres'!$A$1:$I$88,7,0))</f>
        <v>0</v>
      </c>
      <c r="X178" s="155">
        <f>IF(ISNA(VLOOKUP(A178,'Données projet'!$A$35:$I$55,6,0)),0%,VLOOKUP(A178,'Données projet'!$A$35:$I$55,6,0)*VLOOKUP('Données projet'!$B$9,'Paramètres'!$A$1:$I$88,7,0))</f>
        <v>0</v>
      </c>
      <c r="Y178" s="155">
        <f>IF(ISNA(VLOOKUP(A178,'Données projet'!$A$35:$I$55,7,0)),0%,VLOOKUP(A178,'Données projet'!$A$35:$I$55,7,0))</f>
        <v>0</v>
      </c>
      <c r="Z178" s="162">
        <f>EXP(-LN(2)/35)*Z177+(1-EXP(-LN(2)/35))/(LN(2)/35)*V178*W178*VLOOKUP('Données projet'!$B$9,'Paramètres'!$A$1:$I$88,3,0)*0.475*44/12</f>
        <v>0</v>
      </c>
      <c r="AA178" s="162">
        <f>EXP(-LN(2)/25)*AA177+(1-EXP(-LN(2)/25))/(LN(2)/25)*Calculateur!V178*Calculateur!X178*VLOOKUP('Données projet'!$B$9,'Paramètres'!$A$1:$I$88,3,0)*0.475*44/12</f>
        <v>0.08054494775</v>
      </c>
      <c r="AB178" s="162">
        <f>EXP(-LN(2)/2)*AB177+(1-EXP(-LN(2)/2))/(LN(2)/2)*V178*Y178*VLOOKUP('Données projet'!$B$9,'Paramètres'!$A$1:$I$88,3,0)*0.475*44/12</f>
        <v>0</v>
      </c>
      <c r="AC178" s="163">
        <f t="shared" si="4"/>
        <v>0.08054494775</v>
      </c>
      <c r="AD178" s="150">
        <f>('Scénario référence'!$F$8+'Scénario référence'!$F$9+'Scénario référence'!$B$17+'Scénario référence'!$B$9+'Scénario référence'!$B$10)*70+IF((45+25*(1-EXP(-0.0175*A178)))&lt;70,'Scénario référence'!$B$16*(45+25*(1-EXP(-0.0175*A178))),70*'Scénario référence'!$B$16)+IF((32+38*(1-EXP(-0.0175*A178)))&lt;70,'Scénario référence'!$B$18*(32+38*(1-EXP(-0.0175*A178))),70*'Scénario référence'!$B$18)</f>
        <v>70</v>
      </c>
      <c r="AE178" s="150">
        <f>IF(A178&gt;30,10,('Scénario référence'!$B$16+'Scénario référence'!$B$17+'Scénario référence'!$B$18+'Scénario référence'!$B$9+'Scénario référence'!$B$10)*A178*10/30+('Scénario référence'!$F$8+'Scénario référence'!$F$9)*10)</f>
        <v>10</v>
      </c>
      <c r="AF178" s="151" t="str">
        <f>VLOOKUP(A178,'Données projet'!$A$61:$I$81,2,0)</f>
        <v>#N/A</v>
      </c>
      <c r="AG178" s="151" t="str">
        <f>VLOOKUP(A178,'Données projet'!$A$61:$I$81,9,0)</f>
        <v>#N/A</v>
      </c>
      <c r="AH178" s="151" t="str">
        <f t="array" ref="AH178">INDEX(AG:AG,MIN(IF(ISNUMBER(AG178:AG374),ROW(AG178:AG374),"")))</f>
        <v/>
      </c>
      <c r="AI178" s="150">
        <f>IF('Données projet'!$A$62&gt;35,AI177+AH178-AQ177,IF(A178&lt;'Données projet'!$A$62,$AF$205^A178,IF(A178='Données projet'!$A$62,'Données projet'!$B$62,AI177+AH178-AQ177)))</f>
        <v>369</v>
      </c>
      <c r="AJ178" s="150">
        <f>AI178*VLOOKUP('Données projet'!$B$10,'Paramètres'!$A$1:$I$88,3,0)*VLOOKUP('Données projet'!$B$10,'Paramètres'!$A$1:$I$88,5,0)</f>
        <v>293.5764</v>
      </c>
      <c r="AK178" s="150">
        <f t="shared" si="36"/>
        <v>69.82813851</v>
      </c>
      <c r="AL178" s="161">
        <f t="shared" si="5"/>
        <v>632.9295712</v>
      </c>
      <c r="AM178" s="153">
        <f t="shared" si="6"/>
        <v>926.2629046</v>
      </c>
      <c r="AN178" s="153">
        <f>AVERAGE(OFFSET($AM$3,0,0,'Données projet'!$E$10+1,1))-AVERAGE(OFFSET($H$3,0,0,'Données projet'!$E$10+1,1))</f>
        <v>405.6113614</v>
      </c>
      <c r="AO178" s="153">
        <f t="shared" si="37"/>
        <v>393.0787141</v>
      </c>
      <c r="AP178" s="154">
        <f>IF(ISNA(VLOOKUP(A178,'Données projet'!$A$61:$I$81,3,0)),0,VLOOKUP(A178,'Données projet'!$A$61:$I$81,3,0))</f>
        <v>0</v>
      </c>
      <c r="AQ178" s="154">
        <f>IF(ISNA(VLOOKUP(A178,'Données projet'!$A$61:$I$81,4,0)),0,VLOOKUP(A178,'Données projet'!$A$61:$I$81,4,0))</f>
        <v>0</v>
      </c>
      <c r="AR178" s="155">
        <f>IF(ISNA(VLOOKUP(A178,'Données projet'!$A$61:$I$81,5,0)),0%,VLOOKUP(A178,'Données projet'!$A$61:$I$81,5,0)*VLOOKUP('Données projet'!$B$10,'Paramètres'!$A$1:$I$88,7,0))</f>
        <v>0</v>
      </c>
      <c r="AS178" s="155">
        <f>IF(ISNA(VLOOKUP(A178,'Données projet'!$A$61:$I$81,6,0)),0%,VLOOKUP(A178,'Données projet'!$A$61:$I$81,6,0)*VLOOKUP('Données projet'!$B$10,'Paramètres'!$A$1:$I$88,7,0))</f>
        <v>0</v>
      </c>
      <c r="AT178" s="155">
        <f>IF(ISNA(VLOOKUP(A178,'Données projet'!$A$61:$I$81,7,0)),0%,VLOOKUP(A178,'Données projet'!$A$61:$I$81,7,0))</f>
        <v>0</v>
      </c>
      <c r="AU178" s="162">
        <f>EXP(-LN(2)/35)*AU177+(1-EXP(-LN(2)/35))/(LN(2)/35)*AQ178*AR178*VLOOKUP('Données projet'!$B$10,'Paramètres'!$A$1:$I$88,3,0)*0.475*44/12</f>
        <v>0</v>
      </c>
      <c r="AV178" s="162">
        <f>EXP(-LN(2)/25)*AV177+(1-EXP(-LN(2)/25))/(LN(2)/25)*Calculateur!AQ178*Calculateur!AS178*VLOOKUP('Données projet'!$B$10,'Paramètres'!$A$1:$I$88,3,0)*0.475*44/12</f>
        <v>0.327355143</v>
      </c>
      <c r="AW178" s="162">
        <f>EXP(-LN(2)/2)*AW177+(1-EXP(-LN(2)/2))/(LN(2)/2)*AQ178*AT178*VLOOKUP('Données projet'!$B$10,'Paramètres'!$A$1:$I$88,3,0)*0.475*44/12</f>
        <v>0</v>
      </c>
      <c r="AX178" s="162">
        <f t="shared" si="7"/>
        <v>0.327355143</v>
      </c>
      <c r="AY178" s="157">
        <f>('Scénario référence'!$F$8+'Scénario référence'!$F$9+'Scénario référence'!$B$17+'Scénario référence'!$B$9+'Scénario référence'!$B$10)*70+IF((45+25*(1-EXP(-0.0175*A178)))&lt;70,'Scénario référence'!$B$16*(45+25*(1-EXP(-0.0175*A178))),70*'Scénario référence'!$B$16)+IF((32+38*(1-EXP(-0.0175*A178)))&lt;70,'Scénario référence'!$B$18*(32+38*(1-EXP(-0.0175*A178))),70*'Scénario référence'!$B$18)</f>
        <v>70</v>
      </c>
      <c r="AZ178" s="151">
        <f>IF(A178&gt;30,10,('Scénario référence'!$B$16+'Scénario référence'!$B$17+'Scénario référence'!$B$18+'Scénario référence'!$B$9+'Scénario référence'!$B$10)*A178*10/30+('Scénario référence'!$F$8+'Scénario référence'!$F$9)*10)</f>
        <v>10</v>
      </c>
      <c r="BA178" s="151" t="str">
        <f>VLOOKUP(A178,'Données projet'!$A$87:$I$107,2,0)</f>
        <v>#N/A</v>
      </c>
      <c r="BB178" s="151" t="str">
        <f>VLOOKUP(A178,'Données projet'!$A$87:$I$107,9,0)</f>
        <v>#N/A</v>
      </c>
      <c r="BC178" s="151" t="str">
        <f t="array" ref="BC178">INDEX(BB:BB,MIN(IF(ISNUMBER(BB178:BB374),ROW(BB178:BB374),"")))</f>
        <v/>
      </c>
      <c r="BD178" s="150">
        <f>IF('Données projet'!$A$88&gt;35,BD177+BC178-BL177,IF(A178&lt;'Données projet'!$A$88,$BA$205^A178,IF(A178='Données projet'!$A$88,'Données projet'!$B$88,BD177+BC178-BL177)))</f>
        <v>0</v>
      </c>
      <c r="BE178" s="150">
        <f>BD178*VLOOKUP('Données projet'!$B$11,'Paramètres'!$A$1:$I$88,3,0)*VLOOKUP('Données projet'!$B$11,'Paramètres'!$A$1:$I$88,5,0)</f>
        <v>0</v>
      </c>
      <c r="BF178" s="150" t="str">
        <f t="shared" si="38"/>
        <v>#NUM!</v>
      </c>
      <c r="BG178" s="161" t="str">
        <f t="shared" si="8"/>
        <v>#NUM!</v>
      </c>
      <c r="BH178" s="153" t="str">
        <f t="shared" si="9"/>
        <v>#NUM!</v>
      </c>
      <c r="BI178" s="153">
        <f>AVERAGE(OFFSET($BH$3,0,0,'Données projet'!$E$11+1,1))-AVERAGE(OFFSET($H$3,0,0,'Données projet'!$E$11+1,1))</f>
        <v>0</v>
      </c>
      <c r="BJ178" s="153">
        <f t="shared" si="39"/>
        <v>0</v>
      </c>
      <c r="BK178" s="154">
        <f>IF(ISNA(VLOOKUP(A178,'Données projet'!$A$87:$I$107,3,0)),0,VLOOKUP(A178,'Données projet'!$A$87:$I$107,3,0))</f>
        <v>0</v>
      </c>
      <c r="BL178" s="154">
        <f>IF(ISNA(VLOOKUP(A178,'Données projet'!$A$87:$I$107,4,0)),0,VLOOKUP(A178,'Données projet'!$A$87:$I$107,4,0))</f>
        <v>0</v>
      </c>
      <c r="BM178" s="155">
        <f>IF(ISNA(VLOOKUP(A178,'Données projet'!$A$87:$I$107,5,0)),0%,VLOOKUP(A178,'Données projet'!$A$87:$I$107,5,0)*VLOOKUP('Données projet'!$B$11,'Paramètres'!$A$1:$I$88,7,0))</f>
        <v>0</v>
      </c>
      <c r="BN178" s="155">
        <f>IF(ISNA(VLOOKUP(A178,'Données projet'!$A$87:$I$107,6,0)),0%,VLOOKUP(A178,'Données projet'!$A$87:$I$107,6,0)*VLOOKUP('Données projet'!$B$11,'Paramètres'!$A$1:$I$88,7,0))</f>
        <v>0</v>
      </c>
      <c r="BO178" s="155">
        <f>IF(ISNA(VLOOKUP(A178,'Données projet'!$A$87:$I$107,7,0)),0%,VLOOKUP(A178,'Données projet'!$A$87:$I$107,7,0))</f>
        <v>0</v>
      </c>
      <c r="BP178" s="162">
        <f>EXP(-LN(2)/35)*BP177+(1-EXP(-LN(2)/35))/(LN(2)/35)*BL178*BM178*VLOOKUP('Données projet'!$B$11,'Paramètres'!$A$1:$I$88,3,0)*0.475*44/12</f>
        <v>0</v>
      </c>
      <c r="BQ178" s="162">
        <f>EXP(-LN(2)/25)*BQ177+(1-EXP(-LN(2)/25))/(LN(2)/25)*Calculateur!BL178*Calculateur!BN178*VLOOKUP('Données projet'!$B$11,'Paramètres'!$A$1:$I$88,3,0)*0.475*44/12</f>
        <v>0</v>
      </c>
      <c r="BR178" s="162">
        <f>EXP(-LN(2)/2)*BR177+(1-EXP(-LN(2)/2))/(LN(2)/2)*BL178*BO178*VLOOKUP('Données projet'!$B$11,'Paramètres'!$A$1:$I$88,3,0)*0.475*44/12</f>
        <v>0</v>
      </c>
      <c r="BS178" s="163">
        <f t="shared" si="10"/>
        <v>0</v>
      </c>
      <c r="BT178" s="159">
        <f>('Scénario référence'!$F$8+'Scénario référence'!$F$9+'Scénario référence'!$B$17+'Scénario référence'!$B$9+'Scénario référence'!$B$10)*70+IF((45+25*(1-EXP(-0.0175*A178)))&lt;70,'Scénario référence'!$B$16*(45+25*(1-EXP(-0.0175*A178))),70*'Scénario référence'!$B$16)+IF((32+38*(1-EXP(-0.0175*A178)))&lt;70,'Scénario référence'!$B$18*(32+38*(1-EXP(-0.0175*A178))),70*'Scénario référence'!$B$18)</f>
        <v>70</v>
      </c>
      <c r="BU178" s="151">
        <f>IF(A178&gt;30,10,('Scénario référence'!$B$16+'Scénario référence'!$B$17+'Scénario référence'!$B$18+'Scénario référence'!$B$9+'Scénario référence'!$B$10)*A178*10/30+('Scénario référence'!$F$8+'Scénario référence'!$F$9)*10)</f>
        <v>10</v>
      </c>
      <c r="BV178" s="151" t="str">
        <f>VLOOKUP(A178,'Données projet'!$A$113:$I$133,2,0)</f>
        <v>#N/A</v>
      </c>
      <c r="BW178" s="151" t="str">
        <f>VLOOKUP(A178,'Données projet'!$A$113:$I$133,9,0)</f>
        <v>#N/A</v>
      </c>
      <c r="BX178" s="151" t="str">
        <f t="array" ref="BX178">INDEX(BW:BW,MIN(IF(ISNUMBER(BW178:BW374),ROW(BW178:BW374),"")))</f>
        <v/>
      </c>
      <c r="BY178" s="150">
        <f>IF('Données projet'!$A$114&gt;35,BY177+BX178-CG177,IF(A178&lt;'Données projet'!$A$114,$BV$205^A178,IF(A178='Données projet'!$A$114,'Données projet'!$B$114,BY177+BX178-CG177)))</f>
        <v>0</v>
      </c>
      <c r="BZ178" s="150" t="str">
        <f>BY178*VLOOKUP('Données projet'!$B$12,'Paramètres'!$A$1:$I$88,3,0)*VLOOKUP('Données projet'!$B$12,'Paramètres'!$A$1:$I$88,5,0)</f>
        <v>#N/A</v>
      </c>
      <c r="CA178" s="150" t="str">
        <f t="shared" si="40"/>
        <v>#N/A</v>
      </c>
      <c r="CB178" s="161" t="str">
        <f t="shared" si="11"/>
        <v>#N/A</v>
      </c>
      <c r="CC178" s="153" t="str">
        <f t="shared" si="12"/>
        <v>#N/A</v>
      </c>
      <c r="CD178" s="153" t="str">
        <f>AVERAGE(OFFSET($CC$3,0,0,'Données projet'!$E$12+1,1))-AVERAGE(OFFSET($H$3,0,0,'Données projet'!$E$12+1,1))</f>
        <v>#N/A</v>
      </c>
      <c r="CE178" s="153" t="str">
        <f t="shared" si="41"/>
        <v>#N/A</v>
      </c>
      <c r="CF178" s="154">
        <f>IF(ISNA(VLOOKUP(A178,'Données projet'!$A$113:$I$133,3,0)),0,VLOOKUP(A178,'Données projet'!$A$113:$I$133,3,0))</f>
        <v>0</v>
      </c>
      <c r="CG178" s="154">
        <f>IF(ISNA(VLOOKUP(A178,'Données projet'!$A$113:$I$133,4,0)),0,VLOOKUP(A178,'Données projet'!$A$113:$I$133,4,0))</f>
        <v>0</v>
      </c>
      <c r="CH178" s="155">
        <f>IF(ISNA(VLOOKUP(A178,'Données projet'!$A$113:$I$133,5,0)),0%,VLOOKUP(A178,'Données projet'!$A$113:$I$133,5,0)*VLOOKUP('Données projet'!$B$12,'Paramètres'!$A$1:$I$88,7,0))</f>
        <v>0</v>
      </c>
      <c r="CI178" s="155">
        <f>IF(ISNA(VLOOKUP(A178,'Données projet'!$A$113:$I$133,6,0)),0%,VLOOKUP(A178,'Données projet'!$A$113:$I$133,6,0)*VLOOKUP('Données projet'!$B$12,'Paramètres'!$A$1:$I$88,7,0))</f>
        <v>0</v>
      </c>
      <c r="CJ178" s="155">
        <f>IF(ISNA(VLOOKUP(A178,'Données projet'!$A$113:$I$133,7,0)),0%,VLOOKUP(A178,'Données projet'!$A$113:$I$133,7,0))</f>
        <v>0</v>
      </c>
      <c r="CK178" s="162" t="str">
        <f>EXP(-LN(2)/35)*CK177+(1-EXP(-LN(2)/35))/(LN(2)/35)*CG178*CH178*VLOOKUP('Données projet'!$B$12,'Paramètres'!$A$1:$I$88,3,0)*0.475*44/12</f>
        <v>#N/A</v>
      </c>
      <c r="CL178" s="162" t="str">
        <f>EXP(-LN(2)/25)*CL177+(1-EXP(-LN(2)/25))/(LN(2)/25)*Calculateur!CG178*Calculateur!CI178*VLOOKUP('Données projet'!$B$12,'Paramètres'!$A$1:$I$88,3,0)*0.475*44/12</f>
        <v>#N/A</v>
      </c>
      <c r="CM178" s="162" t="str">
        <f>EXP(-LN(2)/2)*CM177+(1-EXP(-LN(2)/2))/(LN(2)/2)*CG178*CJ178*VLOOKUP('Données projet'!$B$12,'Paramètres'!$A$1:$I$88,3,0)*0.475*44/12</f>
        <v>#N/A</v>
      </c>
      <c r="CN178" s="163" t="str">
        <f t="shared" si="13"/>
        <v>#N/A</v>
      </c>
      <c r="CO178" s="159">
        <f>('Scénario référence'!$F$8+'Scénario référence'!$F$9+'Scénario référence'!$B$17+'Scénario référence'!$B$9+'Scénario référence'!$B$10)*70+IF((45+25*(1-EXP(-0.0175*A178)))&lt;70,'Scénario référence'!$B$16*(45+25*(1-EXP(-0.0175*A178))),70*'Scénario référence'!$B$16)+IF((32+38*(1-EXP(-0.0175*A178)))&lt;70,'Scénario référence'!$B$18*(32+38*(1-EXP(-0.0175*A178))),70*'Scénario référence'!$B$18)</f>
        <v>70</v>
      </c>
      <c r="CP178" s="151">
        <f>IF(A178&gt;30,10,('Scénario référence'!$B$16+'Scénario référence'!$B$17+'Scénario référence'!$B$18+'Scénario référence'!$B$9+'Scénario référence'!$B$10)*A178*10/30+('Scénario référence'!$F$8+'Scénario référence'!$F$9)*10)</f>
        <v>10</v>
      </c>
      <c r="CQ178" s="151" t="str">
        <f>VLOOKUP(A178,'Données projet'!$A$139:$I$159,2,0)</f>
        <v>#N/A</v>
      </c>
      <c r="CR178" s="151" t="str">
        <f>VLOOKUP(A178,'Données projet'!$A$139:$I$159,9,0)</f>
        <v>#N/A</v>
      </c>
      <c r="CS178" s="151" t="str">
        <f t="array" ref="CS178">INDEX(CR:CR,MIN(IF(ISNUMBER(CR178:CR374),ROW(CR178:CR374),"")))</f>
        <v/>
      </c>
      <c r="CT178" s="151">
        <f>IF('Données projet'!$A$140&gt;35,CT177+CS178-DB177,IF(A178&lt;'Données projet'!$A$140,$CQ$205^A178,IF(A178='Données projet'!$A$140,'Données projet'!$B$140,CT177+CS178-DB177)))</f>
        <v>0</v>
      </c>
      <c r="CU178" s="158" t="str">
        <f>CT178*VLOOKUP('Données projet'!$B$13,'Paramètres'!$A$1:$I$88,3,0)*VLOOKUP('Données projet'!$B$13,'Paramètres'!$A$1:$I$88,5,0)</f>
        <v>#N/A</v>
      </c>
      <c r="CV178" s="150" t="str">
        <f t="shared" si="42"/>
        <v>#N/A</v>
      </c>
      <c r="CW178" s="161" t="str">
        <f t="shared" si="14"/>
        <v>#N/A</v>
      </c>
      <c r="CX178" s="153" t="str">
        <f t="shared" si="15"/>
        <v>#N/A</v>
      </c>
      <c r="CY178" s="153" t="str">
        <f>AVERAGE(OFFSET($CX$3,0,0,'Données projet'!$E$13+1,1))-AVERAGE(OFFSET($H$3,0,0,'Données projet'!$E$13+1,1))</f>
        <v>#N/A</v>
      </c>
      <c r="CZ178" s="153" t="str">
        <f t="shared" si="43"/>
        <v>#N/A</v>
      </c>
      <c r="DA178" s="154">
        <f>IF(ISNA(VLOOKUP(A178,'Données projet'!$A$139:$I$159,3,0)),0,VLOOKUP(A178,'Données projet'!$A$139:$I$159,3,0))</f>
        <v>0</v>
      </c>
      <c r="DB178" s="154">
        <f>IF(ISNA(VLOOKUP(A178,'Données projet'!$A$139:$I$159,4,0)),0,VLOOKUP(A178,'Données projet'!$A$139:$I$159,4,0))</f>
        <v>0</v>
      </c>
      <c r="DC178" s="155">
        <f>IF(ISNA(VLOOKUP(A178,'Données projet'!$A$139:$I$159,5,0)),0%,VLOOKUP(A178,'Données projet'!$A$139:$I$159,5,0)*VLOOKUP('Données projet'!$B$13,'Paramètres'!$A$1:$I$88,7,0))</f>
        <v>0</v>
      </c>
      <c r="DD178" s="155">
        <f>IF(ISNA(VLOOKUP(A178,'Données projet'!$A$139:$I$159,6,0)),0%,VLOOKUP(A178,'Données projet'!$A$139:$I$159,6,0)*VLOOKUP('Données projet'!$B$13,'Paramètres'!$A$1:$I$88,7,0))</f>
        <v>0</v>
      </c>
      <c r="DE178" s="155">
        <f>IF(ISNA(VLOOKUP(A178,'Données projet'!$A$139:$I$159,7,0)),0%,VLOOKUP(A178,'Données projet'!$A$139:$I$159,7,0))</f>
        <v>0</v>
      </c>
      <c r="DF178" s="162" t="str">
        <f>EXP(-LN(2)/35)*DF177+(1-EXP(-LN(2)/35))/(LN(2)/35)*DB178*DC178*VLOOKUP('Données projet'!$B$13,'Paramètres'!$A$1:$I$88,3,0)*0.475*44/12</f>
        <v>#N/A</v>
      </c>
      <c r="DG178" s="162" t="str">
        <f>EXP(-LN(2)/25)*DG177+(1-EXP(-LN(2)/25))/(LN(2)/25)*Calculateur!DB178*Calculateur!DD178*VLOOKUP('Données projet'!$B$13,'Paramètres'!$A$1:$I$88,3,0)*0.475*44/12</f>
        <v>#N/A</v>
      </c>
      <c r="DH178" s="162" t="str">
        <f>EXP(-LN(2)/2)*DH177+(1-EXP(-LN(2)/2))/(LN(2)/2)*DB178*DE178*VLOOKUP('Données projet'!$B$13,'Paramètres'!$A$1:$I$88,3,0)*0.475*44/12</f>
        <v>#N/A</v>
      </c>
      <c r="DI178" s="163" t="str">
        <f t="shared" si="16"/>
        <v>#N/A</v>
      </c>
      <c r="DJ178" s="159">
        <f>('Scénario référence'!$F$8+'Scénario référence'!$F$9+'Scénario référence'!$B$17+'Scénario référence'!$B$9+'Scénario référence'!$B$10)*70+IF((45+25*(1-EXP(-0.0175*A178)))&lt;70,'Scénario référence'!$B$16*(45+25*(1-EXP(-0.0175*A178))),70*'Scénario référence'!$B$16)+IF((32+38*(1-EXP(-0.0175*A178)))&lt;70,'Scénario référence'!$B$18*(32+38*(1-EXP(-0.0175*A178))),70*'Scénario référence'!$B$18)</f>
        <v>70</v>
      </c>
      <c r="DK178" s="151">
        <f>IF(A178&gt;30,10,('Scénario référence'!$B$16+'Scénario référence'!$B$17+'Scénario référence'!$B$18+'Scénario référence'!$B$9+'Scénario référence'!$B$10)*A178*10/30+('Scénario référence'!$F$8+'Scénario référence'!$F$9)*10)</f>
        <v>10</v>
      </c>
      <c r="DL178" s="151" t="str">
        <f>VLOOKUP(A178,'Données projet'!$A$165:$I$185,2,0)</f>
        <v>#N/A</v>
      </c>
      <c r="DM178" s="151" t="str">
        <f>VLOOKUP(A178,'Données projet'!$A$165:$I$185,9,0)</f>
        <v>#N/A</v>
      </c>
      <c r="DN178" s="151" t="str">
        <f t="array" ref="DN178">INDEX(DM:DM,MIN(IF(ISNUMBER(DM178:DM374),ROW(DM178:DM374),"")))</f>
        <v/>
      </c>
      <c r="DO178" s="151">
        <f>IF('Données projet'!$A$166&gt;35,DO177+DN178-DW177,IF(A178&lt;'Données projet'!$A$166,$DL$205^A178,IF(A178='Données projet'!$A$166,'Données projet'!$B$166,DO177+DN178-DW177)))</f>
        <v>0</v>
      </c>
      <c r="DP178" s="158" t="str">
        <f>DO178*VLOOKUP('Données projet'!$B$14,'Paramètres'!$A$1:$I$88,3,0)*VLOOKUP('Données projet'!$B$14,'Paramètres'!$A$1:$I$88,5,0)</f>
        <v>#N/A</v>
      </c>
      <c r="DQ178" s="150" t="str">
        <f t="shared" si="44"/>
        <v>#N/A</v>
      </c>
      <c r="DR178" s="161" t="str">
        <f t="shared" si="17"/>
        <v>#N/A</v>
      </c>
      <c r="DS178" s="153" t="str">
        <f t="shared" si="18"/>
        <v>#N/A</v>
      </c>
      <c r="DT178" s="153" t="str">
        <f>AVERAGE(OFFSET($DS$3,0,0,'Données projet'!$E$14+1,1))-AVERAGE(OFFSET($H$3,0,0,'Données projet'!$E$14+1,1))</f>
        <v>#N/A</v>
      </c>
      <c r="DU178" s="153" t="str">
        <f t="shared" si="45"/>
        <v>#N/A</v>
      </c>
      <c r="DV178" s="154">
        <f>IF(ISNA(VLOOKUP(A178,'Données projet'!$A$165:$I$185,3,0)),0,VLOOKUP(A178,'Données projet'!$A$165:$I$185,3,0))</f>
        <v>0</v>
      </c>
      <c r="DW178" s="154">
        <f>IF(ISNA(VLOOKUP(A178,'Données projet'!$A$165:$I$185,4,0)),0,VLOOKUP(A178,'Données projet'!$A$165:$I$185,4,0))</f>
        <v>0</v>
      </c>
      <c r="DX178" s="155">
        <f>IF(ISNA(VLOOKUP(A178,'Données projet'!$A$165:$I$185,5,0)),0%,VLOOKUP(A178,'Données projet'!$A$165:$I$185,5,0)*VLOOKUP('Données projet'!$B$14,'Paramètres'!$A$1:$I$88,7,0))</f>
        <v>0</v>
      </c>
      <c r="DY178" s="155">
        <f>IF(ISNA(VLOOKUP(A178,'Données projet'!$A$165:$I$185,6,0)),0%,VLOOKUP(A178,'Données projet'!$A$165:$I$185,6,0)*VLOOKUP('Données projet'!$B$14,'Paramètres'!$A$1:$I$88,7,0))</f>
        <v>0</v>
      </c>
      <c r="DZ178" s="155">
        <f>IF(ISNA(VLOOKUP(A178,'Données projet'!$A$165:$I$185,7,0)),0%,VLOOKUP(A178,'Données projet'!$A$165:$I$185,7,0))</f>
        <v>0</v>
      </c>
      <c r="EA178" s="162" t="str">
        <f>EXP(-LN(2)/35)*EA177+(1-EXP(-LN(2)/35))/(LN(2)/35)*DW178*DX178*VLOOKUP('Données projet'!$B$14,'Paramètres'!$A$1:$I$88,3,0)*0.475*44/12</f>
        <v>#N/A</v>
      </c>
      <c r="EB178" s="162" t="str">
        <f>EXP(-LN(2)/25)*EB177+(1-EXP(-LN(2)/25))/(LN(2)/25)*Calculateur!DW178*Calculateur!DY178*VLOOKUP('Données projet'!$B$14,'Paramètres'!$A$1:$I$88,3,0)*0.475*44/12</f>
        <v>#N/A</v>
      </c>
      <c r="EC178" s="162" t="str">
        <f>EXP(-LN(2)/2)*EC177+(1-EXP(-LN(2)/2))/(LN(2)/2)*DW178*DZ178*VLOOKUP('Données projet'!$B$14,'Paramètres'!$A$1:$I$88,3,0)*0.475*44/12</f>
        <v>#N/A</v>
      </c>
      <c r="ED178" s="163" t="str">
        <f t="shared" si="19"/>
        <v>#N/A</v>
      </c>
      <c r="EE178" s="159">
        <f>('Scénario référence'!$F$8+'Scénario référence'!$F$9+'Scénario référence'!$B$17+'Scénario référence'!$B$9+'Scénario référence'!$B$10)*70+IF((45+25*(1-EXP(-0.0175*A178)))&lt;70,'Scénario référence'!$B$16*(45+25*(1-EXP(-0.0175*A178))),70*'Scénario référence'!$B$16)+IF((32+38*(1-EXP(-0.0175*A178)))&lt;70,'Scénario référence'!$B$18*(32+38*(1-EXP(-0.0175*A178))),70*'Scénario référence'!$B$18)</f>
        <v>70</v>
      </c>
      <c r="EF178" s="151">
        <f>IF(A178&gt;30,10,('Scénario référence'!$B$16+'Scénario référence'!$B$17+'Scénario référence'!$B$18+'Scénario référence'!$B$9+'Scénario référence'!$B$10)*A178*10/30+('Scénario référence'!$F$8+'Scénario référence'!$F$9)*10)</f>
        <v>10</v>
      </c>
      <c r="EG178" s="151" t="str">
        <f>VLOOKUP(A178,'Données projet'!$A$191:$I$211,2,0)</f>
        <v>#N/A</v>
      </c>
      <c r="EH178" s="151" t="str">
        <f>VLOOKUP(A178,'Données projet'!$A$191:$I$211,9,0)</f>
        <v>#N/A</v>
      </c>
      <c r="EI178" s="151" t="str">
        <f t="array" ref="EI178">INDEX(EH:EH,MIN(IF(ISNUMBER(EH178:EH374),ROW(EH178:EH374),"")))</f>
        <v/>
      </c>
      <c r="EJ178" s="151">
        <f>IF('Données projet'!$A$192&gt;35,EJ177+EI178-ER177,IF(A178&lt;'Données projet'!$A$192,$EG$205^A178,IF(A178='Données projet'!$A$192,'Données projet'!$B$192,EJ177+EI178-ER177)))</f>
        <v>0</v>
      </c>
      <c r="EK178" s="158" t="str">
        <f>EJ178*VLOOKUP('Données projet'!$B$15,'Paramètres'!$A$1:$I$88,3,0)*VLOOKUP('Données projet'!$B$15,'Paramètres'!$A$1:$I$88,5,0)</f>
        <v>#N/A</v>
      </c>
      <c r="EL178" s="150" t="str">
        <f t="shared" si="46"/>
        <v>#N/A</v>
      </c>
      <c r="EM178" s="161" t="str">
        <f t="shared" si="20"/>
        <v>#N/A</v>
      </c>
      <c r="EN178" s="153" t="str">
        <f t="shared" si="21"/>
        <v>#N/A</v>
      </c>
      <c r="EO178" s="153" t="str">
        <f>AVERAGE(OFFSET($EN$3,0,0,'Données projet'!$E$15+1,1))-AVERAGE(OFFSET($H$3,0,0,'Données projet'!$E$15+1,1))</f>
        <v>#N/A</v>
      </c>
      <c r="EP178" s="153" t="str">
        <f t="shared" si="47"/>
        <v>#N/A</v>
      </c>
      <c r="EQ178" s="154">
        <f>IF(ISNA(VLOOKUP(A178,'Données projet'!$A$191:$I$211,3,0)),0,VLOOKUP(A178,'Données projet'!$A$191:$I$211,3,0))</f>
        <v>0</v>
      </c>
      <c r="ER178" s="154">
        <f>IF(ISNA(VLOOKUP(A178,'Données projet'!$A$191:$I$211,4,0)),0,VLOOKUP(A178,'Données projet'!$A$191:$I$211,4,0))</f>
        <v>0</v>
      </c>
      <c r="ES178" s="155">
        <f>IF(ISNA(VLOOKUP(A178,'Données projet'!$A$191:$I$211,5,0)),0%,VLOOKUP(A178,'Données projet'!$A$191:$I$211,5,0)*VLOOKUP('Données projet'!$B$15,'Paramètres'!$A$1:$I$88,7,0))</f>
        <v>0</v>
      </c>
      <c r="ET178" s="155">
        <f>IF(ISNA(VLOOKUP(A178,'Données projet'!$A$191:$I$211,6,0)),0%,VLOOKUP(A178,'Données projet'!$A$191:$I$211,6,0)*VLOOKUP('Données projet'!$B$15,'Paramètres'!$A$1:$I$88,7,0))</f>
        <v>0</v>
      </c>
      <c r="EU178" s="155">
        <f>IF(ISNA(VLOOKUP(A178,'Données projet'!$A$191:$I$211,7,0)),0%,VLOOKUP(A178,'Données projet'!$A$191:$I$211,7,0))</f>
        <v>0</v>
      </c>
      <c r="EV178" s="162" t="str">
        <f>EXP(-LN(2)/35)*EV177+(1-EXP(-LN(2)/35))/(LN(2)/35)*ER178*ES178*VLOOKUP('Données projet'!$B$15,'Paramètres'!$A$1:$I$88,3,0)*0.475*44/12</f>
        <v>#N/A</v>
      </c>
      <c r="EW178" s="162" t="str">
        <f>EXP(-LN(2)/25)*EW177+(1-EXP(-LN(2)/25))/(LN(2)/25)*Calculateur!ER178*Calculateur!ET178*VLOOKUP('Données projet'!$B$15,'Paramètres'!$A$1:$I$88,3,0)*0.475*44/12</f>
        <v>#N/A</v>
      </c>
      <c r="EX178" s="162" t="str">
        <f>EXP(-LN(2)/2)*EX177+(1-EXP(-LN(2)/2))/(LN(2)/2)*ER178*EU178*VLOOKUP('Données projet'!$B$15,'Paramètres'!$A$1:$I$88,3,0)*0.475*44/12</f>
        <v>#N/A</v>
      </c>
      <c r="EY178" s="163" t="str">
        <f t="shared" si="22"/>
        <v>#N/A</v>
      </c>
      <c r="EZ178" s="159">
        <f>('Scénario référence'!$F$8+'Scénario référence'!$F$9+'Scénario référence'!$B$17+'Scénario référence'!$B$9+'Scénario référence'!$B$10)*70+IF((45+25*(1-EXP(-0.0175*A178)))&lt;70,'Scénario référence'!$B$16*(45+25*(1-EXP(-0.0175*A178))),70*'Scénario référence'!$B$16)+IF((32+38*(1-EXP(-0.0175*A178)))&lt;70,'Scénario référence'!$B$18*(32+38*(1-EXP(-0.0175*A178))),70*'Scénario référence'!$B$18)</f>
        <v>70</v>
      </c>
      <c r="FA178" s="151">
        <f>IF(A178&gt;30,10,('Scénario référence'!$B$16+'Scénario référence'!$B$17+'Scénario référence'!$B$18+'Scénario référence'!$B$9+'Scénario référence'!$B$10)*A178*10/30+('Scénario référence'!$F$8+'Scénario référence'!$F$9)*10)</f>
        <v>10</v>
      </c>
      <c r="FB178" s="151" t="str">
        <f>VLOOKUP(A178,'Données projet'!$A$217:$I$237,2,0)</f>
        <v>#N/A</v>
      </c>
      <c r="FC178" s="151" t="str">
        <f>VLOOKUP(A178,'Données projet'!$A$217:$I$237,9,0)</f>
        <v>#N/A</v>
      </c>
      <c r="FD178" s="151" t="str">
        <f t="array" ref="FD178">INDEX(FC:FC,MIN(IF(ISNUMBER(FC178:FC374),ROW(FC178:FC374),"")))</f>
        <v/>
      </c>
      <c r="FE178" s="151">
        <f>IF('Données projet'!$A$218&gt;35,FE177+FD178-FM177,IF(A178&lt;'Données projet'!$A$218,$FB$205^A178,IF(A178='Données projet'!$A$218,'Données projet'!$B$218,FE177+FD178-FM177)))</f>
        <v>0</v>
      </c>
      <c r="FF178" s="158" t="str">
        <f>FE178*VLOOKUP('Données projet'!$B$16,'Paramètres'!$A$1:$I$88,3,0)*VLOOKUP('Données projet'!$B$16,'Paramètres'!$A$1:$I$88,5,0)</f>
        <v>#N/A</v>
      </c>
      <c r="FG178" s="150" t="str">
        <f t="shared" si="48"/>
        <v>#N/A</v>
      </c>
      <c r="FH178" s="161" t="str">
        <f t="shared" si="23"/>
        <v>#N/A</v>
      </c>
      <c r="FI178" s="153" t="str">
        <f t="shared" si="24"/>
        <v>#N/A</v>
      </c>
      <c r="FJ178" s="153" t="str">
        <f>AVERAGE(OFFSET($FI$3,0,0,'Données projet'!$E$16+1,1))-AVERAGE(OFFSET($H$3,0,0,'Données projet'!$E$16+1,1))</f>
        <v>#N/A</v>
      </c>
      <c r="FK178" s="153" t="str">
        <f t="shared" si="49"/>
        <v>#N/A</v>
      </c>
      <c r="FL178" s="154">
        <f>IF(ISNA(VLOOKUP(A178,'Données projet'!$A$217:$I$237,3,0)),0,VLOOKUP(A178,'Données projet'!$A$217:$I$237,3,0))</f>
        <v>0</v>
      </c>
      <c r="FM178" s="154">
        <f>IF(ISNA(VLOOKUP(A178,'Données projet'!$A$217:$I$237,4,0)),0,VLOOKUP(A178,'Données projet'!$A$217:$I$237,4,0))</f>
        <v>0</v>
      </c>
      <c r="FN178" s="155">
        <f>IF(ISNA(VLOOKUP(A178,'Données projet'!$A$217:$I$237,5,0)),0%,VLOOKUP(A178,'Données projet'!$A$217:$I$237,5,0)*VLOOKUP('Données projet'!$B$16,'Paramètres'!$A$1:$I$88,7,0))</f>
        <v>0</v>
      </c>
      <c r="FO178" s="155">
        <f>IF(ISNA(VLOOKUP(A178,'Données projet'!$A$217:$I$237,6,0)),0%,VLOOKUP(A178,'Données projet'!$A$217:$I$237,6,0)*VLOOKUP('Données projet'!$B$16,'Paramètres'!$A$1:$I$88,7,0))</f>
        <v>0</v>
      </c>
      <c r="FP178" s="155">
        <f>IF(ISNA(VLOOKUP(A178,'Données projet'!$A$217:$I$237,7,0)),0%,VLOOKUP(A178,'Données projet'!$A$217:$I$237,7,0))</f>
        <v>0</v>
      </c>
      <c r="FQ178" s="162" t="str">
        <f>EXP(-LN(2)/35)*FQ177+(1-EXP(-LN(2)/35))/(LN(2)/35)*FM178*FN178*VLOOKUP('Données projet'!$B$16,'Paramètres'!$A$1:$I$88,3,0)*0.475*44/12</f>
        <v>#N/A</v>
      </c>
      <c r="FR178" s="162" t="str">
        <f>EXP(-LN(2)/25)*FR177+(1-EXP(-LN(2)/25))/(LN(2)/25)*Calculateur!FM178*Calculateur!FO178*VLOOKUP('Données projet'!$B$16,'Paramètres'!$A$1:$I$88,3,0)*0.475*44/12</f>
        <v>#N/A</v>
      </c>
      <c r="FS178" s="162" t="str">
        <f>EXP(-LN(2)/2)*FS177+(1-EXP(-LN(2)/2))/(LN(2)/2)*FM178*FP178*VLOOKUP('Données projet'!$B$16,'Paramètres'!$A$1:$I$88,3,0)*0.475*44/12</f>
        <v>#N/A</v>
      </c>
      <c r="FT178" s="163" t="str">
        <f t="shared" si="25"/>
        <v>#N/A</v>
      </c>
      <c r="FU178" s="159">
        <f>('Scénario référence'!$F$8+'Scénario référence'!$F$9+'Scénario référence'!$B$17+'Scénario référence'!$B$9+'Scénario référence'!$B$10)*70+IF((45+25*(1-EXP(-0.0175*A178)))&lt;70,'Scénario référence'!$B$16*(45+25*(1-EXP(-0.0175*A178))),70*'Scénario référence'!$B$16)+IF((32+38*(1-EXP(-0.0175*A178)))&lt;70,'Scénario référence'!$B$18*(32+38*(1-EXP(-0.0175*A178))),70*'Scénario référence'!$B$18)</f>
        <v>70</v>
      </c>
      <c r="FV178" s="151">
        <f>IF(A178&gt;30,10,('Scénario référence'!$B$16+'Scénario référence'!$B$17+'Scénario référence'!$B$18+'Scénario référence'!$B$9+'Scénario référence'!$B$10)*A178*10/30+('Scénario référence'!$F$8+'Scénario référence'!$F$9)*10)</f>
        <v>10</v>
      </c>
      <c r="FW178" s="151" t="str">
        <f>VLOOKUP(A178,'Données projet'!$A$243:$I$263,2,0)</f>
        <v>#N/A</v>
      </c>
      <c r="FX178" s="151" t="str">
        <f>VLOOKUP(A178,'Données projet'!$A$243:$I$263,9,0)</f>
        <v>#N/A</v>
      </c>
      <c r="FY178" s="151" t="str">
        <f t="array" ref="FY178">INDEX(FX:FX,MIN(IF(ISNUMBER(FX178:FX374),ROW(FX178:FX374),"")))</f>
        <v/>
      </c>
      <c r="FZ178" s="151">
        <f>IF('Données projet'!$A$244&gt;35,FZ177+FY178-GH177,IF(A178&lt;'Données projet'!$A$244,$FW$205^A178,IF(A178='Données projet'!$A$244,'Données projet'!$B$244,FZ177+FY178-GH177)))</f>
        <v>0</v>
      </c>
      <c r="GA178" s="158" t="str">
        <f>FZ178*VLOOKUP('Données projet'!$B$17,'Paramètres'!$A$1:$I$88,3,0)*VLOOKUP('Données projet'!$B$17,'Paramètres'!$A$1:$I$88,5,0)</f>
        <v>#N/A</v>
      </c>
      <c r="GB178" s="150" t="str">
        <f t="shared" si="50"/>
        <v>#N/A</v>
      </c>
      <c r="GC178" s="161" t="str">
        <f t="shared" si="26"/>
        <v>#N/A</v>
      </c>
      <c r="GD178" s="153" t="str">
        <f t="shared" si="27"/>
        <v>#N/A</v>
      </c>
      <c r="GE178" s="153" t="str">
        <f>AVERAGE(OFFSET($GD$3,0,0,'Données projet'!$E$17+1,1))-AVERAGE(OFFSET($H$3,0,0,'Données projet'!$E$17+1,1))</f>
        <v>#N/A</v>
      </c>
      <c r="GF178" s="153" t="str">
        <f t="shared" si="51"/>
        <v>#N/A</v>
      </c>
      <c r="GG178" s="154">
        <f>IF(ISNA(VLOOKUP(A178,'Données projet'!$A$243:$I$263,3,0)),0,VLOOKUP(A178,'Données projet'!$A$243:$I$263,3,0))</f>
        <v>0</v>
      </c>
      <c r="GH178" s="154">
        <f>IF(ISNA(VLOOKUP(A178,'Données projet'!$A$243:$I$263,4,0)),0,VLOOKUP(A178,'Données projet'!$A$243:$I$263,4,0))</f>
        <v>0</v>
      </c>
      <c r="GI178" s="155">
        <f>IF(ISNA(VLOOKUP(A178,'Données projet'!$A$243:$I$263,5,0)),0%,VLOOKUP(A178,'Données projet'!$A$243:$I$263,5,0)*VLOOKUP('Données projet'!$B$17,'Paramètres'!$A$1:$I$88,7,0))</f>
        <v>0</v>
      </c>
      <c r="GJ178" s="155">
        <f>IF(ISNA(VLOOKUP(A178,'Données projet'!$A$243:$I$263,6,0)),0%,VLOOKUP(A178,'Données projet'!$A$243:$I$263,6,0)*VLOOKUP('Données projet'!$B$17,'Paramètres'!$A$1:$I$88,7,0))</f>
        <v>0</v>
      </c>
      <c r="GK178" s="155">
        <f>IF(ISNA(VLOOKUP(A178,'Données projet'!$A$243:$I$263,7,0)),0%,VLOOKUP(A178,'Données projet'!$A$243:$I$263,7,0))</f>
        <v>0</v>
      </c>
      <c r="GL178" s="162" t="str">
        <f>EXP(-LN(2)/35)*GL177+(1-EXP(-LN(2)/35))/(LN(2)/35)*GH178*GI178*VLOOKUP('Données projet'!$B$17,'Paramètres'!$A$1:$I$88,3,0)*0.475*44/12</f>
        <v>#N/A</v>
      </c>
      <c r="GM178" s="162" t="str">
        <f>EXP(-LN(2)/25)*GM177+(1-EXP(-LN(2)/25))/(LN(2)/25)*Calculateur!GH178*Calculateur!GJ178*VLOOKUP('Données projet'!$B$17,'Paramètres'!$A$1:$I$88,3,0)*0.475*44/12</f>
        <v>#N/A</v>
      </c>
      <c r="GN178" s="162" t="str">
        <f>EXP(-LN(2)/2)*GN177+(1-EXP(-LN(2)/2))/(LN(2)/2)*GH178*GK178*VLOOKUP('Données projet'!$B$17,'Paramètres'!$A$1:$I$88,3,0)*0.475*44/12</f>
        <v>#N/A</v>
      </c>
      <c r="GO178" s="162" t="str">
        <f t="shared" si="28"/>
        <v>#N/A</v>
      </c>
      <c r="GP178" s="159">
        <f>('Scénario référence'!$F$8+'Scénario référence'!$F$9+'Scénario référence'!$B$17+'Scénario référence'!$B$9+'Scénario référence'!$B$10)*70+IF((45+25*(1-EXP(-0.0175*A178)))&lt;70,'Scénario référence'!$B$16*(45+25*(1-EXP(-0.0175*A178))),70*'Scénario référence'!$B$16)+IF((32+38*(1-EXP(-0.0175*A178)))&lt;70,'Scénario référence'!$B$18*(32+38*(1-EXP(-0.0175*A178))),70*'Scénario référence'!$B$18)</f>
        <v>70</v>
      </c>
      <c r="GQ178" s="151">
        <f>IF(A178&gt;30,10,('Scénario référence'!$B$16+'Scénario référence'!$B$17+'Scénario référence'!$B$18+'Scénario référence'!$B$9+'Scénario référence'!$B$10)*A178*10/30+('Scénario référence'!$F$8+'Scénario référence'!$F$9)*10)</f>
        <v>10</v>
      </c>
      <c r="GR178" s="151" t="str">
        <f>VLOOKUP(A178,'Données projet'!$A$269:$I$289,2,0)</f>
        <v>#N/A</v>
      </c>
      <c r="GS178" s="151" t="str">
        <f>VLOOKUP(A178,'Données projet'!$A$269:$I$289,9,0)</f>
        <v>#N/A</v>
      </c>
      <c r="GT178" s="151" t="str">
        <f t="array" ref="GT178">INDEX(GS:GS,MIN(IF(ISNUMBER(GS178:GS374),ROW(GS178:GS374),"")))</f>
        <v/>
      </c>
      <c r="GU178" s="151">
        <f>IF('Données projet'!$A$270&gt;35,GU177+GT178-HC177,IF(A178&lt;'Données projet'!$A$270,$GR$205^A178,IF(A178='Données projet'!$A$270,'Données projet'!$B$270,GU177+GT178-HC177)))</f>
        <v>0</v>
      </c>
      <c r="GV178" s="158" t="str">
        <f>GU178*VLOOKUP('Données projet'!$B$18,'Paramètres'!$A$1:$I$88,3,0)*VLOOKUP('Données projet'!$B$18,'Paramètres'!$A$1:$I$88,5,0)</f>
        <v>#N/A</v>
      </c>
      <c r="GW178" s="150" t="str">
        <f t="shared" si="52"/>
        <v>#N/A</v>
      </c>
      <c r="GX178" s="161" t="str">
        <f t="shared" si="29"/>
        <v>#N/A</v>
      </c>
      <c r="GY178" s="153" t="str">
        <f t="shared" si="30"/>
        <v>#N/A</v>
      </c>
      <c r="GZ178" s="153" t="str">
        <f>AVERAGE(OFFSET($GY$3,0,0,'Données projet'!$E$18+1,1))-AVERAGE(OFFSET($H$3,0,0,'Données projet'!$E$18+1,1))</f>
        <v>#N/A</v>
      </c>
      <c r="HA178" s="153" t="str">
        <f t="shared" si="53"/>
        <v>#N/A</v>
      </c>
      <c r="HB178" s="154">
        <f>IF(ISNA(VLOOKUP(A178,'Données projet'!$A$269:$I$289,3,0)),0,VLOOKUP(A178,'Données projet'!$A$269:$I$289,3,0))</f>
        <v>0</v>
      </c>
      <c r="HC178" s="154">
        <f>IF(ISNA(VLOOKUP(A178,'Données projet'!$A$269:$I$289,4,0)),0,VLOOKUP(A178,'Données projet'!$A$269:$I$289,4,0))</f>
        <v>0</v>
      </c>
      <c r="HD178" s="155">
        <f>IF(ISNA(VLOOKUP(A178,'Données projet'!$A$269:$I$289,5,0)),0%,VLOOKUP(A178,'Données projet'!$A$269:$I$289,5,0)*VLOOKUP('Données projet'!$B$18,'Paramètres'!$A$1:$I$88,7,0))</f>
        <v>0</v>
      </c>
      <c r="HE178" s="155">
        <f>IF(ISNA(VLOOKUP(A178,'Données projet'!$A$269:$I$289,6,0)),0%,VLOOKUP(A178,'Données projet'!$A$269:$I$289,6,0)*VLOOKUP('Données projet'!$B$18,'Paramètres'!$A$1:$I$88,7,0))</f>
        <v>0</v>
      </c>
      <c r="HF178" s="155">
        <f>IF(ISNA(VLOOKUP(A178,'Données projet'!$A$269:$I$289,7,0)),0%,VLOOKUP(A178,'Données projet'!$A$269:$I$289,7,0))</f>
        <v>0</v>
      </c>
      <c r="HG178" s="162" t="str">
        <f>EXP(-LN(2)/35)*HG177+(1-EXP(-LN(2)/35))/(LN(2)/35)*HC178*HD178*VLOOKUP('Données projet'!$B$18,'Paramètres'!$A$1:$I$88,3,0)*0.475*44/12</f>
        <v>#N/A</v>
      </c>
      <c r="HH178" s="162" t="str">
        <f>EXP(-LN(2)/25)*HH177+(1-EXP(-LN(2)/25))/(LN(2)/25)*Calculateur!HC178*Calculateur!HE178*VLOOKUP('Données projet'!$B$18,'Paramètres'!$A$1:$I$88,3,0)*0.475*44/12</f>
        <v>#N/A</v>
      </c>
      <c r="HI178" s="162" t="str">
        <f>EXP(-LN(2)/2)*HI177+(1-EXP(-LN(2)/2))/(LN(2)/2)*HC178*HF178*VLOOKUP('Données projet'!$B$18,'Paramètres'!$A$1:$I$88,3,0)*0.475*44/12</f>
        <v>#N/A</v>
      </c>
      <c r="HJ178" s="163" t="str">
        <f t="shared" si="31"/>
        <v>#N/A</v>
      </c>
    </row>
    <row r="179" ht="15.75" customHeight="1">
      <c r="A179" s="145">
        <f t="shared" si="32"/>
        <v>176</v>
      </c>
      <c r="B179" s="146">
        <f>'Scénario référence'!$B$16*5+'Scénario référence'!$B$17*0+'Scénario référence'!$B$18*5</f>
        <v>0</v>
      </c>
      <c r="C179" s="160">
        <f>Calculateur!C178+'Scénario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79" s="147">
        <f t="shared" si="33"/>
        <v>0</v>
      </c>
      <c r="E179" s="147">
        <f>'Scénario référence'!$B$16*45+('Scénario référence'!$B$17+'Scénario référence'!$F$8+'Scénario référence'!$F$9+'Scénario référence'!$B$10+'Scénario référence'!$B$9)*70+'Scénario référence'!$B$18*32</f>
        <v>70</v>
      </c>
      <c r="F179" s="147">
        <f>IF(OR('Scénario référence'!$F$8&gt;0,'Scénario référence'!$F$9&gt;0),('Scénario référence'!$F$8+'Scénario référence'!$F$9)*10,0)</f>
        <v>0</v>
      </c>
      <c r="G179" s="147">
        <f>'Scénario référence'!$B$8*B179*44/12+'Scénario référence'!$B$9*(C179+D179)/0.475*44/12+'Scénario référence'!$B$10*(C179+D179)/0.475*44/12+'Scénario référence'!$F$8*(C179+D179)/0.475*44/12+'Scénario référence'!$F$9*(C179+D179)/0.475*44/12</f>
        <v>0</v>
      </c>
      <c r="H179" s="148">
        <f t="shared" si="1"/>
        <v>256.6666667</v>
      </c>
      <c r="I179" s="149">
        <f>('Scénario référence'!$F$8+'Scénario référence'!$F$9+'Scénario référence'!$B$17+'Scénario référence'!$B$9+'Scénario référence'!$B$10)*70+IF((45+25*(1-EXP(-0.0175*A179)))&lt;70,'Scénario référence'!$B$16*(45+25*(1-EXP(-0.0175*A179))),70*'Scénario référence'!$B$16)+IF((32+38*(1-EXP(-0.0175*A179)))&lt;70,'Scénario référence'!$B$18*(32+38*(1-EXP(-0.0175*A179))),70*'Scénario référence'!$B$18)</f>
        <v>70</v>
      </c>
      <c r="J179" s="150">
        <f>IF(A179&gt;30,10,('Scénario référence'!$B$16+'Scénario référence'!$B$17+'Scénario référence'!$B$18+'Scénario référence'!$B$9+'Scénario référence'!$B$10)*A179*10/30+('Scénario référence'!$F$8+'Scénario référence'!$F$9)*10)</f>
        <v>10</v>
      </c>
      <c r="K179" s="151" t="str">
        <f>VLOOKUP(A179,'Données projet'!$A$35:$I$55,2,0)</f>
        <v>#N/A</v>
      </c>
      <c r="L179" s="151" t="str">
        <f>VLOOKUP(A179,'Données projet'!$A$35:$I$55,9,0)</f>
        <v>#N/A</v>
      </c>
      <c r="M179" s="151" t="str">
        <f t="array" ref="M179">INDEX(L:L,MIN(IF(ISNUMBER(L179:L375),ROW(L179:L375),"")))</f>
        <v/>
      </c>
      <c r="N179" s="150">
        <f>IF('Données projet'!$A$36&gt;35,N178+M179-V178,IF(A179&lt;'Données projet'!$A$36,$K$205^A179,IF(A179='Données projet'!$A$36,'Données projet'!$B$36,N178+M179-V178)))</f>
        <v>307</v>
      </c>
      <c r="O179" s="150">
        <f>N179*VLOOKUP('Données projet'!$B$9,'Paramètres'!$A$1:$I$88,3,0)*VLOOKUP('Données projet'!$B$9,'Paramètres'!$A$1:$I$88,5,0)</f>
        <v>277.7736</v>
      </c>
      <c r="P179" s="150">
        <f t="shared" si="34"/>
        <v>66.49628818</v>
      </c>
      <c r="Q179" s="161">
        <f t="shared" si="2"/>
        <v>599.6033886</v>
      </c>
      <c r="R179" s="153">
        <f t="shared" si="3"/>
        <v>892.9367219</v>
      </c>
      <c r="S179" s="153">
        <f>AVERAGE(OFFSET($R$3,0,0,'Données projet'!$E$9+1,1))-AVERAGE(OFFSET($H$3,0,0,'Données projet'!$E$9+1,1))</f>
        <v>439.1985427</v>
      </c>
      <c r="T179" s="153">
        <f t="shared" si="35"/>
        <v>278.2174123</v>
      </c>
      <c r="U179" s="154">
        <f>IF(ISNA(VLOOKUP(A179,'Données projet'!$A$35:$I$55,3,0)),0,VLOOKUP(A179,'Données projet'!$A$35:$I$55,3,0))</f>
        <v>0</v>
      </c>
      <c r="V179" s="154">
        <f>IF(ISNA(VLOOKUP(A179,'Données projet'!$A$35:$I$55,4,0)),0,VLOOKUP(A179,'Données projet'!$A$35:$I$55,4,0))</f>
        <v>0</v>
      </c>
      <c r="W179" s="155">
        <f>IF(ISNA(VLOOKUP(A179,'Données projet'!$A$35:$I$55,5,0)),0%,VLOOKUP(A179,'Données projet'!$A$35:$I$55,5,0)*VLOOKUP('Données projet'!$B$9,'Paramètres'!$A$1:$I$88,7,0))</f>
        <v>0</v>
      </c>
      <c r="X179" s="155">
        <f>IF(ISNA(VLOOKUP(A179,'Données projet'!$A$35:$I$55,6,0)),0%,VLOOKUP(A179,'Données projet'!$A$35:$I$55,6,0)*VLOOKUP('Données projet'!$B$9,'Paramètres'!$A$1:$I$88,7,0))</f>
        <v>0</v>
      </c>
      <c r="Y179" s="155">
        <f>IF(ISNA(VLOOKUP(A179,'Données projet'!$A$35:$I$55,7,0)),0%,VLOOKUP(A179,'Données projet'!$A$35:$I$55,7,0))</f>
        <v>0</v>
      </c>
      <c r="Z179" s="162">
        <f>EXP(-LN(2)/35)*Z178+(1-EXP(-LN(2)/35))/(LN(2)/35)*V179*W179*VLOOKUP('Données projet'!$B$9,'Paramètres'!$A$1:$I$88,3,0)*0.475*44/12</f>
        <v>0</v>
      </c>
      <c r="AA179" s="162">
        <f>EXP(-LN(2)/25)*AA178+(1-EXP(-LN(2)/25))/(LN(2)/25)*Calculateur!V179*Calculateur!X179*VLOOKUP('Données projet'!$B$9,'Paramètres'!$A$1:$I$88,3,0)*0.475*44/12</f>
        <v>0.07834244192</v>
      </c>
      <c r="AB179" s="162">
        <f>EXP(-LN(2)/2)*AB178+(1-EXP(-LN(2)/2))/(LN(2)/2)*V179*Y179*VLOOKUP('Données projet'!$B$9,'Paramètres'!$A$1:$I$88,3,0)*0.475*44/12</f>
        <v>0</v>
      </c>
      <c r="AC179" s="163">
        <f t="shared" si="4"/>
        <v>0.07834244192</v>
      </c>
      <c r="AD179" s="150">
        <f>('Scénario référence'!$F$8+'Scénario référence'!$F$9+'Scénario référence'!$B$17+'Scénario référence'!$B$9+'Scénario référence'!$B$10)*70+IF((45+25*(1-EXP(-0.0175*A179)))&lt;70,'Scénario référence'!$B$16*(45+25*(1-EXP(-0.0175*A179))),70*'Scénario référence'!$B$16)+IF((32+38*(1-EXP(-0.0175*A179)))&lt;70,'Scénario référence'!$B$18*(32+38*(1-EXP(-0.0175*A179))),70*'Scénario référence'!$B$18)</f>
        <v>70</v>
      </c>
      <c r="AE179" s="150">
        <f>IF(A179&gt;30,10,('Scénario référence'!$B$16+'Scénario référence'!$B$17+'Scénario référence'!$B$18+'Scénario référence'!$B$9+'Scénario référence'!$B$10)*A179*10/30+('Scénario référence'!$F$8+'Scénario référence'!$F$9)*10)</f>
        <v>10</v>
      </c>
      <c r="AF179" s="151" t="str">
        <f>VLOOKUP(A179,'Données projet'!$A$61:$I$81,2,0)</f>
        <v>#N/A</v>
      </c>
      <c r="AG179" s="151" t="str">
        <f>VLOOKUP(A179,'Données projet'!$A$61:$I$81,9,0)</f>
        <v>#N/A</v>
      </c>
      <c r="AH179" s="151" t="str">
        <f t="array" ref="AH179">INDEX(AG:AG,MIN(IF(ISNUMBER(AG179:AG375),ROW(AG179:AG375),"")))</f>
        <v/>
      </c>
      <c r="AI179" s="150">
        <f>IF('Données projet'!$A$62&gt;35,AI178+AH179-AQ178,IF(A179&lt;'Données projet'!$A$62,$AF$205^A179,IF(A179='Données projet'!$A$62,'Données projet'!$B$62,AI178+AH179-AQ178)))</f>
        <v>369</v>
      </c>
      <c r="AJ179" s="150">
        <f>AI179*VLOOKUP('Données projet'!$B$10,'Paramètres'!$A$1:$I$88,3,0)*VLOOKUP('Données projet'!$B$10,'Paramètres'!$A$1:$I$88,5,0)</f>
        <v>293.5764</v>
      </c>
      <c r="AK179" s="150">
        <f t="shared" si="36"/>
        <v>69.82813851</v>
      </c>
      <c r="AL179" s="161">
        <f t="shared" si="5"/>
        <v>632.9295712</v>
      </c>
      <c r="AM179" s="153">
        <f t="shared" si="6"/>
        <v>926.2629046</v>
      </c>
      <c r="AN179" s="153">
        <f>AVERAGE(OFFSET($AM$3,0,0,'Données projet'!$E$10+1,1))-AVERAGE(OFFSET($H$3,0,0,'Données projet'!$E$10+1,1))</f>
        <v>405.6113614</v>
      </c>
      <c r="AO179" s="153">
        <f t="shared" si="37"/>
        <v>393.0787141</v>
      </c>
      <c r="AP179" s="154">
        <f>IF(ISNA(VLOOKUP(A179,'Données projet'!$A$61:$I$81,3,0)),0,VLOOKUP(A179,'Données projet'!$A$61:$I$81,3,0))</f>
        <v>0</v>
      </c>
      <c r="AQ179" s="154">
        <f>IF(ISNA(VLOOKUP(A179,'Données projet'!$A$61:$I$81,4,0)),0,VLOOKUP(A179,'Données projet'!$A$61:$I$81,4,0))</f>
        <v>0</v>
      </c>
      <c r="AR179" s="155">
        <f>IF(ISNA(VLOOKUP(A179,'Données projet'!$A$61:$I$81,5,0)),0%,VLOOKUP(A179,'Données projet'!$A$61:$I$81,5,0)*VLOOKUP('Données projet'!$B$10,'Paramètres'!$A$1:$I$88,7,0))</f>
        <v>0</v>
      </c>
      <c r="AS179" s="155">
        <f>IF(ISNA(VLOOKUP(A179,'Données projet'!$A$61:$I$81,6,0)),0%,VLOOKUP(A179,'Données projet'!$A$61:$I$81,6,0)*VLOOKUP('Données projet'!$B$10,'Paramètres'!$A$1:$I$88,7,0))</f>
        <v>0</v>
      </c>
      <c r="AT179" s="155">
        <f>IF(ISNA(VLOOKUP(A179,'Données projet'!$A$61:$I$81,7,0)),0%,VLOOKUP(A179,'Données projet'!$A$61:$I$81,7,0))</f>
        <v>0</v>
      </c>
      <c r="AU179" s="162">
        <f>EXP(-LN(2)/35)*AU178+(1-EXP(-LN(2)/35))/(LN(2)/35)*AQ179*AR179*VLOOKUP('Données projet'!$B$10,'Paramètres'!$A$1:$I$88,3,0)*0.475*44/12</f>
        <v>0</v>
      </c>
      <c r="AV179" s="162">
        <f>EXP(-LN(2)/25)*AV178+(1-EXP(-LN(2)/25))/(LN(2)/25)*Calculateur!AQ179*Calculateur!AS179*VLOOKUP('Données projet'!$B$10,'Paramètres'!$A$1:$I$88,3,0)*0.475*44/12</f>
        <v>0.3184035994</v>
      </c>
      <c r="AW179" s="162">
        <f>EXP(-LN(2)/2)*AW178+(1-EXP(-LN(2)/2))/(LN(2)/2)*AQ179*AT179*VLOOKUP('Données projet'!$B$10,'Paramètres'!$A$1:$I$88,3,0)*0.475*44/12</f>
        <v>0</v>
      </c>
      <c r="AX179" s="162">
        <f t="shared" si="7"/>
        <v>0.3184035994</v>
      </c>
      <c r="AY179" s="157">
        <f>('Scénario référence'!$F$8+'Scénario référence'!$F$9+'Scénario référence'!$B$17+'Scénario référence'!$B$9+'Scénario référence'!$B$10)*70+IF((45+25*(1-EXP(-0.0175*A179)))&lt;70,'Scénario référence'!$B$16*(45+25*(1-EXP(-0.0175*A179))),70*'Scénario référence'!$B$16)+IF((32+38*(1-EXP(-0.0175*A179)))&lt;70,'Scénario référence'!$B$18*(32+38*(1-EXP(-0.0175*A179))),70*'Scénario référence'!$B$18)</f>
        <v>70</v>
      </c>
      <c r="AZ179" s="151">
        <f>IF(A179&gt;30,10,('Scénario référence'!$B$16+'Scénario référence'!$B$17+'Scénario référence'!$B$18+'Scénario référence'!$B$9+'Scénario référence'!$B$10)*A179*10/30+('Scénario référence'!$F$8+'Scénario référence'!$F$9)*10)</f>
        <v>10</v>
      </c>
      <c r="BA179" s="151" t="str">
        <f>VLOOKUP(A179,'Données projet'!$A$87:$I$107,2,0)</f>
        <v>#N/A</v>
      </c>
      <c r="BB179" s="151" t="str">
        <f>VLOOKUP(A179,'Données projet'!$A$87:$I$107,9,0)</f>
        <v>#N/A</v>
      </c>
      <c r="BC179" s="151" t="str">
        <f t="array" ref="BC179">INDEX(BB:BB,MIN(IF(ISNUMBER(BB179:BB375),ROW(BB179:BB375),"")))</f>
        <v/>
      </c>
      <c r="BD179" s="150">
        <f>IF('Données projet'!$A$88&gt;35,BD178+BC179-BL178,IF(A179&lt;'Données projet'!$A$88,$BA$205^A179,IF(A179='Données projet'!$A$88,'Données projet'!$B$88,BD178+BC179-BL178)))</f>
        <v>0</v>
      </c>
      <c r="BE179" s="150">
        <f>BD179*VLOOKUP('Données projet'!$B$11,'Paramètres'!$A$1:$I$88,3,0)*VLOOKUP('Données projet'!$B$11,'Paramètres'!$A$1:$I$88,5,0)</f>
        <v>0</v>
      </c>
      <c r="BF179" s="150" t="str">
        <f t="shared" si="38"/>
        <v>#NUM!</v>
      </c>
      <c r="BG179" s="161" t="str">
        <f t="shared" si="8"/>
        <v>#NUM!</v>
      </c>
      <c r="BH179" s="153" t="str">
        <f t="shared" si="9"/>
        <v>#NUM!</v>
      </c>
      <c r="BI179" s="153">
        <f>AVERAGE(OFFSET($BH$3,0,0,'Données projet'!$E$11+1,1))-AVERAGE(OFFSET($H$3,0,0,'Données projet'!$E$11+1,1))</f>
        <v>0</v>
      </c>
      <c r="BJ179" s="153">
        <f t="shared" si="39"/>
        <v>0</v>
      </c>
      <c r="BK179" s="154">
        <f>IF(ISNA(VLOOKUP(A179,'Données projet'!$A$87:$I$107,3,0)),0,VLOOKUP(A179,'Données projet'!$A$87:$I$107,3,0))</f>
        <v>0</v>
      </c>
      <c r="BL179" s="154">
        <f>IF(ISNA(VLOOKUP(A179,'Données projet'!$A$87:$I$107,4,0)),0,VLOOKUP(A179,'Données projet'!$A$87:$I$107,4,0))</f>
        <v>0</v>
      </c>
      <c r="BM179" s="155">
        <f>IF(ISNA(VLOOKUP(A179,'Données projet'!$A$87:$I$107,5,0)),0%,VLOOKUP(A179,'Données projet'!$A$87:$I$107,5,0)*VLOOKUP('Données projet'!$B$11,'Paramètres'!$A$1:$I$88,7,0))</f>
        <v>0</v>
      </c>
      <c r="BN179" s="155">
        <f>IF(ISNA(VLOOKUP(A179,'Données projet'!$A$87:$I$107,6,0)),0%,VLOOKUP(A179,'Données projet'!$A$87:$I$107,6,0)*VLOOKUP('Données projet'!$B$11,'Paramètres'!$A$1:$I$88,7,0))</f>
        <v>0</v>
      </c>
      <c r="BO179" s="155">
        <f>IF(ISNA(VLOOKUP(A179,'Données projet'!$A$87:$I$107,7,0)),0%,VLOOKUP(A179,'Données projet'!$A$87:$I$107,7,0))</f>
        <v>0</v>
      </c>
      <c r="BP179" s="162">
        <f>EXP(-LN(2)/35)*BP178+(1-EXP(-LN(2)/35))/(LN(2)/35)*BL179*BM179*VLOOKUP('Données projet'!$B$11,'Paramètres'!$A$1:$I$88,3,0)*0.475*44/12</f>
        <v>0</v>
      </c>
      <c r="BQ179" s="162">
        <f>EXP(-LN(2)/25)*BQ178+(1-EXP(-LN(2)/25))/(LN(2)/25)*Calculateur!BL179*Calculateur!BN179*VLOOKUP('Données projet'!$B$11,'Paramètres'!$A$1:$I$88,3,0)*0.475*44/12</f>
        <v>0</v>
      </c>
      <c r="BR179" s="162">
        <f>EXP(-LN(2)/2)*BR178+(1-EXP(-LN(2)/2))/(LN(2)/2)*BL179*BO179*VLOOKUP('Données projet'!$B$11,'Paramètres'!$A$1:$I$88,3,0)*0.475*44/12</f>
        <v>0</v>
      </c>
      <c r="BS179" s="163">
        <f t="shared" si="10"/>
        <v>0</v>
      </c>
      <c r="BT179" s="159">
        <f>('Scénario référence'!$F$8+'Scénario référence'!$F$9+'Scénario référence'!$B$17+'Scénario référence'!$B$9+'Scénario référence'!$B$10)*70+IF((45+25*(1-EXP(-0.0175*A179)))&lt;70,'Scénario référence'!$B$16*(45+25*(1-EXP(-0.0175*A179))),70*'Scénario référence'!$B$16)+IF((32+38*(1-EXP(-0.0175*A179)))&lt;70,'Scénario référence'!$B$18*(32+38*(1-EXP(-0.0175*A179))),70*'Scénario référence'!$B$18)</f>
        <v>70</v>
      </c>
      <c r="BU179" s="151">
        <f>IF(A179&gt;30,10,('Scénario référence'!$B$16+'Scénario référence'!$B$17+'Scénario référence'!$B$18+'Scénario référence'!$B$9+'Scénario référence'!$B$10)*A179*10/30+('Scénario référence'!$F$8+'Scénario référence'!$F$9)*10)</f>
        <v>10</v>
      </c>
      <c r="BV179" s="151" t="str">
        <f>VLOOKUP(A179,'Données projet'!$A$113:$I$133,2,0)</f>
        <v>#N/A</v>
      </c>
      <c r="BW179" s="151" t="str">
        <f>VLOOKUP(A179,'Données projet'!$A$113:$I$133,9,0)</f>
        <v>#N/A</v>
      </c>
      <c r="BX179" s="151" t="str">
        <f t="array" ref="BX179">INDEX(BW:BW,MIN(IF(ISNUMBER(BW179:BW375),ROW(BW179:BW375),"")))</f>
        <v/>
      </c>
      <c r="BY179" s="150">
        <f>IF('Données projet'!$A$114&gt;35,BY178+BX179-CG178,IF(A179&lt;'Données projet'!$A$114,$BV$205^A179,IF(A179='Données projet'!$A$114,'Données projet'!$B$114,BY178+BX179-CG178)))</f>
        <v>0</v>
      </c>
      <c r="BZ179" s="150" t="str">
        <f>BY179*VLOOKUP('Données projet'!$B$12,'Paramètres'!$A$1:$I$88,3,0)*VLOOKUP('Données projet'!$B$12,'Paramètres'!$A$1:$I$88,5,0)</f>
        <v>#N/A</v>
      </c>
      <c r="CA179" s="150" t="str">
        <f t="shared" si="40"/>
        <v>#N/A</v>
      </c>
      <c r="CB179" s="161" t="str">
        <f t="shared" si="11"/>
        <v>#N/A</v>
      </c>
      <c r="CC179" s="153" t="str">
        <f t="shared" si="12"/>
        <v>#N/A</v>
      </c>
      <c r="CD179" s="153" t="str">
        <f>AVERAGE(OFFSET($CC$3,0,0,'Données projet'!$E$12+1,1))-AVERAGE(OFFSET($H$3,0,0,'Données projet'!$E$12+1,1))</f>
        <v>#N/A</v>
      </c>
      <c r="CE179" s="153" t="str">
        <f t="shared" si="41"/>
        <v>#N/A</v>
      </c>
      <c r="CF179" s="154">
        <f>IF(ISNA(VLOOKUP(A179,'Données projet'!$A$113:$I$133,3,0)),0,VLOOKUP(A179,'Données projet'!$A$113:$I$133,3,0))</f>
        <v>0</v>
      </c>
      <c r="CG179" s="154">
        <f>IF(ISNA(VLOOKUP(A179,'Données projet'!$A$113:$I$133,4,0)),0,VLOOKUP(A179,'Données projet'!$A$113:$I$133,4,0))</f>
        <v>0</v>
      </c>
      <c r="CH179" s="155">
        <f>IF(ISNA(VLOOKUP(A179,'Données projet'!$A$113:$I$133,5,0)),0%,VLOOKUP(A179,'Données projet'!$A$113:$I$133,5,0)*VLOOKUP('Données projet'!$B$12,'Paramètres'!$A$1:$I$88,7,0))</f>
        <v>0</v>
      </c>
      <c r="CI179" s="155">
        <f>IF(ISNA(VLOOKUP(A179,'Données projet'!$A$113:$I$133,6,0)),0%,VLOOKUP(A179,'Données projet'!$A$113:$I$133,6,0)*VLOOKUP('Données projet'!$B$12,'Paramètres'!$A$1:$I$88,7,0))</f>
        <v>0</v>
      </c>
      <c r="CJ179" s="155">
        <f>IF(ISNA(VLOOKUP(A179,'Données projet'!$A$113:$I$133,7,0)),0%,VLOOKUP(A179,'Données projet'!$A$113:$I$133,7,0))</f>
        <v>0</v>
      </c>
      <c r="CK179" s="162" t="str">
        <f>EXP(-LN(2)/35)*CK178+(1-EXP(-LN(2)/35))/(LN(2)/35)*CG179*CH179*VLOOKUP('Données projet'!$B$12,'Paramètres'!$A$1:$I$88,3,0)*0.475*44/12</f>
        <v>#N/A</v>
      </c>
      <c r="CL179" s="162" t="str">
        <f>EXP(-LN(2)/25)*CL178+(1-EXP(-LN(2)/25))/(LN(2)/25)*Calculateur!CG179*Calculateur!CI179*VLOOKUP('Données projet'!$B$12,'Paramètres'!$A$1:$I$88,3,0)*0.475*44/12</f>
        <v>#N/A</v>
      </c>
      <c r="CM179" s="162" t="str">
        <f>EXP(-LN(2)/2)*CM178+(1-EXP(-LN(2)/2))/(LN(2)/2)*CG179*CJ179*VLOOKUP('Données projet'!$B$12,'Paramètres'!$A$1:$I$88,3,0)*0.475*44/12</f>
        <v>#N/A</v>
      </c>
      <c r="CN179" s="163" t="str">
        <f t="shared" si="13"/>
        <v>#N/A</v>
      </c>
      <c r="CO179" s="159">
        <f>('Scénario référence'!$F$8+'Scénario référence'!$F$9+'Scénario référence'!$B$17+'Scénario référence'!$B$9+'Scénario référence'!$B$10)*70+IF((45+25*(1-EXP(-0.0175*A179)))&lt;70,'Scénario référence'!$B$16*(45+25*(1-EXP(-0.0175*A179))),70*'Scénario référence'!$B$16)+IF((32+38*(1-EXP(-0.0175*A179)))&lt;70,'Scénario référence'!$B$18*(32+38*(1-EXP(-0.0175*A179))),70*'Scénario référence'!$B$18)</f>
        <v>70</v>
      </c>
      <c r="CP179" s="151">
        <f>IF(A179&gt;30,10,('Scénario référence'!$B$16+'Scénario référence'!$B$17+'Scénario référence'!$B$18+'Scénario référence'!$B$9+'Scénario référence'!$B$10)*A179*10/30+('Scénario référence'!$F$8+'Scénario référence'!$F$9)*10)</f>
        <v>10</v>
      </c>
      <c r="CQ179" s="151" t="str">
        <f>VLOOKUP(A179,'Données projet'!$A$139:$I$159,2,0)</f>
        <v>#N/A</v>
      </c>
      <c r="CR179" s="151" t="str">
        <f>VLOOKUP(A179,'Données projet'!$A$139:$I$159,9,0)</f>
        <v>#N/A</v>
      </c>
      <c r="CS179" s="151" t="str">
        <f t="array" ref="CS179">INDEX(CR:CR,MIN(IF(ISNUMBER(CR179:CR375),ROW(CR179:CR375),"")))</f>
        <v/>
      </c>
      <c r="CT179" s="151">
        <f>IF('Données projet'!$A$140&gt;35,CT178+CS179-DB178,IF(A179&lt;'Données projet'!$A$140,$CQ$205^A179,IF(A179='Données projet'!$A$140,'Données projet'!$B$140,CT178+CS179-DB178)))</f>
        <v>0</v>
      </c>
      <c r="CU179" s="158" t="str">
        <f>CT179*VLOOKUP('Données projet'!$B$13,'Paramètres'!$A$1:$I$88,3,0)*VLOOKUP('Données projet'!$B$13,'Paramètres'!$A$1:$I$88,5,0)</f>
        <v>#N/A</v>
      </c>
      <c r="CV179" s="150" t="str">
        <f t="shared" si="42"/>
        <v>#N/A</v>
      </c>
      <c r="CW179" s="161" t="str">
        <f t="shared" si="14"/>
        <v>#N/A</v>
      </c>
      <c r="CX179" s="153" t="str">
        <f t="shared" si="15"/>
        <v>#N/A</v>
      </c>
      <c r="CY179" s="153" t="str">
        <f>AVERAGE(OFFSET($CX$3,0,0,'Données projet'!$E$13+1,1))-AVERAGE(OFFSET($H$3,0,0,'Données projet'!$E$13+1,1))</f>
        <v>#N/A</v>
      </c>
      <c r="CZ179" s="153" t="str">
        <f t="shared" si="43"/>
        <v>#N/A</v>
      </c>
      <c r="DA179" s="154">
        <f>IF(ISNA(VLOOKUP(A179,'Données projet'!$A$139:$I$159,3,0)),0,VLOOKUP(A179,'Données projet'!$A$139:$I$159,3,0))</f>
        <v>0</v>
      </c>
      <c r="DB179" s="154">
        <f>IF(ISNA(VLOOKUP(A179,'Données projet'!$A$139:$I$159,4,0)),0,VLOOKUP(A179,'Données projet'!$A$139:$I$159,4,0))</f>
        <v>0</v>
      </c>
      <c r="DC179" s="155">
        <f>IF(ISNA(VLOOKUP(A179,'Données projet'!$A$139:$I$159,5,0)),0%,VLOOKUP(A179,'Données projet'!$A$139:$I$159,5,0)*VLOOKUP('Données projet'!$B$13,'Paramètres'!$A$1:$I$88,7,0))</f>
        <v>0</v>
      </c>
      <c r="DD179" s="155">
        <f>IF(ISNA(VLOOKUP(A179,'Données projet'!$A$139:$I$159,6,0)),0%,VLOOKUP(A179,'Données projet'!$A$139:$I$159,6,0)*VLOOKUP('Données projet'!$B$13,'Paramètres'!$A$1:$I$88,7,0))</f>
        <v>0</v>
      </c>
      <c r="DE179" s="155">
        <f>IF(ISNA(VLOOKUP(A179,'Données projet'!$A$139:$I$159,7,0)),0%,VLOOKUP(A179,'Données projet'!$A$139:$I$159,7,0))</f>
        <v>0</v>
      </c>
      <c r="DF179" s="162" t="str">
        <f>EXP(-LN(2)/35)*DF178+(1-EXP(-LN(2)/35))/(LN(2)/35)*DB179*DC179*VLOOKUP('Données projet'!$B$13,'Paramètres'!$A$1:$I$88,3,0)*0.475*44/12</f>
        <v>#N/A</v>
      </c>
      <c r="DG179" s="162" t="str">
        <f>EXP(-LN(2)/25)*DG178+(1-EXP(-LN(2)/25))/(LN(2)/25)*Calculateur!DB179*Calculateur!DD179*VLOOKUP('Données projet'!$B$13,'Paramètres'!$A$1:$I$88,3,0)*0.475*44/12</f>
        <v>#N/A</v>
      </c>
      <c r="DH179" s="162" t="str">
        <f>EXP(-LN(2)/2)*DH178+(1-EXP(-LN(2)/2))/(LN(2)/2)*DB179*DE179*VLOOKUP('Données projet'!$B$13,'Paramètres'!$A$1:$I$88,3,0)*0.475*44/12</f>
        <v>#N/A</v>
      </c>
      <c r="DI179" s="163" t="str">
        <f t="shared" si="16"/>
        <v>#N/A</v>
      </c>
      <c r="DJ179" s="159">
        <f>('Scénario référence'!$F$8+'Scénario référence'!$F$9+'Scénario référence'!$B$17+'Scénario référence'!$B$9+'Scénario référence'!$B$10)*70+IF((45+25*(1-EXP(-0.0175*A179)))&lt;70,'Scénario référence'!$B$16*(45+25*(1-EXP(-0.0175*A179))),70*'Scénario référence'!$B$16)+IF((32+38*(1-EXP(-0.0175*A179)))&lt;70,'Scénario référence'!$B$18*(32+38*(1-EXP(-0.0175*A179))),70*'Scénario référence'!$B$18)</f>
        <v>70</v>
      </c>
      <c r="DK179" s="151">
        <f>IF(A179&gt;30,10,('Scénario référence'!$B$16+'Scénario référence'!$B$17+'Scénario référence'!$B$18+'Scénario référence'!$B$9+'Scénario référence'!$B$10)*A179*10/30+('Scénario référence'!$F$8+'Scénario référence'!$F$9)*10)</f>
        <v>10</v>
      </c>
      <c r="DL179" s="151" t="str">
        <f>VLOOKUP(A179,'Données projet'!$A$165:$I$185,2,0)</f>
        <v>#N/A</v>
      </c>
      <c r="DM179" s="151" t="str">
        <f>VLOOKUP(A179,'Données projet'!$A$165:$I$185,9,0)</f>
        <v>#N/A</v>
      </c>
      <c r="DN179" s="151" t="str">
        <f t="array" ref="DN179">INDEX(DM:DM,MIN(IF(ISNUMBER(DM179:DM375),ROW(DM179:DM375),"")))</f>
        <v/>
      </c>
      <c r="DO179" s="151">
        <f>IF('Données projet'!$A$166&gt;35,DO178+DN179-DW178,IF(A179&lt;'Données projet'!$A$166,$DL$205^A179,IF(A179='Données projet'!$A$166,'Données projet'!$B$166,DO178+DN179-DW178)))</f>
        <v>0</v>
      </c>
      <c r="DP179" s="158" t="str">
        <f>DO179*VLOOKUP('Données projet'!$B$14,'Paramètres'!$A$1:$I$88,3,0)*VLOOKUP('Données projet'!$B$14,'Paramètres'!$A$1:$I$88,5,0)</f>
        <v>#N/A</v>
      </c>
      <c r="DQ179" s="150" t="str">
        <f t="shared" si="44"/>
        <v>#N/A</v>
      </c>
      <c r="DR179" s="161" t="str">
        <f t="shared" si="17"/>
        <v>#N/A</v>
      </c>
      <c r="DS179" s="153" t="str">
        <f t="shared" si="18"/>
        <v>#N/A</v>
      </c>
      <c r="DT179" s="153" t="str">
        <f>AVERAGE(OFFSET($DS$3,0,0,'Données projet'!$E$14+1,1))-AVERAGE(OFFSET($H$3,0,0,'Données projet'!$E$14+1,1))</f>
        <v>#N/A</v>
      </c>
      <c r="DU179" s="153" t="str">
        <f t="shared" si="45"/>
        <v>#N/A</v>
      </c>
      <c r="DV179" s="154">
        <f>IF(ISNA(VLOOKUP(A179,'Données projet'!$A$165:$I$185,3,0)),0,VLOOKUP(A179,'Données projet'!$A$165:$I$185,3,0))</f>
        <v>0</v>
      </c>
      <c r="DW179" s="154">
        <f>IF(ISNA(VLOOKUP(A179,'Données projet'!$A$165:$I$185,4,0)),0,VLOOKUP(A179,'Données projet'!$A$165:$I$185,4,0))</f>
        <v>0</v>
      </c>
      <c r="DX179" s="155">
        <f>IF(ISNA(VLOOKUP(A179,'Données projet'!$A$165:$I$185,5,0)),0%,VLOOKUP(A179,'Données projet'!$A$165:$I$185,5,0)*VLOOKUP('Données projet'!$B$14,'Paramètres'!$A$1:$I$88,7,0))</f>
        <v>0</v>
      </c>
      <c r="DY179" s="155">
        <f>IF(ISNA(VLOOKUP(A179,'Données projet'!$A$165:$I$185,6,0)),0%,VLOOKUP(A179,'Données projet'!$A$165:$I$185,6,0)*VLOOKUP('Données projet'!$B$14,'Paramètres'!$A$1:$I$88,7,0))</f>
        <v>0</v>
      </c>
      <c r="DZ179" s="155">
        <f>IF(ISNA(VLOOKUP(A179,'Données projet'!$A$165:$I$185,7,0)),0%,VLOOKUP(A179,'Données projet'!$A$165:$I$185,7,0))</f>
        <v>0</v>
      </c>
      <c r="EA179" s="162" t="str">
        <f>EXP(-LN(2)/35)*EA178+(1-EXP(-LN(2)/35))/(LN(2)/35)*DW179*DX179*VLOOKUP('Données projet'!$B$14,'Paramètres'!$A$1:$I$88,3,0)*0.475*44/12</f>
        <v>#N/A</v>
      </c>
      <c r="EB179" s="162" t="str">
        <f>EXP(-LN(2)/25)*EB178+(1-EXP(-LN(2)/25))/(LN(2)/25)*Calculateur!DW179*Calculateur!DY179*VLOOKUP('Données projet'!$B$14,'Paramètres'!$A$1:$I$88,3,0)*0.475*44/12</f>
        <v>#N/A</v>
      </c>
      <c r="EC179" s="162" t="str">
        <f>EXP(-LN(2)/2)*EC178+(1-EXP(-LN(2)/2))/(LN(2)/2)*DW179*DZ179*VLOOKUP('Données projet'!$B$14,'Paramètres'!$A$1:$I$88,3,0)*0.475*44/12</f>
        <v>#N/A</v>
      </c>
      <c r="ED179" s="163" t="str">
        <f t="shared" si="19"/>
        <v>#N/A</v>
      </c>
      <c r="EE179" s="159">
        <f>('Scénario référence'!$F$8+'Scénario référence'!$F$9+'Scénario référence'!$B$17+'Scénario référence'!$B$9+'Scénario référence'!$B$10)*70+IF((45+25*(1-EXP(-0.0175*A179)))&lt;70,'Scénario référence'!$B$16*(45+25*(1-EXP(-0.0175*A179))),70*'Scénario référence'!$B$16)+IF((32+38*(1-EXP(-0.0175*A179)))&lt;70,'Scénario référence'!$B$18*(32+38*(1-EXP(-0.0175*A179))),70*'Scénario référence'!$B$18)</f>
        <v>70</v>
      </c>
      <c r="EF179" s="151">
        <f>IF(A179&gt;30,10,('Scénario référence'!$B$16+'Scénario référence'!$B$17+'Scénario référence'!$B$18+'Scénario référence'!$B$9+'Scénario référence'!$B$10)*A179*10/30+('Scénario référence'!$F$8+'Scénario référence'!$F$9)*10)</f>
        <v>10</v>
      </c>
      <c r="EG179" s="151" t="str">
        <f>VLOOKUP(A179,'Données projet'!$A$191:$I$211,2,0)</f>
        <v>#N/A</v>
      </c>
      <c r="EH179" s="151" t="str">
        <f>VLOOKUP(A179,'Données projet'!$A$191:$I$211,9,0)</f>
        <v>#N/A</v>
      </c>
      <c r="EI179" s="151" t="str">
        <f t="array" ref="EI179">INDEX(EH:EH,MIN(IF(ISNUMBER(EH179:EH375),ROW(EH179:EH375),"")))</f>
        <v/>
      </c>
      <c r="EJ179" s="151">
        <f>IF('Données projet'!$A$192&gt;35,EJ178+EI179-ER178,IF(A179&lt;'Données projet'!$A$192,$EG$205^A179,IF(A179='Données projet'!$A$192,'Données projet'!$B$192,EJ178+EI179-ER178)))</f>
        <v>0</v>
      </c>
      <c r="EK179" s="158" t="str">
        <f>EJ179*VLOOKUP('Données projet'!$B$15,'Paramètres'!$A$1:$I$88,3,0)*VLOOKUP('Données projet'!$B$15,'Paramètres'!$A$1:$I$88,5,0)</f>
        <v>#N/A</v>
      </c>
      <c r="EL179" s="150" t="str">
        <f t="shared" si="46"/>
        <v>#N/A</v>
      </c>
      <c r="EM179" s="161" t="str">
        <f t="shared" si="20"/>
        <v>#N/A</v>
      </c>
      <c r="EN179" s="153" t="str">
        <f t="shared" si="21"/>
        <v>#N/A</v>
      </c>
      <c r="EO179" s="153" t="str">
        <f>AVERAGE(OFFSET($EN$3,0,0,'Données projet'!$E$15+1,1))-AVERAGE(OFFSET($H$3,0,0,'Données projet'!$E$15+1,1))</f>
        <v>#N/A</v>
      </c>
      <c r="EP179" s="153" t="str">
        <f t="shared" si="47"/>
        <v>#N/A</v>
      </c>
      <c r="EQ179" s="154">
        <f>IF(ISNA(VLOOKUP(A179,'Données projet'!$A$191:$I$211,3,0)),0,VLOOKUP(A179,'Données projet'!$A$191:$I$211,3,0))</f>
        <v>0</v>
      </c>
      <c r="ER179" s="154">
        <f>IF(ISNA(VLOOKUP(A179,'Données projet'!$A$191:$I$211,4,0)),0,VLOOKUP(A179,'Données projet'!$A$191:$I$211,4,0))</f>
        <v>0</v>
      </c>
      <c r="ES179" s="155">
        <f>IF(ISNA(VLOOKUP(A179,'Données projet'!$A$191:$I$211,5,0)),0%,VLOOKUP(A179,'Données projet'!$A$191:$I$211,5,0)*VLOOKUP('Données projet'!$B$15,'Paramètres'!$A$1:$I$88,7,0))</f>
        <v>0</v>
      </c>
      <c r="ET179" s="155">
        <f>IF(ISNA(VLOOKUP(A179,'Données projet'!$A$191:$I$211,6,0)),0%,VLOOKUP(A179,'Données projet'!$A$191:$I$211,6,0)*VLOOKUP('Données projet'!$B$15,'Paramètres'!$A$1:$I$88,7,0))</f>
        <v>0</v>
      </c>
      <c r="EU179" s="155">
        <f>IF(ISNA(VLOOKUP(A179,'Données projet'!$A$191:$I$211,7,0)),0%,VLOOKUP(A179,'Données projet'!$A$191:$I$211,7,0))</f>
        <v>0</v>
      </c>
      <c r="EV179" s="162" t="str">
        <f>EXP(-LN(2)/35)*EV178+(1-EXP(-LN(2)/35))/(LN(2)/35)*ER179*ES179*VLOOKUP('Données projet'!$B$15,'Paramètres'!$A$1:$I$88,3,0)*0.475*44/12</f>
        <v>#N/A</v>
      </c>
      <c r="EW179" s="162" t="str">
        <f>EXP(-LN(2)/25)*EW178+(1-EXP(-LN(2)/25))/(LN(2)/25)*Calculateur!ER179*Calculateur!ET179*VLOOKUP('Données projet'!$B$15,'Paramètres'!$A$1:$I$88,3,0)*0.475*44/12</f>
        <v>#N/A</v>
      </c>
      <c r="EX179" s="162" t="str">
        <f>EXP(-LN(2)/2)*EX178+(1-EXP(-LN(2)/2))/(LN(2)/2)*ER179*EU179*VLOOKUP('Données projet'!$B$15,'Paramètres'!$A$1:$I$88,3,0)*0.475*44/12</f>
        <v>#N/A</v>
      </c>
      <c r="EY179" s="163" t="str">
        <f t="shared" si="22"/>
        <v>#N/A</v>
      </c>
      <c r="EZ179" s="159">
        <f>('Scénario référence'!$F$8+'Scénario référence'!$F$9+'Scénario référence'!$B$17+'Scénario référence'!$B$9+'Scénario référence'!$B$10)*70+IF((45+25*(1-EXP(-0.0175*A179)))&lt;70,'Scénario référence'!$B$16*(45+25*(1-EXP(-0.0175*A179))),70*'Scénario référence'!$B$16)+IF((32+38*(1-EXP(-0.0175*A179)))&lt;70,'Scénario référence'!$B$18*(32+38*(1-EXP(-0.0175*A179))),70*'Scénario référence'!$B$18)</f>
        <v>70</v>
      </c>
      <c r="FA179" s="151">
        <f>IF(A179&gt;30,10,('Scénario référence'!$B$16+'Scénario référence'!$B$17+'Scénario référence'!$B$18+'Scénario référence'!$B$9+'Scénario référence'!$B$10)*A179*10/30+('Scénario référence'!$F$8+'Scénario référence'!$F$9)*10)</f>
        <v>10</v>
      </c>
      <c r="FB179" s="151" t="str">
        <f>VLOOKUP(A179,'Données projet'!$A$217:$I$237,2,0)</f>
        <v>#N/A</v>
      </c>
      <c r="FC179" s="151" t="str">
        <f>VLOOKUP(A179,'Données projet'!$A$217:$I$237,9,0)</f>
        <v>#N/A</v>
      </c>
      <c r="FD179" s="151" t="str">
        <f t="array" ref="FD179">INDEX(FC:FC,MIN(IF(ISNUMBER(FC179:FC375),ROW(FC179:FC375),"")))</f>
        <v/>
      </c>
      <c r="FE179" s="151">
        <f>IF('Données projet'!$A$218&gt;35,FE178+FD179-FM178,IF(A179&lt;'Données projet'!$A$218,$FB$205^A179,IF(A179='Données projet'!$A$218,'Données projet'!$B$218,FE178+FD179-FM178)))</f>
        <v>0</v>
      </c>
      <c r="FF179" s="158" t="str">
        <f>FE179*VLOOKUP('Données projet'!$B$16,'Paramètres'!$A$1:$I$88,3,0)*VLOOKUP('Données projet'!$B$16,'Paramètres'!$A$1:$I$88,5,0)</f>
        <v>#N/A</v>
      </c>
      <c r="FG179" s="150" t="str">
        <f t="shared" si="48"/>
        <v>#N/A</v>
      </c>
      <c r="FH179" s="161" t="str">
        <f t="shared" si="23"/>
        <v>#N/A</v>
      </c>
      <c r="FI179" s="153" t="str">
        <f t="shared" si="24"/>
        <v>#N/A</v>
      </c>
      <c r="FJ179" s="153" t="str">
        <f>AVERAGE(OFFSET($FI$3,0,0,'Données projet'!$E$16+1,1))-AVERAGE(OFFSET($H$3,0,0,'Données projet'!$E$16+1,1))</f>
        <v>#N/A</v>
      </c>
      <c r="FK179" s="153" t="str">
        <f t="shared" si="49"/>
        <v>#N/A</v>
      </c>
      <c r="FL179" s="154">
        <f>IF(ISNA(VLOOKUP(A179,'Données projet'!$A$217:$I$237,3,0)),0,VLOOKUP(A179,'Données projet'!$A$217:$I$237,3,0))</f>
        <v>0</v>
      </c>
      <c r="FM179" s="154">
        <f>IF(ISNA(VLOOKUP(A179,'Données projet'!$A$217:$I$237,4,0)),0,VLOOKUP(A179,'Données projet'!$A$217:$I$237,4,0))</f>
        <v>0</v>
      </c>
      <c r="FN179" s="155">
        <f>IF(ISNA(VLOOKUP(A179,'Données projet'!$A$217:$I$237,5,0)),0%,VLOOKUP(A179,'Données projet'!$A$217:$I$237,5,0)*VLOOKUP('Données projet'!$B$16,'Paramètres'!$A$1:$I$88,7,0))</f>
        <v>0</v>
      </c>
      <c r="FO179" s="155">
        <f>IF(ISNA(VLOOKUP(A179,'Données projet'!$A$217:$I$237,6,0)),0%,VLOOKUP(A179,'Données projet'!$A$217:$I$237,6,0)*VLOOKUP('Données projet'!$B$16,'Paramètres'!$A$1:$I$88,7,0))</f>
        <v>0</v>
      </c>
      <c r="FP179" s="155">
        <f>IF(ISNA(VLOOKUP(A179,'Données projet'!$A$217:$I$237,7,0)),0%,VLOOKUP(A179,'Données projet'!$A$217:$I$237,7,0))</f>
        <v>0</v>
      </c>
      <c r="FQ179" s="162" t="str">
        <f>EXP(-LN(2)/35)*FQ178+(1-EXP(-LN(2)/35))/(LN(2)/35)*FM179*FN179*VLOOKUP('Données projet'!$B$16,'Paramètres'!$A$1:$I$88,3,0)*0.475*44/12</f>
        <v>#N/A</v>
      </c>
      <c r="FR179" s="162" t="str">
        <f>EXP(-LN(2)/25)*FR178+(1-EXP(-LN(2)/25))/(LN(2)/25)*Calculateur!FM179*Calculateur!FO179*VLOOKUP('Données projet'!$B$16,'Paramètres'!$A$1:$I$88,3,0)*0.475*44/12</f>
        <v>#N/A</v>
      </c>
      <c r="FS179" s="162" t="str">
        <f>EXP(-LN(2)/2)*FS178+(1-EXP(-LN(2)/2))/(LN(2)/2)*FM179*FP179*VLOOKUP('Données projet'!$B$16,'Paramètres'!$A$1:$I$88,3,0)*0.475*44/12</f>
        <v>#N/A</v>
      </c>
      <c r="FT179" s="163" t="str">
        <f t="shared" si="25"/>
        <v>#N/A</v>
      </c>
      <c r="FU179" s="159">
        <f>('Scénario référence'!$F$8+'Scénario référence'!$F$9+'Scénario référence'!$B$17+'Scénario référence'!$B$9+'Scénario référence'!$B$10)*70+IF((45+25*(1-EXP(-0.0175*A179)))&lt;70,'Scénario référence'!$B$16*(45+25*(1-EXP(-0.0175*A179))),70*'Scénario référence'!$B$16)+IF((32+38*(1-EXP(-0.0175*A179)))&lt;70,'Scénario référence'!$B$18*(32+38*(1-EXP(-0.0175*A179))),70*'Scénario référence'!$B$18)</f>
        <v>70</v>
      </c>
      <c r="FV179" s="151">
        <f>IF(A179&gt;30,10,('Scénario référence'!$B$16+'Scénario référence'!$B$17+'Scénario référence'!$B$18+'Scénario référence'!$B$9+'Scénario référence'!$B$10)*A179*10/30+('Scénario référence'!$F$8+'Scénario référence'!$F$9)*10)</f>
        <v>10</v>
      </c>
      <c r="FW179" s="151" t="str">
        <f>VLOOKUP(A179,'Données projet'!$A$243:$I$263,2,0)</f>
        <v>#N/A</v>
      </c>
      <c r="FX179" s="151" t="str">
        <f>VLOOKUP(A179,'Données projet'!$A$243:$I$263,9,0)</f>
        <v>#N/A</v>
      </c>
      <c r="FY179" s="151" t="str">
        <f t="array" ref="FY179">INDEX(FX:FX,MIN(IF(ISNUMBER(FX179:FX375),ROW(FX179:FX375),"")))</f>
        <v/>
      </c>
      <c r="FZ179" s="151">
        <f>IF('Données projet'!$A$244&gt;35,FZ178+FY179-GH178,IF(A179&lt;'Données projet'!$A$244,$FW$205^A179,IF(A179='Données projet'!$A$244,'Données projet'!$B$244,FZ178+FY179-GH178)))</f>
        <v>0</v>
      </c>
      <c r="GA179" s="158" t="str">
        <f>FZ179*VLOOKUP('Données projet'!$B$17,'Paramètres'!$A$1:$I$88,3,0)*VLOOKUP('Données projet'!$B$17,'Paramètres'!$A$1:$I$88,5,0)</f>
        <v>#N/A</v>
      </c>
      <c r="GB179" s="150" t="str">
        <f t="shared" si="50"/>
        <v>#N/A</v>
      </c>
      <c r="GC179" s="161" t="str">
        <f t="shared" si="26"/>
        <v>#N/A</v>
      </c>
      <c r="GD179" s="153" t="str">
        <f t="shared" si="27"/>
        <v>#N/A</v>
      </c>
      <c r="GE179" s="153" t="str">
        <f>AVERAGE(OFFSET($GD$3,0,0,'Données projet'!$E$17+1,1))-AVERAGE(OFFSET($H$3,0,0,'Données projet'!$E$17+1,1))</f>
        <v>#N/A</v>
      </c>
      <c r="GF179" s="153" t="str">
        <f t="shared" si="51"/>
        <v>#N/A</v>
      </c>
      <c r="GG179" s="154">
        <f>IF(ISNA(VLOOKUP(A179,'Données projet'!$A$243:$I$263,3,0)),0,VLOOKUP(A179,'Données projet'!$A$243:$I$263,3,0))</f>
        <v>0</v>
      </c>
      <c r="GH179" s="154">
        <f>IF(ISNA(VLOOKUP(A179,'Données projet'!$A$243:$I$263,4,0)),0,VLOOKUP(A179,'Données projet'!$A$243:$I$263,4,0))</f>
        <v>0</v>
      </c>
      <c r="GI179" s="155">
        <f>IF(ISNA(VLOOKUP(A179,'Données projet'!$A$243:$I$263,5,0)),0%,VLOOKUP(A179,'Données projet'!$A$243:$I$263,5,0)*VLOOKUP('Données projet'!$B$17,'Paramètres'!$A$1:$I$88,7,0))</f>
        <v>0</v>
      </c>
      <c r="GJ179" s="155">
        <f>IF(ISNA(VLOOKUP(A179,'Données projet'!$A$243:$I$263,6,0)),0%,VLOOKUP(A179,'Données projet'!$A$243:$I$263,6,0)*VLOOKUP('Données projet'!$B$17,'Paramètres'!$A$1:$I$88,7,0))</f>
        <v>0</v>
      </c>
      <c r="GK179" s="155">
        <f>IF(ISNA(VLOOKUP(A179,'Données projet'!$A$243:$I$263,7,0)),0%,VLOOKUP(A179,'Données projet'!$A$243:$I$263,7,0))</f>
        <v>0</v>
      </c>
      <c r="GL179" s="162" t="str">
        <f>EXP(-LN(2)/35)*GL178+(1-EXP(-LN(2)/35))/(LN(2)/35)*GH179*GI179*VLOOKUP('Données projet'!$B$17,'Paramètres'!$A$1:$I$88,3,0)*0.475*44/12</f>
        <v>#N/A</v>
      </c>
      <c r="GM179" s="162" t="str">
        <f>EXP(-LN(2)/25)*GM178+(1-EXP(-LN(2)/25))/(LN(2)/25)*Calculateur!GH179*Calculateur!GJ179*VLOOKUP('Données projet'!$B$17,'Paramètres'!$A$1:$I$88,3,0)*0.475*44/12</f>
        <v>#N/A</v>
      </c>
      <c r="GN179" s="162" t="str">
        <f>EXP(-LN(2)/2)*GN178+(1-EXP(-LN(2)/2))/(LN(2)/2)*GH179*GK179*VLOOKUP('Données projet'!$B$17,'Paramètres'!$A$1:$I$88,3,0)*0.475*44/12</f>
        <v>#N/A</v>
      </c>
      <c r="GO179" s="162" t="str">
        <f t="shared" si="28"/>
        <v>#N/A</v>
      </c>
      <c r="GP179" s="159">
        <f>('Scénario référence'!$F$8+'Scénario référence'!$F$9+'Scénario référence'!$B$17+'Scénario référence'!$B$9+'Scénario référence'!$B$10)*70+IF((45+25*(1-EXP(-0.0175*A179)))&lt;70,'Scénario référence'!$B$16*(45+25*(1-EXP(-0.0175*A179))),70*'Scénario référence'!$B$16)+IF((32+38*(1-EXP(-0.0175*A179)))&lt;70,'Scénario référence'!$B$18*(32+38*(1-EXP(-0.0175*A179))),70*'Scénario référence'!$B$18)</f>
        <v>70</v>
      </c>
      <c r="GQ179" s="151">
        <f>IF(A179&gt;30,10,('Scénario référence'!$B$16+'Scénario référence'!$B$17+'Scénario référence'!$B$18+'Scénario référence'!$B$9+'Scénario référence'!$B$10)*A179*10/30+('Scénario référence'!$F$8+'Scénario référence'!$F$9)*10)</f>
        <v>10</v>
      </c>
      <c r="GR179" s="151" t="str">
        <f>VLOOKUP(A179,'Données projet'!$A$269:$I$289,2,0)</f>
        <v>#N/A</v>
      </c>
      <c r="GS179" s="151" t="str">
        <f>VLOOKUP(A179,'Données projet'!$A$269:$I$289,9,0)</f>
        <v>#N/A</v>
      </c>
      <c r="GT179" s="151" t="str">
        <f t="array" ref="GT179">INDEX(GS:GS,MIN(IF(ISNUMBER(GS179:GS375),ROW(GS179:GS375),"")))</f>
        <v/>
      </c>
      <c r="GU179" s="151">
        <f>IF('Données projet'!$A$270&gt;35,GU178+GT179-HC178,IF(A179&lt;'Données projet'!$A$270,$GR$205^A179,IF(A179='Données projet'!$A$270,'Données projet'!$B$270,GU178+GT179-HC178)))</f>
        <v>0</v>
      </c>
      <c r="GV179" s="158" t="str">
        <f>GU179*VLOOKUP('Données projet'!$B$18,'Paramètres'!$A$1:$I$88,3,0)*VLOOKUP('Données projet'!$B$18,'Paramètres'!$A$1:$I$88,5,0)</f>
        <v>#N/A</v>
      </c>
      <c r="GW179" s="150" t="str">
        <f t="shared" si="52"/>
        <v>#N/A</v>
      </c>
      <c r="GX179" s="161" t="str">
        <f t="shared" si="29"/>
        <v>#N/A</v>
      </c>
      <c r="GY179" s="153" t="str">
        <f t="shared" si="30"/>
        <v>#N/A</v>
      </c>
      <c r="GZ179" s="153" t="str">
        <f>AVERAGE(OFFSET($GY$3,0,0,'Données projet'!$E$18+1,1))-AVERAGE(OFFSET($H$3,0,0,'Données projet'!$E$18+1,1))</f>
        <v>#N/A</v>
      </c>
      <c r="HA179" s="153" t="str">
        <f t="shared" si="53"/>
        <v>#N/A</v>
      </c>
      <c r="HB179" s="154">
        <f>IF(ISNA(VLOOKUP(A179,'Données projet'!$A$269:$I$289,3,0)),0,VLOOKUP(A179,'Données projet'!$A$269:$I$289,3,0))</f>
        <v>0</v>
      </c>
      <c r="HC179" s="154">
        <f>IF(ISNA(VLOOKUP(A179,'Données projet'!$A$269:$I$289,4,0)),0,VLOOKUP(A179,'Données projet'!$A$269:$I$289,4,0))</f>
        <v>0</v>
      </c>
      <c r="HD179" s="155">
        <f>IF(ISNA(VLOOKUP(A179,'Données projet'!$A$269:$I$289,5,0)),0%,VLOOKUP(A179,'Données projet'!$A$269:$I$289,5,0)*VLOOKUP('Données projet'!$B$18,'Paramètres'!$A$1:$I$88,7,0))</f>
        <v>0</v>
      </c>
      <c r="HE179" s="155">
        <f>IF(ISNA(VLOOKUP(A179,'Données projet'!$A$269:$I$289,6,0)),0%,VLOOKUP(A179,'Données projet'!$A$269:$I$289,6,0)*VLOOKUP('Données projet'!$B$18,'Paramètres'!$A$1:$I$88,7,0))</f>
        <v>0</v>
      </c>
      <c r="HF179" s="155">
        <f>IF(ISNA(VLOOKUP(A179,'Données projet'!$A$269:$I$289,7,0)),0%,VLOOKUP(A179,'Données projet'!$A$269:$I$289,7,0))</f>
        <v>0</v>
      </c>
      <c r="HG179" s="162" t="str">
        <f>EXP(-LN(2)/35)*HG178+(1-EXP(-LN(2)/35))/(LN(2)/35)*HC179*HD179*VLOOKUP('Données projet'!$B$18,'Paramètres'!$A$1:$I$88,3,0)*0.475*44/12</f>
        <v>#N/A</v>
      </c>
      <c r="HH179" s="162" t="str">
        <f>EXP(-LN(2)/25)*HH178+(1-EXP(-LN(2)/25))/(LN(2)/25)*Calculateur!HC179*Calculateur!HE179*VLOOKUP('Données projet'!$B$18,'Paramètres'!$A$1:$I$88,3,0)*0.475*44/12</f>
        <v>#N/A</v>
      </c>
      <c r="HI179" s="162" t="str">
        <f>EXP(-LN(2)/2)*HI178+(1-EXP(-LN(2)/2))/(LN(2)/2)*HC179*HF179*VLOOKUP('Données projet'!$B$18,'Paramètres'!$A$1:$I$88,3,0)*0.475*44/12</f>
        <v>#N/A</v>
      </c>
      <c r="HJ179" s="163" t="str">
        <f t="shared" si="31"/>
        <v>#N/A</v>
      </c>
    </row>
    <row r="180" ht="15.75" customHeight="1">
      <c r="A180" s="145">
        <f t="shared" si="32"/>
        <v>177</v>
      </c>
      <c r="B180" s="146">
        <f>'Scénario référence'!$B$16*5+'Scénario référence'!$B$17*0+'Scénario référence'!$B$18*5</f>
        <v>0</v>
      </c>
      <c r="C180" s="160">
        <f>Calculateur!C179+'Scénario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80" s="147">
        <f t="shared" si="33"/>
        <v>0</v>
      </c>
      <c r="E180" s="147">
        <f>'Scénario référence'!$B$16*45+('Scénario référence'!$B$17+'Scénario référence'!$F$8+'Scénario référence'!$F$9+'Scénario référence'!$B$10+'Scénario référence'!$B$9)*70+'Scénario référence'!$B$18*32</f>
        <v>70</v>
      </c>
      <c r="F180" s="147">
        <f>IF(OR('Scénario référence'!$F$8&gt;0,'Scénario référence'!$F$9&gt;0),('Scénario référence'!$F$8+'Scénario référence'!$F$9)*10,0)</f>
        <v>0</v>
      </c>
      <c r="G180" s="147">
        <f>'Scénario référence'!$B$8*B180*44/12+'Scénario référence'!$B$9*(C180+D180)/0.475*44/12+'Scénario référence'!$B$10*(C180+D180)/0.475*44/12+'Scénario référence'!$F$8*(C180+D180)/0.475*44/12+'Scénario référence'!$F$9*(C180+D180)/0.475*44/12</f>
        <v>0</v>
      </c>
      <c r="H180" s="148">
        <f t="shared" si="1"/>
        <v>256.6666667</v>
      </c>
      <c r="I180" s="149">
        <f>('Scénario référence'!$F$8+'Scénario référence'!$F$9+'Scénario référence'!$B$17+'Scénario référence'!$B$9+'Scénario référence'!$B$10)*70+IF((45+25*(1-EXP(-0.0175*A180)))&lt;70,'Scénario référence'!$B$16*(45+25*(1-EXP(-0.0175*A180))),70*'Scénario référence'!$B$16)+IF((32+38*(1-EXP(-0.0175*A180)))&lt;70,'Scénario référence'!$B$18*(32+38*(1-EXP(-0.0175*A180))),70*'Scénario référence'!$B$18)</f>
        <v>70</v>
      </c>
      <c r="J180" s="150">
        <f>IF(A180&gt;30,10,('Scénario référence'!$B$16+'Scénario référence'!$B$17+'Scénario référence'!$B$18+'Scénario référence'!$B$9+'Scénario référence'!$B$10)*A180*10/30+('Scénario référence'!$F$8+'Scénario référence'!$F$9)*10)</f>
        <v>10</v>
      </c>
      <c r="K180" s="151" t="str">
        <f>VLOOKUP(A180,'Données projet'!$A$35:$I$55,2,0)</f>
        <v>#N/A</v>
      </c>
      <c r="L180" s="151" t="str">
        <f>VLOOKUP(A180,'Données projet'!$A$35:$I$55,9,0)</f>
        <v>#N/A</v>
      </c>
      <c r="M180" s="151" t="str">
        <f t="array" ref="M180">INDEX(L:L,MIN(IF(ISNUMBER(L180:L376),ROW(L180:L376),"")))</f>
        <v/>
      </c>
      <c r="N180" s="150">
        <f>IF('Données projet'!$A$36&gt;35,N179+M180-V179,IF(A180&lt;'Données projet'!$A$36,$K$205^A180,IF(A180='Données projet'!$A$36,'Données projet'!$B$36,N179+M180-V179)))</f>
        <v>307</v>
      </c>
      <c r="O180" s="150">
        <f>N180*VLOOKUP('Données projet'!$B$9,'Paramètres'!$A$1:$I$88,3,0)*VLOOKUP('Données projet'!$B$9,'Paramètres'!$A$1:$I$88,5,0)</f>
        <v>277.7736</v>
      </c>
      <c r="P180" s="150">
        <f t="shared" si="34"/>
        <v>66.49628818</v>
      </c>
      <c r="Q180" s="161">
        <f t="shared" si="2"/>
        <v>599.6033886</v>
      </c>
      <c r="R180" s="153">
        <f t="shared" si="3"/>
        <v>892.9367219</v>
      </c>
      <c r="S180" s="153">
        <f>AVERAGE(OFFSET($R$3,0,0,'Données projet'!$E$9+1,1))-AVERAGE(OFFSET($H$3,0,0,'Données projet'!$E$9+1,1))</f>
        <v>439.1985427</v>
      </c>
      <c r="T180" s="153">
        <f t="shared" si="35"/>
        <v>278.2174123</v>
      </c>
      <c r="U180" s="154">
        <f>IF(ISNA(VLOOKUP(A180,'Données projet'!$A$35:$I$55,3,0)),0,VLOOKUP(A180,'Données projet'!$A$35:$I$55,3,0))</f>
        <v>0</v>
      </c>
      <c r="V180" s="154">
        <f>IF(ISNA(VLOOKUP(A180,'Données projet'!$A$35:$I$55,4,0)),0,VLOOKUP(A180,'Données projet'!$A$35:$I$55,4,0))</f>
        <v>0</v>
      </c>
      <c r="W180" s="155">
        <f>IF(ISNA(VLOOKUP(A180,'Données projet'!$A$35:$I$55,5,0)),0%,VLOOKUP(A180,'Données projet'!$A$35:$I$55,5,0)*VLOOKUP('Données projet'!$B$9,'Paramètres'!$A$1:$I$88,7,0))</f>
        <v>0</v>
      </c>
      <c r="X180" s="155">
        <f>IF(ISNA(VLOOKUP(A180,'Données projet'!$A$35:$I$55,6,0)),0%,VLOOKUP(A180,'Données projet'!$A$35:$I$55,6,0)*VLOOKUP('Données projet'!$B$9,'Paramètres'!$A$1:$I$88,7,0))</f>
        <v>0</v>
      </c>
      <c r="Y180" s="155">
        <f>IF(ISNA(VLOOKUP(A180,'Données projet'!$A$35:$I$55,7,0)),0%,VLOOKUP(A180,'Données projet'!$A$35:$I$55,7,0))</f>
        <v>0</v>
      </c>
      <c r="Z180" s="162">
        <f>EXP(-LN(2)/35)*Z179+(1-EXP(-LN(2)/35))/(LN(2)/35)*V180*W180*VLOOKUP('Données projet'!$B$9,'Paramètres'!$A$1:$I$88,3,0)*0.475*44/12</f>
        <v>0</v>
      </c>
      <c r="AA180" s="162">
        <f>EXP(-LN(2)/25)*AA179+(1-EXP(-LN(2)/25))/(LN(2)/25)*Calculateur!V180*Calculateur!X180*VLOOKUP('Données projet'!$B$9,'Paramètres'!$A$1:$I$88,3,0)*0.475*44/12</f>
        <v>0.07620016372</v>
      </c>
      <c r="AB180" s="162">
        <f>EXP(-LN(2)/2)*AB179+(1-EXP(-LN(2)/2))/(LN(2)/2)*V180*Y180*VLOOKUP('Données projet'!$B$9,'Paramètres'!$A$1:$I$88,3,0)*0.475*44/12</f>
        <v>0</v>
      </c>
      <c r="AC180" s="163">
        <f t="shared" si="4"/>
        <v>0.07620016372</v>
      </c>
      <c r="AD180" s="150">
        <f>('Scénario référence'!$F$8+'Scénario référence'!$F$9+'Scénario référence'!$B$17+'Scénario référence'!$B$9+'Scénario référence'!$B$10)*70+IF((45+25*(1-EXP(-0.0175*A180)))&lt;70,'Scénario référence'!$B$16*(45+25*(1-EXP(-0.0175*A180))),70*'Scénario référence'!$B$16)+IF((32+38*(1-EXP(-0.0175*A180)))&lt;70,'Scénario référence'!$B$18*(32+38*(1-EXP(-0.0175*A180))),70*'Scénario référence'!$B$18)</f>
        <v>70</v>
      </c>
      <c r="AE180" s="150">
        <f>IF(A180&gt;30,10,('Scénario référence'!$B$16+'Scénario référence'!$B$17+'Scénario référence'!$B$18+'Scénario référence'!$B$9+'Scénario référence'!$B$10)*A180*10/30+('Scénario référence'!$F$8+'Scénario référence'!$F$9)*10)</f>
        <v>10</v>
      </c>
      <c r="AF180" s="151" t="str">
        <f>VLOOKUP(A180,'Données projet'!$A$61:$I$81,2,0)</f>
        <v>#N/A</v>
      </c>
      <c r="AG180" s="151" t="str">
        <f>VLOOKUP(A180,'Données projet'!$A$61:$I$81,9,0)</f>
        <v>#N/A</v>
      </c>
      <c r="AH180" s="151" t="str">
        <f t="array" ref="AH180">INDEX(AG:AG,MIN(IF(ISNUMBER(AG180:AG376),ROW(AG180:AG376),"")))</f>
        <v/>
      </c>
      <c r="AI180" s="150">
        <f>IF('Données projet'!$A$62&gt;35,AI179+AH180-AQ179,IF(A180&lt;'Données projet'!$A$62,$AF$205^A180,IF(A180='Données projet'!$A$62,'Données projet'!$B$62,AI179+AH180-AQ179)))</f>
        <v>369</v>
      </c>
      <c r="AJ180" s="150">
        <f>AI180*VLOOKUP('Données projet'!$B$10,'Paramètres'!$A$1:$I$88,3,0)*VLOOKUP('Données projet'!$B$10,'Paramètres'!$A$1:$I$88,5,0)</f>
        <v>293.5764</v>
      </c>
      <c r="AK180" s="150">
        <f t="shared" si="36"/>
        <v>69.82813851</v>
      </c>
      <c r="AL180" s="161">
        <f t="shared" si="5"/>
        <v>632.9295712</v>
      </c>
      <c r="AM180" s="153">
        <f t="shared" si="6"/>
        <v>926.2629046</v>
      </c>
      <c r="AN180" s="153">
        <f>AVERAGE(OFFSET($AM$3,0,0,'Données projet'!$E$10+1,1))-AVERAGE(OFFSET($H$3,0,0,'Données projet'!$E$10+1,1))</f>
        <v>405.6113614</v>
      </c>
      <c r="AO180" s="153">
        <f t="shared" si="37"/>
        <v>393.0787141</v>
      </c>
      <c r="AP180" s="154">
        <f>IF(ISNA(VLOOKUP(A180,'Données projet'!$A$61:$I$81,3,0)),0,VLOOKUP(A180,'Données projet'!$A$61:$I$81,3,0))</f>
        <v>0</v>
      </c>
      <c r="AQ180" s="154">
        <f>IF(ISNA(VLOOKUP(A180,'Données projet'!$A$61:$I$81,4,0)),0,VLOOKUP(A180,'Données projet'!$A$61:$I$81,4,0))</f>
        <v>0</v>
      </c>
      <c r="AR180" s="155">
        <f>IF(ISNA(VLOOKUP(A180,'Données projet'!$A$61:$I$81,5,0)),0%,VLOOKUP(A180,'Données projet'!$A$61:$I$81,5,0)*VLOOKUP('Données projet'!$B$10,'Paramètres'!$A$1:$I$88,7,0))</f>
        <v>0</v>
      </c>
      <c r="AS180" s="155">
        <f>IF(ISNA(VLOOKUP(A180,'Données projet'!$A$61:$I$81,6,0)),0%,VLOOKUP(A180,'Données projet'!$A$61:$I$81,6,0)*VLOOKUP('Données projet'!$B$10,'Paramètres'!$A$1:$I$88,7,0))</f>
        <v>0</v>
      </c>
      <c r="AT180" s="155">
        <f>IF(ISNA(VLOOKUP(A180,'Données projet'!$A$61:$I$81,7,0)),0%,VLOOKUP(A180,'Données projet'!$A$61:$I$81,7,0))</f>
        <v>0</v>
      </c>
      <c r="AU180" s="162">
        <f>EXP(-LN(2)/35)*AU179+(1-EXP(-LN(2)/35))/(LN(2)/35)*AQ180*AR180*VLOOKUP('Données projet'!$B$10,'Paramètres'!$A$1:$I$88,3,0)*0.475*44/12</f>
        <v>0</v>
      </c>
      <c r="AV180" s="162">
        <f>EXP(-LN(2)/25)*AV179+(1-EXP(-LN(2)/25))/(LN(2)/25)*Calculateur!AQ180*Calculateur!AS180*VLOOKUP('Données projet'!$B$10,'Paramètres'!$A$1:$I$88,3,0)*0.475*44/12</f>
        <v>0.3096968362</v>
      </c>
      <c r="AW180" s="162">
        <f>EXP(-LN(2)/2)*AW179+(1-EXP(-LN(2)/2))/(LN(2)/2)*AQ180*AT180*VLOOKUP('Données projet'!$B$10,'Paramètres'!$A$1:$I$88,3,0)*0.475*44/12</f>
        <v>0</v>
      </c>
      <c r="AX180" s="162">
        <f t="shared" si="7"/>
        <v>0.3096968362</v>
      </c>
      <c r="AY180" s="157">
        <f>('Scénario référence'!$F$8+'Scénario référence'!$F$9+'Scénario référence'!$B$17+'Scénario référence'!$B$9+'Scénario référence'!$B$10)*70+IF((45+25*(1-EXP(-0.0175*A180)))&lt;70,'Scénario référence'!$B$16*(45+25*(1-EXP(-0.0175*A180))),70*'Scénario référence'!$B$16)+IF((32+38*(1-EXP(-0.0175*A180)))&lt;70,'Scénario référence'!$B$18*(32+38*(1-EXP(-0.0175*A180))),70*'Scénario référence'!$B$18)</f>
        <v>70</v>
      </c>
      <c r="AZ180" s="151">
        <f>IF(A180&gt;30,10,('Scénario référence'!$B$16+'Scénario référence'!$B$17+'Scénario référence'!$B$18+'Scénario référence'!$B$9+'Scénario référence'!$B$10)*A180*10/30+('Scénario référence'!$F$8+'Scénario référence'!$F$9)*10)</f>
        <v>10</v>
      </c>
      <c r="BA180" s="151" t="str">
        <f>VLOOKUP(A180,'Données projet'!$A$87:$I$107,2,0)</f>
        <v>#N/A</v>
      </c>
      <c r="BB180" s="151" t="str">
        <f>VLOOKUP(A180,'Données projet'!$A$87:$I$107,9,0)</f>
        <v>#N/A</v>
      </c>
      <c r="BC180" s="151" t="str">
        <f t="array" ref="BC180">INDEX(BB:BB,MIN(IF(ISNUMBER(BB180:BB376),ROW(BB180:BB376),"")))</f>
        <v/>
      </c>
      <c r="BD180" s="150">
        <f>IF('Données projet'!$A$88&gt;35,BD179+BC180-BL179,IF(A180&lt;'Données projet'!$A$88,$BA$205^A180,IF(A180='Données projet'!$A$88,'Données projet'!$B$88,BD179+BC180-BL179)))</f>
        <v>0</v>
      </c>
      <c r="BE180" s="150">
        <f>BD180*VLOOKUP('Données projet'!$B$11,'Paramètres'!$A$1:$I$88,3,0)*VLOOKUP('Données projet'!$B$11,'Paramètres'!$A$1:$I$88,5,0)</f>
        <v>0</v>
      </c>
      <c r="BF180" s="150" t="str">
        <f t="shared" si="38"/>
        <v>#NUM!</v>
      </c>
      <c r="BG180" s="161" t="str">
        <f t="shared" si="8"/>
        <v>#NUM!</v>
      </c>
      <c r="BH180" s="153" t="str">
        <f t="shared" si="9"/>
        <v>#NUM!</v>
      </c>
      <c r="BI180" s="153">
        <f>AVERAGE(OFFSET($BH$3,0,0,'Données projet'!$E$11+1,1))-AVERAGE(OFFSET($H$3,0,0,'Données projet'!$E$11+1,1))</f>
        <v>0</v>
      </c>
      <c r="BJ180" s="153">
        <f t="shared" si="39"/>
        <v>0</v>
      </c>
      <c r="BK180" s="154">
        <f>IF(ISNA(VLOOKUP(A180,'Données projet'!$A$87:$I$107,3,0)),0,VLOOKUP(A180,'Données projet'!$A$87:$I$107,3,0))</f>
        <v>0</v>
      </c>
      <c r="BL180" s="154">
        <f>IF(ISNA(VLOOKUP(A180,'Données projet'!$A$87:$I$107,4,0)),0,VLOOKUP(A180,'Données projet'!$A$87:$I$107,4,0))</f>
        <v>0</v>
      </c>
      <c r="BM180" s="155">
        <f>IF(ISNA(VLOOKUP(A180,'Données projet'!$A$87:$I$107,5,0)),0%,VLOOKUP(A180,'Données projet'!$A$87:$I$107,5,0)*VLOOKUP('Données projet'!$B$11,'Paramètres'!$A$1:$I$88,7,0))</f>
        <v>0</v>
      </c>
      <c r="BN180" s="155">
        <f>IF(ISNA(VLOOKUP(A180,'Données projet'!$A$87:$I$107,6,0)),0%,VLOOKUP(A180,'Données projet'!$A$87:$I$107,6,0)*VLOOKUP('Données projet'!$B$11,'Paramètres'!$A$1:$I$88,7,0))</f>
        <v>0</v>
      </c>
      <c r="BO180" s="155">
        <f>IF(ISNA(VLOOKUP(A180,'Données projet'!$A$87:$I$107,7,0)),0%,VLOOKUP(A180,'Données projet'!$A$87:$I$107,7,0))</f>
        <v>0</v>
      </c>
      <c r="BP180" s="162">
        <f>EXP(-LN(2)/35)*BP179+(1-EXP(-LN(2)/35))/(LN(2)/35)*BL180*BM180*VLOOKUP('Données projet'!$B$11,'Paramètres'!$A$1:$I$88,3,0)*0.475*44/12</f>
        <v>0</v>
      </c>
      <c r="BQ180" s="162">
        <f>EXP(-LN(2)/25)*BQ179+(1-EXP(-LN(2)/25))/(LN(2)/25)*Calculateur!BL180*Calculateur!BN180*VLOOKUP('Données projet'!$B$11,'Paramètres'!$A$1:$I$88,3,0)*0.475*44/12</f>
        <v>0</v>
      </c>
      <c r="BR180" s="162">
        <f>EXP(-LN(2)/2)*BR179+(1-EXP(-LN(2)/2))/(LN(2)/2)*BL180*BO180*VLOOKUP('Données projet'!$B$11,'Paramètres'!$A$1:$I$88,3,0)*0.475*44/12</f>
        <v>0</v>
      </c>
      <c r="BS180" s="163">
        <f t="shared" si="10"/>
        <v>0</v>
      </c>
      <c r="BT180" s="159">
        <f>('Scénario référence'!$F$8+'Scénario référence'!$F$9+'Scénario référence'!$B$17+'Scénario référence'!$B$9+'Scénario référence'!$B$10)*70+IF((45+25*(1-EXP(-0.0175*A180)))&lt;70,'Scénario référence'!$B$16*(45+25*(1-EXP(-0.0175*A180))),70*'Scénario référence'!$B$16)+IF((32+38*(1-EXP(-0.0175*A180)))&lt;70,'Scénario référence'!$B$18*(32+38*(1-EXP(-0.0175*A180))),70*'Scénario référence'!$B$18)</f>
        <v>70</v>
      </c>
      <c r="BU180" s="151">
        <f>IF(A180&gt;30,10,('Scénario référence'!$B$16+'Scénario référence'!$B$17+'Scénario référence'!$B$18+'Scénario référence'!$B$9+'Scénario référence'!$B$10)*A180*10/30+('Scénario référence'!$F$8+'Scénario référence'!$F$9)*10)</f>
        <v>10</v>
      </c>
      <c r="BV180" s="151" t="str">
        <f>VLOOKUP(A180,'Données projet'!$A$113:$I$133,2,0)</f>
        <v>#N/A</v>
      </c>
      <c r="BW180" s="151" t="str">
        <f>VLOOKUP(A180,'Données projet'!$A$113:$I$133,9,0)</f>
        <v>#N/A</v>
      </c>
      <c r="BX180" s="151" t="str">
        <f t="array" ref="BX180">INDEX(BW:BW,MIN(IF(ISNUMBER(BW180:BW376),ROW(BW180:BW376),"")))</f>
        <v/>
      </c>
      <c r="BY180" s="150">
        <f>IF('Données projet'!$A$114&gt;35,BY179+BX180-CG179,IF(A180&lt;'Données projet'!$A$114,$BV$205^A180,IF(A180='Données projet'!$A$114,'Données projet'!$B$114,BY179+BX180-CG179)))</f>
        <v>0</v>
      </c>
      <c r="BZ180" s="150" t="str">
        <f>BY180*VLOOKUP('Données projet'!$B$12,'Paramètres'!$A$1:$I$88,3,0)*VLOOKUP('Données projet'!$B$12,'Paramètres'!$A$1:$I$88,5,0)</f>
        <v>#N/A</v>
      </c>
      <c r="CA180" s="150" t="str">
        <f t="shared" si="40"/>
        <v>#N/A</v>
      </c>
      <c r="CB180" s="161" t="str">
        <f t="shared" si="11"/>
        <v>#N/A</v>
      </c>
      <c r="CC180" s="153" t="str">
        <f t="shared" si="12"/>
        <v>#N/A</v>
      </c>
      <c r="CD180" s="153" t="str">
        <f>AVERAGE(OFFSET($CC$3,0,0,'Données projet'!$E$12+1,1))-AVERAGE(OFFSET($H$3,0,0,'Données projet'!$E$12+1,1))</f>
        <v>#N/A</v>
      </c>
      <c r="CE180" s="153" t="str">
        <f t="shared" si="41"/>
        <v>#N/A</v>
      </c>
      <c r="CF180" s="154">
        <f>IF(ISNA(VLOOKUP(A180,'Données projet'!$A$113:$I$133,3,0)),0,VLOOKUP(A180,'Données projet'!$A$113:$I$133,3,0))</f>
        <v>0</v>
      </c>
      <c r="CG180" s="154">
        <f>IF(ISNA(VLOOKUP(A180,'Données projet'!$A$113:$I$133,4,0)),0,VLOOKUP(A180,'Données projet'!$A$113:$I$133,4,0))</f>
        <v>0</v>
      </c>
      <c r="CH180" s="155">
        <f>IF(ISNA(VLOOKUP(A180,'Données projet'!$A$113:$I$133,5,0)),0%,VLOOKUP(A180,'Données projet'!$A$113:$I$133,5,0)*VLOOKUP('Données projet'!$B$12,'Paramètres'!$A$1:$I$88,7,0))</f>
        <v>0</v>
      </c>
      <c r="CI180" s="155">
        <f>IF(ISNA(VLOOKUP(A180,'Données projet'!$A$113:$I$133,6,0)),0%,VLOOKUP(A180,'Données projet'!$A$113:$I$133,6,0)*VLOOKUP('Données projet'!$B$12,'Paramètres'!$A$1:$I$88,7,0))</f>
        <v>0</v>
      </c>
      <c r="CJ180" s="155">
        <f>IF(ISNA(VLOOKUP(A180,'Données projet'!$A$113:$I$133,7,0)),0%,VLOOKUP(A180,'Données projet'!$A$113:$I$133,7,0))</f>
        <v>0</v>
      </c>
      <c r="CK180" s="162" t="str">
        <f>EXP(-LN(2)/35)*CK179+(1-EXP(-LN(2)/35))/(LN(2)/35)*CG180*CH180*VLOOKUP('Données projet'!$B$12,'Paramètres'!$A$1:$I$88,3,0)*0.475*44/12</f>
        <v>#N/A</v>
      </c>
      <c r="CL180" s="162" t="str">
        <f>EXP(-LN(2)/25)*CL179+(1-EXP(-LN(2)/25))/(LN(2)/25)*Calculateur!CG180*Calculateur!CI180*VLOOKUP('Données projet'!$B$12,'Paramètres'!$A$1:$I$88,3,0)*0.475*44/12</f>
        <v>#N/A</v>
      </c>
      <c r="CM180" s="162" t="str">
        <f>EXP(-LN(2)/2)*CM179+(1-EXP(-LN(2)/2))/(LN(2)/2)*CG180*CJ180*VLOOKUP('Données projet'!$B$12,'Paramètres'!$A$1:$I$88,3,0)*0.475*44/12</f>
        <v>#N/A</v>
      </c>
      <c r="CN180" s="163" t="str">
        <f t="shared" si="13"/>
        <v>#N/A</v>
      </c>
      <c r="CO180" s="159">
        <f>('Scénario référence'!$F$8+'Scénario référence'!$F$9+'Scénario référence'!$B$17+'Scénario référence'!$B$9+'Scénario référence'!$B$10)*70+IF((45+25*(1-EXP(-0.0175*A180)))&lt;70,'Scénario référence'!$B$16*(45+25*(1-EXP(-0.0175*A180))),70*'Scénario référence'!$B$16)+IF((32+38*(1-EXP(-0.0175*A180)))&lt;70,'Scénario référence'!$B$18*(32+38*(1-EXP(-0.0175*A180))),70*'Scénario référence'!$B$18)</f>
        <v>70</v>
      </c>
      <c r="CP180" s="151">
        <f>IF(A180&gt;30,10,('Scénario référence'!$B$16+'Scénario référence'!$B$17+'Scénario référence'!$B$18+'Scénario référence'!$B$9+'Scénario référence'!$B$10)*A180*10/30+('Scénario référence'!$F$8+'Scénario référence'!$F$9)*10)</f>
        <v>10</v>
      </c>
      <c r="CQ180" s="151" t="str">
        <f>VLOOKUP(A180,'Données projet'!$A$139:$I$159,2,0)</f>
        <v>#N/A</v>
      </c>
      <c r="CR180" s="151" t="str">
        <f>VLOOKUP(A180,'Données projet'!$A$139:$I$159,9,0)</f>
        <v>#N/A</v>
      </c>
      <c r="CS180" s="151" t="str">
        <f t="array" ref="CS180">INDEX(CR:CR,MIN(IF(ISNUMBER(CR180:CR376),ROW(CR180:CR376),"")))</f>
        <v/>
      </c>
      <c r="CT180" s="151">
        <f>IF('Données projet'!$A$140&gt;35,CT179+CS180-DB179,IF(A180&lt;'Données projet'!$A$140,$CQ$205^A180,IF(A180='Données projet'!$A$140,'Données projet'!$B$140,CT179+CS180-DB179)))</f>
        <v>0</v>
      </c>
      <c r="CU180" s="158" t="str">
        <f>CT180*VLOOKUP('Données projet'!$B$13,'Paramètres'!$A$1:$I$88,3,0)*VLOOKUP('Données projet'!$B$13,'Paramètres'!$A$1:$I$88,5,0)</f>
        <v>#N/A</v>
      </c>
      <c r="CV180" s="150" t="str">
        <f t="shared" si="42"/>
        <v>#N/A</v>
      </c>
      <c r="CW180" s="161" t="str">
        <f t="shared" si="14"/>
        <v>#N/A</v>
      </c>
      <c r="CX180" s="153" t="str">
        <f t="shared" si="15"/>
        <v>#N/A</v>
      </c>
      <c r="CY180" s="153" t="str">
        <f>AVERAGE(OFFSET($CX$3,0,0,'Données projet'!$E$13+1,1))-AVERAGE(OFFSET($H$3,0,0,'Données projet'!$E$13+1,1))</f>
        <v>#N/A</v>
      </c>
      <c r="CZ180" s="153" t="str">
        <f t="shared" si="43"/>
        <v>#N/A</v>
      </c>
      <c r="DA180" s="154">
        <f>IF(ISNA(VLOOKUP(A180,'Données projet'!$A$139:$I$159,3,0)),0,VLOOKUP(A180,'Données projet'!$A$139:$I$159,3,0))</f>
        <v>0</v>
      </c>
      <c r="DB180" s="154">
        <f>IF(ISNA(VLOOKUP(A180,'Données projet'!$A$139:$I$159,4,0)),0,VLOOKUP(A180,'Données projet'!$A$139:$I$159,4,0))</f>
        <v>0</v>
      </c>
      <c r="DC180" s="155">
        <f>IF(ISNA(VLOOKUP(A180,'Données projet'!$A$139:$I$159,5,0)),0%,VLOOKUP(A180,'Données projet'!$A$139:$I$159,5,0)*VLOOKUP('Données projet'!$B$13,'Paramètres'!$A$1:$I$88,7,0))</f>
        <v>0</v>
      </c>
      <c r="DD180" s="155">
        <f>IF(ISNA(VLOOKUP(A180,'Données projet'!$A$139:$I$159,6,0)),0%,VLOOKUP(A180,'Données projet'!$A$139:$I$159,6,0)*VLOOKUP('Données projet'!$B$13,'Paramètres'!$A$1:$I$88,7,0))</f>
        <v>0</v>
      </c>
      <c r="DE180" s="155">
        <f>IF(ISNA(VLOOKUP(A180,'Données projet'!$A$139:$I$159,7,0)),0%,VLOOKUP(A180,'Données projet'!$A$139:$I$159,7,0))</f>
        <v>0</v>
      </c>
      <c r="DF180" s="162" t="str">
        <f>EXP(-LN(2)/35)*DF179+(1-EXP(-LN(2)/35))/(LN(2)/35)*DB180*DC180*VLOOKUP('Données projet'!$B$13,'Paramètres'!$A$1:$I$88,3,0)*0.475*44/12</f>
        <v>#N/A</v>
      </c>
      <c r="DG180" s="162" t="str">
        <f>EXP(-LN(2)/25)*DG179+(1-EXP(-LN(2)/25))/(LN(2)/25)*Calculateur!DB180*Calculateur!DD180*VLOOKUP('Données projet'!$B$13,'Paramètres'!$A$1:$I$88,3,0)*0.475*44/12</f>
        <v>#N/A</v>
      </c>
      <c r="DH180" s="162" t="str">
        <f>EXP(-LN(2)/2)*DH179+(1-EXP(-LN(2)/2))/(LN(2)/2)*DB180*DE180*VLOOKUP('Données projet'!$B$13,'Paramètres'!$A$1:$I$88,3,0)*0.475*44/12</f>
        <v>#N/A</v>
      </c>
      <c r="DI180" s="163" t="str">
        <f t="shared" si="16"/>
        <v>#N/A</v>
      </c>
      <c r="DJ180" s="159">
        <f>('Scénario référence'!$F$8+'Scénario référence'!$F$9+'Scénario référence'!$B$17+'Scénario référence'!$B$9+'Scénario référence'!$B$10)*70+IF((45+25*(1-EXP(-0.0175*A180)))&lt;70,'Scénario référence'!$B$16*(45+25*(1-EXP(-0.0175*A180))),70*'Scénario référence'!$B$16)+IF((32+38*(1-EXP(-0.0175*A180)))&lt;70,'Scénario référence'!$B$18*(32+38*(1-EXP(-0.0175*A180))),70*'Scénario référence'!$B$18)</f>
        <v>70</v>
      </c>
      <c r="DK180" s="151">
        <f>IF(A180&gt;30,10,('Scénario référence'!$B$16+'Scénario référence'!$B$17+'Scénario référence'!$B$18+'Scénario référence'!$B$9+'Scénario référence'!$B$10)*A180*10/30+('Scénario référence'!$F$8+'Scénario référence'!$F$9)*10)</f>
        <v>10</v>
      </c>
      <c r="DL180" s="151" t="str">
        <f>VLOOKUP(A180,'Données projet'!$A$165:$I$185,2,0)</f>
        <v>#N/A</v>
      </c>
      <c r="DM180" s="151" t="str">
        <f>VLOOKUP(A180,'Données projet'!$A$165:$I$185,9,0)</f>
        <v>#N/A</v>
      </c>
      <c r="DN180" s="151" t="str">
        <f t="array" ref="DN180">INDEX(DM:DM,MIN(IF(ISNUMBER(DM180:DM376),ROW(DM180:DM376),"")))</f>
        <v/>
      </c>
      <c r="DO180" s="151">
        <f>IF('Données projet'!$A$166&gt;35,DO179+DN180-DW179,IF(A180&lt;'Données projet'!$A$166,$DL$205^A180,IF(A180='Données projet'!$A$166,'Données projet'!$B$166,DO179+DN180-DW179)))</f>
        <v>0</v>
      </c>
      <c r="DP180" s="158" t="str">
        <f>DO180*VLOOKUP('Données projet'!$B$14,'Paramètres'!$A$1:$I$88,3,0)*VLOOKUP('Données projet'!$B$14,'Paramètres'!$A$1:$I$88,5,0)</f>
        <v>#N/A</v>
      </c>
      <c r="DQ180" s="150" t="str">
        <f t="shared" si="44"/>
        <v>#N/A</v>
      </c>
      <c r="DR180" s="161" t="str">
        <f t="shared" si="17"/>
        <v>#N/A</v>
      </c>
      <c r="DS180" s="153" t="str">
        <f t="shared" si="18"/>
        <v>#N/A</v>
      </c>
      <c r="DT180" s="153" t="str">
        <f>AVERAGE(OFFSET($DS$3,0,0,'Données projet'!$E$14+1,1))-AVERAGE(OFFSET($H$3,0,0,'Données projet'!$E$14+1,1))</f>
        <v>#N/A</v>
      </c>
      <c r="DU180" s="153" t="str">
        <f t="shared" si="45"/>
        <v>#N/A</v>
      </c>
      <c r="DV180" s="154">
        <f>IF(ISNA(VLOOKUP(A180,'Données projet'!$A$165:$I$185,3,0)),0,VLOOKUP(A180,'Données projet'!$A$165:$I$185,3,0))</f>
        <v>0</v>
      </c>
      <c r="DW180" s="154">
        <f>IF(ISNA(VLOOKUP(A180,'Données projet'!$A$165:$I$185,4,0)),0,VLOOKUP(A180,'Données projet'!$A$165:$I$185,4,0))</f>
        <v>0</v>
      </c>
      <c r="DX180" s="155">
        <f>IF(ISNA(VLOOKUP(A180,'Données projet'!$A$165:$I$185,5,0)),0%,VLOOKUP(A180,'Données projet'!$A$165:$I$185,5,0)*VLOOKUP('Données projet'!$B$14,'Paramètres'!$A$1:$I$88,7,0))</f>
        <v>0</v>
      </c>
      <c r="DY180" s="155">
        <f>IF(ISNA(VLOOKUP(A180,'Données projet'!$A$165:$I$185,6,0)),0%,VLOOKUP(A180,'Données projet'!$A$165:$I$185,6,0)*VLOOKUP('Données projet'!$B$14,'Paramètres'!$A$1:$I$88,7,0))</f>
        <v>0</v>
      </c>
      <c r="DZ180" s="155">
        <f>IF(ISNA(VLOOKUP(A180,'Données projet'!$A$165:$I$185,7,0)),0%,VLOOKUP(A180,'Données projet'!$A$165:$I$185,7,0))</f>
        <v>0</v>
      </c>
      <c r="EA180" s="162" t="str">
        <f>EXP(-LN(2)/35)*EA179+(1-EXP(-LN(2)/35))/(LN(2)/35)*DW180*DX180*VLOOKUP('Données projet'!$B$14,'Paramètres'!$A$1:$I$88,3,0)*0.475*44/12</f>
        <v>#N/A</v>
      </c>
      <c r="EB180" s="162" t="str">
        <f>EXP(-LN(2)/25)*EB179+(1-EXP(-LN(2)/25))/(LN(2)/25)*Calculateur!DW180*Calculateur!DY180*VLOOKUP('Données projet'!$B$14,'Paramètres'!$A$1:$I$88,3,0)*0.475*44/12</f>
        <v>#N/A</v>
      </c>
      <c r="EC180" s="162" t="str">
        <f>EXP(-LN(2)/2)*EC179+(1-EXP(-LN(2)/2))/(LN(2)/2)*DW180*DZ180*VLOOKUP('Données projet'!$B$14,'Paramètres'!$A$1:$I$88,3,0)*0.475*44/12</f>
        <v>#N/A</v>
      </c>
      <c r="ED180" s="163" t="str">
        <f t="shared" si="19"/>
        <v>#N/A</v>
      </c>
      <c r="EE180" s="159">
        <f>('Scénario référence'!$F$8+'Scénario référence'!$F$9+'Scénario référence'!$B$17+'Scénario référence'!$B$9+'Scénario référence'!$B$10)*70+IF((45+25*(1-EXP(-0.0175*A180)))&lt;70,'Scénario référence'!$B$16*(45+25*(1-EXP(-0.0175*A180))),70*'Scénario référence'!$B$16)+IF((32+38*(1-EXP(-0.0175*A180)))&lt;70,'Scénario référence'!$B$18*(32+38*(1-EXP(-0.0175*A180))),70*'Scénario référence'!$B$18)</f>
        <v>70</v>
      </c>
      <c r="EF180" s="151">
        <f>IF(A180&gt;30,10,('Scénario référence'!$B$16+'Scénario référence'!$B$17+'Scénario référence'!$B$18+'Scénario référence'!$B$9+'Scénario référence'!$B$10)*A180*10/30+('Scénario référence'!$F$8+'Scénario référence'!$F$9)*10)</f>
        <v>10</v>
      </c>
      <c r="EG180" s="151" t="str">
        <f>VLOOKUP(A180,'Données projet'!$A$191:$I$211,2,0)</f>
        <v>#N/A</v>
      </c>
      <c r="EH180" s="151" t="str">
        <f>VLOOKUP(A180,'Données projet'!$A$191:$I$211,9,0)</f>
        <v>#N/A</v>
      </c>
      <c r="EI180" s="151" t="str">
        <f t="array" ref="EI180">INDEX(EH:EH,MIN(IF(ISNUMBER(EH180:EH376),ROW(EH180:EH376),"")))</f>
        <v/>
      </c>
      <c r="EJ180" s="151">
        <f>IF('Données projet'!$A$192&gt;35,EJ179+EI180-ER179,IF(A180&lt;'Données projet'!$A$192,$EG$205^A180,IF(A180='Données projet'!$A$192,'Données projet'!$B$192,EJ179+EI180-ER179)))</f>
        <v>0</v>
      </c>
      <c r="EK180" s="158" t="str">
        <f>EJ180*VLOOKUP('Données projet'!$B$15,'Paramètres'!$A$1:$I$88,3,0)*VLOOKUP('Données projet'!$B$15,'Paramètres'!$A$1:$I$88,5,0)</f>
        <v>#N/A</v>
      </c>
      <c r="EL180" s="150" t="str">
        <f t="shared" si="46"/>
        <v>#N/A</v>
      </c>
      <c r="EM180" s="161" t="str">
        <f t="shared" si="20"/>
        <v>#N/A</v>
      </c>
      <c r="EN180" s="153" t="str">
        <f t="shared" si="21"/>
        <v>#N/A</v>
      </c>
      <c r="EO180" s="153" t="str">
        <f>AVERAGE(OFFSET($EN$3,0,0,'Données projet'!$E$15+1,1))-AVERAGE(OFFSET($H$3,0,0,'Données projet'!$E$15+1,1))</f>
        <v>#N/A</v>
      </c>
      <c r="EP180" s="153" t="str">
        <f t="shared" si="47"/>
        <v>#N/A</v>
      </c>
      <c r="EQ180" s="154">
        <f>IF(ISNA(VLOOKUP(A180,'Données projet'!$A$191:$I$211,3,0)),0,VLOOKUP(A180,'Données projet'!$A$191:$I$211,3,0))</f>
        <v>0</v>
      </c>
      <c r="ER180" s="154">
        <f>IF(ISNA(VLOOKUP(A180,'Données projet'!$A$191:$I$211,4,0)),0,VLOOKUP(A180,'Données projet'!$A$191:$I$211,4,0))</f>
        <v>0</v>
      </c>
      <c r="ES180" s="155">
        <f>IF(ISNA(VLOOKUP(A180,'Données projet'!$A$191:$I$211,5,0)),0%,VLOOKUP(A180,'Données projet'!$A$191:$I$211,5,0)*VLOOKUP('Données projet'!$B$15,'Paramètres'!$A$1:$I$88,7,0))</f>
        <v>0</v>
      </c>
      <c r="ET180" s="155">
        <f>IF(ISNA(VLOOKUP(A180,'Données projet'!$A$191:$I$211,6,0)),0%,VLOOKUP(A180,'Données projet'!$A$191:$I$211,6,0)*VLOOKUP('Données projet'!$B$15,'Paramètres'!$A$1:$I$88,7,0))</f>
        <v>0</v>
      </c>
      <c r="EU180" s="155">
        <f>IF(ISNA(VLOOKUP(A180,'Données projet'!$A$191:$I$211,7,0)),0%,VLOOKUP(A180,'Données projet'!$A$191:$I$211,7,0))</f>
        <v>0</v>
      </c>
      <c r="EV180" s="162" t="str">
        <f>EXP(-LN(2)/35)*EV179+(1-EXP(-LN(2)/35))/(LN(2)/35)*ER180*ES180*VLOOKUP('Données projet'!$B$15,'Paramètres'!$A$1:$I$88,3,0)*0.475*44/12</f>
        <v>#N/A</v>
      </c>
      <c r="EW180" s="162" t="str">
        <f>EXP(-LN(2)/25)*EW179+(1-EXP(-LN(2)/25))/(LN(2)/25)*Calculateur!ER180*Calculateur!ET180*VLOOKUP('Données projet'!$B$15,'Paramètres'!$A$1:$I$88,3,0)*0.475*44/12</f>
        <v>#N/A</v>
      </c>
      <c r="EX180" s="162" t="str">
        <f>EXP(-LN(2)/2)*EX179+(1-EXP(-LN(2)/2))/(LN(2)/2)*ER180*EU180*VLOOKUP('Données projet'!$B$15,'Paramètres'!$A$1:$I$88,3,0)*0.475*44/12</f>
        <v>#N/A</v>
      </c>
      <c r="EY180" s="163" t="str">
        <f t="shared" si="22"/>
        <v>#N/A</v>
      </c>
      <c r="EZ180" s="159">
        <f>('Scénario référence'!$F$8+'Scénario référence'!$F$9+'Scénario référence'!$B$17+'Scénario référence'!$B$9+'Scénario référence'!$B$10)*70+IF((45+25*(1-EXP(-0.0175*A180)))&lt;70,'Scénario référence'!$B$16*(45+25*(1-EXP(-0.0175*A180))),70*'Scénario référence'!$B$16)+IF((32+38*(1-EXP(-0.0175*A180)))&lt;70,'Scénario référence'!$B$18*(32+38*(1-EXP(-0.0175*A180))),70*'Scénario référence'!$B$18)</f>
        <v>70</v>
      </c>
      <c r="FA180" s="151">
        <f>IF(A180&gt;30,10,('Scénario référence'!$B$16+'Scénario référence'!$B$17+'Scénario référence'!$B$18+'Scénario référence'!$B$9+'Scénario référence'!$B$10)*A180*10/30+('Scénario référence'!$F$8+'Scénario référence'!$F$9)*10)</f>
        <v>10</v>
      </c>
      <c r="FB180" s="151" t="str">
        <f>VLOOKUP(A180,'Données projet'!$A$217:$I$237,2,0)</f>
        <v>#N/A</v>
      </c>
      <c r="FC180" s="151" t="str">
        <f>VLOOKUP(A180,'Données projet'!$A$217:$I$237,9,0)</f>
        <v>#N/A</v>
      </c>
      <c r="FD180" s="151" t="str">
        <f t="array" ref="FD180">INDEX(FC:FC,MIN(IF(ISNUMBER(FC180:FC376),ROW(FC180:FC376),"")))</f>
        <v/>
      </c>
      <c r="FE180" s="151">
        <f>IF('Données projet'!$A$218&gt;35,FE179+FD180-FM179,IF(A180&lt;'Données projet'!$A$218,$FB$205^A180,IF(A180='Données projet'!$A$218,'Données projet'!$B$218,FE179+FD180-FM179)))</f>
        <v>0</v>
      </c>
      <c r="FF180" s="158" t="str">
        <f>FE180*VLOOKUP('Données projet'!$B$16,'Paramètres'!$A$1:$I$88,3,0)*VLOOKUP('Données projet'!$B$16,'Paramètres'!$A$1:$I$88,5,0)</f>
        <v>#N/A</v>
      </c>
      <c r="FG180" s="150" t="str">
        <f t="shared" si="48"/>
        <v>#N/A</v>
      </c>
      <c r="FH180" s="161" t="str">
        <f t="shared" si="23"/>
        <v>#N/A</v>
      </c>
      <c r="FI180" s="153" t="str">
        <f t="shared" si="24"/>
        <v>#N/A</v>
      </c>
      <c r="FJ180" s="153" t="str">
        <f>AVERAGE(OFFSET($FI$3,0,0,'Données projet'!$E$16+1,1))-AVERAGE(OFFSET($H$3,0,0,'Données projet'!$E$16+1,1))</f>
        <v>#N/A</v>
      </c>
      <c r="FK180" s="153" t="str">
        <f t="shared" si="49"/>
        <v>#N/A</v>
      </c>
      <c r="FL180" s="154">
        <f>IF(ISNA(VLOOKUP(A180,'Données projet'!$A$217:$I$237,3,0)),0,VLOOKUP(A180,'Données projet'!$A$217:$I$237,3,0))</f>
        <v>0</v>
      </c>
      <c r="FM180" s="154">
        <f>IF(ISNA(VLOOKUP(A180,'Données projet'!$A$217:$I$237,4,0)),0,VLOOKUP(A180,'Données projet'!$A$217:$I$237,4,0))</f>
        <v>0</v>
      </c>
      <c r="FN180" s="155">
        <f>IF(ISNA(VLOOKUP(A180,'Données projet'!$A$217:$I$237,5,0)),0%,VLOOKUP(A180,'Données projet'!$A$217:$I$237,5,0)*VLOOKUP('Données projet'!$B$16,'Paramètres'!$A$1:$I$88,7,0))</f>
        <v>0</v>
      </c>
      <c r="FO180" s="155">
        <f>IF(ISNA(VLOOKUP(A180,'Données projet'!$A$217:$I$237,6,0)),0%,VLOOKUP(A180,'Données projet'!$A$217:$I$237,6,0)*VLOOKUP('Données projet'!$B$16,'Paramètres'!$A$1:$I$88,7,0))</f>
        <v>0</v>
      </c>
      <c r="FP180" s="155">
        <f>IF(ISNA(VLOOKUP(A180,'Données projet'!$A$217:$I$237,7,0)),0%,VLOOKUP(A180,'Données projet'!$A$217:$I$237,7,0))</f>
        <v>0</v>
      </c>
      <c r="FQ180" s="162" t="str">
        <f>EXP(-LN(2)/35)*FQ179+(1-EXP(-LN(2)/35))/(LN(2)/35)*FM180*FN180*VLOOKUP('Données projet'!$B$16,'Paramètres'!$A$1:$I$88,3,0)*0.475*44/12</f>
        <v>#N/A</v>
      </c>
      <c r="FR180" s="162" t="str">
        <f>EXP(-LN(2)/25)*FR179+(1-EXP(-LN(2)/25))/(LN(2)/25)*Calculateur!FM180*Calculateur!FO180*VLOOKUP('Données projet'!$B$16,'Paramètres'!$A$1:$I$88,3,0)*0.475*44/12</f>
        <v>#N/A</v>
      </c>
      <c r="FS180" s="162" t="str">
        <f>EXP(-LN(2)/2)*FS179+(1-EXP(-LN(2)/2))/(LN(2)/2)*FM180*FP180*VLOOKUP('Données projet'!$B$16,'Paramètres'!$A$1:$I$88,3,0)*0.475*44/12</f>
        <v>#N/A</v>
      </c>
      <c r="FT180" s="163" t="str">
        <f t="shared" si="25"/>
        <v>#N/A</v>
      </c>
      <c r="FU180" s="159">
        <f>('Scénario référence'!$F$8+'Scénario référence'!$F$9+'Scénario référence'!$B$17+'Scénario référence'!$B$9+'Scénario référence'!$B$10)*70+IF((45+25*(1-EXP(-0.0175*A180)))&lt;70,'Scénario référence'!$B$16*(45+25*(1-EXP(-0.0175*A180))),70*'Scénario référence'!$B$16)+IF((32+38*(1-EXP(-0.0175*A180)))&lt;70,'Scénario référence'!$B$18*(32+38*(1-EXP(-0.0175*A180))),70*'Scénario référence'!$B$18)</f>
        <v>70</v>
      </c>
      <c r="FV180" s="151">
        <f>IF(A180&gt;30,10,('Scénario référence'!$B$16+'Scénario référence'!$B$17+'Scénario référence'!$B$18+'Scénario référence'!$B$9+'Scénario référence'!$B$10)*A180*10/30+('Scénario référence'!$F$8+'Scénario référence'!$F$9)*10)</f>
        <v>10</v>
      </c>
      <c r="FW180" s="151" t="str">
        <f>VLOOKUP(A180,'Données projet'!$A$243:$I$263,2,0)</f>
        <v>#N/A</v>
      </c>
      <c r="FX180" s="151" t="str">
        <f>VLOOKUP(A180,'Données projet'!$A$243:$I$263,9,0)</f>
        <v>#N/A</v>
      </c>
      <c r="FY180" s="151" t="str">
        <f t="array" ref="FY180">INDEX(FX:FX,MIN(IF(ISNUMBER(FX180:FX376),ROW(FX180:FX376),"")))</f>
        <v/>
      </c>
      <c r="FZ180" s="151">
        <f>IF('Données projet'!$A$244&gt;35,FZ179+FY180-GH179,IF(A180&lt;'Données projet'!$A$244,$FW$205^A180,IF(A180='Données projet'!$A$244,'Données projet'!$B$244,FZ179+FY180-GH179)))</f>
        <v>0</v>
      </c>
      <c r="GA180" s="158" t="str">
        <f>FZ180*VLOOKUP('Données projet'!$B$17,'Paramètres'!$A$1:$I$88,3,0)*VLOOKUP('Données projet'!$B$17,'Paramètres'!$A$1:$I$88,5,0)</f>
        <v>#N/A</v>
      </c>
      <c r="GB180" s="150" t="str">
        <f t="shared" si="50"/>
        <v>#N/A</v>
      </c>
      <c r="GC180" s="161" t="str">
        <f t="shared" si="26"/>
        <v>#N/A</v>
      </c>
      <c r="GD180" s="153" t="str">
        <f t="shared" si="27"/>
        <v>#N/A</v>
      </c>
      <c r="GE180" s="153" t="str">
        <f>AVERAGE(OFFSET($GD$3,0,0,'Données projet'!$E$17+1,1))-AVERAGE(OFFSET($H$3,0,0,'Données projet'!$E$17+1,1))</f>
        <v>#N/A</v>
      </c>
      <c r="GF180" s="153" t="str">
        <f t="shared" si="51"/>
        <v>#N/A</v>
      </c>
      <c r="GG180" s="154">
        <f>IF(ISNA(VLOOKUP(A180,'Données projet'!$A$243:$I$263,3,0)),0,VLOOKUP(A180,'Données projet'!$A$243:$I$263,3,0))</f>
        <v>0</v>
      </c>
      <c r="GH180" s="154">
        <f>IF(ISNA(VLOOKUP(A180,'Données projet'!$A$243:$I$263,4,0)),0,VLOOKUP(A180,'Données projet'!$A$243:$I$263,4,0))</f>
        <v>0</v>
      </c>
      <c r="GI180" s="155">
        <f>IF(ISNA(VLOOKUP(A180,'Données projet'!$A$243:$I$263,5,0)),0%,VLOOKUP(A180,'Données projet'!$A$243:$I$263,5,0)*VLOOKUP('Données projet'!$B$17,'Paramètres'!$A$1:$I$88,7,0))</f>
        <v>0</v>
      </c>
      <c r="GJ180" s="155">
        <f>IF(ISNA(VLOOKUP(A180,'Données projet'!$A$243:$I$263,6,0)),0%,VLOOKUP(A180,'Données projet'!$A$243:$I$263,6,0)*VLOOKUP('Données projet'!$B$17,'Paramètres'!$A$1:$I$88,7,0))</f>
        <v>0</v>
      </c>
      <c r="GK180" s="155">
        <f>IF(ISNA(VLOOKUP(A180,'Données projet'!$A$243:$I$263,7,0)),0%,VLOOKUP(A180,'Données projet'!$A$243:$I$263,7,0))</f>
        <v>0</v>
      </c>
      <c r="GL180" s="162" t="str">
        <f>EXP(-LN(2)/35)*GL179+(1-EXP(-LN(2)/35))/(LN(2)/35)*GH180*GI180*VLOOKUP('Données projet'!$B$17,'Paramètres'!$A$1:$I$88,3,0)*0.475*44/12</f>
        <v>#N/A</v>
      </c>
      <c r="GM180" s="162" t="str">
        <f>EXP(-LN(2)/25)*GM179+(1-EXP(-LN(2)/25))/(LN(2)/25)*Calculateur!GH180*Calculateur!GJ180*VLOOKUP('Données projet'!$B$17,'Paramètres'!$A$1:$I$88,3,0)*0.475*44/12</f>
        <v>#N/A</v>
      </c>
      <c r="GN180" s="162" t="str">
        <f>EXP(-LN(2)/2)*GN179+(1-EXP(-LN(2)/2))/(LN(2)/2)*GH180*GK180*VLOOKUP('Données projet'!$B$17,'Paramètres'!$A$1:$I$88,3,0)*0.475*44/12</f>
        <v>#N/A</v>
      </c>
      <c r="GO180" s="162" t="str">
        <f t="shared" si="28"/>
        <v>#N/A</v>
      </c>
      <c r="GP180" s="159">
        <f>('Scénario référence'!$F$8+'Scénario référence'!$F$9+'Scénario référence'!$B$17+'Scénario référence'!$B$9+'Scénario référence'!$B$10)*70+IF((45+25*(1-EXP(-0.0175*A180)))&lt;70,'Scénario référence'!$B$16*(45+25*(1-EXP(-0.0175*A180))),70*'Scénario référence'!$B$16)+IF((32+38*(1-EXP(-0.0175*A180)))&lt;70,'Scénario référence'!$B$18*(32+38*(1-EXP(-0.0175*A180))),70*'Scénario référence'!$B$18)</f>
        <v>70</v>
      </c>
      <c r="GQ180" s="151">
        <f>IF(A180&gt;30,10,('Scénario référence'!$B$16+'Scénario référence'!$B$17+'Scénario référence'!$B$18+'Scénario référence'!$B$9+'Scénario référence'!$B$10)*A180*10/30+('Scénario référence'!$F$8+'Scénario référence'!$F$9)*10)</f>
        <v>10</v>
      </c>
      <c r="GR180" s="151" t="str">
        <f>VLOOKUP(A180,'Données projet'!$A$269:$I$289,2,0)</f>
        <v>#N/A</v>
      </c>
      <c r="GS180" s="151" t="str">
        <f>VLOOKUP(A180,'Données projet'!$A$269:$I$289,9,0)</f>
        <v>#N/A</v>
      </c>
      <c r="GT180" s="151" t="str">
        <f t="array" ref="GT180">INDEX(GS:GS,MIN(IF(ISNUMBER(GS180:GS376),ROW(GS180:GS376),"")))</f>
        <v/>
      </c>
      <c r="GU180" s="151">
        <f>IF('Données projet'!$A$270&gt;35,GU179+GT180-HC179,IF(A180&lt;'Données projet'!$A$270,$GR$205^A180,IF(A180='Données projet'!$A$270,'Données projet'!$B$270,GU179+GT180-HC179)))</f>
        <v>0</v>
      </c>
      <c r="GV180" s="158" t="str">
        <f>GU180*VLOOKUP('Données projet'!$B$18,'Paramètres'!$A$1:$I$88,3,0)*VLOOKUP('Données projet'!$B$18,'Paramètres'!$A$1:$I$88,5,0)</f>
        <v>#N/A</v>
      </c>
      <c r="GW180" s="150" t="str">
        <f t="shared" si="52"/>
        <v>#N/A</v>
      </c>
      <c r="GX180" s="161" t="str">
        <f t="shared" si="29"/>
        <v>#N/A</v>
      </c>
      <c r="GY180" s="153" t="str">
        <f t="shared" si="30"/>
        <v>#N/A</v>
      </c>
      <c r="GZ180" s="153" t="str">
        <f>AVERAGE(OFFSET($GY$3,0,0,'Données projet'!$E$18+1,1))-AVERAGE(OFFSET($H$3,0,0,'Données projet'!$E$18+1,1))</f>
        <v>#N/A</v>
      </c>
      <c r="HA180" s="153" t="str">
        <f t="shared" si="53"/>
        <v>#N/A</v>
      </c>
      <c r="HB180" s="154">
        <f>IF(ISNA(VLOOKUP(A180,'Données projet'!$A$269:$I$289,3,0)),0,VLOOKUP(A180,'Données projet'!$A$269:$I$289,3,0))</f>
        <v>0</v>
      </c>
      <c r="HC180" s="154">
        <f>IF(ISNA(VLOOKUP(A180,'Données projet'!$A$269:$I$289,4,0)),0,VLOOKUP(A180,'Données projet'!$A$269:$I$289,4,0))</f>
        <v>0</v>
      </c>
      <c r="HD180" s="155">
        <f>IF(ISNA(VLOOKUP(A180,'Données projet'!$A$269:$I$289,5,0)),0%,VLOOKUP(A180,'Données projet'!$A$269:$I$289,5,0)*VLOOKUP('Données projet'!$B$18,'Paramètres'!$A$1:$I$88,7,0))</f>
        <v>0</v>
      </c>
      <c r="HE180" s="155">
        <f>IF(ISNA(VLOOKUP(A180,'Données projet'!$A$269:$I$289,6,0)),0%,VLOOKUP(A180,'Données projet'!$A$269:$I$289,6,0)*VLOOKUP('Données projet'!$B$18,'Paramètres'!$A$1:$I$88,7,0))</f>
        <v>0</v>
      </c>
      <c r="HF180" s="155">
        <f>IF(ISNA(VLOOKUP(A180,'Données projet'!$A$269:$I$289,7,0)),0%,VLOOKUP(A180,'Données projet'!$A$269:$I$289,7,0))</f>
        <v>0</v>
      </c>
      <c r="HG180" s="162" t="str">
        <f>EXP(-LN(2)/35)*HG179+(1-EXP(-LN(2)/35))/(LN(2)/35)*HC180*HD180*VLOOKUP('Données projet'!$B$18,'Paramètres'!$A$1:$I$88,3,0)*0.475*44/12</f>
        <v>#N/A</v>
      </c>
      <c r="HH180" s="162" t="str">
        <f>EXP(-LN(2)/25)*HH179+(1-EXP(-LN(2)/25))/(LN(2)/25)*Calculateur!HC180*Calculateur!HE180*VLOOKUP('Données projet'!$B$18,'Paramètres'!$A$1:$I$88,3,0)*0.475*44/12</f>
        <v>#N/A</v>
      </c>
      <c r="HI180" s="162" t="str">
        <f>EXP(-LN(2)/2)*HI179+(1-EXP(-LN(2)/2))/(LN(2)/2)*HC180*HF180*VLOOKUP('Données projet'!$B$18,'Paramètres'!$A$1:$I$88,3,0)*0.475*44/12</f>
        <v>#N/A</v>
      </c>
      <c r="HJ180" s="163" t="str">
        <f t="shared" si="31"/>
        <v>#N/A</v>
      </c>
    </row>
    <row r="181" ht="15.75" customHeight="1">
      <c r="A181" s="145">
        <f t="shared" si="32"/>
        <v>178</v>
      </c>
      <c r="B181" s="146">
        <f>'Scénario référence'!$B$16*5+'Scénario référence'!$B$17*0+'Scénario référence'!$B$18*5</f>
        <v>0</v>
      </c>
      <c r="C181" s="160">
        <f>Calculateur!C180+'Scénario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81" s="147">
        <f t="shared" si="33"/>
        <v>0</v>
      </c>
      <c r="E181" s="147">
        <f>'Scénario référence'!$B$16*45+('Scénario référence'!$B$17+'Scénario référence'!$F$8+'Scénario référence'!$F$9+'Scénario référence'!$B$10+'Scénario référence'!$B$9)*70+'Scénario référence'!$B$18*32</f>
        <v>70</v>
      </c>
      <c r="F181" s="147">
        <f>IF(OR('Scénario référence'!$F$8&gt;0,'Scénario référence'!$F$9&gt;0),('Scénario référence'!$F$8+'Scénario référence'!$F$9)*10,0)</f>
        <v>0</v>
      </c>
      <c r="G181" s="147">
        <f>'Scénario référence'!$B$8*B181*44/12+'Scénario référence'!$B$9*(C181+D181)/0.475*44/12+'Scénario référence'!$B$10*(C181+D181)/0.475*44/12+'Scénario référence'!$F$8*(C181+D181)/0.475*44/12+'Scénario référence'!$F$9*(C181+D181)/0.475*44/12</f>
        <v>0</v>
      </c>
      <c r="H181" s="148">
        <f t="shared" si="1"/>
        <v>256.6666667</v>
      </c>
      <c r="I181" s="149">
        <f>('Scénario référence'!$F$8+'Scénario référence'!$F$9+'Scénario référence'!$B$17+'Scénario référence'!$B$9+'Scénario référence'!$B$10)*70+IF((45+25*(1-EXP(-0.0175*A181)))&lt;70,'Scénario référence'!$B$16*(45+25*(1-EXP(-0.0175*A181))),70*'Scénario référence'!$B$16)+IF((32+38*(1-EXP(-0.0175*A181)))&lt;70,'Scénario référence'!$B$18*(32+38*(1-EXP(-0.0175*A181))),70*'Scénario référence'!$B$18)</f>
        <v>70</v>
      </c>
      <c r="J181" s="150">
        <f>IF(A181&gt;30,10,('Scénario référence'!$B$16+'Scénario référence'!$B$17+'Scénario référence'!$B$18+'Scénario référence'!$B$9+'Scénario référence'!$B$10)*A181*10/30+('Scénario référence'!$F$8+'Scénario référence'!$F$9)*10)</f>
        <v>10</v>
      </c>
      <c r="K181" s="151" t="str">
        <f>VLOOKUP(A181,'Données projet'!$A$35:$I$55,2,0)</f>
        <v>#N/A</v>
      </c>
      <c r="L181" s="151" t="str">
        <f>VLOOKUP(A181,'Données projet'!$A$35:$I$55,9,0)</f>
        <v>#N/A</v>
      </c>
      <c r="M181" s="151" t="str">
        <f t="array" ref="M181">INDEX(L:L,MIN(IF(ISNUMBER(L181:L377),ROW(L181:L377),"")))</f>
        <v/>
      </c>
      <c r="N181" s="150">
        <f>IF('Données projet'!$A$36&gt;35,N180+M181-V180,IF(A181&lt;'Données projet'!$A$36,$K$205^A181,IF(A181='Données projet'!$A$36,'Données projet'!$B$36,N180+M181-V180)))</f>
        <v>307</v>
      </c>
      <c r="O181" s="150">
        <f>N181*VLOOKUP('Données projet'!$B$9,'Paramètres'!$A$1:$I$88,3,0)*VLOOKUP('Données projet'!$B$9,'Paramètres'!$A$1:$I$88,5,0)</f>
        <v>277.7736</v>
      </c>
      <c r="P181" s="150">
        <f t="shared" si="34"/>
        <v>66.49628818</v>
      </c>
      <c r="Q181" s="161">
        <f t="shared" si="2"/>
        <v>599.6033886</v>
      </c>
      <c r="R181" s="153">
        <f t="shared" si="3"/>
        <v>892.9367219</v>
      </c>
      <c r="S181" s="153">
        <f>AVERAGE(OFFSET($R$3,0,0,'Données projet'!$E$9+1,1))-AVERAGE(OFFSET($H$3,0,0,'Données projet'!$E$9+1,1))</f>
        <v>439.1985427</v>
      </c>
      <c r="T181" s="153">
        <f t="shared" si="35"/>
        <v>278.2174123</v>
      </c>
      <c r="U181" s="154">
        <f>IF(ISNA(VLOOKUP(A181,'Données projet'!$A$35:$I$55,3,0)),0,VLOOKUP(A181,'Données projet'!$A$35:$I$55,3,0))</f>
        <v>0</v>
      </c>
      <c r="V181" s="154">
        <f>IF(ISNA(VLOOKUP(A181,'Données projet'!$A$35:$I$55,4,0)),0,VLOOKUP(A181,'Données projet'!$A$35:$I$55,4,0))</f>
        <v>0</v>
      </c>
      <c r="W181" s="155">
        <f>IF(ISNA(VLOOKUP(A181,'Données projet'!$A$35:$I$55,5,0)),0%,VLOOKUP(A181,'Données projet'!$A$35:$I$55,5,0)*VLOOKUP('Données projet'!$B$9,'Paramètres'!$A$1:$I$88,7,0))</f>
        <v>0</v>
      </c>
      <c r="X181" s="155">
        <f>IF(ISNA(VLOOKUP(A181,'Données projet'!$A$35:$I$55,6,0)),0%,VLOOKUP(A181,'Données projet'!$A$35:$I$55,6,0)*VLOOKUP('Données projet'!$B$9,'Paramètres'!$A$1:$I$88,7,0))</f>
        <v>0</v>
      </c>
      <c r="Y181" s="155">
        <f>IF(ISNA(VLOOKUP(A181,'Données projet'!$A$35:$I$55,7,0)),0%,VLOOKUP(A181,'Données projet'!$A$35:$I$55,7,0))</f>
        <v>0</v>
      </c>
      <c r="Z181" s="162">
        <f>EXP(-LN(2)/35)*Z180+(1-EXP(-LN(2)/35))/(LN(2)/35)*V181*W181*VLOOKUP('Données projet'!$B$9,'Paramètres'!$A$1:$I$88,3,0)*0.475*44/12</f>
        <v>0</v>
      </c>
      <c r="AA181" s="162">
        <f>EXP(-LN(2)/25)*AA180+(1-EXP(-LN(2)/25))/(LN(2)/25)*Calculateur!V181*Calculateur!X181*VLOOKUP('Données projet'!$B$9,'Paramètres'!$A$1:$I$88,3,0)*0.475*44/12</f>
        <v>0.07411646624</v>
      </c>
      <c r="AB181" s="162">
        <f>EXP(-LN(2)/2)*AB180+(1-EXP(-LN(2)/2))/(LN(2)/2)*V181*Y181*VLOOKUP('Données projet'!$B$9,'Paramètres'!$A$1:$I$88,3,0)*0.475*44/12</f>
        <v>0</v>
      </c>
      <c r="AC181" s="163">
        <f t="shared" si="4"/>
        <v>0.07411646624</v>
      </c>
      <c r="AD181" s="150">
        <f>('Scénario référence'!$F$8+'Scénario référence'!$F$9+'Scénario référence'!$B$17+'Scénario référence'!$B$9+'Scénario référence'!$B$10)*70+IF((45+25*(1-EXP(-0.0175*A181)))&lt;70,'Scénario référence'!$B$16*(45+25*(1-EXP(-0.0175*A181))),70*'Scénario référence'!$B$16)+IF((32+38*(1-EXP(-0.0175*A181)))&lt;70,'Scénario référence'!$B$18*(32+38*(1-EXP(-0.0175*A181))),70*'Scénario référence'!$B$18)</f>
        <v>70</v>
      </c>
      <c r="AE181" s="150">
        <f>IF(A181&gt;30,10,('Scénario référence'!$B$16+'Scénario référence'!$B$17+'Scénario référence'!$B$18+'Scénario référence'!$B$9+'Scénario référence'!$B$10)*A181*10/30+('Scénario référence'!$F$8+'Scénario référence'!$F$9)*10)</f>
        <v>10</v>
      </c>
      <c r="AF181" s="151" t="str">
        <f>VLOOKUP(A181,'Données projet'!$A$61:$I$81,2,0)</f>
        <v>#N/A</v>
      </c>
      <c r="AG181" s="151" t="str">
        <f>VLOOKUP(A181,'Données projet'!$A$61:$I$81,9,0)</f>
        <v>#N/A</v>
      </c>
      <c r="AH181" s="151" t="str">
        <f t="array" ref="AH181">INDEX(AG:AG,MIN(IF(ISNUMBER(AG181:AG377),ROW(AG181:AG377),"")))</f>
        <v/>
      </c>
      <c r="AI181" s="150">
        <f>IF('Données projet'!$A$62&gt;35,AI180+AH181-AQ180,IF(A181&lt;'Données projet'!$A$62,$AF$205^A181,IF(A181='Données projet'!$A$62,'Données projet'!$B$62,AI180+AH181-AQ180)))</f>
        <v>369</v>
      </c>
      <c r="AJ181" s="150">
        <f>AI181*VLOOKUP('Données projet'!$B$10,'Paramètres'!$A$1:$I$88,3,0)*VLOOKUP('Données projet'!$B$10,'Paramètres'!$A$1:$I$88,5,0)</f>
        <v>293.5764</v>
      </c>
      <c r="AK181" s="150">
        <f t="shared" si="36"/>
        <v>69.82813851</v>
      </c>
      <c r="AL181" s="161">
        <f t="shared" si="5"/>
        <v>632.9295712</v>
      </c>
      <c r="AM181" s="153">
        <f t="shared" si="6"/>
        <v>926.2629046</v>
      </c>
      <c r="AN181" s="153">
        <f>AVERAGE(OFFSET($AM$3,0,0,'Données projet'!$E$10+1,1))-AVERAGE(OFFSET($H$3,0,0,'Données projet'!$E$10+1,1))</f>
        <v>405.6113614</v>
      </c>
      <c r="AO181" s="153">
        <f t="shared" si="37"/>
        <v>393.0787141</v>
      </c>
      <c r="AP181" s="154">
        <f>IF(ISNA(VLOOKUP(A181,'Données projet'!$A$61:$I$81,3,0)),0,VLOOKUP(A181,'Données projet'!$A$61:$I$81,3,0))</f>
        <v>0</v>
      </c>
      <c r="AQ181" s="154">
        <f>IF(ISNA(VLOOKUP(A181,'Données projet'!$A$61:$I$81,4,0)),0,VLOOKUP(A181,'Données projet'!$A$61:$I$81,4,0))</f>
        <v>0</v>
      </c>
      <c r="AR181" s="155">
        <f>IF(ISNA(VLOOKUP(A181,'Données projet'!$A$61:$I$81,5,0)),0%,VLOOKUP(A181,'Données projet'!$A$61:$I$81,5,0)*VLOOKUP('Données projet'!$B$10,'Paramètres'!$A$1:$I$88,7,0))</f>
        <v>0</v>
      </c>
      <c r="AS181" s="155">
        <f>IF(ISNA(VLOOKUP(A181,'Données projet'!$A$61:$I$81,6,0)),0%,VLOOKUP(A181,'Données projet'!$A$61:$I$81,6,0)*VLOOKUP('Données projet'!$B$10,'Paramètres'!$A$1:$I$88,7,0))</f>
        <v>0</v>
      </c>
      <c r="AT181" s="155">
        <f>IF(ISNA(VLOOKUP(A181,'Données projet'!$A$61:$I$81,7,0)),0%,VLOOKUP(A181,'Données projet'!$A$61:$I$81,7,0))</f>
        <v>0</v>
      </c>
      <c r="AU181" s="162">
        <f>EXP(-LN(2)/35)*AU180+(1-EXP(-LN(2)/35))/(LN(2)/35)*AQ181*AR181*VLOOKUP('Données projet'!$B$10,'Paramètres'!$A$1:$I$88,3,0)*0.475*44/12</f>
        <v>0</v>
      </c>
      <c r="AV181" s="162">
        <f>EXP(-LN(2)/25)*AV180+(1-EXP(-LN(2)/25))/(LN(2)/25)*Calculateur!AQ181*Calculateur!AS181*VLOOKUP('Données projet'!$B$10,'Paramètres'!$A$1:$I$88,3,0)*0.475*44/12</f>
        <v>0.3012281599</v>
      </c>
      <c r="AW181" s="162">
        <f>EXP(-LN(2)/2)*AW180+(1-EXP(-LN(2)/2))/(LN(2)/2)*AQ181*AT181*VLOOKUP('Données projet'!$B$10,'Paramètres'!$A$1:$I$88,3,0)*0.475*44/12</f>
        <v>0</v>
      </c>
      <c r="AX181" s="162">
        <f t="shared" si="7"/>
        <v>0.3012281599</v>
      </c>
      <c r="AY181" s="157">
        <f>('Scénario référence'!$F$8+'Scénario référence'!$F$9+'Scénario référence'!$B$17+'Scénario référence'!$B$9+'Scénario référence'!$B$10)*70+IF((45+25*(1-EXP(-0.0175*A181)))&lt;70,'Scénario référence'!$B$16*(45+25*(1-EXP(-0.0175*A181))),70*'Scénario référence'!$B$16)+IF((32+38*(1-EXP(-0.0175*A181)))&lt;70,'Scénario référence'!$B$18*(32+38*(1-EXP(-0.0175*A181))),70*'Scénario référence'!$B$18)</f>
        <v>70</v>
      </c>
      <c r="AZ181" s="151">
        <f>IF(A181&gt;30,10,('Scénario référence'!$B$16+'Scénario référence'!$B$17+'Scénario référence'!$B$18+'Scénario référence'!$B$9+'Scénario référence'!$B$10)*A181*10/30+('Scénario référence'!$F$8+'Scénario référence'!$F$9)*10)</f>
        <v>10</v>
      </c>
      <c r="BA181" s="151" t="str">
        <f>VLOOKUP(A181,'Données projet'!$A$87:$I$107,2,0)</f>
        <v>#N/A</v>
      </c>
      <c r="BB181" s="151" t="str">
        <f>VLOOKUP(A181,'Données projet'!$A$87:$I$107,9,0)</f>
        <v>#N/A</v>
      </c>
      <c r="BC181" s="151" t="str">
        <f t="array" ref="BC181">INDEX(BB:BB,MIN(IF(ISNUMBER(BB181:BB377),ROW(BB181:BB377),"")))</f>
        <v/>
      </c>
      <c r="BD181" s="150">
        <f>IF('Données projet'!$A$88&gt;35,BD180+BC181-BL180,IF(A181&lt;'Données projet'!$A$88,$BA$205^A181,IF(A181='Données projet'!$A$88,'Données projet'!$B$88,BD180+BC181-BL180)))</f>
        <v>0</v>
      </c>
      <c r="BE181" s="150">
        <f>BD181*VLOOKUP('Données projet'!$B$11,'Paramètres'!$A$1:$I$88,3,0)*VLOOKUP('Données projet'!$B$11,'Paramètres'!$A$1:$I$88,5,0)</f>
        <v>0</v>
      </c>
      <c r="BF181" s="150" t="str">
        <f t="shared" si="38"/>
        <v>#NUM!</v>
      </c>
      <c r="BG181" s="161" t="str">
        <f t="shared" si="8"/>
        <v>#NUM!</v>
      </c>
      <c r="BH181" s="153" t="str">
        <f t="shared" si="9"/>
        <v>#NUM!</v>
      </c>
      <c r="BI181" s="153">
        <f>AVERAGE(OFFSET($BH$3,0,0,'Données projet'!$E$11+1,1))-AVERAGE(OFFSET($H$3,0,0,'Données projet'!$E$11+1,1))</f>
        <v>0</v>
      </c>
      <c r="BJ181" s="153">
        <f t="shared" si="39"/>
        <v>0</v>
      </c>
      <c r="BK181" s="154">
        <f>IF(ISNA(VLOOKUP(A181,'Données projet'!$A$87:$I$107,3,0)),0,VLOOKUP(A181,'Données projet'!$A$87:$I$107,3,0))</f>
        <v>0</v>
      </c>
      <c r="BL181" s="154">
        <f>IF(ISNA(VLOOKUP(A181,'Données projet'!$A$87:$I$107,4,0)),0,VLOOKUP(A181,'Données projet'!$A$87:$I$107,4,0))</f>
        <v>0</v>
      </c>
      <c r="BM181" s="155">
        <f>IF(ISNA(VLOOKUP(A181,'Données projet'!$A$87:$I$107,5,0)),0%,VLOOKUP(A181,'Données projet'!$A$87:$I$107,5,0)*VLOOKUP('Données projet'!$B$11,'Paramètres'!$A$1:$I$88,7,0))</f>
        <v>0</v>
      </c>
      <c r="BN181" s="155">
        <f>IF(ISNA(VLOOKUP(A181,'Données projet'!$A$87:$I$107,6,0)),0%,VLOOKUP(A181,'Données projet'!$A$87:$I$107,6,0)*VLOOKUP('Données projet'!$B$11,'Paramètres'!$A$1:$I$88,7,0))</f>
        <v>0</v>
      </c>
      <c r="BO181" s="155">
        <f>IF(ISNA(VLOOKUP(A181,'Données projet'!$A$87:$I$107,7,0)),0%,VLOOKUP(A181,'Données projet'!$A$87:$I$107,7,0))</f>
        <v>0</v>
      </c>
      <c r="BP181" s="162">
        <f>EXP(-LN(2)/35)*BP180+(1-EXP(-LN(2)/35))/(LN(2)/35)*BL181*BM181*VLOOKUP('Données projet'!$B$11,'Paramètres'!$A$1:$I$88,3,0)*0.475*44/12</f>
        <v>0</v>
      </c>
      <c r="BQ181" s="162">
        <f>EXP(-LN(2)/25)*BQ180+(1-EXP(-LN(2)/25))/(LN(2)/25)*Calculateur!BL181*Calculateur!BN181*VLOOKUP('Données projet'!$B$11,'Paramètres'!$A$1:$I$88,3,0)*0.475*44/12</f>
        <v>0</v>
      </c>
      <c r="BR181" s="162">
        <f>EXP(-LN(2)/2)*BR180+(1-EXP(-LN(2)/2))/(LN(2)/2)*BL181*BO181*VLOOKUP('Données projet'!$B$11,'Paramètres'!$A$1:$I$88,3,0)*0.475*44/12</f>
        <v>0</v>
      </c>
      <c r="BS181" s="163">
        <f t="shared" si="10"/>
        <v>0</v>
      </c>
      <c r="BT181" s="159">
        <f>('Scénario référence'!$F$8+'Scénario référence'!$F$9+'Scénario référence'!$B$17+'Scénario référence'!$B$9+'Scénario référence'!$B$10)*70+IF((45+25*(1-EXP(-0.0175*A181)))&lt;70,'Scénario référence'!$B$16*(45+25*(1-EXP(-0.0175*A181))),70*'Scénario référence'!$B$16)+IF((32+38*(1-EXP(-0.0175*A181)))&lt;70,'Scénario référence'!$B$18*(32+38*(1-EXP(-0.0175*A181))),70*'Scénario référence'!$B$18)</f>
        <v>70</v>
      </c>
      <c r="BU181" s="151">
        <f>IF(A181&gt;30,10,('Scénario référence'!$B$16+'Scénario référence'!$B$17+'Scénario référence'!$B$18+'Scénario référence'!$B$9+'Scénario référence'!$B$10)*A181*10/30+('Scénario référence'!$F$8+'Scénario référence'!$F$9)*10)</f>
        <v>10</v>
      </c>
      <c r="BV181" s="151" t="str">
        <f>VLOOKUP(A181,'Données projet'!$A$113:$I$133,2,0)</f>
        <v>#N/A</v>
      </c>
      <c r="BW181" s="151" t="str">
        <f>VLOOKUP(A181,'Données projet'!$A$113:$I$133,9,0)</f>
        <v>#N/A</v>
      </c>
      <c r="BX181" s="151" t="str">
        <f t="array" ref="BX181">INDEX(BW:BW,MIN(IF(ISNUMBER(BW181:BW377),ROW(BW181:BW377),"")))</f>
        <v/>
      </c>
      <c r="BY181" s="150">
        <f>IF('Données projet'!$A$114&gt;35,BY180+BX181-CG180,IF(A181&lt;'Données projet'!$A$114,$BV$205^A181,IF(A181='Données projet'!$A$114,'Données projet'!$B$114,BY180+BX181-CG180)))</f>
        <v>0</v>
      </c>
      <c r="BZ181" s="150" t="str">
        <f>BY181*VLOOKUP('Données projet'!$B$12,'Paramètres'!$A$1:$I$88,3,0)*VLOOKUP('Données projet'!$B$12,'Paramètres'!$A$1:$I$88,5,0)</f>
        <v>#N/A</v>
      </c>
      <c r="CA181" s="150" t="str">
        <f t="shared" si="40"/>
        <v>#N/A</v>
      </c>
      <c r="CB181" s="161" t="str">
        <f t="shared" si="11"/>
        <v>#N/A</v>
      </c>
      <c r="CC181" s="153" t="str">
        <f t="shared" si="12"/>
        <v>#N/A</v>
      </c>
      <c r="CD181" s="153" t="str">
        <f>AVERAGE(OFFSET($CC$3,0,0,'Données projet'!$E$12+1,1))-AVERAGE(OFFSET($H$3,0,0,'Données projet'!$E$12+1,1))</f>
        <v>#N/A</v>
      </c>
      <c r="CE181" s="153" t="str">
        <f t="shared" si="41"/>
        <v>#N/A</v>
      </c>
      <c r="CF181" s="154">
        <f>IF(ISNA(VLOOKUP(A181,'Données projet'!$A$113:$I$133,3,0)),0,VLOOKUP(A181,'Données projet'!$A$113:$I$133,3,0))</f>
        <v>0</v>
      </c>
      <c r="CG181" s="154">
        <f>IF(ISNA(VLOOKUP(A181,'Données projet'!$A$113:$I$133,4,0)),0,VLOOKUP(A181,'Données projet'!$A$113:$I$133,4,0))</f>
        <v>0</v>
      </c>
      <c r="CH181" s="155">
        <f>IF(ISNA(VLOOKUP(A181,'Données projet'!$A$113:$I$133,5,0)),0%,VLOOKUP(A181,'Données projet'!$A$113:$I$133,5,0)*VLOOKUP('Données projet'!$B$12,'Paramètres'!$A$1:$I$88,7,0))</f>
        <v>0</v>
      </c>
      <c r="CI181" s="155">
        <f>IF(ISNA(VLOOKUP(A181,'Données projet'!$A$113:$I$133,6,0)),0%,VLOOKUP(A181,'Données projet'!$A$113:$I$133,6,0)*VLOOKUP('Données projet'!$B$12,'Paramètres'!$A$1:$I$88,7,0))</f>
        <v>0</v>
      </c>
      <c r="CJ181" s="155">
        <f>IF(ISNA(VLOOKUP(A181,'Données projet'!$A$113:$I$133,7,0)),0%,VLOOKUP(A181,'Données projet'!$A$113:$I$133,7,0))</f>
        <v>0</v>
      </c>
      <c r="CK181" s="162" t="str">
        <f>EXP(-LN(2)/35)*CK180+(1-EXP(-LN(2)/35))/(LN(2)/35)*CG181*CH181*VLOOKUP('Données projet'!$B$12,'Paramètres'!$A$1:$I$88,3,0)*0.475*44/12</f>
        <v>#N/A</v>
      </c>
      <c r="CL181" s="162" t="str">
        <f>EXP(-LN(2)/25)*CL180+(1-EXP(-LN(2)/25))/(LN(2)/25)*Calculateur!CG181*Calculateur!CI181*VLOOKUP('Données projet'!$B$12,'Paramètres'!$A$1:$I$88,3,0)*0.475*44/12</f>
        <v>#N/A</v>
      </c>
      <c r="CM181" s="162" t="str">
        <f>EXP(-LN(2)/2)*CM180+(1-EXP(-LN(2)/2))/(LN(2)/2)*CG181*CJ181*VLOOKUP('Données projet'!$B$12,'Paramètres'!$A$1:$I$88,3,0)*0.475*44/12</f>
        <v>#N/A</v>
      </c>
      <c r="CN181" s="163" t="str">
        <f t="shared" si="13"/>
        <v>#N/A</v>
      </c>
      <c r="CO181" s="159">
        <f>('Scénario référence'!$F$8+'Scénario référence'!$F$9+'Scénario référence'!$B$17+'Scénario référence'!$B$9+'Scénario référence'!$B$10)*70+IF((45+25*(1-EXP(-0.0175*A181)))&lt;70,'Scénario référence'!$B$16*(45+25*(1-EXP(-0.0175*A181))),70*'Scénario référence'!$B$16)+IF((32+38*(1-EXP(-0.0175*A181)))&lt;70,'Scénario référence'!$B$18*(32+38*(1-EXP(-0.0175*A181))),70*'Scénario référence'!$B$18)</f>
        <v>70</v>
      </c>
      <c r="CP181" s="151">
        <f>IF(A181&gt;30,10,('Scénario référence'!$B$16+'Scénario référence'!$B$17+'Scénario référence'!$B$18+'Scénario référence'!$B$9+'Scénario référence'!$B$10)*A181*10/30+('Scénario référence'!$F$8+'Scénario référence'!$F$9)*10)</f>
        <v>10</v>
      </c>
      <c r="CQ181" s="151" t="str">
        <f>VLOOKUP(A181,'Données projet'!$A$139:$I$159,2,0)</f>
        <v>#N/A</v>
      </c>
      <c r="CR181" s="151" t="str">
        <f>VLOOKUP(A181,'Données projet'!$A$139:$I$159,9,0)</f>
        <v>#N/A</v>
      </c>
      <c r="CS181" s="151" t="str">
        <f t="array" ref="CS181">INDEX(CR:CR,MIN(IF(ISNUMBER(CR181:CR377),ROW(CR181:CR377),"")))</f>
        <v/>
      </c>
      <c r="CT181" s="151">
        <f>IF('Données projet'!$A$140&gt;35,CT180+CS181-DB180,IF(A181&lt;'Données projet'!$A$140,$CQ$205^A181,IF(A181='Données projet'!$A$140,'Données projet'!$B$140,CT180+CS181-DB180)))</f>
        <v>0</v>
      </c>
      <c r="CU181" s="158" t="str">
        <f>CT181*VLOOKUP('Données projet'!$B$13,'Paramètres'!$A$1:$I$88,3,0)*VLOOKUP('Données projet'!$B$13,'Paramètres'!$A$1:$I$88,5,0)</f>
        <v>#N/A</v>
      </c>
      <c r="CV181" s="150" t="str">
        <f t="shared" si="42"/>
        <v>#N/A</v>
      </c>
      <c r="CW181" s="161" t="str">
        <f t="shared" si="14"/>
        <v>#N/A</v>
      </c>
      <c r="CX181" s="153" t="str">
        <f t="shared" si="15"/>
        <v>#N/A</v>
      </c>
      <c r="CY181" s="153" t="str">
        <f>AVERAGE(OFFSET($CX$3,0,0,'Données projet'!$E$13+1,1))-AVERAGE(OFFSET($H$3,0,0,'Données projet'!$E$13+1,1))</f>
        <v>#N/A</v>
      </c>
      <c r="CZ181" s="153" t="str">
        <f t="shared" si="43"/>
        <v>#N/A</v>
      </c>
      <c r="DA181" s="154">
        <f>IF(ISNA(VLOOKUP(A181,'Données projet'!$A$139:$I$159,3,0)),0,VLOOKUP(A181,'Données projet'!$A$139:$I$159,3,0))</f>
        <v>0</v>
      </c>
      <c r="DB181" s="154">
        <f>IF(ISNA(VLOOKUP(A181,'Données projet'!$A$139:$I$159,4,0)),0,VLOOKUP(A181,'Données projet'!$A$139:$I$159,4,0))</f>
        <v>0</v>
      </c>
      <c r="DC181" s="155">
        <f>IF(ISNA(VLOOKUP(A181,'Données projet'!$A$139:$I$159,5,0)),0%,VLOOKUP(A181,'Données projet'!$A$139:$I$159,5,0)*VLOOKUP('Données projet'!$B$13,'Paramètres'!$A$1:$I$88,7,0))</f>
        <v>0</v>
      </c>
      <c r="DD181" s="155">
        <f>IF(ISNA(VLOOKUP(A181,'Données projet'!$A$139:$I$159,6,0)),0%,VLOOKUP(A181,'Données projet'!$A$139:$I$159,6,0)*VLOOKUP('Données projet'!$B$13,'Paramètres'!$A$1:$I$88,7,0))</f>
        <v>0</v>
      </c>
      <c r="DE181" s="155">
        <f>IF(ISNA(VLOOKUP(A181,'Données projet'!$A$139:$I$159,7,0)),0%,VLOOKUP(A181,'Données projet'!$A$139:$I$159,7,0))</f>
        <v>0</v>
      </c>
      <c r="DF181" s="162" t="str">
        <f>EXP(-LN(2)/35)*DF180+(1-EXP(-LN(2)/35))/(LN(2)/35)*DB181*DC181*VLOOKUP('Données projet'!$B$13,'Paramètres'!$A$1:$I$88,3,0)*0.475*44/12</f>
        <v>#N/A</v>
      </c>
      <c r="DG181" s="162" t="str">
        <f>EXP(-LN(2)/25)*DG180+(1-EXP(-LN(2)/25))/(LN(2)/25)*Calculateur!DB181*Calculateur!DD181*VLOOKUP('Données projet'!$B$13,'Paramètres'!$A$1:$I$88,3,0)*0.475*44/12</f>
        <v>#N/A</v>
      </c>
      <c r="DH181" s="162" t="str">
        <f>EXP(-LN(2)/2)*DH180+(1-EXP(-LN(2)/2))/(LN(2)/2)*DB181*DE181*VLOOKUP('Données projet'!$B$13,'Paramètres'!$A$1:$I$88,3,0)*0.475*44/12</f>
        <v>#N/A</v>
      </c>
      <c r="DI181" s="163" t="str">
        <f t="shared" si="16"/>
        <v>#N/A</v>
      </c>
      <c r="DJ181" s="159">
        <f>('Scénario référence'!$F$8+'Scénario référence'!$F$9+'Scénario référence'!$B$17+'Scénario référence'!$B$9+'Scénario référence'!$B$10)*70+IF((45+25*(1-EXP(-0.0175*A181)))&lt;70,'Scénario référence'!$B$16*(45+25*(1-EXP(-0.0175*A181))),70*'Scénario référence'!$B$16)+IF((32+38*(1-EXP(-0.0175*A181)))&lt;70,'Scénario référence'!$B$18*(32+38*(1-EXP(-0.0175*A181))),70*'Scénario référence'!$B$18)</f>
        <v>70</v>
      </c>
      <c r="DK181" s="151">
        <f>IF(A181&gt;30,10,('Scénario référence'!$B$16+'Scénario référence'!$B$17+'Scénario référence'!$B$18+'Scénario référence'!$B$9+'Scénario référence'!$B$10)*A181*10/30+('Scénario référence'!$F$8+'Scénario référence'!$F$9)*10)</f>
        <v>10</v>
      </c>
      <c r="DL181" s="151" t="str">
        <f>VLOOKUP(A181,'Données projet'!$A$165:$I$185,2,0)</f>
        <v>#N/A</v>
      </c>
      <c r="DM181" s="151" t="str">
        <f>VLOOKUP(A181,'Données projet'!$A$165:$I$185,9,0)</f>
        <v>#N/A</v>
      </c>
      <c r="DN181" s="151" t="str">
        <f t="array" ref="DN181">INDEX(DM:DM,MIN(IF(ISNUMBER(DM181:DM377),ROW(DM181:DM377),"")))</f>
        <v/>
      </c>
      <c r="DO181" s="151">
        <f>IF('Données projet'!$A$166&gt;35,DO180+DN181-DW180,IF(A181&lt;'Données projet'!$A$166,$DL$205^A181,IF(A181='Données projet'!$A$166,'Données projet'!$B$166,DO180+DN181-DW180)))</f>
        <v>0</v>
      </c>
      <c r="DP181" s="158" t="str">
        <f>DO181*VLOOKUP('Données projet'!$B$14,'Paramètres'!$A$1:$I$88,3,0)*VLOOKUP('Données projet'!$B$14,'Paramètres'!$A$1:$I$88,5,0)</f>
        <v>#N/A</v>
      </c>
      <c r="DQ181" s="150" t="str">
        <f t="shared" si="44"/>
        <v>#N/A</v>
      </c>
      <c r="DR181" s="161" t="str">
        <f t="shared" si="17"/>
        <v>#N/A</v>
      </c>
      <c r="DS181" s="153" t="str">
        <f t="shared" si="18"/>
        <v>#N/A</v>
      </c>
      <c r="DT181" s="153" t="str">
        <f>AVERAGE(OFFSET($DS$3,0,0,'Données projet'!$E$14+1,1))-AVERAGE(OFFSET($H$3,0,0,'Données projet'!$E$14+1,1))</f>
        <v>#N/A</v>
      </c>
      <c r="DU181" s="153" t="str">
        <f t="shared" si="45"/>
        <v>#N/A</v>
      </c>
      <c r="DV181" s="154">
        <f>IF(ISNA(VLOOKUP(A181,'Données projet'!$A$165:$I$185,3,0)),0,VLOOKUP(A181,'Données projet'!$A$165:$I$185,3,0))</f>
        <v>0</v>
      </c>
      <c r="DW181" s="154">
        <f>IF(ISNA(VLOOKUP(A181,'Données projet'!$A$165:$I$185,4,0)),0,VLOOKUP(A181,'Données projet'!$A$165:$I$185,4,0))</f>
        <v>0</v>
      </c>
      <c r="DX181" s="155">
        <f>IF(ISNA(VLOOKUP(A181,'Données projet'!$A$165:$I$185,5,0)),0%,VLOOKUP(A181,'Données projet'!$A$165:$I$185,5,0)*VLOOKUP('Données projet'!$B$14,'Paramètres'!$A$1:$I$88,7,0))</f>
        <v>0</v>
      </c>
      <c r="DY181" s="155">
        <f>IF(ISNA(VLOOKUP(A181,'Données projet'!$A$165:$I$185,6,0)),0%,VLOOKUP(A181,'Données projet'!$A$165:$I$185,6,0)*VLOOKUP('Données projet'!$B$14,'Paramètres'!$A$1:$I$88,7,0))</f>
        <v>0</v>
      </c>
      <c r="DZ181" s="155">
        <f>IF(ISNA(VLOOKUP(A181,'Données projet'!$A$165:$I$185,7,0)),0%,VLOOKUP(A181,'Données projet'!$A$165:$I$185,7,0))</f>
        <v>0</v>
      </c>
      <c r="EA181" s="162" t="str">
        <f>EXP(-LN(2)/35)*EA180+(1-EXP(-LN(2)/35))/(LN(2)/35)*DW181*DX181*VLOOKUP('Données projet'!$B$14,'Paramètres'!$A$1:$I$88,3,0)*0.475*44/12</f>
        <v>#N/A</v>
      </c>
      <c r="EB181" s="162" t="str">
        <f>EXP(-LN(2)/25)*EB180+(1-EXP(-LN(2)/25))/(LN(2)/25)*Calculateur!DW181*Calculateur!DY181*VLOOKUP('Données projet'!$B$14,'Paramètres'!$A$1:$I$88,3,0)*0.475*44/12</f>
        <v>#N/A</v>
      </c>
      <c r="EC181" s="162" t="str">
        <f>EXP(-LN(2)/2)*EC180+(1-EXP(-LN(2)/2))/(LN(2)/2)*DW181*DZ181*VLOOKUP('Données projet'!$B$14,'Paramètres'!$A$1:$I$88,3,0)*0.475*44/12</f>
        <v>#N/A</v>
      </c>
      <c r="ED181" s="163" t="str">
        <f t="shared" si="19"/>
        <v>#N/A</v>
      </c>
      <c r="EE181" s="159">
        <f>('Scénario référence'!$F$8+'Scénario référence'!$F$9+'Scénario référence'!$B$17+'Scénario référence'!$B$9+'Scénario référence'!$B$10)*70+IF((45+25*(1-EXP(-0.0175*A181)))&lt;70,'Scénario référence'!$B$16*(45+25*(1-EXP(-0.0175*A181))),70*'Scénario référence'!$B$16)+IF((32+38*(1-EXP(-0.0175*A181)))&lt;70,'Scénario référence'!$B$18*(32+38*(1-EXP(-0.0175*A181))),70*'Scénario référence'!$B$18)</f>
        <v>70</v>
      </c>
      <c r="EF181" s="151">
        <f>IF(A181&gt;30,10,('Scénario référence'!$B$16+'Scénario référence'!$B$17+'Scénario référence'!$B$18+'Scénario référence'!$B$9+'Scénario référence'!$B$10)*A181*10/30+('Scénario référence'!$F$8+'Scénario référence'!$F$9)*10)</f>
        <v>10</v>
      </c>
      <c r="EG181" s="151" t="str">
        <f>VLOOKUP(A181,'Données projet'!$A$191:$I$211,2,0)</f>
        <v>#N/A</v>
      </c>
      <c r="EH181" s="151" t="str">
        <f>VLOOKUP(A181,'Données projet'!$A$191:$I$211,9,0)</f>
        <v>#N/A</v>
      </c>
      <c r="EI181" s="151" t="str">
        <f t="array" ref="EI181">INDEX(EH:EH,MIN(IF(ISNUMBER(EH181:EH377),ROW(EH181:EH377),"")))</f>
        <v/>
      </c>
      <c r="EJ181" s="151">
        <f>IF('Données projet'!$A$192&gt;35,EJ180+EI181-ER180,IF(A181&lt;'Données projet'!$A$192,$EG$205^A181,IF(A181='Données projet'!$A$192,'Données projet'!$B$192,EJ180+EI181-ER180)))</f>
        <v>0</v>
      </c>
      <c r="EK181" s="158" t="str">
        <f>EJ181*VLOOKUP('Données projet'!$B$15,'Paramètres'!$A$1:$I$88,3,0)*VLOOKUP('Données projet'!$B$15,'Paramètres'!$A$1:$I$88,5,0)</f>
        <v>#N/A</v>
      </c>
      <c r="EL181" s="150" t="str">
        <f t="shared" si="46"/>
        <v>#N/A</v>
      </c>
      <c r="EM181" s="161" t="str">
        <f t="shared" si="20"/>
        <v>#N/A</v>
      </c>
      <c r="EN181" s="153" t="str">
        <f t="shared" si="21"/>
        <v>#N/A</v>
      </c>
      <c r="EO181" s="153" t="str">
        <f>AVERAGE(OFFSET($EN$3,0,0,'Données projet'!$E$15+1,1))-AVERAGE(OFFSET($H$3,0,0,'Données projet'!$E$15+1,1))</f>
        <v>#N/A</v>
      </c>
      <c r="EP181" s="153" t="str">
        <f t="shared" si="47"/>
        <v>#N/A</v>
      </c>
      <c r="EQ181" s="154">
        <f>IF(ISNA(VLOOKUP(A181,'Données projet'!$A$191:$I$211,3,0)),0,VLOOKUP(A181,'Données projet'!$A$191:$I$211,3,0))</f>
        <v>0</v>
      </c>
      <c r="ER181" s="154">
        <f>IF(ISNA(VLOOKUP(A181,'Données projet'!$A$191:$I$211,4,0)),0,VLOOKUP(A181,'Données projet'!$A$191:$I$211,4,0))</f>
        <v>0</v>
      </c>
      <c r="ES181" s="155">
        <f>IF(ISNA(VLOOKUP(A181,'Données projet'!$A$191:$I$211,5,0)),0%,VLOOKUP(A181,'Données projet'!$A$191:$I$211,5,0)*VLOOKUP('Données projet'!$B$15,'Paramètres'!$A$1:$I$88,7,0))</f>
        <v>0</v>
      </c>
      <c r="ET181" s="155">
        <f>IF(ISNA(VLOOKUP(A181,'Données projet'!$A$191:$I$211,6,0)),0%,VLOOKUP(A181,'Données projet'!$A$191:$I$211,6,0)*VLOOKUP('Données projet'!$B$15,'Paramètres'!$A$1:$I$88,7,0))</f>
        <v>0</v>
      </c>
      <c r="EU181" s="155">
        <f>IF(ISNA(VLOOKUP(A181,'Données projet'!$A$191:$I$211,7,0)),0%,VLOOKUP(A181,'Données projet'!$A$191:$I$211,7,0))</f>
        <v>0</v>
      </c>
      <c r="EV181" s="162" t="str">
        <f>EXP(-LN(2)/35)*EV180+(1-EXP(-LN(2)/35))/(LN(2)/35)*ER181*ES181*VLOOKUP('Données projet'!$B$15,'Paramètres'!$A$1:$I$88,3,0)*0.475*44/12</f>
        <v>#N/A</v>
      </c>
      <c r="EW181" s="162" t="str">
        <f>EXP(-LN(2)/25)*EW180+(1-EXP(-LN(2)/25))/(LN(2)/25)*Calculateur!ER181*Calculateur!ET181*VLOOKUP('Données projet'!$B$15,'Paramètres'!$A$1:$I$88,3,0)*0.475*44/12</f>
        <v>#N/A</v>
      </c>
      <c r="EX181" s="162" t="str">
        <f>EXP(-LN(2)/2)*EX180+(1-EXP(-LN(2)/2))/(LN(2)/2)*ER181*EU181*VLOOKUP('Données projet'!$B$15,'Paramètres'!$A$1:$I$88,3,0)*0.475*44/12</f>
        <v>#N/A</v>
      </c>
      <c r="EY181" s="163" t="str">
        <f t="shared" si="22"/>
        <v>#N/A</v>
      </c>
      <c r="EZ181" s="159">
        <f>('Scénario référence'!$F$8+'Scénario référence'!$F$9+'Scénario référence'!$B$17+'Scénario référence'!$B$9+'Scénario référence'!$B$10)*70+IF((45+25*(1-EXP(-0.0175*A181)))&lt;70,'Scénario référence'!$B$16*(45+25*(1-EXP(-0.0175*A181))),70*'Scénario référence'!$B$16)+IF((32+38*(1-EXP(-0.0175*A181)))&lt;70,'Scénario référence'!$B$18*(32+38*(1-EXP(-0.0175*A181))),70*'Scénario référence'!$B$18)</f>
        <v>70</v>
      </c>
      <c r="FA181" s="151">
        <f>IF(A181&gt;30,10,('Scénario référence'!$B$16+'Scénario référence'!$B$17+'Scénario référence'!$B$18+'Scénario référence'!$B$9+'Scénario référence'!$B$10)*A181*10/30+('Scénario référence'!$F$8+'Scénario référence'!$F$9)*10)</f>
        <v>10</v>
      </c>
      <c r="FB181" s="151" t="str">
        <f>VLOOKUP(A181,'Données projet'!$A$217:$I$237,2,0)</f>
        <v>#N/A</v>
      </c>
      <c r="FC181" s="151" t="str">
        <f>VLOOKUP(A181,'Données projet'!$A$217:$I$237,9,0)</f>
        <v>#N/A</v>
      </c>
      <c r="FD181" s="151" t="str">
        <f t="array" ref="FD181">INDEX(FC:FC,MIN(IF(ISNUMBER(FC181:FC377),ROW(FC181:FC377),"")))</f>
        <v/>
      </c>
      <c r="FE181" s="151">
        <f>IF('Données projet'!$A$218&gt;35,FE180+FD181-FM180,IF(A181&lt;'Données projet'!$A$218,$FB$205^A181,IF(A181='Données projet'!$A$218,'Données projet'!$B$218,FE180+FD181-FM180)))</f>
        <v>0</v>
      </c>
      <c r="FF181" s="158" t="str">
        <f>FE181*VLOOKUP('Données projet'!$B$16,'Paramètres'!$A$1:$I$88,3,0)*VLOOKUP('Données projet'!$B$16,'Paramètres'!$A$1:$I$88,5,0)</f>
        <v>#N/A</v>
      </c>
      <c r="FG181" s="150" t="str">
        <f t="shared" si="48"/>
        <v>#N/A</v>
      </c>
      <c r="FH181" s="161" t="str">
        <f t="shared" si="23"/>
        <v>#N/A</v>
      </c>
      <c r="FI181" s="153" t="str">
        <f t="shared" si="24"/>
        <v>#N/A</v>
      </c>
      <c r="FJ181" s="153" t="str">
        <f>AVERAGE(OFFSET($FI$3,0,0,'Données projet'!$E$16+1,1))-AVERAGE(OFFSET($H$3,0,0,'Données projet'!$E$16+1,1))</f>
        <v>#N/A</v>
      </c>
      <c r="FK181" s="153" t="str">
        <f t="shared" si="49"/>
        <v>#N/A</v>
      </c>
      <c r="FL181" s="154">
        <f>IF(ISNA(VLOOKUP(A181,'Données projet'!$A$217:$I$237,3,0)),0,VLOOKUP(A181,'Données projet'!$A$217:$I$237,3,0))</f>
        <v>0</v>
      </c>
      <c r="FM181" s="154">
        <f>IF(ISNA(VLOOKUP(A181,'Données projet'!$A$217:$I$237,4,0)),0,VLOOKUP(A181,'Données projet'!$A$217:$I$237,4,0))</f>
        <v>0</v>
      </c>
      <c r="FN181" s="155">
        <f>IF(ISNA(VLOOKUP(A181,'Données projet'!$A$217:$I$237,5,0)),0%,VLOOKUP(A181,'Données projet'!$A$217:$I$237,5,0)*VLOOKUP('Données projet'!$B$16,'Paramètres'!$A$1:$I$88,7,0))</f>
        <v>0</v>
      </c>
      <c r="FO181" s="155">
        <f>IF(ISNA(VLOOKUP(A181,'Données projet'!$A$217:$I$237,6,0)),0%,VLOOKUP(A181,'Données projet'!$A$217:$I$237,6,0)*VLOOKUP('Données projet'!$B$16,'Paramètres'!$A$1:$I$88,7,0))</f>
        <v>0</v>
      </c>
      <c r="FP181" s="155">
        <f>IF(ISNA(VLOOKUP(A181,'Données projet'!$A$217:$I$237,7,0)),0%,VLOOKUP(A181,'Données projet'!$A$217:$I$237,7,0))</f>
        <v>0</v>
      </c>
      <c r="FQ181" s="162" t="str">
        <f>EXP(-LN(2)/35)*FQ180+(1-EXP(-LN(2)/35))/(LN(2)/35)*FM181*FN181*VLOOKUP('Données projet'!$B$16,'Paramètres'!$A$1:$I$88,3,0)*0.475*44/12</f>
        <v>#N/A</v>
      </c>
      <c r="FR181" s="162" t="str">
        <f>EXP(-LN(2)/25)*FR180+(1-EXP(-LN(2)/25))/(LN(2)/25)*Calculateur!FM181*Calculateur!FO181*VLOOKUP('Données projet'!$B$16,'Paramètres'!$A$1:$I$88,3,0)*0.475*44/12</f>
        <v>#N/A</v>
      </c>
      <c r="FS181" s="162" t="str">
        <f>EXP(-LN(2)/2)*FS180+(1-EXP(-LN(2)/2))/(LN(2)/2)*FM181*FP181*VLOOKUP('Données projet'!$B$16,'Paramètres'!$A$1:$I$88,3,0)*0.475*44/12</f>
        <v>#N/A</v>
      </c>
      <c r="FT181" s="163" t="str">
        <f t="shared" si="25"/>
        <v>#N/A</v>
      </c>
      <c r="FU181" s="159">
        <f>('Scénario référence'!$F$8+'Scénario référence'!$F$9+'Scénario référence'!$B$17+'Scénario référence'!$B$9+'Scénario référence'!$B$10)*70+IF((45+25*(1-EXP(-0.0175*A181)))&lt;70,'Scénario référence'!$B$16*(45+25*(1-EXP(-0.0175*A181))),70*'Scénario référence'!$B$16)+IF((32+38*(1-EXP(-0.0175*A181)))&lt;70,'Scénario référence'!$B$18*(32+38*(1-EXP(-0.0175*A181))),70*'Scénario référence'!$B$18)</f>
        <v>70</v>
      </c>
      <c r="FV181" s="151">
        <f>IF(A181&gt;30,10,('Scénario référence'!$B$16+'Scénario référence'!$B$17+'Scénario référence'!$B$18+'Scénario référence'!$B$9+'Scénario référence'!$B$10)*A181*10/30+('Scénario référence'!$F$8+'Scénario référence'!$F$9)*10)</f>
        <v>10</v>
      </c>
      <c r="FW181" s="151" t="str">
        <f>VLOOKUP(A181,'Données projet'!$A$243:$I$263,2,0)</f>
        <v>#N/A</v>
      </c>
      <c r="FX181" s="151" t="str">
        <f>VLOOKUP(A181,'Données projet'!$A$243:$I$263,9,0)</f>
        <v>#N/A</v>
      </c>
      <c r="FY181" s="151" t="str">
        <f t="array" ref="FY181">INDEX(FX:FX,MIN(IF(ISNUMBER(FX181:FX377),ROW(FX181:FX377),"")))</f>
        <v/>
      </c>
      <c r="FZ181" s="151">
        <f>IF('Données projet'!$A$244&gt;35,FZ180+FY181-GH180,IF(A181&lt;'Données projet'!$A$244,$FW$205^A181,IF(A181='Données projet'!$A$244,'Données projet'!$B$244,FZ180+FY181-GH180)))</f>
        <v>0</v>
      </c>
      <c r="GA181" s="158" t="str">
        <f>FZ181*VLOOKUP('Données projet'!$B$17,'Paramètres'!$A$1:$I$88,3,0)*VLOOKUP('Données projet'!$B$17,'Paramètres'!$A$1:$I$88,5,0)</f>
        <v>#N/A</v>
      </c>
      <c r="GB181" s="150" t="str">
        <f t="shared" si="50"/>
        <v>#N/A</v>
      </c>
      <c r="GC181" s="161" t="str">
        <f t="shared" si="26"/>
        <v>#N/A</v>
      </c>
      <c r="GD181" s="153" t="str">
        <f t="shared" si="27"/>
        <v>#N/A</v>
      </c>
      <c r="GE181" s="153" t="str">
        <f>AVERAGE(OFFSET($GD$3,0,0,'Données projet'!$E$17+1,1))-AVERAGE(OFFSET($H$3,0,0,'Données projet'!$E$17+1,1))</f>
        <v>#N/A</v>
      </c>
      <c r="GF181" s="153" t="str">
        <f t="shared" si="51"/>
        <v>#N/A</v>
      </c>
      <c r="GG181" s="154">
        <f>IF(ISNA(VLOOKUP(A181,'Données projet'!$A$243:$I$263,3,0)),0,VLOOKUP(A181,'Données projet'!$A$243:$I$263,3,0))</f>
        <v>0</v>
      </c>
      <c r="GH181" s="154">
        <f>IF(ISNA(VLOOKUP(A181,'Données projet'!$A$243:$I$263,4,0)),0,VLOOKUP(A181,'Données projet'!$A$243:$I$263,4,0))</f>
        <v>0</v>
      </c>
      <c r="GI181" s="155">
        <f>IF(ISNA(VLOOKUP(A181,'Données projet'!$A$243:$I$263,5,0)),0%,VLOOKUP(A181,'Données projet'!$A$243:$I$263,5,0)*VLOOKUP('Données projet'!$B$17,'Paramètres'!$A$1:$I$88,7,0))</f>
        <v>0</v>
      </c>
      <c r="GJ181" s="155">
        <f>IF(ISNA(VLOOKUP(A181,'Données projet'!$A$243:$I$263,6,0)),0%,VLOOKUP(A181,'Données projet'!$A$243:$I$263,6,0)*VLOOKUP('Données projet'!$B$17,'Paramètres'!$A$1:$I$88,7,0))</f>
        <v>0</v>
      </c>
      <c r="GK181" s="155">
        <f>IF(ISNA(VLOOKUP(A181,'Données projet'!$A$243:$I$263,7,0)),0%,VLOOKUP(A181,'Données projet'!$A$243:$I$263,7,0))</f>
        <v>0</v>
      </c>
      <c r="GL181" s="162" t="str">
        <f>EXP(-LN(2)/35)*GL180+(1-EXP(-LN(2)/35))/(LN(2)/35)*GH181*GI181*VLOOKUP('Données projet'!$B$17,'Paramètres'!$A$1:$I$88,3,0)*0.475*44/12</f>
        <v>#N/A</v>
      </c>
      <c r="GM181" s="162" t="str">
        <f>EXP(-LN(2)/25)*GM180+(1-EXP(-LN(2)/25))/(LN(2)/25)*Calculateur!GH181*Calculateur!GJ181*VLOOKUP('Données projet'!$B$17,'Paramètres'!$A$1:$I$88,3,0)*0.475*44/12</f>
        <v>#N/A</v>
      </c>
      <c r="GN181" s="162" t="str">
        <f>EXP(-LN(2)/2)*GN180+(1-EXP(-LN(2)/2))/(LN(2)/2)*GH181*GK181*VLOOKUP('Données projet'!$B$17,'Paramètres'!$A$1:$I$88,3,0)*0.475*44/12</f>
        <v>#N/A</v>
      </c>
      <c r="GO181" s="162" t="str">
        <f t="shared" si="28"/>
        <v>#N/A</v>
      </c>
      <c r="GP181" s="159">
        <f>('Scénario référence'!$F$8+'Scénario référence'!$F$9+'Scénario référence'!$B$17+'Scénario référence'!$B$9+'Scénario référence'!$B$10)*70+IF((45+25*(1-EXP(-0.0175*A181)))&lt;70,'Scénario référence'!$B$16*(45+25*(1-EXP(-0.0175*A181))),70*'Scénario référence'!$B$16)+IF((32+38*(1-EXP(-0.0175*A181)))&lt;70,'Scénario référence'!$B$18*(32+38*(1-EXP(-0.0175*A181))),70*'Scénario référence'!$B$18)</f>
        <v>70</v>
      </c>
      <c r="GQ181" s="151">
        <f>IF(A181&gt;30,10,('Scénario référence'!$B$16+'Scénario référence'!$B$17+'Scénario référence'!$B$18+'Scénario référence'!$B$9+'Scénario référence'!$B$10)*A181*10/30+('Scénario référence'!$F$8+'Scénario référence'!$F$9)*10)</f>
        <v>10</v>
      </c>
      <c r="GR181" s="151" t="str">
        <f>VLOOKUP(A181,'Données projet'!$A$269:$I$289,2,0)</f>
        <v>#N/A</v>
      </c>
      <c r="GS181" s="151" t="str">
        <f>VLOOKUP(A181,'Données projet'!$A$269:$I$289,9,0)</f>
        <v>#N/A</v>
      </c>
      <c r="GT181" s="151" t="str">
        <f t="array" ref="GT181">INDEX(GS:GS,MIN(IF(ISNUMBER(GS181:GS377),ROW(GS181:GS377),"")))</f>
        <v/>
      </c>
      <c r="GU181" s="151">
        <f>IF('Données projet'!$A$270&gt;35,GU180+GT181-HC180,IF(A181&lt;'Données projet'!$A$270,$GR$205^A181,IF(A181='Données projet'!$A$270,'Données projet'!$B$270,GU180+GT181-HC180)))</f>
        <v>0</v>
      </c>
      <c r="GV181" s="158" t="str">
        <f>GU181*VLOOKUP('Données projet'!$B$18,'Paramètres'!$A$1:$I$88,3,0)*VLOOKUP('Données projet'!$B$18,'Paramètres'!$A$1:$I$88,5,0)</f>
        <v>#N/A</v>
      </c>
      <c r="GW181" s="150" t="str">
        <f t="shared" si="52"/>
        <v>#N/A</v>
      </c>
      <c r="GX181" s="161" t="str">
        <f t="shared" si="29"/>
        <v>#N/A</v>
      </c>
      <c r="GY181" s="153" t="str">
        <f t="shared" si="30"/>
        <v>#N/A</v>
      </c>
      <c r="GZ181" s="153" t="str">
        <f>AVERAGE(OFFSET($GY$3,0,0,'Données projet'!$E$18+1,1))-AVERAGE(OFFSET($H$3,0,0,'Données projet'!$E$18+1,1))</f>
        <v>#N/A</v>
      </c>
      <c r="HA181" s="153" t="str">
        <f t="shared" si="53"/>
        <v>#N/A</v>
      </c>
      <c r="HB181" s="154">
        <f>IF(ISNA(VLOOKUP(A181,'Données projet'!$A$269:$I$289,3,0)),0,VLOOKUP(A181,'Données projet'!$A$269:$I$289,3,0))</f>
        <v>0</v>
      </c>
      <c r="HC181" s="154">
        <f>IF(ISNA(VLOOKUP(A181,'Données projet'!$A$269:$I$289,4,0)),0,VLOOKUP(A181,'Données projet'!$A$269:$I$289,4,0))</f>
        <v>0</v>
      </c>
      <c r="HD181" s="155">
        <f>IF(ISNA(VLOOKUP(A181,'Données projet'!$A$269:$I$289,5,0)),0%,VLOOKUP(A181,'Données projet'!$A$269:$I$289,5,0)*VLOOKUP('Données projet'!$B$18,'Paramètres'!$A$1:$I$88,7,0))</f>
        <v>0</v>
      </c>
      <c r="HE181" s="155">
        <f>IF(ISNA(VLOOKUP(A181,'Données projet'!$A$269:$I$289,6,0)),0%,VLOOKUP(A181,'Données projet'!$A$269:$I$289,6,0)*VLOOKUP('Données projet'!$B$18,'Paramètres'!$A$1:$I$88,7,0))</f>
        <v>0</v>
      </c>
      <c r="HF181" s="155">
        <f>IF(ISNA(VLOOKUP(A181,'Données projet'!$A$269:$I$289,7,0)),0%,VLOOKUP(A181,'Données projet'!$A$269:$I$289,7,0))</f>
        <v>0</v>
      </c>
      <c r="HG181" s="162" t="str">
        <f>EXP(-LN(2)/35)*HG180+(1-EXP(-LN(2)/35))/(LN(2)/35)*HC181*HD181*VLOOKUP('Données projet'!$B$18,'Paramètres'!$A$1:$I$88,3,0)*0.475*44/12</f>
        <v>#N/A</v>
      </c>
      <c r="HH181" s="162" t="str">
        <f>EXP(-LN(2)/25)*HH180+(1-EXP(-LN(2)/25))/(LN(2)/25)*Calculateur!HC181*Calculateur!HE181*VLOOKUP('Données projet'!$B$18,'Paramètres'!$A$1:$I$88,3,0)*0.475*44/12</f>
        <v>#N/A</v>
      </c>
      <c r="HI181" s="162" t="str">
        <f>EXP(-LN(2)/2)*HI180+(1-EXP(-LN(2)/2))/(LN(2)/2)*HC181*HF181*VLOOKUP('Données projet'!$B$18,'Paramètres'!$A$1:$I$88,3,0)*0.475*44/12</f>
        <v>#N/A</v>
      </c>
      <c r="HJ181" s="163" t="str">
        <f t="shared" si="31"/>
        <v>#N/A</v>
      </c>
    </row>
    <row r="182" ht="15.75" customHeight="1">
      <c r="A182" s="145">
        <f t="shared" si="32"/>
        <v>179</v>
      </c>
      <c r="B182" s="146">
        <f>'Scénario référence'!$B$16*5+'Scénario référence'!$B$17*0+'Scénario référence'!$B$18*5</f>
        <v>0</v>
      </c>
      <c r="C182" s="160">
        <f>Calculateur!C181+'Scénario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82" s="147">
        <f t="shared" si="33"/>
        <v>0</v>
      </c>
      <c r="E182" s="147">
        <f>'Scénario référence'!$B$16*45+('Scénario référence'!$B$17+'Scénario référence'!$F$8+'Scénario référence'!$F$9+'Scénario référence'!$B$10+'Scénario référence'!$B$9)*70+'Scénario référence'!$B$18*32</f>
        <v>70</v>
      </c>
      <c r="F182" s="147">
        <f>IF(OR('Scénario référence'!$F$8&gt;0,'Scénario référence'!$F$9&gt;0),('Scénario référence'!$F$8+'Scénario référence'!$F$9)*10,0)</f>
        <v>0</v>
      </c>
      <c r="G182" s="147">
        <f>'Scénario référence'!$B$8*B182*44/12+'Scénario référence'!$B$9*(C182+D182)/0.475*44/12+'Scénario référence'!$B$10*(C182+D182)/0.475*44/12+'Scénario référence'!$F$8*(C182+D182)/0.475*44/12+'Scénario référence'!$F$9*(C182+D182)/0.475*44/12</f>
        <v>0</v>
      </c>
      <c r="H182" s="148">
        <f t="shared" si="1"/>
        <v>256.6666667</v>
      </c>
      <c r="I182" s="149">
        <f>('Scénario référence'!$F$8+'Scénario référence'!$F$9+'Scénario référence'!$B$17+'Scénario référence'!$B$9+'Scénario référence'!$B$10)*70+IF((45+25*(1-EXP(-0.0175*A182)))&lt;70,'Scénario référence'!$B$16*(45+25*(1-EXP(-0.0175*A182))),70*'Scénario référence'!$B$16)+IF((32+38*(1-EXP(-0.0175*A182)))&lt;70,'Scénario référence'!$B$18*(32+38*(1-EXP(-0.0175*A182))),70*'Scénario référence'!$B$18)</f>
        <v>70</v>
      </c>
      <c r="J182" s="150">
        <f>IF(A182&gt;30,10,('Scénario référence'!$B$16+'Scénario référence'!$B$17+'Scénario référence'!$B$18+'Scénario référence'!$B$9+'Scénario référence'!$B$10)*A182*10/30+('Scénario référence'!$F$8+'Scénario référence'!$F$9)*10)</f>
        <v>10</v>
      </c>
      <c r="K182" s="151" t="str">
        <f>VLOOKUP(A182,'Données projet'!$A$35:$I$55,2,0)</f>
        <v>#N/A</v>
      </c>
      <c r="L182" s="151" t="str">
        <f>VLOOKUP(A182,'Données projet'!$A$35:$I$55,9,0)</f>
        <v>#N/A</v>
      </c>
      <c r="M182" s="151" t="str">
        <f t="array" ref="M182">INDEX(L:L,MIN(IF(ISNUMBER(L182:L378),ROW(L182:L378),"")))</f>
        <v/>
      </c>
      <c r="N182" s="150">
        <f>IF('Données projet'!$A$36&gt;35,N181+M182-V181,IF(A182&lt;'Données projet'!$A$36,$K$205^A182,IF(A182='Données projet'!$A$36,'Données projet'!$B$36,N181+M182-V181)))</f>
        <v>307</v>
      </c>
      <c r="O182" s="150">
        <f>N182*VLOOKUP('Données projet'!$B$9,'Paramètres'!$A$1:$I$88,3,0)*VLOOKUP('Données projet'!$B$9,'Paramètres'!$A$1:$I$88,5,0)</f>
        <v>277.7736</v>
      </c>
      <c r="P182" s="150">
        <f t="shared" si="34"/>
        <v>66.49628818</v>
      </c>
      <c r="Q182" s="161">
        <f t="shared" si="2"/>
        <v>599.6033886</v>
      </c>
      <c r="R182" s="153">
        <f t="shared" si="3"/>
        <v>892.9367219</v>
      </c>
      <c r="S182" s="153">
        <f>AVERAGE(OFFSET($R$3,0,0,'Données projet'!$E$9+1,1))-AVERAGE(OFFSET($H$3,0,0,'Données projet'!$E$9+1,1))</f>
        <v>439.1985427</v>
      </c>
      <c r="T182" s="153">
        <f t="shared" si="35"/>
        <v>278.2174123</v>
      </c>
      <c r="U182" s="154">
        <f>IF(ISNA(VLOOKUP(A182,'Données projet'!$A$35:$I$55,3,0)),0,VLOOKUP(A182,'Données projet'!$A$35:$I$55,3,0))</f>
        <v>0</v>
      </c>
      <c r="V182" s="154">
        <f>IF(ISNA(VLOOKUP(A182,'Données projet'!$A$35:$I$55,4,0)),0,VLOOKUP(A182,'Données projet'!$A$35:$I$55,4,0))</f>
        <v>0</v>
      </c>
      <c r="W182" s="155">
        <f>IF(ISNA(VLOOKUP(A182,'Données projet'!$A$35:$I$55,5,0)),0%,VLOOKUP(A182,'Données projet'!$A$35:$I$55,5,0)*VLOOKUP('Données projet'!$B$9,'Paramètres'!$A$1:$I$88,7,0))</f>
        <v>0</v>
      </c>
      <c r="X182" s="155">
        <f>IF(ISNA(VLOOKUP(A182,'Données projet'!$A$35:$I$55,6,0)),0%,VLOOKUP(A182,'Données projet'!$A$35:$I$55,6,0)*VLOOKUP('Données projet'!$B$9,'Paramètres'!$A$1:$I$88,7,0))</f>
        <v>0</v>
      </c>
      <c r="Y182" s="155">
        <f>IF(ISNA(VLOOKUP(A182,'Données projet'!$A$35:$I$55,7,0)),0%,VLOOKUP(A182,'Données projet'!$A$35:$I$55,7,0))</f>
        <v>0</v>
      </c>
      <c r="Z182" s="162">
        <f>EXP(-LN(2)/35)*Z181+(1-EXP(-LN(2)/35))/(LN(2)/35)*V182*W182*VLOOKUP('Données projet'!$B$9,'Paramètres'!$A$1:$I$88,3,0)*0.475*44/12</f>
        <v>0</v>
      </c>
      <c r="AA182" s="162">
        <f>EXP(-LN(2)/25)*AA181+(1-EXP(-LN(2)/25))/(LN(2)/25)*Calculateur!V182*Calculateur!X182*VLOOKUP('Données projet'!$B$9,'Paramètres'!$A$1:$I$88,3,0)*0.475*44/12</f>
        <v>0.07208974757</v>
      </c>
      <c r="AB182" s="162">
        <f>EXP(-LN(2)/2)*AB181+(1-EXP(-LN(2)/2))/(LN(2)/2)*V182*Y182*VLOOKUP('Données projet'!$B$9,'Paramètres'!$A$1:$I$88,3,0)*0.475*44/12</f>
        <v>0</v>
      </c>
      <c r="AC182" s="163">
        <f t="shared" si="4"/>
        <v>0.07208974757</v>
      </c>
      <c r="AD182" s="150">
        <f>('Scénario référence'!$F$8+'Scénario référence'!$F$9+'Scénario référence'!$B$17+'Scénario référence'!$B$9+'Scénario référence'!$B$10)*70+IF((45+25*(1-EXP(-0.0175*A182)))&lt;70,'Scénario référence'!$B$16*(45+25*(1-EXP(-0.0175*A182))),70*'Scénario référence'!$B$16)+IF((32+38*(1-EXP(-0.0175*A182)))&lt;70,'Scénario référence'!$B$18*(32+38*(1-EXP(-0.0175*A182))),70*'Scénario référence'!$B$18)</f>
        <v>70</v>
      </c>
      <c r="AE182" s="150">
        <f>IF(A182&gt;30,10,('Scénario référence'!$B$16+'Scénario référence'!$B$17+'Scénario référence'!$B$18+'Scénario référence'!$B$9+'Scénario référence'!$B$10)*A182*10/30+('Scénario référence'!$F$8+'Scénario référence'!$F$9)*10)</f>
        <v>10</v>
      </c>
      <c r="AF182" s="151" t="str">
        <f>VLOOKUP(A182,'Données projet'!$A$61:$I$81,2,0)</f>
        <v>#N/A</v>
      </c>
      <c r="AG182" s="151" t="str">
        <f>VLOOKUP(A182,'Données projet'!$A$61:$I$81,9,0)</f>
        <v>#N/A</v>
      </c>
      <c r="AH182" s="151" t="str">
        <f t="array" ref="AH182">INDEX(AG:AG,MIN(IF(ISNUMBER(AG182:AG378),ROW(AG182:AG378),"")))</f>
        <v/>
      </c>
      <c r="AI182" s="150">
        <f>IF('Données projet'!$A$62&gt;35,AI181+AH182-AQ181,IF(A182&lt;'Données projet'!$A$62,$AF$205^A182,IF(A182='Données projet'!$A$62,'Données projet'!$B$62,AI181+AH182-AQ181)))</f>
        <v>369</v>
      </c>
      <c r="AJ182" s="150">
        <f>AI182*VLOOKUP('Données projet'!$B$10,'Paramètres'!$A$1:$I$88,3,0)*VLOOKUP('Données projet'!$B$10,'Paramètres'!$A$1:$I$88,5,0)</f>
        <v>293.5764</v>
      </c>
      <c r="AK182" s="150">
        <f t="shared" si="36"/>
        <v>69.82813851</v>
      </c>
      <c r="AL182" s="161">
        <f t="shared" si="5"/>
        <v>632.9295712</v>
      </c>
      <c r="AM182" s="153">
        <f t="shared" si="6"/>
        <v>926.2629046</v>
      </c>
      <c r="AN182" s="153">
        <f>AVERAGE(OFFSET($AM$3,0,0,'Données projet'!$E$10+1,1))-AVERAGE(OFFSET($H$3,0,0,'Données projet'!$E$10+1,1))</f>
        <v>405.6113614</v>
      </c>
      <c r="AO182" s="153">
        <f t="shared" si="37"/>
        <v>393.0787141</v>
      </c>
      <c r="AP182" s="154">
        <f>IF(ISNA(VLOOKUP(A182,'Données projet'!$A$61:$I$81,3,0)),0,VLOOKUP(A182,'Données projet'!$A$61:$I$81,3,0))</f>
        <v>0</v>
      </c>
      <c r="AQ182" s="154">
        <f>IF(ISNA(VLOOKUP(A182,'Données projet'!$A$61:$I$81,4,0)),0,VLOOKUP(A182,'Données projet'!$A$61:$I$81,4,0))</f>
        <v>0</v>
      </c>
      <c r="AR182" s="155">
        <f>IF(ISNA(VLOOKUP(A182,'Données projet'!$A$61:$I$81,5,0)),0%,VLOOKUP(A182,'Données projet'!$A$61:$I$81,5,0)*VLOOKUP('Données projet'!$B$10,'Paramètres'!$A$1:$I$88,7,0))</f>
        <v>0</v>
      </c>
      <c r="AS182" s="155">
        <f>IF(ISNA(VLOOKUP(A182,'Données projet'!$A$61:$I$81,6,0)),0%,VLOOKUP(A182,'Données projet'!$A$61:$I$81,6,0)*VLOOKUP('Données projet'!$B$10,'Paramètres'!$A$1:$I$88,7,0))</f>
        <v>0</v>
      </c>
      <c r="AT182" s="155">
        <f>IF(ISNA(VLOOKUP(A182,'Données projet'!$A$61:$I$81,7,0)),0%,VLOOKUP(A182,'Données projet'!$A$61:$I$81,7,0))</f>
        <v>0</v>
      </c>
      <c r="AU182" s="162">
        <f>EXP(-LN(2)/35)*AU181+(1-EXP(-LN(2)/35))/(LN(2)/35)*AQ182*AR182*VLOOKUP('Données projet'!$B$10,'Paramètres'!$A$1:$I$88,3,0)*0.475*44/12</f>
        <v>0</v>
      </c>
      <c r="AV182" s="162">
        <f>EXP(-LN(2)/25)*AV181+(1-EXP(-LN(2)/25))/(LN(2)/25)*Calculateur!AQ182*Calculateur!AS182*VLOOKUP('Données projet'!$B$10,'Paramètres'!$A$1:$I$88,3,0)*0.475*44/12</f>
        <v>0.2929910601</v>
      </c>
      <c r="AW182" s="162">
        <f>EXP(-LN(2)/2)*AW181+(1-EXP(-LN(2)/2))/(LN(2)/2)*AQ182*AT182*VLOOKUP('Données projet'!$B$10,'Paramètres'!$A$1:$I$88,3,0)*0.475*44/12</f>
        <v>0</v>
      </c>
      <c r="AX182" s="162">
        <f t="shared" si="7"/>
        <v>0.2929910601</v>
      </c>
      <c r="AY182" s="157">
        <f>('Scénario référence'!$F$8+'Scénario référence'!$F$9+'Scénario référence'!$B$17+'Scénario référence'!$B$9+'Scénario référence'!$B$10)*70+IF((45+25*(1-EXP(-0.0175*A182)))&lt;70,'Scénario référence'!$B$16*(45+25*(1-EXP(-0.0175*A182))),70*'Scénario référence'!$B$16)+IF((32+38*(1-EXP(-0.0175*A182)))&lt;70,'Scénario référence'!$B$18*(32+38*(1-EXP(-0.0175*A182))),70*'Scénario référence'!$B$18)</f>
        <v>70</v>
      </c>
      <c r="AZ182" s="151">
        <f>IF(A182&gt;30,10,('Scénario référence'!$B$16+'Scénario référence'!$B$17+'Scénario référence'!$B$18+'Scénario référence'!$B$9+'Scénario référence'!$B$10)*A182*10/30+('Scénario référence'!$F$8+'Scénario référence'!$F$9)*10)</f>
        <v>10</v>
      </c>
      <c r="BA182" s="151" t="str">
        <f>VLOOKUP(A182,'Données projet'!$A$87:$I$107,2,0)</f>
        <v>#N/A</v>
      </c>
      <c r="BB182" s="151" t="str">
        <f>VLOOKUP(A182,'Données projet'!$A$87:$I$107,9,0)</f>
        <v>#N/A</v>
      </c>
      <c r="BC182" s="151" t="str">
        <f t="array" ref="BC182">INDEX(BB:BB,MIN(IF(ISNUMBER(BB182:BB378),ROW(BB182:BB378),"")))</f>
        <v/>
      </c>
      <c r="BD182" s="150">
        <f>IF('Données projet'!$A$88&gt;35,BD181+BC182-BL181,IF(A182&lt;'Données projet'!$A$88,$BA$205^A182,IF(A182='Données projet'!$A$88,'Données projet'!$B$88,BD181+BC182-BL181)))</f>
        <v>0</v>
      </c>
      <c r="BE182" s="150">
        <f>BD182*VLOOKUP('Données projet'!$B$11,'Paramètres'!$A$1:$I$88,3,0)*VLOOKUP('Données projet'!$B$11,'Paramètres'!$A$1:$I$88,5,0)</f>
        <v>0</v>
      </c>
      <c r="BF182" s="150" t="str">
        <f t="shared" si="38"/>
        <v>#NUM!</v>
      </c>
      <c r="BG182" s="161" t="str">
        <f t="shared" si="8"/>
        <v>#NUM!</v>
      </c>
      <c r="BH182" s="153" t="str">
        <f t="shared" si="9"/>
        <v>#NUM!</v>
      </c>
      <c r="BI182" s="153">
        <f>AVERAGE(OFFSET($BH$3,0,0,'Données projet'!$E$11+1,1))-AVERAGE(OFFSET($H$3,0,0,'Données projet'!$E$11+1,1))</f>
        <v>0</v>
      </c>
      <c r="BJ182" s="153">
        <f t="shared" si="39"/>
        <v>0</v>
      </c>
      <c r="BK182" s="154">
        <f>IF(ISNA(VLOOKUP(A182,'Données projet'!$A$87:$I$107,3,0)),0,VLOOKUP(A182,'Données projet'!$A$87:$I$107,3,0))</f>
        <v>0</v>
      </c>
      <c r="BL182" s="154">
        <f>IF(ISNA(VLOOKUP(A182,'Données projet'!$A$87:$I$107,4,0)),0,VLOOKUP(A182,'Données projet'!$A$87:$I$107,4,0))</f>
        <v>0</v>
      </c>
      <c r="BM182" s="155">
        <f>IF(ISNA(VLOOKUP(A182,'Données projet'!$A$87:$I$107,5,0)),0%,VLOOKUP(A182,'Données projet'!$A$87:$I$107,5,0)*VLOOKUP('Données projet'!$B$11,'Paramètres'!$A$1:$I$88,7,0))</f>
        <v>0</v>
      </c>
      <c r="BN182" s="155">
        <f>IF(ISNA(VLOOKUP(A182,'Données projet'!$A$87:$I$107,6,0)),0%,VLOOKUP(A182,'Données projet'!$A$87:$I$107,6,0)*VLOOKUP('Données projet'!$B$11,'Paramètres'!$A$1:$I$88,7,0))</f>
        <v>0</v>
      </c>
      <c r="BO182" s="155">
        <f>IF(ISNA(VLOOKUP(A182,'Données projet'!$A$87:$I$107,7,0)),0%,VLOOKUP(A182,'Données projet'!$A$87:$I$107,7,0))</f>
        <v>0</v>
      </c>
      <c r="BP182" s="162">
        <f>EXP(-LN(2)/35)*BP181+(1-EXP(-LN(2)/35))/(LN(2)/35)*BL182*BM182*VLOOKUP('Données projet'!$B$11,'Paramètres'!$A$1:$I$88,3,0)*0.475*44/12</f>
        <v>0</v>
      </c>
      <c r="BQ182" s="162">
        <f>EXP(-LN(2)/25)*BQ181+(1-EXP(-LN(2)/25))/(LN(2)/25)*Calculateur!BL182*Calculateur!BN182*VLOOKUP('Données projet'!$B$11,'Paramètres'!$A$1:$I$88,3,0)*0.475*44/12</f>
        <v>0</v>
      </c>
      <c r="BR182" s="162">
        <f>EXP(-LN(2)/2)*BR181+(1-EXP(-LN(2)/2))/(LN(2)/2)*BL182*BO182*VLOOKUP('Données projet'!$B$11,'Paramètres'!$A$1:$I$88,3,0)*0.475*44/12</f>
        <v>0</v>
      </c>
      <c r="BS182" s="163">
        <f t="shared" si="10"/>
        <v>0</v>
      </c>
      <c r="BT182" s="159">
        <f>('Scénario référence'!$F$8+'Scénario référence'!$F$9+'Scénario référence'!$B$17+'Scénario référence'!$B$9+'Scénario référence'!$B$10)*70+IF((45+25*(1-EXP(-0.0175*A182)))&lt;70,'Scénario référence'!$B$16*(45+25*(1-EXP(-0.0175*A182))),70*'Scénario référence'!$B$16)+IF((32+38*(1-EXP(-0.0175*A182)))&lt;70,'Scénario référence'!$B$18*(32+38*(1-EXP(-0.0175*A182))),70*'Scénario référence'!$B$18)</f>
        <v>70</v>
      </c>
      <c r="BU182" s="151">
        <f>IF(A182&gt;30,10,('Scénario référence'!$B$16+'Scénario référence'!$B$17+'Scénario référence'!$B$18+'Scénario référence'!$B$9+'Scénario référence'!$B$10)*A182*10/30+('Scénario référence'!$F$8+'Scénario référence'!$F$9)*10)</f>
        <v>10</v>
      </c>
      <c r="BV182" s="151" t="str">
        <f>VLOOKUP(A182,'Données projet'!$A$113:$I$133,2,0)</f>
        <v>#N/A</v>
      </c>
      <c r="BW182" s="151" t="str">
        <f>VLOOKUP(A182,'Données projet'!$A$113:$I$133,9,0)</f>
        <v>#N/A</v>
      </c>
      <c r="BX182" s="151" t="str">
        <f t="array" ref="BX182">INDEX(BW:BW,MIN(IF(ISNUMBER(BW182:BW378),ROW(BW182:BW378),"")))</f>
        <v/>
      </c>
      <c r="BY182" s="150">
        <f>IF('Données projet'!$A$114&gt;35,BY181+BX182-CG181,IF(A182&lt;'Données projet'!$A$114,$BV$205^A182,IF(A182='Données projet'!$A$114,'Données projet'!$B$114,BY181+BX182-CG181)))</f>
        <v>0</v>
      </c>
      <c r="BZ182" s="150" t="str">
        <f>BY182*VLOOKUP('Données projet'!$B$12,'Paramètres'!$A$1:$I$88,3,0)*VLOOKUP('Données projet'!$B$12,'Paramètres'!$A$1:$I$88,5,0)</f>
        <v>#N/A</v>
      </c>
      <c r="CA182" s="150" t="str">
        <f t="shared" si="40"/>
        <v>#N/A</v>
      </c>
      <c r="CB182" s="161" t="str">
        <f t="shared" si="11"/>
        <v>#N/A</v>
      </c>
      <c r="CC182" s="153" t="str">
        <f t="shared" si="12"/>
        <v>#N/A</v>
      </c>
      <c r="CD182" s="153" t="str">
        <f>AVERAGE(OFFSET($CC$3,0,0,'Données projet'!$E$12+1,1))-AVERAGE(OFFSET($H$3,0,0,'Données projet'!$E$12+1,1))</f>
        <v>#N/A</v>
      </c>
      <c r="CE182" s="153" t="str">
        <f t="shared" si="41"/>
        <v>#N/A</v>
      </c>
      <c r="CF182" s="154">
        <f>IF(ISNA(VLOOKUP(A182,'Données projet'!$A$113:$I$133,3,0)),0,VLOOKUP(A182,'Données projet'!$A$113:$I$133,3,0))</f>
        <v>0</v>
      </c>
      <c r="CG182" s="154">
        <f>IF(ISNA(VLOOKUP(A182,'Données projet'!$A$113:$I$133,4,0)),0,VLOOKUP(A182,'Données projet'!$A$113:$I$133,4,0))</f>
        <v>0</v>
      </c>
      <c r="CH182" s="155">
        <f>IF(ISNA(VLOOKUP(A182,'Données projet'!$A$113:$I$133,5,0)),0%,VLOOKUP(A182,'Données projet'!$A$113:$I$133,5,0)*VLOOKUP('Données projet'!$B$12,'Paramètres'!$A$1:$I$88,7,0))</f>
        <v>0</v>
      </c>
      <c r="CI182" s="155">
        <f>IF(ISNA(VLOOKUP(A182,'Données projet'!$A$113:$I$133,6,0)),0%,VLOOKUP(A182,'Données projet'!$A$113:$I$133,6,0)*VLOOKUP('Données projet'!$B$12,'Paramètres'!$A$1:$I$88,7,0))</f>
        <v>0</v>
      </c>
      <c r="CJ182" s="155">
        <f>IF(ISNA(VLOOKUP(A182,'Données projet'!$A$113:$I$133,7,0)),0%,VLOOKUP(A182,'Données projet'!$A$113:$I$133,7,0))</f>
        <v>0</v>
      </c>
      <c r="CK182" s="162" t="str">
        <f>EXP(-LN(2)/35)*CK181+(1-EXP(-LN(2)/35))/(LN(2)/35)*CG182*CH182*VLOOKUP('Données projet'!$B$12,'Paramètres'!$A$1:$I$88,3,0)*0.475*44/12</f>
        <v>#N/A</v>
      </c>
      <c r="CL182" s="162" t="str">
        <f>EXP(-LN(2)/25)*CL181+(1-EXP(-LN(2)/25))/(LN(2)/25)*Calculateur!CG182*Calculateur!CI182*VLOOKUP('Données projet'!$B$12,'Paramètres'!$A$1:$I$88,3,0)*0.475*44/12</f>
        <v>#N/A</v>
      </c>
      <c r="CM182" s="162" t="str">
        <f>EXP(-LN(2)/2)*CM181+(1-EXP(-LN(2)/2))/(LN(2)/2)*CG182*CJ182*VLOOKUP('Données projet'!$B$12,'Paramètres'!$A$1:$I$88,3,0)*0.475*44/12</f>
        <v>#N/A</v>
      </c>
      <c r="CN182" s="163" t="str">
        <f t="shared" si="13"/>
        <v>#N/A</v>
      </c>
      <c r="CO182" s="159">
        <f>('Scénario référence'!$F$8+'Scénario référence'!$F$9+'Scénario référence'!$B$17+'Scénario référence'!$B$9+'Scénario référence'!$B$10)*70+IF((45+25*(1-EXP(-0.0175*A182)))&lt;70,'Scénario référence'!$B$16*(45+25*(1-EXP(-0.0175*A182))),70*'Scénario référence'!$B$16)+IF((32+38*(1-EXP(-0.0175*A182)))&lt;70,'Scénario référence'!$B$18*(32+38*(1-EXP(-0.0175*A182))),70*'Scénario référence'!$B$18)</f>
        <v>70</v>
      </c>
      <c r="CP182" s="151">
        <f>IF(A182&gt;30,10,('Scénario référence'!$B$16+'Scénario référence'!$B$17+'Scénario référence'!$B$18+'Scénario référence'!$B$9+'Scénario référence'!$B$10)*A182*10/30+('Scénario référence'!$F$8+'Scénario référence'!$F$9)*10)</f>
        <v>10</v>
      </c>
      <c r="CQ182" s="151" t="str">
        <f>VLOOKUP(A182,'Données projet'!$A$139:$I$159,2,0)</f>
        <v>#N/A</v>
      </c>
      <c r="CR182" s="151" t="str">
        <f>VLOOKUP(A182,'Données projet'!$A$139:$I$159,9,0)</f>
        <v>#N/A</v>
      </c>
      <c r="CS182" s="151" t="str">
        <f t="array" ref="CS182">INDEX(CR:CR,MIN(IF(ISNUMBER(CR182:CR378),ROW(CR182:CR378),"")))</f>
        <v/>
      </c>
      <c r="CT182" s="151">
        <f>IF('Données projet'!$A$140&gt;35,CT181+CS182-DB181,IF(A182&lt;'Données projet'!$A$140,$CQ$205^A182,IF(A182='Données projet'!$A$140,'Données projet'!$B$140,CT181+CS182-DB181)))</f>
        <v>0</v>
      </c>
      <c r="CU182" s="158" t="str">
        <f>CT182*VLOOKUP('Données projet'!$B$13,'Paramètres'!$A$1:$I$88,3,0)*VLOOKUP('Données projet'!$B$13,'Paramètres'!$A$1:$I$88,5,0)</f>
        <v>#N/A</v>
      </c>
      <c r="CV182" s="150" t="str">
        <f t="shared" si="42"/>
        <v>#N/A</v>
      </c>
      <c r="CW182" s="161" t="str">
        <f t="shared" si="14"/>
        <v>#N/A</v>
      </c>
      <c r="CX182" s="153" t="str">
        <f t="shared" si="15"/>
        <v>#N/A</v>
      </c>
      <c r="CY182" s="153" t="str">
        <f>AVERAGE(OFFSET($CX$3,0,0,'Données projet'!$E$13+1,1))-AVERAGE(OFFSET($H$3,0,0,'Données projet'!$E$13+1,1))</f>
        <v>#N/A</v>
      </c>
      <c r="CZ182" s="153" t="str">
        <f t="shared" si="43"/>
        <v>#N/A</v>
      </c>
      <c r="DA182" s="154">
        <f>IF(ISNA(VLOOKUP(A182,'Données projet'!$A$139:$I$159,3,0)),0,VLOOKUP(A182,'Données projet'!$A$139:$I$159,3,0))</f>
        <v>0</v>
      </c>
      <c r="DB182" s="154">
        <f>IF(ISNA(VLOOKUP(A182,'Données projet'!$A$139:$I$159,4,0)),0,VLOOKUP(A182,'Données projet'!$A$139:$I$159,4,0))</f>
        <v>0</v>
      </c>
      <c r="DC182" s="155">
        <f>IF(ISNA(VLOOKUP(A182,'Données projet'!$A$139:$I$159,5,0)),0%,VLOOKUP(A182,'Données projet'!$A$139:$I$159,5,0)*VLOOKUP('Données projet'!$B$13,'Paramètres'!$A$1:$I$88,7,0))</f>
        <v>0</v>
      </c>
      <c r="DD182" s="155">
        <f>IF(ISNA(VLOOKUP(A182,'Données projet'!$A$139:$I$159,6,0)),0%,VLOOKUP(A182,'Données projet'!$A$139:$I$159,6,0)*VLOOKUP('Données projet'!$B$13,'Paramètres'!$A$1:$I$88,7,0))</f>
        <v>0</v>
      </c>
      <c r="DE182" s="155">
        <f>IF(ISNA(VLOOKUP(A182,'Données projet'!$A$139:$I$159,7,0)),0%,VLOOKUP(A182,'Données projet'!$A$139:$I$159,7,0))</f>
        <v>0</v>
      </c>
      <c r="DF182" s="162" t="str">
        <f>EXP(-LN(2)/35)*DF181+(1-EXP(-LN(2)/35))/(LN(2)/35)*DB182*DC182*VLOOKUP('Données projet'!$B$13,'Paramètres'!$A$1:$I$88,3,0)*0.475*44/12</f>
        <v>#N/A</v>
      </c>
      <c r="DG182" s="162" t="str">
        <f>EXP(-LN(2)/25)*DG181+(1-EXP(-LN(2)/25))/(LN(2)/25)*Calculateur!DB182*Calculateur!DD182*VLOOKUP('Données projet'!$B$13,'Paramètres'!$A$1:$I$88,3,0)*0.475*44/12</f>
        <v>#N/A</v>
      </c>
      <c r="DH182" s="162" t="str">
        <f>EXP(-LN(2)/2)*DH181+(1-EXP(-LN(2)/2))/(LN(2)/2)*DB182*DE182*VLOOKUP('Données projet'!$B$13,'Paramètres'!$A$1:$I$88,3,0)*0.475*44/12</f>
        <v>#N/A</v>
      </c>
      <c r="DI182" s="163" t="str">
        <f t="shared" si="16"/>
        <v>#N/A</v>
      </c>
      <c r="DJ182" s="159">
        <f>('Scénario référence'!$F$8+'Scénario référence'!$F$9+'Scénario référence'!$B$17+'Scénario référence'!$B$9+'Scénario référence'!$B$10)*70+IF((45+25*(1-EXP(-0.0175*A182)))&lt;70,'Scénario référence'!$B$16*(45+25*(1-EXP(-0.0175*A182))),70*'Scénario référence'!$B$16)+IF((32+38*(1-EXP(-0.0175*A182)))&lt;70,'Scénario référence'!$B$18*(32+38*(1-EXP(-0.0175*A182))),70*'Scénario référence'!$B$18)</f>
        <v>70</v>
      </c>
      <c r="DK182" s="151">
        <f>IF(A182&gt;30,10,('Scénario référence'!$B$16+'Scénario référence'!$B$17+'Scénario référence'!$B$18+'Scénario référence'!$B$9+'Scénario référence'!$B$10)*A182*10/30+('Scénario référence'!$F$8+'Scénario référence'!$F$9)*10)</f>
        <v>10</v>
      </c>
      <c r="DL182" s="151" t="str">
        <f>VLOOKUP(A182,'Données projet'!$A$165:$I$185,2,0)</f>
        <v>#N/A</v>
      </c>
      <c r="DM182" s="151" t="str">
        <f>VLOOKUP(A182,'Données projet'!$A$165:$I$185,9,0)</f>
        <v>#N/A</v>
      </c>
      <c r="DN182" s="151" t="str">
        <f t="array" ref="DN182">INDEX(DM:DM,MIN(IF(ISNUMBER(DM182:DM378),ROW(DM182:DM378),"")))</f>
        <v/>
      </c>
      <c r="DO182" s="151">
        <f>IF('Données projet'!$A$166&gt;35,DO181+DN182-DW181,IF(A182&lt;'Données projet'!$A$166,$DL$205^A182,IF(A182='Données projet'!$A$166,'Données projet'!$B$166,DO181+DN182-DW181)))</f>
        <v>0</v>
      </c>
      <c r="DP182" s="158" t="str">
        <f>DO182*VLOOKUP('Données projet'!$B$14,'Paramètres'!$A$1:$I$88,3,0)*VLOOKUP('Données projet'!$B$14,'Paramètres'!$A$1:$I$88,5,0)</f>
        <v>#N/A</v>
      </c>
      <c r="DQ182" s="150" t="str">
        <f t="shared" si="44"/>
        <v>#N/A</v>
      </c>
      <c r="DR182" s="161" t="str">
        <f t="shared" si="17"/>
        <v>#N/A</v>
      </c>
      <c r="DS182" s="153" t="str">
        <f t="shared" si="18"/>
        <v>#N/A</v>
      </c>
      <c r="DT182" s="153" t="str">
        <f>AVERAGE(OFFSET($DS$3,0,0,'Données projet'!$E$14+1,1))-AVERAGE(OFFSET($H$3,0,0,'Données projet'!$E$14+1,1))</f>
        <v>#N/A</v>
      </c>
      <c r="DU182" s="153" t="str">
        <f t="shared" si="45"/>
        <v>#N/A</v>
      </c>
      <c r="DV182" s="154">
        <f>IF(ISNA(VLOOKUP(A182,'Données projet'!$A$165:$I$185,3,0)),0,VLOOKUP(A182,'Données projet'!$A$165:$I$185,3,0))</f>
        <v>0</v>
      </c>
      <c r="DW182" s="154">
        <f>IF(ISNA(VLOOKUP(A182,'Données projet'!$A$165:$I$185,4,0)),0,VLOOKUP(A182,'Données projet'!$A$165:$I$185,4,0))</f>
        <v>0</v>
      </c>
      <c r="DX182" s="155">
        <f>IF(ISNA(VLOOKUP(A182,'Données projet'!$A$165:$I$185,5,0)),0%,VLOOKUP(A182,'Données projet'!$A$165:$I$185,5,0)*VLOOKUP('Données projet'!$B$14,'Paramètres'!$A$1:$I$88,7,0))</f>
        <v>0</v>
      </c>
      <c r="DY182" s="155">
        <f>IF(ISNA(VLOOKUP(A182,'Données projet'!$A$165:$I$185,6,0)),0%,VLOOKUP(A182,'Données projet'!$A$165:$I$185,6,0)*VLOOKUP('Données projet'!$B$14,'Paramètres'!$A$1:$I$88,7,0))</f>
        <v>0</v>
      </c>
      <c r="DZ182" s="155">
        <f>IF(ISNA(VLOOKUP(A182,'Données projet'!$A$165:$I$185,7,0)),0%,VLOOKUP(A182,'Données projet'!$A$165:$I$185,7,0))</f>
        <v>0</v>
      </c>
      <c r="EA182" s="162" t="str">
        <f>EXP(-LN(2)/35)*EA181+(1-EXP(-LN(2)/35))/(LN(2)/35)*DW182*DX182*VLOOKUP('Données projet'!$B$14,'Paramètres'!$A$1:$I$88,3,0)*0.475*44/12</f>
        <v>#N/A</v>
      </c>
      <c r="EB182" s="162" t="str">
        <f>EXP(-LN(2)/25)*EB181+(1-EXP(-LN(2)/25))/(LN(2)/25)*Calculateur!DW182*Calculateur!DY182*VLOOKUP('Données projet'!$B$14,'Paramètres'!$A$1:$I$88,3,0)*0.475*44/12</f>
        <v>#N/A</v>
      </c>
      <c r="EC182" s="162" t="str">
        <f>EXP(-LN(2)/2)*EC181+(1-EXP(-LN(2)/2))/(LN(2)/2)*DW182*DZ182*VLOOKUP('Données projet'!$B$14,'Paramètres'!$A$1:$I$88,3,0)*0.475*44/12</f>
        <v>#N/A</v>
      </c>
      <c r="ED182" s="163" t="str">
        <f t="shared" si="19"/>
        <v>#N/A</v>
      </c>
      <c r="EE182" s="159">
        <f>('Scénario référence'!$F$8+'Scénario référence'!$F$9+'Scénario référence'!$B$17+'Scénario référence'!$B$9+'Scénario référence'!$B$10)*70+IF((45+25*(1-EXP(-0.0175*A182)))&lt;70,'Scénario référence'!$B$16*(45+25*(1-EXP(-0.0175*A182))),70*'Scénario référence'!$B$16)+IF((32+38*(1-EXP(-0.0175*A182)))&lt;70,'Scénario référence'!$B$18*(32+38*(1-EXP(-0.0175*A182))),70*'Scénario référence'!$B$18)</f>
        <v>70</v>
      </c>
      <c r="EF182" s="151">
        <f>IF(A182&gt;30,10,('Scénario référence'!$B$16+'Scénario référence'!$B$17+'Scénario référence'!$B$18+'Scénario référence'!$B$9+'Scénario référence'!$B$10)*A182*10/30+('Scénario référence'!$F$8+'Scénario référence'!$F$9)*10)</f>
        <v>10</v>
      </c>
      <c r="EG182" s="151" t="str">
        <f>VLOOKUP(A182,'Données projet'!$A$191:$I$211,2,0)</f>
        <v>#N/A</v>
      </c>
      <c r="EH182" s="151" t="str">
        <f>VLOOKUP(A182,'Données projet'!$A$191:$I$211,9,0)</f>
        <v>#N/A</v>
      </c>
      <c r="EI182" s="151" t="str">
        <f t="array" ref="EI182">INDEX(EH:EH,MIN(IF(ISNUMBER(EH182:EH378),ROW(EH182:EH378),"")))</f>
        <v/>
      </c>
      <c r="EJ182" s="151">
        <f>IF('Données projet'!$A$192&gt;35,EJ181+EI182-ER181,IF(A182&lt;'Données projet'!$A$192,$EG$205^A182,IF(A182='Données projet'!$A$192,'Données projet'!$B$192,EJ181+EI182-ER181)))</f>
        <v>0</v>
      </c>
      <c r="EK182" s="158" t="str">
        <f>EJ182*VLOOKUP('Données projet'!$B$15,'Paramètres'!$A$1:$I$88,3,0)*VLOOKUP('Données projet'!$B$15,'Paramètres'!$A$1:$I$88,5,0)</f>
        <v>#N/A</v>
      </c>
      <c r="EL182" s="150" t="str">
        <f t="shared" si="46"/>
        <v>#N/A</v>
      </c>
      <c r="EM182" s="161" t="str">
        <f t="shared" si="20"/>
        <v>#N/A</v>
      </c>
      <c r="EN182" s="153" t="str">
        <f t="shared" si="21"/>
        <v>#N/A</v>
      </c>
      <c r="EO182" s="153" t="str">
        <f>AVERAGE(OFFSET($EN$3,0,0,'Données projet'!$E$15+1,1))-AVERAGE(OFFSET($H$3,0,0,'Données projet'!$E$15+1,1))</f>
        <v>#N/A</v>
      </c>
      <c r="EP182" s="153" t="str">
        <f t="shared" si="47"/>
        <v>#N/A</v>
      </c>
      <c r="EQ182" s="154">
        <f>IF(ISNA(VLOOKUP(A182,'Données projet'!$A$191:$I$211,3,0)),0,VLOOKUP(A182,'Données projet'!$A$191:$I$211,3,0))</f>
        <v>0</v>
      </c>
      <c r="ER182" s="154">
        <f>IF(ISNA(VLOOKUP(A182,'Données projet'!$A$191:$I$211,4,0)),0,VLOOKUP(A182,'Données projet'!$A$191:$I$211,4,0))</f>
        <v>0</v>
      </c>
      <c r="ES182" s="155">
        <f>IF(ISNA(VLOOKUP(A182,'Données projet'!$A$191:$I$211,5,0)),0%,VLOOKUP(A182,'Données projet'!$A$191:$I$211,5,0)*VLOOKUP('Données projet'!$B$15,'Paramètres'!$A$1:$I$88,7,0))</f>
        <v>0</v>
      </c>
      <c r="ET182" s="155">
        <f>IF(ISNA(VLOOKUP(A182,'Données projet'!$A$191:$I$211,6,0)),0%,VLOOKUP(A182,'Données projet'!$A$191:$I$211,6,0)*VLOOKUP('Données projet'!$B$15,'Paramètres'!$A$1:$I$88,7,0))</f>
        <v>0</v>
      </c>
      <c r="EU182" s="155">
        <f>IF(ISNA(VLOOKUP(A182,'Données projet'!$A$191:$I$211,7,0)),0%,VLOOKUP(A182,'Données projet'!$A$191:$I$211,7,0))</f>
        <v>0</v>
      </c>
      <c r="EV182" s="162" t="str">
        <f>EXP(-LN(2)/35)*EV181+(1-EXP(-LN(2)/35))/(LN(2)/35)*ER182*ES182*VLOOKUP('Données projet'!$B$15,'Paramètres'!$A$1:$I$88,3,0)*0.475*44/12</f>
        <v>#N/A</v>
      </c>
      <c r="EW182" s="162" t="str">
        <f>EXP(-LN(2)/25)*EW181+(1-EXP(-LN(2)/25))/(LN(2)/25)*Calculateur!ER182*Calculateur!ET182*VLOOKUP('Données projet'!$B$15,'Paramètres'!$A$1:$I$88,3,0)*0.475*44/12</f>
        <v>#N/A</v>
      </c>
      <c r="EX182" s="162" t="str">
        <f>EXP(-LN(2)/2)*EX181+(1-EXP(-LN(2)/2))/(LN(2)/2)*ER182*EU182*VLOOKUP('Données projet'!$B$15,'Paramètres'!$A$1:$I$88,3,0)*0.475*44/12</f>
        <v>#N/A</v>
      </c>
      <c r="EY182" s="163" t="str">
        <f t="shared" si="22"/>
        <v>#N/A</v>
      </c>
      <c r="EZ182" s="159">
        <f>('Scénario référence'!$F$8+'Scénario référence'!$F$9+'Scénario référence'!$B$17+'Scénario référence'!$B$9+'Scénario référence'!$B$10)*70+IF((45+25*(1-EXP(-0.0175*A182)))&lt;70,'Scénario référence'!$B$16*(45+25*(1-EXP(-0.0175*A182))),70*'Scénario référence'!$B$16)+IF((32+38*(1-EXP(-0.0175*A182)))&lt;70,'Scénario référence'!$B$18*(32+38*(1-EXP(-0.0175*A182))),70*'Scénario référence'!$B$18)</f>
        <v>70</v>
      </c>
      <c r="FA182" s="151">
        <f>IF(A182&gt;30,10,('Scénario référence'!$B$16+'Scénario référence'!$B$17+'Scénario référence'!$B$18+'Scénario référence'!$B$9+'Scénario référence'!$B$10)*A182*10/30+('Scénario référence'!$F$8+'Scénario référence'!$F$9)*10)</f>
        <v>10</v>
      </c>
      <c r="FB182" s="151" t="str">
        <f>VLOOKUP(A182,'Données projet'!$A$217:$I$237,2,0)</f>
        <v>#N/A</v>
      </c>
      <c r="FC182" s="151" t="str">
        <f>VLOOKUP(A182,'Données projet'!$A$217:$I$237,9,0)</f>
        <v>#N/A</v>
      </c>
      <c r="FD182" s="151" t="str">
        <f t="array" ref="FD182">INDEX(FC:FC,MIN(IF(ISNUMBER(FC182:FC378),ROW(FC182:FC378),"")))</f>
        <v/>
      </c>
      <c r="FE182" s="151">
        <f>IF('Données projet'!$A$218&gt;35,FE181+FD182-FM181,IF(A182&lt;'Données projet'!$A$218,$FB$205^A182,IF(A182='Données projet'!$A$218,'Données projet'!$B$218,FE181+FD182-FM181)))</f>
        <v>0</v>
      </c>
      <c r="FF182" s="158" t="str">
        <f>FE182*VLOOKUP('Données projet'!$B$16,'Paramètres'!$A$1:$I$88,3,0)*VLOOKUP('Données projet'!$B$16,'Paramètres'!$A$1:$I$88,5,0)</f>
        <v>#N/A</v>
      </c>
      <c r="FG182" s="150" t="str">
        <f t="shared" si="48"/>
        <v>#N/A</v>
      </c>
      <c r="FH182" s="161" t="str">
        <f t="shared" si="23"/>
        <v>#N/A</v>
      </c>
      <c r="FI182" s="153" t="str">
        <f t="shared" si="24"/>
        <v>#N/A</v>
      </c>
      <c r="FJ182" s="153" t="str">
        <f>AVERAGE(OFFSET($FI$3,0,0,'Données projet'!$E$16+1,1))-AVERAGE(OFFSET($H$3,0,0,'Données projet'!$E$16+1,1))</f>
        <v>#N/A</v>
      </c>
      <c r="FK182" s="153" t="str">
        <f t="shared" si="49"/>
        <v>#N/A</v>
      </c>
      <c r="FL182" s="154">
        <f>IF(ISNA(VLOOKUP(A182,'Données projet'!$A$217:$I$237,3,0)),0,VLOOKUP(A182,'Données projet'!$A$217:$I$237,3,0))</f>
        <v>0</v>
      </c>
      <c r="FM182" s="154">
        <f>IF(ISNA(VLOOKUP(A182,'Données projet'!$A$217:$I$237,4,0)),0,VLOOKUP(A182,'Données projet'!$A$217:$I$237,4,0))</f>
        <v>0</v>
      </c>
      <c r="FN182" s="155">
        <f>IF(ISNA(VLOOKUP(A182,'Données projet'!$A$217:$I$237,5,0)),0%,VLOOKUP(A182,'Données projet'!$A$217:$I$237,5,0)*VLOOKUP('Données projet'!$B$16,'Paramètres'!$A$1:$I$88,7,0))</f>
        <v>0</v>
      </c>
      <c r="FO182" s="155">
        <f>IF(ISNA(VLOOKUP(A182,'Données projet'!$A$217:$I$237,6,0)),0%,VLOOKUP(A182,'Données projet'!$A$217:$I$237,6,0)*VLOOKUP('Données projet'!$B$16,'Paramètres'!$A$1:$I$88,7,0))</f>
        <v>0</v>
      </c>
      <c r="FP182" s="155">
        <f>IF(ISNA(VLOOKUP(A182,'Données projet'!$A$217:$I$237,7,0)),0%,VLOOKUP(A182,'Données projet'!$A$217:$I$237,7,0))</f>
        <v>0</v>
      </c>
      <c r="FQ182" s="162" t="str">
        <f>EXP(-LN(2)/35)*FQ181+(1-EXP(-LN(2)/35))/(LN(2)/35)*FM182*FN182*VLOOKUP('Données projet'!$B$16,'Paramètres'!$A$1:$I$88,3,0)*0.475*44/12</f>
        <v>#N/A</v>
      </c>
      <c r="FR182" s="162" t="str">
        <f>EXP(-LN(2)/25)*FR181+(1-EXP(-LN(2)/25))/(LN(2)/25)*Calculateur!FM182*Calculateur!FO182*VLOOKUP('Données projet'!$B$16,'Paramètres'!$A$1:$I$88,3,0)*0.475*44/12</f>
        <v>#N/A</v>
      </c>
      <c r="FS182" s="162" t="str">
        <f>EXP(-LN(2)/2)*FS181+(1-EXP(-LN(2)/2))/(LN(2)/2)*FM182*FP182*VLOOKUP('Données projet'!$B$16,'Paramètres'!$A$1:$I$88,3,0)*0.475*44/12</f>
        <v>#N/A</v>
      </c>
      <c r="FT182" s="163" t="str">
        <f t="shared" si="25"/>
        <v>#N/A</v>
      </c>
      <c r="FU182" s="159">
        <f>('Scénario référence'!$F$8+'Scénario référence'!$F$9+'Scénario référence'!$B$17+'Scénario référence'!$B$9+'Scénario référence'!$B$10)*70+IF((45+25*(1-EXP(-0.0175*A182)))&lt;70,'Scénario référence'!$B$16*(45+25*(1-EXP(-0.0175*A182))),70*'Scénario référence'!$B$16)+IF((32+38*(1-EXP(-0.0175*A182)))&lt;70,'Scénario référence'!$B$18*(32+38*(1-EXP(-0.0175*A182))),70*'Scénario référence'!$B$18)</f>
        <v>70</v>
      </c>
      <c r="FV182" s="151">
        <f>IF(A182&gt;30,10,('Scénario référence'!$B$16+'Scénario référence'!$B$17+'Scénario référence'!$B$18+'Scénario référence'!$B$9+'Scénario référence'!$B$10)*A182*10/30+('Scénario référence'!$F$8+'Scénario référence'!$F$9)*10)</f>
        <v>10</v>
      </c>
      <c r="FW182" s="151" t="str">
        <f>VLOOKUP(A182,'Données projet'!$A$243:$I$263,2,0)</f>
        <v>#N/A</v>
      </c>
      <c r="FX182" s="151" t="str">
        <f>VLOOKUP(A182,'Données projet'!$A$243:$I$263,9,0)</f>
        <v>#N/A</v>
      </c>
      <c r="FY182" s="151" t="str">
        <f t="array" ref="FY182">INDEX(FX:FX,MIN(IF(ISNUMBER(FX182:FX378),ROW(FX182:FX378),"")))</f>
        <v/>
      </c>
      <c r="FZ182" s="151">
        <f>IF('Données projet'!$A$244&gt;35,FZ181+FY182-GH181,IF(A182&lt;'Données projet'!$A$244,$FW$205^A182,IF(A182='Données projet'!$A$244,'Données projet'!$B$244,FZ181+FY182-GH181)))</f>
        <v>0</v>
      </c>
      <c r="GA182" s="158" t="str">
        <f>FZ182*VLOOKUP('Données projet'!$B$17,'Paramètres'!$A$1:$I$88,3,0)*VLOOKUP('Données projet'!$B$17,'Paramètres'!$A$1:$I$88,5,0)</f>
        <v>#N/A</v>
      </c>
      <c r="GB182" s="150" t="str">
        <f t="shared" si="50"/>
        <v>#N/A</v>
      </c>
      <c r="GC182" s="161" t="str">
        <f t="shared" si="26"/>
        <v>#N/A</v>
      </c>
      <c r="GD182" s="153" t="str">
        <f t="shared" si="27"/>
        <v>#N/A</v>
      </c>
      <c r="GE182" s="153" t="str">
        <f>AVERAGE(OFFSET($GD$3,0,0,'Données projet'!$E$17+1,1))-AVERAGE(OFFSET($H$3,0,0,'Données projet'!$E$17+1,1))</f>
        <v>#N/A</v>
      </c>
      <c r="GF182" s="153" t="str">
        <f t="shared" si="51"/>
        <v>#N/A</v>
      </c>
      <c r="GG182" s="154">
        <f>IF(ISNA(VLOOKUP(A182,'Données projet'!$A$243:$I$263,3,0)),0,VLOOKUP(A182,'Données projet'!$A$243:$I$263,3,0))</f>
        <v>0</v>
      </c>
      <c r="GH182" s="154">
        <f>IF(ISNA(VLOOKUP(A182,'Données projet'!$A$243:$I$263,4,0)),0,VLOOKUP(A182,'Données projet'!$A$243:$I$263,4,0))</f>
        <v>0</v>
      </c>
      <c r="GI182" s="155">
        <f>IF(ISNA(VLOOKUP(A182,'Données projet'!$A$243:$I$263,5,0)),0%,VLOOKUP(A182,'Données projet'!$A$243:$I$263,5,0)*VLOOKUP('Données projet'!$B$17,'Paramètres'!$A$1:$I$88,7,0))</f>
        <v>0</v>
      </c>
      <c r="GJ182" s="155">
        <f>IF(ISNA(VLOOKUP(A182,'Données projet'!$A$243:$I$263,6,0)),0%,VLOOKUP(A182,'Données projet'!$A$243:$I$263,6,0)*VLOOKUP('Données projet'!$B$17,'Paramètres'!$A$1:$I$88,7,0))</f>
        <v>0</v>
      </c>
      <c r="GK182" s="155">
        <f>IF(ISNA(VLOOKUP(A182,'Données projet'!$A$243:$I$263,7,0)),0%,VLOOKUP(A182,'Données projet'!$A$243:$I$263,7,0))</f>
        <v>0</v>
      </c>
      <c r="GL182" s="162" t="str">
        <f>EXP(-LN(2)/35)*GL181+(1-EXP(-LN(2)/35))/(LN(2)/35)*GH182*GI182*VLOOKUP('Données projet'!$B$17,'Paramètres'!$A$1:$I$88,3,0)*0.475*44/12</f>
        <v>#N/A</v>
      </c>
      <c r="GM182" s="162" t="str">
        <f>EXP(-LN(2)/25)*GM181+(1-EXP(-LN(2)/25))/(LN(2)/25)*Calculateur!GH182*Calculateur!GJ182*VLOOKUP('Données projet'!$B$17,'Paramètres'!$A$1:$I$88,3,0)*0.475*44/12</f>
        <v>#N/A</v>
      </c>
      <c r="GN182" s="162" t="str">
        <f>EXP(-LN(2)/2)*GN181+(1-EXP(-LN(2)/2))/(LN(2)/2)*GH182*GK182*VLOOKUP('Données projet'!$B$17,'Paramètres'!$A$1:$I$88,3,0)*0.475*44/12</f>
        <v>#N/A</v>
      </c>
      <c r="GO182" s="162" t="str">
        <f t="shared" si="28"/>
        <v>#N/A</v>
      </c>
      <c r="GP182" s="159">
        <f>('Scénario référence'!$F$8+'Scénario référence'!$F$9+'Scénario référence'!$B$17+'Scénario référence'!$B$9+'Scénario référence'!$B$10)*70+IF((45+25*(1-EXP(-0.0175*A182)))&lt;70,'Scénario référence'!$B$16*(45+25*(1-EXP(-0.0175*A182))),70*'Scénario référence'!$B$16)+IF((32+38*(1-EXP(-0.0175*A182)))&lt;70,'Scénario référence'!$B$18*(32+38*(1-EXP(-0.0175*A182))),70*'Scénario référence'!$B$18)</f>
        <v>70</v>
      </c>
      <c r="GQ182" s="151">
        <f>IF(A182&gt;30,10,('Scénario référence'!$B$16+'Scénario référence'!$B$17+'Scénario référence'!$B$18+'Scénario référence'!$B$9+'Scénario référence'!$B$10)*A182*10/30+('Scénario référence'!$F$8+'Scénario référence'!$F$9)*10)</f>
        <v>10</v>
      </c>
      <c r="GR182" s="151" t="str">
        <f>VLOOKUP(A182,'Données projet'!$A$269:$I$289,2,0)</f>
        <v>#N/A</v>
      </c>
      <c r="GS182" s="151" t="str">
        <f>VLOOKUP(A182,'Données projet'!$A$269:$I$289,9,0)</f>
        <v>#N/A</v>
      </c>
      <c r="GT182" s="151" t="str">
        <f t="array" ref="GT182">INDEX(GS:GS,MIN(IF(ISNUMBER(GS182:GS378),ROW(GS182:GS378),"")))</f>
        <v/>
      </c>
      <c r="GU182" s="151">
        <f>IF('Données projet'!$A$270&gt;35,GU181+GT182-HC181,IF(A182&lt;'Données projet'!$A$270,$GR$205^A182,IF(A182='Données projet'!$A$270,'Données projet'!$B$270,GU181+GT182-HC181)))</f>
        <v>0</v>
      </c>
      <c r="GV182" s="158" t="str">
        <f>GU182*VLOOKUP('Données projet'!$B$18,'Paramètres'!$A$1:$I$88,3,0)*VLOOKUP('Données projet'!$B$18,'Paramètres'!$A$1:$I$88,5,0)</f>
        <v>#N/A</v>
      </c>
      <c r="GW182" s="150" t="str">
        <f t="shared" si="52"/>
        <v>#N/A</v>
      </c>
      <c r="GX182" s="161" t="str">
        <f t="shared" si="29"/>
        <v>#N/A</v>
      </c>
      <c r="GY182" s="153" t="str">
        <f t="shared" si="30"/>
        <v>#N/A</v>
      </c>
      <c r="GZ182" s="153" t="str">
        <f>AVERAGE(OFFSET($GY$3,0,0,'Données projet'!$E$18+1,1))-AVERAGE(OFFSET($H$3,0,0,'Données projet'!$E$18+1,1))</f>
        <v>#N/A</v>
      </c>
      <c r="HA182" s="153" t="str">
        <f t="shared" si="53"/>
        <v>#N/A</v>
      </c>
      <c r="HB182" s="154">
        <f>IF(ISNA(VLOOKUP(A182,'Données projet'!$A$269:$I$289,3,0)),0,VLOOKUP(A182,'Données projet'!$A$269:$I$289,3,0))</f>
        <v>0</v>
      </c>
      <c r="HC182" s="154">
        <f>IF(ISNA(VLOOKUP(A182,'Données projet'!$A$269:$I$289,4,0)),0,VLOOKUP(A182,'Données projet'!$A$269:$I$289,4,0))</f>
        <v>0</v>
      </c>
      <c r="HD182" s="155">
        <f>IF(ISNA(VLOOKUP(A182,'Données projet'!$A$269:$I$289,5,0)),0%,VLOOKUP(A182,'Données projet'!$A$269:$I$289,5,0)*VLOOKUP('Données projet'!$B$18,'Paramètres'!$A$1:$I$88,7,0))</f>
        <v>0</v>
      </c>
      <c r="HE182" s="155">
        <f>IF(ISNA(VLOOKUP(A182,'Données projet'!$A$269:$I$289,6,0)),0%,VLOOKUP(A182,'Données projet'!$A$269:$I$289,6,0)*VLOOKUP('Données projet'!$B$18,'Paramètres'!$A$1:$I$88,7,0))</f>
        <v>0</v>
      </c>
      <c r="HF182" s="155">
        <f>IF(ISNA(VLOOKUP(A182,'Données projet'!$A$269:$I$289,7,0)),0%,VLOOKUP(A182,'Données projet'!$A$269:$I$289,7,0))</f>
        <v>0</v>
      </c>
      <c r="HG182" s="162" t="str">
        <f>EXP(-LN(2)/35)*HG181+(1-EXP(-LN(2)/35))/(LN(2)/35)*HC182*HD182*VLOOKUP('Données projet'!$B$18,'Paramètres'!$A$1:$I$88,3,0)*0.475*44/12</f>
        <v>#N/A</v>
      </c>
      <c r="HH182" s="162" t="str">
        <f>EXP(-LN(2)/25)*HH181+(1-EXP(-LN(2)/25))/(LN(2)/25)*Calculateur!HC182*Calculateur!HE182*VLOOKUP('Données projet'!$B$18,'Paramètres'!$A$1:$I$88,3,0)*0.475*44/12</f>
        <v>#N/A</v>
      </c>
      <c r="HI182" s="162" t="str">
        <f>EXP(-LN(2)/2)*HI181+(1-EXP(-LN(2)/2))/(LN(2)/2)*HC182*HF182*VLOOKUP('Données projet'!$B$18,'Paramètres'!$A$1:$I$88,3,0)*0.475*44/12</f>
        <v>#N/A</v>
      </c>
      <c r="HJ182" s="163" t="str">
        <f t="shared" si="31"/>
        <v>#N/A</v>
      </c>
    </row>
    <row r="183" ht="15.75" customHeight="1">
      <c r="A183" s="145">
        <f t="shared" si="32"/>
        <v>180</v>
      </c>
      <c r="B183" s="146">
        <f>'Scénario référence'!$B$16*5+'Scénario référence'!$B$17*0+'Scénario référence'!$B$18*5</f>
        <v>0</v>
      </c>
      <c r="C183" s="160">
        <f>Calculateur!C182+'Scénario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83" s="147">
        <f t="shared" si="33"/>
        <v>0</v>
      </c>
      <c r="E183" s="147">
        <f>'Scénario référence'!$B$16*45+('Scénario référence'!$B$17+'Scénario référence'!$F$8+'Scénario référence'!$F$9+'Scénario référence'!$B$10+'Scénario référence'!$B$9)*70+'Scénario référence'!$B$18*32</f>
        <v>70</v>
      </c>
      <c r="F183" s="147">
        <f>IF(OR('Scénario référence'!$F$8&gt;0,'Scénario référence'!$F$9&gt;0),('Scénario référence'!$F$8+'Scénario référence'!$F$9)*10,0)</f>
        <v>0</v>
      </c>
      <c r="G183" s="147">
        <f>'Scénario référence'!$B$8*B183*44/12+'Scénario référence'!$B$9*(C183+D183)/0.475*44/12+'Scénario référence'!$B$10*(C183+D183)/0.475*44/12+'Scénario référence'!$F$8*(C183+D183)/0.475*44/12+'Scénario référence'!$F$9*(C183+D183)/0.475*44/12</f>
        <v>0</v>
      </c>
      <c r="H183" s="148">
        <f t="shared" si="1"/>
        <v>256.6666667</v>
      </c>
      <c r="I183" s="149">
        <f>('Scénario référence'!$F$8+'Scénario référence'!$F$9+'Scénario référence'!$B$17+'Scénario référence'!$B$9+'Scénario référence'!$B$10)*70+IF((45+25*(1-EXP(-0.0175*A183)))&lt;70,'Scénario référence'!$B$16*(45+25*(1-EXP(-0.0175*A183))),70*'Scénario référence'!$B$16)+IF((32+38*(1-EXP(-0.0175*A183)))&lt;70,'Scénario référence'!$B$18*(32+38*(1-EXP(-0.0175*A183))),70*'Scénario référence'!$B$18)</f>
        <v>70</v>
      </c>
      <c r="J183" s="150">
        <f>IF(A183&gt;30,10,('Scénario référence'!$B$16+'Scénario référence'!$B$17+'Scénario référence'!$B$18+'Scénario référence'!$B$9+'Scénario référence'!$B$10)*A183*10/30+('Scénario référence'!$F$8+'Scénario référence'!$F$9)*10)</f>
        <v>10</v>
      </c>
      <c r="K183" s="151" t="str">
        <f>VLOOKUP(A183,'Données projet'!$A$35:$I$55,2,0)</f>
        <v>#N/A</v>
      </c>
      <c r="L183" s="151" t="str">
        <f>VLOOKUP(A183,'Données projet'!$A$35:$I$55,9,0)</f>
        <v>#N/A</v>
      </c>
      <c r="M183" s="151" t="str">
        <f t="array" ref="M183">INDEX(L:L,MIN(IF(ISNUMBER(L183:L379),ROW(L183:L379),"")))</f>
        <v/>
      </c>
      <c r="N183" s="150">
        <f>IF('Données projet'!$A$36&gt;35,N182+M183-V182,IF(A183&lt;'Données projet'!$A$36,$K$205^A183,IF(A183='Données projet'!$A$36,'Données projet'!$B$36,N182+M183-V182)))</f>
        <v>307</v>
      </c>
      <c r="O183" s="150">
        <f>N183*VLOOKUP('Données projet'!$B$9,'Paramètres'!$A$1:$I$88,3,0)*VLOOKUP('Données projet'!$B$9,'Paramètres'!$A$1:$I$88,5,0)</f>
        <v>277.7736</v>
      </c>
      <c r="P183" s="150">
        <f t="shared" si="34"/>
        <v>66.49628818</v>
      </c>
      <c r="Q183" s="161">
        <f t="shared" si="2"/>
        <v>599.6033886</v>
      </c>
      <c r="R183" s="153">
        <f t="shared" si="3"/>
        <v>892.9367219</v>
      </c>
      <c r="S183" s="153">
        <f>AVERAGE(OFFSET($R$3,0,0,'Données projet'!$E$9+1,1))-AVERAGE(OFFSET($H$3,0,0,'Données projet'!$E$9+1,1))</f>
        <v>439.1985427</v>
      </c>
      <c r="T183" s="153">
        <f t="shared" si="35"/>
        <v>278.2174123</v>
      </c>
      <c r="U183" s="154">
        <f>IF(ISNA(VLOOKUP(A183,'Données projet'!$A$35:$I$55,3,0)),0,VLOOKUP(A183,'Données projet'!$A$35:$I$55,3,0))</f>
        <v>0</v>
      </c>
      <c r="V183" s="154">
        <f>IF(ISNA(VLOOKUP(A183,'Données projet'!$A$35:$I$55,4,0)),0,VLOOKUP(A183,'Données projet'!$A$35:$I$55,4,0))</f>
        <v>0</v>
      </c>
      <c r="W183" s="155">
        <f>IF(ISNA(VLOOKUP(A183,'Données projet'!$A$35:$I$55,5,0)),0%,VLOOKUP(A183,'Données projet'!$A$35:$I$55,5,0)*VLOOKUP('Données projet'!$B$9,'Paramètres'!$A$1:$I$88,7,0))</f>
        <v>0</v>
      </c>
      <c r="X183" s="155">
        <f>IF(ISNA(VLOOKUP(A183,'Données projet'!$A$35:$I$55,6,0)),0%,VLOOKUP(A183,'Données projet'!$A$35:$I$55,6,0)*VLOOKUP('Données projet'!$B$9,'Paramètres'!$A$1:$I$88,7,0))</f>
        <v>0</v>
      </c>
      <c r="Y183" s="155">
        <f>IF(ISNA(VLOOKUP(A183,'Données projet'!$A$35:$I$55,7,0)),0%,VLOOKUP(A183,'Données projet'!$A$35:$I$55,7,0))</f>
        <v>0</v>
      </c>
      <c r="Z183" s="162">
        <f>EXP(-LN(2)/35)*Z182+(1-EXP(-LN(2)/35))/(LN(2)/35)*V183*W183*VLOOKUP('Données projet'!$B$9,'Paramètres'!$A$1:$I$88,3,0)*0.475*44/12</f>
        <v>0</v>
      </c>
      <c r="AA183" s="162">
        <f>EXP(-LN(2)/25)*AA182+(1-EXP(-LN(2)/25))/(LN(2)/25)*Calculateur!V183*Calculateur!X183*VLOOKUP('Données projet'!$B$9,'Paramètres'!$A$1:$I$88,3,0)*0.475*44/12</f>
        <v>0.07011844963</v>
      </c>
      <c r="AB183" s="162">
        <f>EXP(-LN(2)/2)*AB182+(1-EXP(-LN(2)/2))/(LN(2)/2)*V183*Y183*VLOOKUP('Données projet'!$B$9,'Paramètres'!$A$1:$I$88,3,0)*0.475*44/12</f>
        <v>0</v>
      </c>
      <c r="AC183" s="163">
        <f t="shared" si="4"/>
        <v>0.07011844963</v>
      </c>
      <c r="AD183" s="150">
        <f>('Scénario référence'!$F$8+'Scénario référence'!$F$9+'Scénario référence'!$B$17+'Scénario référence'!$B$9+'Scénario référence'!$B$10)*70+IF((45+25*(1-EXP(-0.0175*A183)))&lt;70,'Scénario référence'!$B$16*(45+25*(1-EXP(-0.0175*A183))),70*'Scénario référence'!$B$16)+IF((32+38*(1-EXP(-0.0175*A183)))&lt;70,'Scénario référence'!$B$18*(32+38*(1-EXP(-0.0175*A183))),70*'Scénario référence'!$B$18)</f>
        <v>70</v>
      </c>
      <c r="AE183" s="150">
        <f>IF(A183&gt;30,10,('Scénario référence'!$B$16+'Scénario référence'!$B$17+'Scénario référence'!$B$18+'Scénario référence'!$B$9+'Scénario référence'!$B$10)*A183*10/30+('Scénario référence'!$F$8+'Scénario référence'!$F$9)*10)</f>
        <v>10</v>
      </c>
      <c r="AF183" s="151" t="str">
        <f>VLOOKUP(A183,'Données projet'!$A$61:$I$81,2,0)</f>
        <v>#N/A</v>
      </c>
      <c r="AG183" s="151" t="str">
        <f>VLOOKUP(A183,'Données projet'!$A$61:$I$81,9,0)</f>
        <v>#N/A</v>
      </c>
      <c r="AH183" s="151" t="str">
        <f t="array" ref="AH183">INDEX(AG:AG,MIN(IF(ISNUMBER(AG183:AG379),ROW(AG183:AG379),"")))</f>
        <v/>
      </c>
      <c r="AI183" s="150">
        <f>IF('Données projet'!$A$62&gt;35,AI182+AH183-AQ182,IF(A183&lt;'Données projet'!$A$62,$AF$205^A183,IF(A183='Données projet'!$A$62,'Données projet'!$B$62,AI182+AH183-AQ182)))</f>
        <v>369</v>
      </c>
      <c r="AJ183" s="150">
        <f>AI183*VLOOKUP('Données projet'!$B$10,'Paramètres'!$A$1:$I$88,3,0)*VLOOKUP('Données projet'!$B$10,'Paramètres'!$A$1:$I$88,5,0)</f>
        <v>293.5764</v>
      </c>
      <c r="AK183" s="150">
        <f t="shared" si="36"/>
        <v>69.82813851</v>
      </c>
      <c r="AL183" s="161">
        <f t="shared" si="5"/>
        <v>632.9295712</v>
      </c>
      <c r="AM183" s="153">
        <f t="shared" si="6"/>
        <v>926.2629046</v>
      </c>
      <c r="AN183" s="153">
        <f>AVERAGE(OFFSET($AM$3,0,0,'Données projet'!$E$10+1,1))-AVERAGE(OFFSET($H$3,0,0,'Données projet'!$E$10+1,1))</f>
        <v>405.6113614</v>
      </c>
      <c r="AO183" s="153">
        <f t="shared" si="37"/>
        <v>393.0787141</v>
      </c>
      <c r="AP183" s="154">
        <f>IF(ISNA(VLOOKUP(A183,'Données projet'!$A$61:$I$81,3,0)),0,VLOOKUP(A183,'Données projet'!$A$61:$I$81,3,0))</f>
        <v>0</v>
      </c>
      <c r="AQ183" s="154">
        <f>IF(ISNA(VLOOKUP(A183,'Données projet'!$A$61:$I$81,4,0)),0,VLOOKUP(A183,'Données projet'!$A$61:$I$81,4,0))</f>
        <v>0</v>
      </c>
      <c r="AR183" s="155">
        <f>IF(ISNA(VLOOKUP(A183,'Données projet'!$A$61:$I$81,5,0)),0%,VLOOKUP(A183,'Données projet'!$A$61:$I$81,5,0)*VLOOKUP('Données projet'!$B$10,'Paramètres'!$A$1:$I$88,7,0))</f>
        <v>0</v>
      </c>
      <c r="AS183" s="155">
        <f>IF(ISNA(VLOOKUP(A183,'Données projet'!$A$61:$I$81,6,0)),0%,VLOOKUP(A183,'Données projet'!$A$61:$I$81,6,0)*VLOOKUP('Données projet'!$B$10,'Paramètres'!$A$1:$I$88,7,0))</f>
        <v>0</v>
      </c>
      <c r="AT183" s="155">
        <f>IF(ISNA(VLOOKUP(A183,'Données projet'!$A$61:$I$81,7,0)),0%,VLOOKUP(A183,'Données projet'!$A$61:$I$81,7,0))</f>
        <v>0</v>
      </c>
      <c r="AU183" s="162">
        <f>EXP(-LN(2)/35)*AU182+(1-EXP(-LN(2)/35))/(LN(2)/35)*AQ183*AR183*VLOOKUP('Données projet'!$B$10,'Paramètres'!$A$1:$I$88,3,0)*0.475*44/12</f>
        <v>0</v>
      </c>
      <c r="AV183" s="162">
        <f>EXP(-LN(2)/25)*AV182+(1-EXP(-LN(2)/25))/(LN(2)/25)*Calculateur!AQ183*Calculateur!AS183*VLOOKUP('Données projet'!$B$10,'Paramètres'!$A$1:$I$88,3,0)*0.475*44/12</f>
        <v>0.2849792041</v>
      </c>
      <c r="AW183" s="162">
        <f>EXP(-LN(2)/2)*AW182+(1-EXP(-LN(2)/2))/(LN(2)/2)*AQ183*AT183*VLOOKUP('Données projet'!$B$10,'Paramètres'!$A$1:$I$88,3,0)*0.475*44/12</f>
        <v>0</v>
      </c>
      <c r="AX183" s="162">
        <f t="shared" si="7"/>
        <v>0.2849792041</v>
      </c>
      <c r="AY183" s="157">
        <f>('Scénario référence'!$F$8+'Scénario référence'!$F$9+'Scénario référence'!$B$17+'Scénario référence'!$B$9+'Scénario référence'!$B$10)*70+IF((45+25*(1-EXP(-0.0175*A183)))&lt;70,'Scénario référence'!$B$16*(45+25*(1-EXP(-0.0175*A183))),70*'Scénario référence'!$B$16)+IF((32+38*(1-EXP(-0.0175*A183)))&lt;70,'Scénario référence'!$B$18*(32+38*(1-EXP(-0.0175*A183))),70*'Scénario référence'!$B$18)</f>
        <v>70</v>
      </c>
      <c r="AZ183" s="151">
        <f>IF(A183&gt;30,10,('Scénario référence'!$B$16+'Scénario référence'!$B$17+'Scénario référence'!$B$18+'Scénario référence'!$B$9+'Scénario référence'!$B$10)*A183*10/30+('Scénario référence'!$F$8+'Scénario référence'!$F$9)*10)</f>
        <v>10</v>
      </c>
      <c r="BA183" s="151" t="str">
        <f>VLOOKUP(A183,'Données projet'!$A$87:$I$107,2,0)</f>
        <v>#N/A</v>
      </c>
      <c r="BB183" s="151" t="str">
        <f>VLOOKUP(A183,'Données projet'!$A$87:$I$107,9,0)</f>
        <v>#N/A</v>
      </c>
      <c r="BC183" s="151" t="str">
        <f t="array" ref="BC183">INDEX(BB:BB,MIN(IF(ISNUMBER(BB183:BB379),ROW(BB183:BB379),"")))</f>
        <v/>
      </c>
      <c r="BD183" s="150">
        <f>IF('Données projet'!$A$88&gt;35,BD182+BC183-BL182,IF(A183&lt;'Données projet'!$A$88,$BA$205^A183,IF(A183='Données projet'!$A$88,'Données projet'!$B$88,BD182+BC183-BL182)))</f>
        <v>0</v>
      </c>
      <c r="BE183" s="150">
        <f>BD183*VLOOKUP('Données projet'!$B$11,'Paramètres'!$A$1:$I$88,3,0)*VLOOKUP('Données projet'!$B$11,'Paramètres'!$A$1:$I$88,5,0)</f>
        <v>0</v>
      </c>
      <c r="BF183" s="150" t="str">
        <f t="shared" si="38"/>
        <v>#NUM!</v>
      </c>
      <c r="BG183" s="161" t="str">
        <f t="shared" si="8"/>
        <v>#NUM!</v>
      </c>
      <c r="BH183" s="153" t="str">
        <f t="shared" si="9"/>
        <v>#NUM!</v>
      </c>
      <c r="BI183" s="153">
        <f>AVERAGE(OFFSET($BH$3,0,0,'Données projet'!$E$11+1,1))-AVERAGE(OFFSET($H$3,0,0,'Données projet'!$E$11+1,1))</f>
        <v>0</v>
      </c>
      <c r="BJ183" s="153">
        <f t="shared" si="39"/>
        <v>0</v>
      </c>
      <c r="BK183" s="154">
        <f>IF(ISNA(VLOOKUP(A183,'Données projet'!$A$87:$I$107,3,0)),0,VLOOKUP(A183,'Données projet'!$A$87:$I$107,3,0))</f>
        <v>0</v>
      </c>
      <c r="BL183" s="154">
        <f>IF(ISNA(VLOOKUP(A183,'Données projet'!$A$87:$I$107,4,0)),0,VLOOKUP(A183,'Données projet'!$A$87:$I$107,4,0))</f>
        <v>0</v>
      </c>
      <c r="BM183" s="155">
        <f>IF(ISNA(VLOOKUP(A183,'Données projet'!$A$87:$I$107,5,0)),0%,VLOOKUP(A183,'Données projet'!$A$87:$I$107,5,0)*VLOOKUP('Données projet'!$B$11,'Paramètres'!$A$1:$I$88,7,0))</f>
        <v>0</v>
      </c>
      <c r="BN183" s="155">
        <f>IF(ISNA(VLOOKUP(A183,'Données projet'!$A$87:$I$107,6,0)),0%,VLOOKUP(A183,'Données projet'!$A$87:$I$107,6,0)*VLOOKUP('Données projet'!$B$11,'Paramètres'!$A$1:$I$88,7,0))</f>
        <v>0</v>
      </c>
      <c r="BO183" s="155">
        <f>IF(ISNA(VLOOKUP(A183,'Données projet'!$A$87:$I$107,7,0)),0%,VLOOKUP(A183,'Données projet'!$A$87:$I$107,7,0))</f>
        <v>0</v>
      </c>
      <c r="BP183" s="162">
        <f>EXP(-LN(2)/35)*BP182+(1-EXP(-LN(2)/35))/(LN(2)/35)*BL183*BM183*VLOOKUP('Données projet'!$B$11,'Paramètres'!$A$1:$I$88,3,0)*0.475*44/12</f>
        <v>0</v>
      </c>
      <c r="BQ183" s="162">
        <f>EXP(-LN(2)/25)*BQ182+(1-EXP(-LN(2)/25))/(LN(2)/25)*Calculateur!BL183*Calculateur!BN183*VLOOKUP('Données projet'!$B$11,'Paramètres'!$A$1:$I$88,3,0)*0.475*44/12</f>
        <v>0</v>
      </c>
      <c r="BR183" s="162">
        <f>EXP(-LN(2)/2)*BR182+(1-EXP(-LN(2)/2))/(LN(2)/2)*BL183*BO183*VLOOKUP('Données projet'!$B$11,'Paramètres'!$A$1:$I$88,3,0)*0.475*44/12</f>
        <v>0</v>
      </c>
      <c r="BS183" s="163">
        <f t="shared" si="10"/>
        <v>0</v>
      </c>
      <c r="BT183" s="159">
        <f>('Scénario référence'!$F$8+'Scénario référence'!$F$9+'Scénario référence'!$B$17+'Scénario référence'!$B$9+'Scénario référence'!$B$10)*70+IF((45+25*(1-EXP(-0.0175*A183)))&lt;70,'Scénario référence'!$B$16*(45+25*(1-EXP(-0.0175*A183))),70*'Scénario référence'!$B$16)+IF((32+38*(1-EXP(-0.0175*A183)))&lt;70,'Scénario référence'!$B$18*(32+38*(1-EXP(-0.0175*A183))),70*'Scénario référence'!$B$18)</f>
        <v>70</v>
      </c>
      <c r="BU183" s="151">
        <f>IF(A183&gt;30,10,('Scénario référence'!$B$16+'Scénario référence'!$B$17+'Scénario référence'!$B$18+'Scénario référence'!$B$9+'Scénario référence'!$B$10)*A183*10/30+('Scénario référence'!$F$8+'Scénario référence'!$F$9)*10)</f>
        <v>10</v>
      </c>
      <c r="BV183" s="151" t="str">
        <f>VLOOKUP(A183,'Données projet'!$A$113:$I$133,2,0)</f>
        <v>#N/A</v>
      </c>
      <c r="BW183" s="151" t="str">
        <f>VLOOKUP(A183,'Données projet'!$A$113:$I$133,9,0)</f>
        <v>#N/A</v>
      </c>
      <c r="BX183" s="151" t="str">
        <f t="array" ref="BX183">INDEX(BW:BW,MIN(IF(ISNUMBER(BW183:BW379),ROW(BW183:BW379),"")))</f>
        <v/>
      </c>
      <c r="BY183" s="150">
        <f>IF('Données projet'!$A$114&gt;35,BY182+BX183-CG182,IF(A183&lt;'Données projet'!$A$114,$BV$205^A183,IF(A183='Données projet'!$A$114,'Données projet'!$B$114,BY182+BX183-CG182)))</f>
        <v>0</v>
      </c>
      <c r="BZ183" s="150" t="str">
        <f>BY183*VLOOKUP('Données projet'!$B$12,'Paramètres'!$A$1:$I$88,3,0)*VLOOKUP('Données projet'!$B$12,'Paramètres'!$A$1:$I$88,5,0)</f>
        <v>#N/A</v>
      </c>
      <c r="CA183" s="150" t="str">
        <f t="shared" si="40"/>
        <v>#N/A</v>
      </c>
      <c r="CB183" s="161" t="str">
        <f t="shared" si="11"/>
        <v>#N/A</v>
      </c>
      <c r="CC183" s="153" t="str">
        <f t="shared" si="12"/>
        <v>#N/A</v>
      </c>
      <c r="CD183" s="153" t="str">
        <f>AVERAGE(OFFSET($CC$3,0,0,'Données projet'!$E$12+1,1))-AVERAGE(OFFSET($H$3,0,0,'Données projet'!$E$12+1,1))</f>
        <v>#N/A</v>
      </c>
      <c r="CE183" s="153" t="str">
        <f t="shared" si="41"/>
        <v>#N/A</v>
      </c>
      <c r="CF183" s="154">
        <f>IF(ISNA(VLOOKUP(A183,'Données projet'!$A$113:$I$133,3,0)),0,VLOOKUP(A183,'Données projet'!$A$113:$I$133,3,0))</f>
        <v>0</v>
      </c>
      <c r="CG183" s="154">
        <f>IF(ISNA(VLOOKUP(A183,'Données projet'!$A$113:$I$133,4,0)),0,VLOOKUP(A183,'Données projet'!$A$113:$I$133,4,0))</f>
        <v>0</v>
      </c>
      <c r="CH183" s="155">
        <f>IF(ISNA(VLOOKUP(A183,'Données projet'!$A$113:$I$133,5,0)),0%,VLOOKUP(A183,'Données projet'!$A$113:$I$133,5,0)*VLOOKUP('Données projet'!$B$12,'Paramètres'!$A$1:$I$88,7,0))</f>
        <v>0</v>
      </c>
      <c r="CI183" s="155">
        <f>IF(ISNA(VLOOKUP(A183,'Données projet'!$A$113:$I$133,6,0)),0%,VLOOKUP(A183,'Données projet'!$A$113:$I$133,6,0)*VLOOKUP('Données projet'!$B$12,'Paramètres'!$A$1:$I$88,7,0))</f>
        <v>0</v>
      </c>
      <c r="CJ183" s="155">
        <f>IF(ISNA(VLOOKUP(A183,'Données projet'!$A$113:$I$133,7,0)),0%,VLOOKUP(A183,'Données projet'!$A$113:$I$133,7,0))</f>
        <v>0</v>
      </c>
      <c r="CK183" s="162" t="str">
        <f>EXP(-LN(2)/35)*CK182+(1-EXP(-LN(2)/35))/(LN(2)/35)*CG183*CH183*VLOOKUP('Données projet'!$B$12,'Paramètres'!$A$1:$I$88,3,0)*0.475*44/12</f>
        <v>#N/A</v>
      </c>
      <c r="CL183" s="162" t="str">
        <f>EXP(-LN(2)/25)*CL182+(1-EXP(-LN(2)/25))/(LN(2)/25)*Calculateur!CG183*Calculateur!CI183*VLOOKUP('Données projet'!$B$12,'Paramètres'!$A$1:$I$88,3,0)*0.475*44/12</f>
        <v>#N/A</v>
      </c>
      <c r="CM183" s="162" t="str">
        <f>EXP(-LN(2)/2)*CM182+(1-EXP(-LN(2)/2))/(LN(2)/2)*CG183*CJ183*VLOOKUP('Données projet'!$B$12,'Paramètres'!$A$1:$I$88,3,0)*0.475*44/12</f>
        <v>#N/A</v>
      </c>
      <c r="CN183" s="163" t="str">
        <f t="shared" si="13"/>
        <v>#N/A</v>
      </c>
      <c r="CO183" s="159">
        <f>('Scénario référence'!$F$8+'Scénario référence'!$F$9+'Scénario référence'!$B$17+'Scénario référence'!$B$9+'Scénario référence'!$B$10)*70+IF((45+25*(1-EXP(-0.0175*A183)))&lt;70,'Scénario référence'!$B$16*(45+25*(1-EXP(-0.0175*A183))),70*'Scénario référence'!$B$16)+IF((32+38*(1-EXP(-0.0175*A183)))&lt;70,'Scénario référence'!$B$18*(32+38*(1-EXP(-0.0175*A183))),70*'Scénario référence'!$B$18)</f>
        <v>70</v>
      </c>
      <c r="CP183" s="151">
        <f>IF(A183&gt;30,10,('Scénario référence'!$B$16+'Scénario référence'!$B$17+'Scénario référence'!$B$18+'Scénario référence'!$B$9+'Scénario référence'!$B$10)*A183*10/30+('Scénario référence'!$F$8+'Scénario référence'!$F$9)*10)</f>
        <v>10</v>
      </c>
      <c r="CQ183" s="151" t="str">
        <f>VLOOKUP(A183,'Données projet'!$A$139:$I$159,2,0)</f>
        <v>#N/A</v>
      </c>
      <c r="CR183" s="151" t="str">
        <f>VLOOKUP(A183,'Données projet'!$A$139:$I$159,9,0)</f>
        <v>#N/A</v>
      </c>
      <c r="CS183" s="151" t="str">
        <f t="array" ref="CS183">INDEX(CR:CR,MIN(IF(ISNUMBER(CR183:CR379),ROW(CR183:CR379),"")))</f>
        <v/>
      </c>
      <c r="CT183" s="151">
        <f>IF('Données projet'!$A$140&gt;35,CT182+CS183-DB182,IF(A183&lt;'Données projet'!$A$140,$CQ$205^A183,IF(A183='Données projet'!$A$140,'Données projet'!$B$140,CT182+CS183-DB182)))</f>
        <v>0</v>
      </c>
      <c r="CU183" s="158" t="str">
        <f>CT183*VLOOKUP('Données projet'!$B$13,'Paramètres'!$A$1:$I$88,3,0)*VLOOKUP('Données projet'!$B$13,'Paramètres'!$A$1:$I$88,5,0)</f>
        <v>#N/A</v>
      </c>
      <c r="CV183" s="150" t="str">
        <f t="shared" si="42"/>
        <v>#N/A</v>
      </c>
      <c r="CW183" s="161" t="str">
        <f t="shared" si="14"/>
        <v>#N/A</v>
      </c>
      <c r="CX183" s="153" t="str">
        <f t="shared" si="15"/>
        <v>#N/A</v>
      </c>
      <c r="CY183" s="153" t="str">
        <f>AVERAGE(OFFSET($CX$3,0,0,'Données projet'!$E$13+1,1))-AVERAGE(OFFSET($H$3,0,0,'Données projet'!$E$13+1,1))</f>
        <v>#N/A</v>
      </c>
      <c r="CZ183" s="153" t="str">
        <f t="shared" si="43"/>
        <v>#N/A</v>
      </c>
      <c r="DA183" s="154">
        <f>IF(ISNA(VLOOKUP(A183,'Données projet'!$A$139:$I$159,3,0)),0,VLOOKUP(A183,'Données projet'!$A$139:$I$159,3,0))</f>
        <v>0</v>
      </c>
      <c r="DB183" s="154">
        <f>IF(ISNA(VLOOKUP(A183,'Données projet'!$A$139:$I$159,4,0)),0,VLOOKUP(A183,'Données projet'!$A$139:$I$159,4,0))</f>
        <v>0</v>
      </c>
      <c r="DC183" s="155">
        <f>IF(ISNA(VLOOKUP(A183,'Données projet'!$A$139:$I$159,5,0)),0%,VLOOKUP(A183,'Données projet'!$A$139:$I$159,5,0)*VLOOKUP('Données projet'!$B$13,'Paramètres'!$A$1:$I$88,7,0))</f>
        <v>0</v>
      </c>
      <c r="DD183" s="155">
        <f>IF(ISNA(VLOOKUP(A183,'Données projet'!$A$139:$I$159,6,0)),0%,VLOOKUP(A183,'Données projet'!$A$139:$I$159,6,0)*VLOOKUP('Données projet'!$B$13,'Paramètres'!$A$1:$I$88,7,0))</f>
        <v>0</v>
      </c>
      <c r="DE183" s="155">
        <f>IF(ISNA(VLOOKUP(A183,'Données projet'!$A$139:$I$159,7,0)),0%,VLOOKUP(A183,'Données projet'!$A$139:$I$159,7,0))</f>
        <v>0</v>
      </c>
      <c r="DF183" s="162" t="str">
        <f>EXP(-LN(2)/35)*DF182+(1-EXP(-LN(2)/35))/(LN(2)/35)*DB183*DC183*VLOOKUP('Données projet'!$B$13,'Paramètres'!$A$1:$I$88,3,0)*0.475*44/12</f>
        <v>#N/A</v>
      </c>
      <c r="DG183" s="162" t="str">
        <f>EXP(-LN(2)/25)*DG182+(1-EXP(-LN(2)/25))/(LN(2)/25)*Calculateur!DB183*Calculateur!DD183*VLOOKUP('Données projet'!$B$13,'Paramètres'!$A$1:$I$88,3,0)*0.475*44/12</f>
        <v>#N/A</v>
      </c>
      <c r="DH183" s="162" t="str">
        <f>EXP(-LN(2)/2)*DH182+(1-EXP(-LN(2)/2))/(LN(2)/2)*DB183*DE183*VLOOKUP('Données projet'!$B$13,'Paramètres'!$A$1:$I$88,3,0)*0.475*44/12</f>
        <v>#N/A</v>
      </c>
      <c r="DI183" s="163" t="str">
        <f t="shared" si="16"/>
        <v>#N/A</v>
      </c>
      <c r="DJ183" s="159">
        <f>('Scénario référence'!$F$8+'Scénario référence'!$F$9+'Scénario référence'!$B$17+'Scénario référence'!$B$9+'Scénario référence'!$B$10)*70+IF((45+25*(1-EXP(-0.0175*A183)))&lt;70,'Scénario référence'!$B$16*(45+25*(1-EXP(-0.0175*A183))),70*'Scénario référence'!$B$16)+IF((32+38*(1-EXP(-0.0175*A183)))&lt;70,'Scénario référence'!$B$18*(32+38*(1-EXP(-0.0175*A183))),70*'Scénario référence'!$B$18)</f>
        <v>70</v>
      </c>
      <c r="DK183" s="151">
        <f>IF(A183&gt;30,10,('Scénario référence'!$B$16+'Scénario référence'!$B$17+'Scénario référence'!$B$18+'Scénario référence'!$B$9+'Scénario référence'!$B$10)*A183*10/30+('Scénario référence'!$F$8+'Scénario référence'!$F$9)*10)</f>
        <v>10</v>
      </c>
      <c r="DL183" s="151" t="str">
        <f>VLOOKUP(A183,'Données projet'!$A$165:$I$185,2,0)</f>
        <v>#N/A</v>
      </c>
      <c r="DM183" s="151" t="str">
        <f>VLOOKUP(A183,'Données projet'!$A$165:$I$185,9,0)</f>
        <v>#N/A</v>
      </c>
      <c r="DN183" s="151" t="str">
        <f t="array" ref="DN183">INDEX(DM:DM,MIN(IF(ISNUMBER(DM183:DM379),ROW(DM183:DM379),"")))</f>
        <v/>
      </c>
      <c r="DO183" s="151">
        <f>IF('Données projet'!$A$166&gt;35,DO182+DN183-DW182,IF(A183&lt;'Données projet'!$A$166,$DL$205^A183,IF(A183='Données projet'!$A$166,'Données projet'!$B$166,DO182+DN183-DW182)))</f>
        <v>0</v>
      </c>
      <c r="DP183" s="158" t="str">
        <f>DO183*VLOOKUP('Données projet'!$B$14,'Paramètres'!$A$1:$I$88,3,0)*VLOOKUP('Données projet'!$B$14,'Paramètres'!$A$1:$I$88,5,0)</f>
        <v>#N/A</v>
      </c>
      <c r="DQ183" s="150" t="str">
        <f t="shared" si="44"/>
        <v>#N/A</v>
      </c>
      <c r="DR183" s="161" t="str">
        <f t="shared" si="17"/>
        <v>#N/A</v>
      </c>
      <c r="DS183" s="153" t="str">
        <f t="shared" si="18"/>
        <v>#N/A</v>
      </c>
      <c r="DT183" s="153" t="str">
        <f>AVERAGE(OFFSET($DS$3,0,0,'Données projet'!$E$14+1,1))-AVERAGE(OFFSET($H$3,0,0,'Données projet'!$E$14+1,1))</f>
        <v>#N/A</v>
      </c>
      <c r="DU183" s="153" t="str">
        <f t="shared" si="45"/>
        <v>#N/A</v>
      </c>
      <c r="DV183" s="154">
        <f>IF(ISNA(VLOOKUP(A183,'Données projet'!$A$165:$I$185,3,0)),0,VLOOKUP(A183,'Données projet'!$A$165:$I$185,3,0))</f>
        <v>0</v>
      </c>
      <c r="DW183" s="154">
        <f>IF(ISNA(VLOOKUP(A183,'Données projet'!$A$165:$I$185,4,0)),0,VLOOKUP(A183,'Données projet'!$A$165:$I$185,4,0))</f>
        <v>0</v>
      </c>
      <c r="DX183" s="155">
        <f>IF(ISNA(VLOOKUP(A183,'Données projet'!$A$165:$I$185,5,0)),0%,VLOOKUP(A183,'Données projet'!$A$165:$I$185,5,0)*VLOOKUP('Données projet'!$B$14,'Paramètres'!$A$1:$I$88,7,0))</f>
        <v>0</v>
      </c>
      <c r="DY183" s="155">
        <f>IF(ISNA(VLOOKUP(A183,'Données projet'!$A$165:$I$185,6,0)),0%,VLOOKUP(A183,'Données projet'!$A$165:$I$185,6,0)*VLOOKUP('Données projet'!$B$14,'Paramètres'!$A$1:$I$88,7,0))</f>
        <v>0</v>
      </c>
      <c r="DZ183" s="155">
        <f>IF(ISNA(VLOOKUP(A183,'Données projet'!$A$165:$I$185,7,0)),0%,VLOOKUP(A183,'Données projet'!$A$165:$I$185,7,0))</f>
        <v>0</v>
      </c>
      <c r="EA183" s="162" t="str">
        <f>EXP(-LN(2)/35)*EA182+(1-EXP(-LN(2)/35))/(LN(2)/35)*DW183*DX183*VLOOKUP('Données projet'!$B$14,'Paramètres'!$A$1:$I$88,3,0)*0.475*44/12</f>
        <v>#N/A</v>
      </c>
      <c r="EB183" s="162" t="str">
        <f>EXP(-LN(2)/25)*EB182+(1-EXP(-LN(2)/25))/(LN(2)/25)*Calculateur!DW183*Calculateur!DY183*VLOOKUP('Données projet'!$B$14,'Paramètres'!$A$1:$I$88,3,0)*0.475*44/12</f>
        <v>#N/A</v>
      </c>
      <c r="EC183" s="162" t="str">
        <f>EXP(-LN(2)/2)*EC182+(1-EXP(-LN(2)/2))/(LN(2)/2)*DW183*DZ183*VLOOKUP('Données projet'!$B$14,'Paramètres'!$A$1:$I$88,3,0)*0.475*44/12</f>
        <v>#N/A</v>
      </c>
      <c r="ED183" s="163" t="str">
        <f t="shared" si="19"/>
        <v>#N/A</v>
      </c>
      <c r="EE183" s="159">
        <f>('Scénario référence'!$F$8+'Scénario référence'!$F$9+'Scénario référence'!$B$17+'Scénario référence'!$B$9+'Scénario référence'!$B$10)*70+IF((45+25*(1-EXP(-0.0175*A183)))&lt;70,'Scénario référence'!$B$16*(45+25*(1-EXP(-0.0175*A183))),70*'Scénario référence'!$B$16)+IF((32+38*(1-EXP(-0.0175*A183)))&lt;70,'Scénario référence'!$B$18*(32+38*(1-EXP(-0.0175*A183))),70*'Scénario référence'!$B$18)</f>
        <v>70</v>
      </c>
      <c r="EF183" s="151">
        <f>IF(A183&gt;30,10,('Scénario référence'!$B$16+'Scénario référence'!$B$17+'Scénario référence'!$B$18+'Scénario référence'!$B$9+'Scénario référence'!$B$10)*A183*10/30+('Scénario référence'!$F$8+'Scénario référence'!$F$9)*10)</f>
        <v>10</v>
      </c>
      <c r="EG183" s="151" t="str">
        <f>VLOOKUP(A183,'Données projet'!$A$191:$I$211,2,0)</f>
        <v>#N/A</v>
      </c>
      <c r="EH183" s="151" t="str">
        <f>VLOOKUP(A183,'Données projet'!$A$191:$I$211,9,0)</f>
        <v>#N/A</v>
      </c>
      <c r="EI183" s="151" t="str">
        <f t="array" ref="EI183">INDEX(EH:EH,MIN(IF(ISNUMBER(EH183:EH379),ROW(EH183:EH379),"")))</f>
        <v/>
      </c>
      <c r="EJ183" s="151">
        <f>IF('Données projet'!$A$192&gt;35,EJ182+EI183-ER182,IF(A183&lt;'Données projet'!$A$192,$EG$205^A183,IF(A183='Données projet'!$A$192,'Données projet'!$B$192,EJ182+EI183-ER182)))</f>
        <v>0</v>
      </c>
      <c r="EK183" s="158" t="str">
        <f>EJ183*VLOOKUP('Données projet'!$B$15,'Paramètres'!$A$1:$I$88,3,0)*VLOOKUP('Données projet'!$B$15,'Paramètres'!$A$1:$I$88,5,0)</f>
        <v>#N/A</v>
      </c>
      <c r="EL183" s="150" t="str">
        <f t="shared" si="46"/>
        <v>#N/A</v>
      </c>
      <c r="EM183" s="161" t="str">
        <f t="shared" si="20"/>
        <v>#N/A</v>
      </c>
      <c r="EN183" s="153" t="str">
        <f t="shared" si="21"/>
        <v>#N/A</v>
      </c>
      <c r="EO183" s="153" t="str">
        <f>AVERAGE(OFFSET($EN$3,0,0,'Données projet'!$E$15+1,1))-AVERAGE(OFFSET($H$3,0,0,'Données projet'!$E$15+1,1))</f>
        <v>#N/A</v>
      </c>
      <c r="EP183" s="153" t="str">
        <f t="shared" si="47"/>
        <v>#N/A</v>
      </c>
      <c r="EQ183" s="154">
        <f>IF(ISNA(VLOOKUP(A183,'Données projet'!$A$191:$I$211,3,0)),0,VLOOKUP(A183,'Données projet'!$A$191:$I$211,3,0))</f>
        <v>0</v>
      </c>
      <c r="ER183" s="154">
        <f>IF(ISNA(VLOOKUP(A183,'Données projet'!$A$191:$I$211,4,0)),0,VLOOKUP(A183,'Données projet'!$A$191:$I$211,4,0))</f>
        <v>0</v>
      </c>
      <c r="ES183" s="155">
        <f>IF(ISNA(VLOOKUP(A183,'Données projet'!$A$191:$I$211,5,0)),0%,VLOOKUP(A183,'Données projet'!$A$191:$I$211,5,0)*VLOOKUP('Données projet'!$B$15,'Paramètres'!$A$1:$I$88,7,0))</f>
        <v>0</v>
      </c>
      <c r="ET183" s="155">
        <f>IF(ISNA(VLOOKUP(A183,'Données projet'!$A$191:$I$211,6,0)),0%,VLOOKUP(A183,'Données projet'!$A$191:$I$211,6,0)*VLOOKUP('Données projet'!$B$15,'Paramètres'!$A$1:$I$88,7,0))</f>
        <v>0</v>
      </c>
      <c r="EU183" s="155">
        <f>IF(ISNA(VLOOKUP(A183,'Données projet'!$A$191:$I$211,7,0)),0%,VLOOKUP(A183,'Données projet'!$A$191:$I$211,7,0))</f>
        <v>0</v>
      </c>
      <c r="EV183" s="162" t="str">
        <f>EXP(-LN(2)/35)*EV182+(1-EXP(-LN(2)/35))/(LN(2)/35)*ER183*ES183*VLOOKUP('Données projet'!$B$15,'Paramètres'!$A$1:$I$88,3,0)*0.475*44/12</f>
        <v>#N/A</v>
      </c>
      <c r="EW183" s="162" t="str">
        <f>EXP(-LN(2)/25)*EW182+(1-EXP(-LN(2)/25))/(LN(2)/25)*Calculateur!ER183*Calculateur!ET183*VLOOKUP('Données projet'!$B$15,'Paramètres'!$A$1:$I$88,3,0)*0.475*44/12</f>
        <v>#N/A</v>
      </c>
      <c r="EX183" s="162" t="str">
        <f>EXP(-LN(2)/2)*EX182+(1-EXP(-LN(2)/2))/(LN(2)/2)*ER183*EU183*VLOOKUP('Données projet'!$B$15,'Paramètres'!$A$1:$I$88,3,0)*0.475*44/12</f>
        <v>#N/A</v>
      </c>
      <c r="EY183" s="163" t="str">
        <f t="shared" si="22"/>
        <v>#N/A</v>
      </c>
      <c r="EZ183" s="159">
        <f>('Scénario référence'!$F$8+'Scénario référence'!$F$9+'Scénario référence'!$B$17+'Scénario référence'!$B$9+'Scénario référence'!$B$10)*70+IF((45+25*(1-EXP(-0.0175*A183)))&lt;70,'Scénario référence'!$B$16*(45+25*(1-EXP(-0.0175*A183))),70*'Scénario référence'!$B$16)+IF((32+38*(1-EXP(-0.0175*A183)))&lt;70,'Scénario référence'!$B$18*(32+38*(1-EXP(-0.0175*A183))),70*'Scénario référence'!$B$18)</f>
        <v>70</v>
      </c>
      <c r="FA183" s="151">
        <f>IF(A183&gt;30,10,('Scénario référence'!$B$16+'Scénario référence'!$B$17+'Scénario référence'!$B$18+'Scénario référence'!$B$9+'Scénario référence'!$B$10)*A183*10/30+('Scénario référence'!$F$8+'Scénario référence'!$F$9)*10)</f>
        <v>10</v>
      </c>
      <c r="FB183" s="151" t="str">
        <f>VLOOKUP(A183,'Données projet'!$A$217:$I$237,2,0)</f>
        <v>#N/A</v>
      </c>
      <c r="FC183" s="151" t="str">
        <f>VLOOKUP(A183,'Données projet'!$A$217:$I$237,9,0)</f>
        <v>#N/A</v>
      </c>
      <c r="FD183" s="151" t="str">
        <f t="array" ref="FD183">INDEX(FC:FC,MIN(IF(ISNUMBER(FC183:FC379),ROW(FC183:FC379),"")))</f>
        <v/>
      </c>
      <c r="FE183" s="151">
        <f>IF('Données projet'!$A$218&gt;35,FE182+FD183-FM182,IF(A183&lt;'Données projet'!$A$218,$FB$205^A183,IF(A183='Données projet'!$A$218,'Données projet'!$B$218,FE182+FD183-FM182)))</f>
        <v>0</v>
      </c>
      <c r="FF183" s="158" t="str">
        <f>FE183*VLOOKUP('Données projet'!$B$16,'Paramètres'!$A$1:$I$88,3,0)*VLOOKUP('Données projet'!$B$16,'Paramètres'!$A$1:$I$88,5,0)</f>
        <v>#N/A</v>
      </c>
      <c r="FG183" s="150" t="str">
        <f t="shared" si="48"/>
        <v>#N/A</v>
      </c>
      <c r="FH183" s="161" t="str">
        <f t="shared" si="23"/>
        <v>#N/A</v>
      </c>
      <c r="FI183" s="153" t="str">
        <f t="shared" si="24"/>
        <v>#N/A</v>
      </c>
      <c r="FJ183" s="153" t="str">
        <f>AVERAGE(OFFSET($FI$3,0,0,'Données projet'!$E$16+1,1))-AVERAGE(OFFSET($H$3,0,0,'Données projet'!$E$16+1,1))</f>
        <v>#N/A</v>
      </c>
      <c r="FK183" s="153" t="str">
        <f t="shared" si="49"/>
        <v>#N/A</v>
      </c>
      <c r="FL183" s="154">
        <f>IF(ISNA(VLOOKUP(A183,'Données projet'!$A$217:$I$237,3,0)),0,VLOOKUP(A183,'Données projet'!$A$217:$I$237,3,0))</f>
        <v>0</v>
      </c>
      <c r="FM183" s="154">
        <f>IF(ISNA(VLOOKUP(A183,'Données projet'!$A$217:$I$237,4,0)),0,VLOOKUP(A183,'Données projet'!$A$217:$I$237,4,0))</f>
        <v>0</v>
      </c>
      <c r="FN183" s="155">
        <f>IF(ISNA(VLOOKUP(A183,'Données projet'!$A$217:$I$237,5,0)),0%,VLOOKUP(A183,'Données projet'!$A$217:$I$237,5,0)*VLOOKUP('Données projet'!$B$16,'Paramètres'!$A$1:$I$88,7,0))</f>
        <v>0</v>
      </c>
      <c r="FO183" s="155">
        <f>IF(ISNA(VLOOKUP(A183,'Données projet'!$A$217:$I$237,6,0)),0%,VLOOKUP(A183,'Données projet'!$A$217:$I$237,6,0)*VLOOKUP('Données projet'!$B$16,'Paramètres'!$A$1:$I$88,7,0))</f>
        <v>0</v>
      </c>
      <c r="FP183" s="155">
        <f>IF(ISNA(VLOOKUP(A183,'Données projet'!$A$217:$I$237,7,0)),0%,VLOOKUP(A183,'Données projet'!$A$217:$I$237,7,0))</f>
        <v>0</v>
      </c>
      <c r="FQ183" s="162" t="str">
        <f>EXP(-LN(2)/35)*FQ182+(1-EXP(-LN(2)/35))/(LN(2)/35)*FM183*FN183*VLOOKUP('Données projet'!$B$16,'Paramètres'!$A$1:$I$88,3,0)*0.475*44/12</f>
        <v>#N/A</v>
      </c>
      <c r="FR183" s="162" t="str">
        <f>EXP(-LN(2)/25)*FR182+(1-EXP(-LN(2)/25))/(LN(2)/25)*Calculateur!FM183*Calculateur!FO183*VLOOKUP('Données projet'!$B$16,'Paramètres'!$A$1:$I$88,3,0)*0.475*44/12</f>
        <v>#N/A</v>
      </c>
      <c r="FS183" s="162" t="str">
        <f>EXP(-LN(2)/2)*FS182+(1-EXP(-LN(2)/2))/(LN(2)/2)*FM183*FP183*VLOOKUP('Données projet'!$B$16,'Paramètres'!$A$1:$I$88,3,0)*0.475*44/12</f>
        <v>#N/A</v>
      </c>
      <c r="FT183" s="163" t="str">
        <f t="shared" si="25"/>
        <v>#N/A</v>
      </c>
      <c r="FU183" s="159">
        <f>('Scénario référence'!$F$8+'Scénario référence'!$F$9+'Scénario référence'!$B$17+'Scénario référence'!$B$9+'Scénario référence'!$B$10)*70+IF((45+25*(1-EXP(-0.0175*A183)))&lt;70,'Scénario référence'!$B$16*(45+25*(1-EXP(-0.0175*A183))),70*'Scénario référence'!$B$16)+IF((32+38*(1-EXP(-0.0175*A183)))&lt;70,'Scénario référence'!$B$18*(32+38*(1-EXP(-0.0175*A183))),70*'Scénario référence'!$B$18)</f>
        <v>70</v>
      </c>
      <c r="FV183" s="151">
        <f>IF(A183&gt;30,10,('Scénario référence'!$B$16+'Scénario référence'!$B$17+'Scénario référence'!$B$18+'Scénario référence'!$B$9+'Scénario référence'!$B$10)*A183*10/30+('Scénario référence'!$F$8+'Scénario référence'!$F$9)*10)</f>
        <v>10</v>
      </c>
      <c r="FW183" s="151" t="str">
        <f>VLOOKUP(A183,'Données projet'!$A$243:$I$263,2,0)</f>
        <v>#N/A</v>
      </c>
      <c r="FX183" s="151" t="str">
        <f>VLOOKUP(A183,'Données projet'!$A$243:$I$263,9,0)</f>
        <v>#N/A</v>
      </c>
      <c r="FY183" s="151" t="str">
        <f t="array" ref="FY183">INDEX(FX:FX,MIN(IF(ISNUMBER(FX183:FX379),ROW(FX183:FX379),"")))</f>
        <v/>
      </c>
      <c r="FZ183" s="151">
        <f>IF('Données projet'!$A$244&gt;35,FZ182+FY183-GH182,IF(A183&lt;'Données projet'!$A$244,$FW$205^A183,IF(A183='Données projet'!$A$244,'Données projet'!$B$244,FZ182+FY183-GH182)))</f>
        <v>0</v>
      </c>
      <c r="GA183" s="158" t="str">
        <f>FZ183*VLOOKUP('Données projet'!$B$17,'Paramètres'!$A$1:$I$88,3,0)*VLOOKUP('Données projet'!$B$17,'Paramètres'!$A$1:$I$88,5,0)</f>
        <v>#N/A</v>
      </c>
      <c r="GB183" s="150" t="str">
        <f t="shared" si="50"/>
        <v>#N/A</v>
      </c>
      <c r="GC183" s="161" t="str">
        <f t="shared" si="26"/>
        <v>#N/A</v>
      </c>
      <c r="GD183" s="153" t="str">
        <f t="shared" si="27"/>
        <v>#N/A</v>
      </c>
      <c r="GE183" s="153" t="str">
        <f>AVERAGE(OFFSET($GD$3,0,0,'Données projet'!$E$17+1,1))-AVERAGE(OFFSET($H$3,0,0,'Données projet'!$E$17+1,1))</f>
        <v>#N/A</v>
      </c>
      <c r="GF183" s="153" t="str">
        <f t="shared" si="51"/>
        <v>#N/A</v>
      </c>
      <c r="GG183" s="154">
        <f>IF(ISNA(VLOOKUP(A183,'Données projet'!$A$243:$I$263,3,0)),0,VLOOKUP(A183,'Données projet'!$A$243:$I$263,3,0))</f>
        <v>0</v>
      </c>
      <c r="GH183" s="154">
        <f>IF(ISNA(VLOOKUP(A183,'Données projet'!$A$243:$I$263,4,0)),0,VLOOKUP(A183,'Données projet'!$A$243:$I$263,4,0))</f>
        <v>0</v>
      </c>
      <c r="GI183" s="155">
        <f>IF(ISNA(VLOOKUP(A183,'Données projet'!$A$243:$I$263,5,0)),0%,VLOOKUP(A183,'Données projet'!$A$243:$I$263,5,0)*VLOOKUP('Données projet'!$B$17,'Paramètres'!$A$1:$I$88,7,0))</f>
        <v>0</v>
      </c>
      <c r="GJ183" s="155">
        <f>IF(ISNA(VLOOKUP(A183,'Données projet'!$A$243:$I$263,6,0)),0%,VLOOKUP(A183,'Données projet'!$A$243:$I$263,6,0)*VLOOKUP('Données projet'!$B$17,'Paramètres'!$A$1:$I$88,7,0))</f>
        <v>0</v>
      </c>
      <c r="GK183" s="155">
        <f>IF(ISNA(VLOOKUP(A183,'Données projet'!$A$243:$I$263,7,0)),0%,VLOOKUP(A183,'Données projet'!$A$243:$I$263,7,0))</f>
        <v>0</v>
      </c>
      <c r="GL183" s="162" t="str">
        <f>EXP(-LN(2)/35)*GL182+(1-EXP(-LN(2)/35))/(LN(2)/35)*GH183*GI183*VLOOKUP('Données projet'!$B$17,'Paramètres'!$A$1:$I$88,3,0)*0.475*44/12</f>
        <v>#N/A</v>
      </c>
      <c r="GM183" s="162" t="str">
        <f>EXP(-LN(2)/25)*GM182+(1-EXP(-LN(2)/25))/(LN(2)/25)*Calculateur!GH183*Calculateur!GJ183*VLOOKUP('Données projet'!$B$17,'Paramètres'!$A$1:$I$88,3,0)*0.475*44/12</f>
        <v>#N/A</v>
      </c>
      <c r="GN183" s="162" t="str">
        <f>EXP(-LN(2)/2)*GN182+(1-EXP(-LN(2)/2))/(LN(2)/2)*GH183*GK183*VLOOKUP('Données projet'!$B$17,'Paramètres'!$A$1:$I$88,3,0)*0.475*44/12</f>
        <v>#N/A</v>
      </c>
      <c r="GO183" s="162" t="str">
        <f t="shared" si="28"/>
        <v>#N/A</v>
      </c>
      <c r="GP183" s="159">
        <f>('Scénario référence'!$F$8+'Scénario référence'!$F$9+'Scénario référence'!$B$17+'Scénario référence'!$B$9+'Scénario référence'!$B$10)*70+IF((45+25*(1-EXP(-0.0175*A183)))&lt;70,'Scénario référence'!$B$16*(45+25*(1-EXP(-0.0175*A183))),70*'Scénario référence'!$B$16)+IF((32+38*(1-EXP(-0.0175*A183)))&lt;70,'Scénario référence'!$B$18*(32+38*(1-EXP(-0.0175*A183))),70*'Scénario référence'!$B$18)</f>
        <v>70</v>
      </c>
      <c r="GQ183" s="151">
        <f>IF(A183&gt;30,10,('Scénario référence'!$B$16+'Scénario référence'!$B$17+'Scénario référence'!$B$18+'Scénario référence'!$B$9+'Scénario référence'!$B$10)*A183*10/30+('Scénario référence'!$F$8+'Scénario référence'!$F$9)*10)</f>
        <v>10</v>
      </c>
      <c r="GR183" s="151" t="str">
        <f>VLOOKUP(A183,'Données projet'!$A$269:$I$289,2,0)</f>
        <v>#N/A</v>
      </c>
      <c r="GS183" s="151" t="str">
        <f>VLOOKUP(A183,'Données projet'!$A$269:$I$289,9,0)</f>
        <v>#N/A</v>
      </c>
      <c r="GT183" s="151" t="str">
        <f t="array" ref="GT183">INDEX(GS:GS,MIN(IF(ISNUMBER(GS183:GS379),ROW(GS183:GS379),"")))</f>
        <v/>
      </c>
      <c r="GU183" s="151">
        <f>IF('Données projet'!$A$270&gt;35,GU182+GT183-HC182,IF(A183&lt;'Données projet'!$A$270,$GR$205^A183,IF(A183='Données projet'!$A$270,'Données projet'!$B$270,GU182+GT183-HC182)))</f>
        <v>0</v>
      </c>
      <c r="GV183" s="158" t="str">
        <f>GU183*VLOOKUP('Données projet'!$B$18,'Paramètres'!$A$1:$I$88,3,0)*VLOOKUP('Données projet'!$B$18,'Paramètres'!$A$1:$I$88,5,0)</f>
        <v>#N/A</v>
      </c>
      <c r="GW183" s="150" t="str">
        <f t="shared" si="52"/>
        <v>#N/A</v>
      </c>
      <c r="GX183" s="161" t="str">
        <f t="shared" si="29"/>
        <v>#N/A</v>
      </c>
      <c r="GY183" s="153" t="str">
        <f t="shared" si="30"/>
        <v>#N/A</v>
      </c>
      <c r="GZ183" s="153" t="str">
        <f>AVERAGE(OFFSET($GY$3,0,0,'Données projet'!$E$18+1,1))-AVERAGE(OFFSET($H$3,0,0,'Données projet'!$E$18+1,1))</f>
        <v>#N/A</v>
      </c>
      <c r="HA183" s="153" t="str">
        <f t="shared" si="53"/>
        <v>#N/A</v>
      </c>
      <c r="HB183" s="154">
        <f>IF(ISNA(VLOOKUP(A183,'Données projet'!$A$269:$I$289,3,0)),0,VLOOKUP(A183,'Données projet'!$A$269:$I$289,3,0))</f>
        <v>0</v>
      </c>
      <c r="HC183" s="154">
        <f>IF(ISNA(VLOOKUP(A183,'Données projet'!$A$269:$I$289,4,0)),0,VLOOKUP(A183,'Données projet'!$A$269:$I$289,4,0))</f>
        <v>0</v>
      </c>
      <c r="HD183" s="155">
        <f>IF(ISNA(VLOOKUP(A183,'Données projet'!$A$269:$I$289,5,0)),0%,VLOOKUP(A183,'Données projet'!$A$269:$I$289,5,0)*VLOOKUP('Données projet'!$B$18,'Paramètres'!$A$1:$I$88,7,0))</f>
        <v>0</v>
      </c>
      <c r="HE183" s="155">
        <f>IF(ISNA(VLOOKUP(A183,'Données projet'!$A$269:$I$289,6,0)),0%,VLOOKUP(A183,'Données projet'!$A$269:$I$289,6,0)*VLOOKUP('Données projet'!$B$18,'Paramètres'!$A$1:$I$88,7,0))</f>
        <v>0</v>
      </c>
      <c r="HF183" s="155">
        <f>IF(ISNA(VLOOKUP(A183,'Données projet'!$A$269:$I$289,7,0)),0%,VLOOKUP(A183,'Données projet'!$A$269:$I$289,7,0))</f>
        <v>0</v>
      </c>
      <c r="HG183" s="162" t="str">
        <f>EXP(-LN(2)/35)*HG182+(1-EXP(-LN(2)/35))/(LN(2)/35)*HC183*HD183*VLOOKUP('Données projet'!$B$18,'Paramètres'!$A$1:$I$88,3,0)*0.475*44/12</f>
        <v>#N/A</v>
      </c>
      <c r="HH183" s="162" t="str">
        <f>EXP(-LN(2)/25)*HH182+(1-EXP(-LN(2)/25))/(LN(2)/25)*Calculateur!HC183*Calculateur!HE183*VLOOKUP('Données projet'!$B$18,'Paramètres'!$A$1:$I$88,3,0)*0.475*44/12</f>
        <v>#N/A</v>
      </c>
      <c r="HI183" s="162" t="str">
        <f>EXP(-LN(2)/2)*HI182+(1-EXP(-LN(2)/2))/(LN(2)/2)*HC183*HF183*VLOOKUP('Données projet'!$B$18,'Paramètres'!$A$1:$I$88,3,0)*0.475*44/12</f>
        <v>#N/A</v>
      </c>
      <c r="HJ183" s="163" t="str">
        <f t="shared" si="31"/>
        <v>#N/A</v>
      </c>
    </row>
    <row r="184" ht="15.75" customHeight="1">
      <c r="A184" s="145">
        <f t="shared" si="32"/>
        <v>181</v>
      </c>
      <c r="B184" s="146">
        <f>'Scénario référence'!$B$16*5+'Scénario référence'!$B$17*0+'Scénario référence'!$B$18*5</f>
        <v>0</v>
      </c>
      <c r="C184" s="160">
        <f>Calculateur!C183+'Scénario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84" s="147">
        <f t="shared" si="33"/>
        <v>0</v>
      </c>
      <c r="E184" s="147">
        <f>'Scénario référence'!$B$16*45+('Scénario référence'!$B$17+'Scénario référence'!$F$8+'Scénario référence'!$F$9+'Scénario référence'!$B$10+'Scénario référence'!$B$9)*70+'Scénario référence'!$B$18*32</f>
        <v>70</v>
      </c>
      <c r="F184" s="147">
        <f>IF(OR('Scénario référence'!$F$8&gt;0,'Scénario référence'!$F$9&gt;0),('Scénario référence'!$F$8+'Scénario référence'!$F$9)*10,0)</f>
        <v>0</v>
      </c>
      <c r="G184" s="147">
        <f>'Scénario référence'!$B$8*B184*44/12+'Scénario référence'!$B$9*(C184+D184)/0.475*44/12+'Scénario référence'!$B$10*(C184+D184)/0.475*44/12+'Scénario référence'!$F$8*(C184+D184)/0.475*44/12+'Scénario référence'!$F$9*(C184+D184)/0.475*44/12</f>
        <v>0</v>
      </c>
      <c r="H184" s="148">
        <f t="shared" si="1"/>
        <v>256.6666667</v>
      </c>
      <c r="I184" s="149">
        <f>('Scénario référence'!$F$8+'Scénario référence'!$F$9+'Scénario référence'!$B$17+'Scénario référence'!$B$9+'Scénario référence'!$B$10)*70+IF((45+25*(1-EXP(-0.0175*A184)))&lt;70,'Scénario référence'!$B$16*(45+25*(1-EXP(-0.0175*A184))),70*'Scénario référence'!$B$16)+IF((32+38*(1-EXP(-0.0175*A184)))&lt;70,'Scénario référence'!$B$18*(32+38*(1-EXP(-0.0175*A184))),70*'Scénario référence'!$B$18)</f>
        <v>70</v>
      </c>
      <c r="J184" s="150">
        <f>IF(A184&gt;30,10,('Scénario référence'!$B$16+'Scénario référence'!$B$17+'Scénario référence'!$B$18+'Scénario référence'!$B$9+'Scénario référence'!$B$10)*A184*10/30+('Scénario référence'!$F$8+'Scénario référence'!$F$9)*10)</f>
        <v>10</v>
      </c>
      <c r="K184" s="151" t="str">
        <f>VLOOKUP(A184,'Données projet'!$A$35:$I$55,2,0)</f>
        <v>#N/A</v>
      </c>
      <c r="L184" s="151" t="str">
        <f>VLOOKUP(A184,'Données projet'!$A$35:$I$55,9,0)</f>
        <v>#N/A</v>
      </c>
      <c r="M184" s="151" t="str">
        <f t="array" ref="M184">INDEX(L:L,MIN(IF(ISNUMBER(L184:L380),ROW(L184:L380),"")))</f>
        <v/>
      </c>
      <c r="N184" s="150">
        <f>IF('Données projet'!$A$36&gt;35,N183+M184-V183,IF(A184&lt;'Données projet'!$A$36,$K$205^A184,IF(A184='Données projet'!$A$36,'Données projet'!$B$36,N183+M184-V183)))</f>
        <v>307</v>
      </c>
      <c r="O184" s="150">
        <f>N184*VLOOKUP('Données projet'!$B$9,'Paramètres'!$A$1:$I$88,3,0)*VLOOKUP('Données projet'!$B$9,'Paramètres'!$A$1:$I$88,5,0)</f>
        <v>277.7736</v>
      </c>
      <c r="P184" s="150">
        <f t="shared" si="34"/>
        <v>66.49628818</v>
      </c>
      <c r="Q184" s="161">
        <f t="shared" si="2"/>
        <v>599.6033886</v>
      </c>
      <c r="R184" s="153">
        <f t="shared" si="3"/>
        <v>892.9367219</v>
      </c>
      <c r="S184" s="153">
        <f>AVERAGE(OFFSET($R$3,0,0,'Données projet'!$E$9+1,1))-AVERAGE(OFFSET($H$3,0,0,'Données projet'!$E$9+1,1))</f>
        <v>439.1985427</v>
      </c>
      <c r="T184" s="153">
        <f t="shared" si="35"/>
        <v>278.2174123</v>
      </c>
      <c r="U184" s="154">
        <f>IF(ISNA(VLOOKUP(A184,'Données projet'!$A$35:$I$55,3,0)),0,VLOOKUP(A184,'Données projet'!$A$35:$I$55,3,0))</f>
        <v>0</v>
      </c>
      <c r="V184" s="154">
        <f>IF(ISNA(VLOOKUP(A184,'Données projet'!$A$35:$I$55,4,0)),0,VLOOKUP(A184,'Données projet'!$A$35:$I$55,4,0))</f>
        <v>0</v>
      </c>
      <c r="W184" s="155">
        <f>IF(ISNA(VLOOKUP(A184,'Données projet'!$A$35:$I$55,5,0)),0%,VLOOKUP(A184,'Données projet'!$A$35:$I$55,5,0)*VLOOKUP('Données projet'!$B$9,'Paramètres'!$A$1:$I$88,7,0))</f>
        <v>0</v>
      </c>
      <c r="X184" s="155">
        <f>IF(ISNA(VLOOKUP(A184,'Données projet'!$A$35:$I$55,6,0)),0%,VLOOKUP(A184,'Données projet'!$A$35:$I$55,6,0)*VLOOKUP('Données projet'!$B$9,'Paramètres'!$A$1:$I$88,7,0))</f>
        <v>0</v>
      </c>
      <c r="Y184" s="155">
        <f>IF(ISNA(VLOOKUP(A184,'Données projet'!$A$35:$I$55,7,0)),0%,VLOOKUP(A184,'Données projet'!$A$35:$I$55,7,0))</f>
        <v>0</v>
      </c>
      <c r="Z184" s="162">
        <f>EXP(-LN(2)/35)*Z183+(1-EXP(-LN(2)/35))/(LN(2)/35)*V184*W184*VLOOKUP('Données projet'!$B$9,'Paramètres'!$A$1:$I$88,3,0)*0.475*44/12</f>
        <v>0</v>
      </c>
      <c r="AA184" s="162">
        <f>EXP(-LN(2)/25)*AA183+(1-EXP(-LN(2)/25))/(LN(2)/25)*Calculateur!V184*Calculateur!X184*VLOOKUP('Données projet'!$B$9,'Paramètres'!$A$1:$I$88,3,0)*0.475*44/12</f>
        <v>0.06820105694</v>
      </c>
      <c r="AB184" s="162">
        <f>EXP(-LN(2)/2)*AB183+(1-EXP(-LN(2)/2))/(LN(2)/2)*V184*Y184*VLOOKUP('Données projet'!$B$9,'Paramètres'!$A$1:$I$88,3,0)*0.475*44/12</f>
        <v>0</v>
      </c>
      <c r="AC184" s="163">
        <f t="shared" si="4"/>
        <v>0.06820105694</v>
      </c>
      <c r="AD184" s="150">
        <f>('Scénario référence'!$F$8+'Scénario référence'!$F$9+'Scénario référence'!$B$17+'Scénario référence'!$B$9+'Scénario référence'!$B$10)*70+IF((45+25*(1-EXP(-0.0175*A184)))&lt;70,'Scénario référence'!$B$16*(45+25*(1-EXP(-0.0175*A184))),70*'Scénario référence'!$B$16)+IF((32+38*(1-EXP(-0.0175*A184)))&lt;70,'Scénario référence'!$B$18*(32+38*(1-EXP(-0.0175*A184))),70*'Scénario référence'!$B$18)</f>
        <v>70</v>
      </c>
      <c r="AE184" s="150">
        <f>IF(A184&gt;30,10,('Scénario référence'!$B$16+'Scénario référence'!$B$17+'Scénario référence'!$B$18+'Scénario référence'!$B$9+'Scénario référence'!$B$10)*A184*10/30+('Scénario référence'!$F$8+'Scénario référence'!$F$9)*10)</f>
        <v>10</v>
      </c>
      <c r="AF184" s="151" t="str">
        <f>VLOOKUP(A184,'Données projet'!$A$61:$I$81,2,0)</f>
        <v>#N/A</v>
      </c>
      <c r="AG184" s="151" t="str">
        <f>VLOOKUP(A184,'Données projet'!$A$61:$I$81,9,0)</f>
        <v>#N/A</v>
      </c>
      <c r="AH184" s="151" t="str">
        <f t="array" ref="AH184">INDEX(AG:AG,MIN(IF(ISNUMBER(AG184:AG380),ROW(AG184:AG380),"")))</f>
        <v/>
      </c>
      <c r="AI184" s="150">
        <f>IF('Données projet'!$A$62&gt;35,AI183+AH184-AQ183,IF(A184&lt;'Données projet'!$A$62,$AF$205^A184,IF(A184='Données projet'!$A$62,'Données projet'!$B$62,AI183+AH184-AQ183)))</f>
        <v>369</v>
      </c>
      <c r="AJ184" s="150">
        <f>AI184*VLOOKUP('Données projet'!$B$10,'Paramètres'!$A$1:$I$88,3,0)*VLOOKUP('Données projet'!$B$10,'Paramètres'!$A$1:$I$88,5,0)</f>
        <v>293.5764</v>
      </c>
      <c r="AK184" s="150">
        <f t="shared" si="36"/>
        <v>69.82813851</v>
      </c>
      <c r="AL184" s="161">
        <f t="shared" si="5"/>
        <v>632.9295712</v>
      </c>
      <c r="AM184" s="153">
        <f t="shared" si="6"/>
        <v>926.2629046</v>
      </c>
      <c r="AN184" s="153">
        <f>AVERAGE(OFFSET($AM$3,0,0,'Données projet'!$E$10+1,1))-AVERAGE(OFFSET($H$3,0,0,'Données projet'!$E$10+1,1))</f>
        <v>405.6113614</v>
      </c>
      <c r="AO184" s="153">
        <f t="shared" si="37"/>
        <v>393.0787141</v>
      </c>
      <c r="AP184" s="154">
        <f>IF(ISNA(VLOOKUP(A184,'Données projet'!$A$61:$I$81,3,0)),0,VLOOKUP(A184,'Données projet'!$A$61:$I$81,3,0))</f>
        <v>0</v>
      </c>
      <c r="AQ184" s="154">
        <f>IF(ISNA(VLOOKUP(A184,'Données projet'!$A$61:$I$81,4,0)),0,VLOOKUP(A184,'Données projet'!$A$61:$I$81,4,0))</f>
        <v>0</v>
      </c>
      <c r="AR184" s="155">
        <f>IF(ISNA(VLOOKUP(A184,'Données projet'!$A$61:$I$81,5,0)),0%,VLOOKUP(A184,'Données projet'!$A$61:$I$81,5,0)*VLOOKUP('Données projet'!$B$10,'Paramètres'!$A$1:$I$88,7,0))</f>
        <v>0</v>
      </c>
      <c r="AS184" s="155">
        <f>IF(ISNA(VLOOKUP(A184,'Données projet'!$A$61:$I$81,6,0)),0%,VLOOKUP(A184,'Données projet'!$A$61:$I$81,6,0)*VLOOKUP('Données projet'!$B$10,'Paramètres'!$A$1:$I$88,7,0))</f>
        <v>0</v>
      </c>
      <c r="AT184" s="155">
        <f>IF(ISNA(VLOOKUP(A184,'Données projet'!$A$61:$I$81,7,0)),0%,VLOOKUP(A184,'Données projet'!$A$61:$I$81,7,0))</f>
        <v>0</v>
      </c>
      <c r="AU184" s="162">
        <f>EXP(-LN(2)/35)*AU183+(1-EXP(-LN(2)/35))/(LN(2)/35)*AQ184*AR184*VLOOKUP('Données projet'!$B$10,'Paramètres'!$A$1:$I$88,3,0)*0.475*44/12</f>
        <v>0</v>
      </c>
      <c r="AV184" s="162">
        <f>EXP(-LN(2)/25)*AV183+(1-EXP(-LN(2)/25))/(LN(2)/25)*Calculateur!AQ184*Calculateur!AS184*VLOOKUP('Données projet'!$B$10,'Paramètres'!$A$1:$I$88,3,0)*0.475*44/12</f>
        <v>0.2771864328</v>
      </c>
      <c r="AW184" s="162">
        <f>EXP(-LN(2)/2)*AW183+(1-EXP(-LN(2)/2))/(LN(2)/2)*AQ184*AT184*VLOOKUP('Données projet'!$B$10,'Paramètres'!$A$1:$I$88,3,0)*0.475*44/12</f>
        <v>0</v>
      </c>
      <c r="AX184" s="162">
        <f t="shared" si="7"/>
        <v>0.2771864328</v>
      </c>
      <c r="AY184" s="157">
        <f>('Scénario référence'!$F$8+'Scénario référence'!$F$9+'Scénario référence'!$B$17+'Scénario référence'!$B$9+'Scénario référence'!$B$10)*70+IF((45+25*(1-EXP(-0.0175*A184)))&lt;70,'Scénario référence'!$B$16*(45+25*(1-EXP(-0.0175*A184))),70*'Scénario référence'!$B$16)+IF((32+38*(1-EXP(-0.0175*A184)))&lt;70,'Scénario référence'!$B$18*(32+38*(1-EXP(-0.0175*A184))),70*'Scénario référence'!$B$18)</f>
        <v>70</v>
      </c>
      <c r="AZ184" s="151">
        <f>IF(A184&gt;30,10,('Scénario référence'!$B$16+'Scénario référence'!$B$17+'Scénario référence'!$B$18+'Scénario référence'!$B$9+'Scénario référence'!$B$10)*A184*10/30+('Scénario référence'!$F$8+'Scénario référence'!$F$9)*10)</f>
        <v>10</v>
      </c>
      <c r="BA184" s="151" t="str">
        <f>VLOOKUP(A184,'Données projet'!$A$87:$I$107,2,0)</f>
        <v>#N/A</v>
      </c>
      <c r="BB184" s="151" t="str">
        <f>VLOOKUP(A184,'Données projet'!$A$87:$I$107,9,0)</f>
        <v>#N/A</v>
      </c>
      <c r="BC184" s="151" t="str">
        <f t="array" ref="BC184">INDEX(BB:BB,MIN(IF(ISNUMBER(BB184:BB380),ROW(BB184:BB380),"")))</f>
        <v/>
      </c>
      <c r="BD184" s="150">
        <f>IF('Données projet'!$A$88&gt;35,BD183+BC184-BL183,IF(A184&lt;'Données projet'!$A$88,$BA$205^A184,IF(A184='Données projet'!$A$88,'Données projet'!$B$88,BD183+BC184-BL183)))</f>
        <v>0</v>
      </c>
      <c r="BE184" s="150">
        <f>BD184*VLOOKUP('Données projet'!$B$11,'Paramètres'!$A$1:$I$88,3,0)*VLOOKUP('Données projet'!$B$11,'Paramètres'!$A$1:$I$88,5,0)</f>
        <v>0</v>
      </c>
      <c r="BF184" s="150" t="str">
        <f t="shared" si="38"/>
        <v>#NUM!</v>
      </c>
      <c r="BG184" s="161" t="str">
        <f t="shared" si="8"/>
        <v>#NUM!</v>
      </c>
      <c r="BH184" s="153" t="str">
        <f t="shared" si="9"/>
        <v>#NUM!</v>
      </c>
      <c r="BI184" s="153">
        <f>AVERAGE(OFFSET($BH$3,0,0,'Données projet'!$E$11+1,1))-AVERAGE(OFFSET($H$3,0,0,'Données projet'!$E$11+1,1))</f>
        <v>0</v>
      </c>
      <c r="BJ184" s="153">
        <f t="shared" si="39"/>
        <v>0</v>
      </c>
      <c r="BK184" s="154">
        <f>IF(ISNA(VLOOKUP(A184,'Données projet'!$A$87:$I$107,3,0)),0,VLOOKUP(A184,'Données projet'!$A$87:$I$107,3,0))</f>
        <v>0</v>
      </c>
      <c r="BL184" s="154">
        <f>IF(ISNA(VLOOKUP(A184,'Données projet'!$A$87:$I$107,4,0)),0,VLOOKUP(A184,'Données projet'!$A$87:$I$107,4,0))</f>
        <v>0</v>
      </c>
      <c r="BM184" s="155">
        <f>IF(ISNA(VLOOKUP(A184,'Données projet'!$A$87:$I$107,5,0)),0%,VLOOKUP(A184,'Données projet'!$A$87:$I$107,5,0)*VLOOKUP('Données projet'!$B$11,'Paramètres'!$A$1:$I$88,7,0))</f>
        <v>0</v>
      </c>
      <c r="BN184" s="155">
        <f>IF(ISNA(VLOOKUP(A184,'Données projet'!$A$87:$I$107,6,0)),0%,VLOOKUP(A184,'Données projet'!$A$87:$I$107,6,0)*VLOOKUP('Données projet'!$B$11,'Paramètres'!$A$1:$I$88,7,0))</f>
        <v>0</v>
      </c>
      <c r="BO184" s="155">
        <f>IF(ISNA(VLOOKUP(A184,'Données projet'!$A$87:$I$107,7,0)),0%,VLOOKUP(A184,'Données projet'!$A$87:$I$107,7,0))</f>
        <v>0</v>
      </c>
      <c r="BP184" s="162">
        <f>EXP(-LN(2)/35)*BP183+(1-EXP(-LN(2)/35))/(LN(2)/35)*BL184*BM184*VLOOKUP('Données projet'!$B$11,'Paramètres'!$A$1:$I$88,3,0)*0.475*44/12</f>
        <v>0</v>
      </c>
      <c r="BQ184" s="162">
        <f>EXP(-LN(2)/25)*BQ183+(1-EXP(-LN(2)/25))/(LN(2)/25)*Calculateur!BL184*Calculateur!BN184*VLOOKUP('Données projet'!$B$11,'Paramètres'!$A$1:$I$88,3,0)*0.475*44/12</f>
        <v>0</v>
      </c>
      <c r="BR184" s="162">
        <f>EXP(-LN(2)/2)*BR183+(1-EXP(-LN(2)/2))/(LN(2)/2)*BL184*BO184*VLOOKUP('Données projet'!$B$11,'Paramètres'!$A$1:$I$88,3,0)*0.475*44/12</f>
        <v>0</v>
      </c>
      <c r="BS184" s="163">
        <f t="shared" si="10"/>
        <v>0</v>
      </c>
      <c r="BT184" s="159">
        <f>('Scénario référence'!$F$8+'Scénario référence'!$F$9+'Scénario référence'!$B$17+'Scénario référence'!$B$9+'Scénario référence'!$B$10)*70+IF((45+25*(1-EXP(-0.0175*A184)))&lt;70,'Scénario référence'!$B$16*(45+25*(1-EXP(-0.0175*A184))),70*'Scénario référence'!$B$16)+IF((32+38*(1-EXP(-0.0175*A184)))&lt;70,'Scénario référence'!$B$18*(32+38*(1-EXP(-0.0175*A184))),70*'Scénario référence'!$B$18)</f>
        <v>70</v>
      </c>
      <c r="BU184" s="151">
        <f>IF(A184&gt;30,10,('Scénario référence'!$B$16+'Scénario référence'!$B$17+'Scénario référence'!$B$18+'Scénario référence'!$B$9+'Scénario référence'!$B$10)*A184*10/30+('Scénario référence'!$F$8+'Scénario référence'!$F$9)*10)</f>
        <v>10</v>
      </c>
      <c r="BV184" s="151" t="str">
        <f>VLOOKUP(A184,'Données projet'!$A$113:$I$133,2,0)</f>
        <v>#N/A</v>
      </c>
      <c r="BW184" s="151" t="str">
        <f>VLOOKUP(A184,'Données projet'!$A$113:$I$133,9,0)</f>
        <v>#N/A</v>
      </c>
      <c r="BX184" s="151" t="str">
        <f t="array" ref="BX184">INDEX(BW:BW,MIN(IF(ISNUMBER(BW184:BW380),ROW(BW184:BW380),"")))</f>
        <v/>
      </c>
      <c r="BY184" s="150">
        <f>IF('Données projet'!$A$114&gt;35,BY183+BX184-CG183,IF(A184&lt;'Données projet'!$A$114,$BV$205^A184,IF(A184='Données projet'!$A$114,'Données projet'!$B$114,BY183+BX184-CG183)))</f>
        <v>0</v>
      </c>
      <c r="BZ184" s="150" t="str">
        <f>BY184*VLOOKUP('Données projet'!$B$12,'Paramètres'!$A$1:$I$88,3,0)*VLOOKUP('Données projet'!$B$12,'Paramètres'!$A$1:$I$88,5,0)</f>
        <v>#N/A</v>
      </c>
      <c r="CA184" s="150" t="str">
        <f t="shared" si="40"/>
        <v>#N/A</v>
      </c>
      <c r="CB184" s="161" t="str">
        <f t="shared" si="11"/>
        <v>#N/A</v>
      </c>
      <c r="CC184" s="153" t="str">
        <f t="shared" si="12"/>
        <v>#N/A</v>
      </c>
      <c r="CD184" s="153" t="str">
        <f>AVERAGE(OFFSET($CC$3,0,0,'Données projet'!$E$12+1,1))-AVERAGE(OFFSET($H$3,0,0,'Données projet'!$E$12+1,1))</f>
        <v>#N/A</v>
      </c>
      <c r="CE184" s="153" t="str">
        <f t="shared" si="41"/>
        <v>#N/A</v>
      </c>
      <c r="CF184" s="154">
        <f>IF(ISNA(VLOOKUP(A184,'Données projet'!$A$113:$I$133,3,0)),0,VLOOKUP(A184,'Données projet'!$A$113:$I$133,3,0))</f>
        <v>0</v>
      </c>
      <c r="CG184" s="154">
        <f>IF(ISNA(VLOOKUP(A184,'Données projet'!$A$113:$I$133,4,0)),0,VLOOKUP(A184,'Données projet'!$A$113:$I$133,4,0))</f>
        <v>0</v>
      </c>
      <c r="CH184" s="155">
        <f>IF(ISNA(VLOOKUP(A184,'Données projet'!$A$113:$I$133,5,0)),0%,VLOOKUP(A184,'Données projet'!$A$113:$I$133,5,0)*VLOOKUP('Données projet'!$B$12,'Paramètres'!$A$1:$I$88,7,0))</f>
        <v>0</v>
      </c>
      <c r="CI184" s="155">
        <f>IF(ISNA(VLOOKUP(A184,'Données projet'!$A$113:$I$133,6,0)),0%,VLOOKUP(A184,'Données projet'!$A$113:$I$133,6,0)*VLOOKUP('Données projet'!$B$12,'Paramètres'!$A$1:$I$88,7,0))</f>
        <v>0</v>
      </c>
      <c r="CJ184" s="155">
        <f>IF(ISNA(VLOOKUP(A184,'Données projet'!$A$113:$I$133,7,0)),0%,VLOOKUP(A184,'Données projet'!$A$113:$I$133,7,0))</f>
        <v>0</v>
      </c>
      <c r="CK184" s="162" t="str">
        <f>EXP(-LN(2)/35)*CK183+(1-EXP(-LN(2)/35))/(LN(2)/35)*CG184*CH184*VLOOKUP('Données projet'!$B$12,'Paramètres'!$A$1:$I$88,3,0)*0.475*44/12</f>
        <v>#N/A</v>
      </c>
      <c r="CL184" s="162" t="str">
        <f>EXP(-LN(2)/25)*CL183+(1-EXP(-LN(2)/25))/(LN(2)/25)*Calculateur!CG184*Calculateur!CI184*VLOOKUP('Données projet'!$B$12,'Paramètres'!$A$1:$I$88,3,0)*0.475*44/12</f>
        <v>#N/A</v>
      </c>
      <c r="CM184" s="162" t="str">
        <f>EXP(-LN(2)/2)*CM183+(1-EXP(-LN(2)/2))/(LN(2)/2)*CG184*CJ184*VLOOKUP('Données projet'!$B$12,'Paramètres'!$A$1:$I$88,3,0)*0.475*44/12</f>
        <v>#N/A</v>
      </c>
      <c r="CN184" s="163" t="str">
        <f t="shared" si="13"/>
        <v>#N/A</v>
      </c>
      <c r="CO184" s="159">
        <f>('Scénario référence'!$F$8+'Scénario référence'!$F$9+'Scénario référence'!$B$17+'Scénario référence'!$B$9+'Scénario référence'!$B$10)*70+IF((45+25*(1-EXP(-0.0175*A184)))&lt;70,'Scénario référence'!$B$16*(45+25*(1-EXP(-0.0175*A184))),70*'Scénario référence'!$B$16)+IF((32+38*(1-EXP(-0.0175*A184)))&lt;70,'Scénario référence'!$B$18*(32+38*(1-EXP(-0.0175*A184))),70*'Scénario référence'!$B$18)</f>
        <v>70</v>
      </c>
      <c r="CP184" s="151">
        <f>IF(A184&gt;30,10,('Scénario référence'!$B$16+'Scénario référence'!$B$17+'Scénario référence'!$B$18+'Scénario référence'!$B$9+'Scénario référence'!$B$10)*A184*10/30+('Scénario référence'!$F$8+'Scénario référence'!$F$9)*10)</f>
        <v>10</v>
      </c>
      <c r="CQ184" s="151" t="str">
        <f>VLOOKUP(A184,'Données projet'!$A$139:$I$159,2,0)</f>
        <v>#N/A</v>
      </c>
      <c r="CR184" s="151" t="str">
        <f>VLOOKUP(A184,'Données projet'!$A$139:$I$159,9,0)</f>
        <v>#N/A</v>
      </c>
      <c r="CS184" s="151" t="str">
        <f t="array" ref="CS184">INDEX(CR:CR,MIN(IF(ISNUMBER(CR184:CR380),ROW(CR184:CR380),"")))</f>
        <v/>
      </c>
      <c r="CT184" s="151">
        <f>IF('Données projet'!$A$140&gt;35,CT183+CS184-DB183,IF(A184&lt;'Données projet'!$A$140,$CQ$205^A184,IF(A184='Données projet'!$A$140,'Données projet'!$B$140,CT183+CS184-DB183)))</f>
        <v>0</v>
      </c>
      <c r="CU184" s="158" t="str">
        <f>CT184*VLOOKUP('Données projet'!$B$13,'Paramètres'!$A$1:$I$88,3,0)*VLOOKUP('Données projet'!$B$13,'Paramètres'!$A$1:$I$88,5,0)</f>
        <v>#N/A</v>
      </c>
      <c r="CV184" s="150" t="str">
        <f t="shared" si="42"/>
        <v>#N/A</v>
      </c>
      <c r="CW184" s="161" t="str">
        <f t="shared" si="14"/>
        <v>#N/A</v>
      </c>
      <c r="CX184" s="153" t="str">
        <f t="shared" si="15"/>
        <v>#N/A</v>
      </c>
      <c r="CY184" s="153" t="str">
        <f>AVERAGE(OFFSET($CX$3,0,0,'Données projet'!$E$13+1,1))-AVERAGE(OFFSET($H$3,0,0,'Données projet'!$E$13+1,1))</f>
        <v>#N/A</v>
      </c>
      <c r="CZ184" s="153" t="str">
        <f t="shared" si="43"/>
        <v>#N/A</v>
      </c>
      <c r="DA184" s="154">
        <f>IF(ISNA(VLOOKUP(A184,'Données projet'!$A$139:$I$159,3,0)),0,VLOOKUP(A184,'Données projet'!$A$139:$I$159,3,0))</f>
        <v>0</v>
      </c>
      <c r="DB184" s="154">
        <f>IF(ISNA(VLOOKUP(A184,'Données projet'!$A$139:$I$159,4,0)),0,VLOOKUP(A184,'Données projet'!$A$139:$I$159,4,0))</f>
        <v>0</v>
      </c>
      <c r="DC184" s="155">
        <f>IF(ISNA(VLOOKUP(A184,'Données projet'!$A$139:$I$159,5,0)),0%,VLOOKUP(A184,'Données projet'!$A$139:$I$159,5,0)*VLOOKUP('Données projet'!$B$13,'Paramètres'!$A$1:$I$88,7,0))</f>
        <v>0</v>
      </c>
      <c r="DD184" s="155">
        <f>IF(ISNA(VLOOKUP(A184,'Données projet'!$A$139:$I$159,6,0)),0%,VLOOKUP(A184,'Données projet'!$A$139:$I$159,6,0)*VLOOKUP('Données projet'!$B$13,'Paramètres'!$A$1:$I$88,7,0))</f>
        <v>0</v>
      </c>
      <c r="DE184" s="155">
        <f>IF(ISNA(VLOOKUP(A184,'Données projet'!$A$139:$I$159,7,0)),0%,VLOOKUP(A184,'Données projet'!$A$139:$I$159,7,0))</f>
        <v>0</v>
      </c>
      <c r="DF184" s="162" t="str">
        <f>EXP(-LN(2)/35)*DF183+(1-EXP(-LN(2)/35))/(LN(2)/35)*DB184*DC184*VLOOKUP('Données projet'!$B$13,'Paramètres'!$A$1:$I$88,3,0)*0.475*44/12</f>
        <v>#N/A</v>
      </c>
      <c r="DG184" s="162" t="str">
        <f>EXP(-LN(2)/25)*DG183+(1-EXP(-LN(2)/25))/(LN(2)/25)*Calculateur!DB184*Calculateur!DD184*VLOOKUP('Données projet'!$B$13,'Paramètres'!$A$1:$I$88,3,0)*0.475*44/12</f>
        <v>#N/A</v>
      </c>
      <c r="DH184" s="162" t="str">
        <f>EXP(-LN(2)/2)*DH183+(1-EXP(-LN(2)/2))/(LN(2)/2)*DB184*DE184*VLOOKUP('Données projet'!$B$13,'Paramètres'!$A$1:$I$88,3,0)*0.475*44/12</f>
        <v>#N/A</v>
      </c>
      <c r="DI184" s="163" t="str">
        <f t="shared" si="16"/>
        <v>#N/A</v>
      </c>
      <c r="DJ184" s="159">
        <f>('Scénario référence'!$F$8+'Scénario référence'!$F$9+'Scénario référence'!$B$17+'Scénario référence'!$B$9+'Scénario référence'!$B$10)*70+IF((45+25*(1-EXP(-0.0175*A184)))&lt;70,'Scénario référence'!$B$16*(45+25*(1-EXP(-0.0175*A184))),70*'Scénario référence'!$B$16)+IF((32+38*(1-EXP(-0.0175*A184)))&lt;70,'Scénario référence'!$B$18*(32+38*(1-EXP(-0.0175*A184))),70*'Scénario référence'!$B$18)</f>
        <v>70</v>
      </c>
      <c r="DK184" s="151">
        <f>IF(A184&gt;30,10,('Scénario référence'!$B$16+'Scénario référence'!$B$17+'Scénario référence'!$B$18+'Scénario référence'!$B$9+'Scénario référence'!$B$10)*A184*10/30+('Scénario référence'!$F$8+'Scénario référence'!$F$9)*10)</f>
        <v>10</v>
      </c>
      <c r="DL184" s="151" t="str">
        <f>VLOOKUP(A184,'Données projet'!$A$165:$I$185,2,0)</f>
        <v>#N/A</v>
      </c>
      <c r="DM184" s="151" t="str">
        <f>VLOOKUP(A184,'Données projet'!$A$165:$I$185,9,0)</f>
        <v>#N/A</v>
      </c>
      <c r="DN184" s="151" t="str">
        <f t="array" ref="DN184">INDEX(DM:DM,MIN(IF(ISNUMBER(DM184:DM380),ROW(DM184:DM380),"")))</f>
        <v/>
      </c>
      <c r="DO184" s="151">
        <f>IF('Données projet'!$A$166&gt;35,DO183+DN184-DW183,IF(A184&lt;'Données projet'!$A$166,$DL$205^A184,IF(A184='Données projet'!$A$166,'Données projet'!$B$166,DO183+DN184-DW183)))</f>
        <v>0</v>
      </c>
      <c r="DP184" s="158" t="str">
        <f>DO184*VLOOKUP('Données projet'!$B$14,'Paramètres'!$A$1:$I$88,3,0)*VLOOKUP('Données projet'!$B$14,'Paramètres'!$A$1:$I$88,5,0)</f>
        <v>#N/A</v>
      </c>
      <c r="DQ184" s="150" t="str">
        <f t="shared" si="44"/>
        <v>#N/A</v>
      </c>
      <c r="DR184" s="161" t="str">
        <f t="shared" si="17"/>
        <v>#N/A</v>
      </c>
      <c r="DS184" s="153" t="str">
        <f t="shared" si="18"/>
        <v>#N/A</v>
      </c>
      <c r="DT184" s="153" t="str">
        <f>AVERAGE(OFFSET($DS$3,0,0,'Données projet'!$E$14+1,1))-AVERAGE(OFFSET($H$3,0,0,'Données projet'!$E$14+1,1))</f>
        <v>#N/A</v>
      </c>
      <c r="DU184" s="153" t="str">
        <f t="shared" si="45"/>
        <v>#N/A</v>
      </c>
      <c r="DV184" s="154">
        <f>IF(ISNA(VLOOKUP(A184,'Données projet'!$A$165:$I$185,3,0)),0,VLOOKUP(A184,'Données projet'!$A$165:$I$185,3,0))</f>
        <v>0</v>
      </c>
      <c r="DW184" s="154">
        <f>IF(ISNA(VLOOKUP(A184,'Données projet'!$A$165:$I$185,4,0)),0,VLOOKUP(A184,'Données projet'!$A$165:$I$185,4,0))</f>
        <v>0</v>
      </c>
      <c r="DX184" s="155">
        <f>IF(ISNA(VLOOKUP(A184,'Données projet'!$A$165:$I$185,5,0)),0%,VLOOKUP(A184,'Données projet'!$A$165:$I$185,5,0)*VLOOKUP('Données projet'!$B$14,'Paramètres'!$A$1:$I$88,7,0))</f>
        <v>0</v>
      </c>
      <c r="DY184" s="155">
        <f>IF(ISNA(VLOOKUP(A184,'Données projet'!$A$165:$I$185,6,0)),0%,VLOOKUP(A184,'Données projet'!$A$165:$I$185,6,0)*VLOOKUP('Données projet'!$B$14,'Paramètres'!$A$1:$I$88,7,0))</f>
        <v>0</v>
      </c>
      <c r="DZ184" s="155">
        <f>IF(ISNA(VLOOKUP(A184,'Données projet'!$A$165:$I$185,7,0)),0%,VLOOKUP(A184,'Données projet'!$A$165:$I$185,7,0))</f>
        <v>0</v>
      </c>
      <c r="EA184" s="162" t="str">
        <f>EXP(-LN(2)/35)*EA183+(1-EXP(-LN(2)/35))/(LN(2)/35)*DW184*DX184*VLOOKUP('Données projet'!$B$14,'Paramètres'!$A$1:$I$88,3,0)*0.475*44/12</f>
        <v>#N/A</v>
      </c>
      <c r="EB184" s="162" t="str">
        <f>EXP(-LN(2)/25)*EB183+(1-EXP(-LN(2)/25))/(LN(2)/25)*Calculateur!DW184*Calculateur!DY184*VLOOKUP('Données projet'!$B$14,'Paramètres'!$A$1:$I$88,3,0)*0.475*44/12</f>
        <v>#N/A</v>
      </c>
      <c r="EC184" s="162" t="str">
        <f>EXP(-LN(2)/2)*EC183+(1-EXP(-LN(2)/2))/(LN(2)/2)*DW184*DZ184*VLOOKUP('Données projet'!$B$14,'Paramètres'!$A$1:$I$88,3,0)*0.475*44/12</f>
        <v>#N/A</v>
      </c>
      <c r="ED184" s="163" t="str">
        <f t="shared" si="19"/>
        <v>#N/A</v>
      </c>
      <c r="EE184" s="159">
        <f>('Scénario référence'!$F$8+'Scénario référence'!$F$9+'Scénario référence'!$B$17+'Scénario référence'!$B$9+'Scénario référence'!$B$10)*70+IF((45+25*(1-EXP(-0.0175*A184)))&lt;70,'Scénario référence'!$B$16*(45+25*(1-EXP(-0.0175*A184))),70*'Scénario référence'!$B$16)+IF((32+38*(1-EXP(-0.0175*A184)))&lt;70,'Scénario référence'!$B$18*(32+38*(1-EXP(-0.0175*A184))),70*'Scénario référence'!$B$18)</f>
        <v>70</v>
      </c>
      <c r="EF184" s="151">
        <f>IF(A184&gt;30,10,('Scénario référence'!$B$16+'Scénario référence'!$B$17+'Scénario référence'!$B$18+'Scénario référence'!$B$9+'Scénario référence'!$B$10)*A184*10/30+('Scénario référence'!$F$8+'Scénario référence'!$F$9)*10)</f>
        <v>10</v>
      </c>
      <c r="EG184" s="151" t="str">
        <f>VLOOKUP(A184,'Données projet'!$A$191:$I$211,2,0)</f>
        <v>#N/A</v>
      </c>
      <c r="EH184" s="151" t="str">
        <f>VLOOKUP(A184,'Données projet'!$A$191:$I$211,9,0)</f>
        <v>#N/A</v>
      </c>
      <c r="EI184" s="151" t="str">
        <f t="array" ref="EI184">INDEX(EH:EH,MIN(IF(ISNUMBER(EH184:EH380),ROW(EH184:EH380),"")))</f>
        <v/>
      </c>
      <c r="EJ184" s="151">
        <f>IF('Données projet'!$A$192&gt;35,EJ183+EI184-ER183,IF(A184&lt;'Données projet'!$A$192,$EG$205^A184,IF(A184='Données projet'!$A$192,'Données projet'!$B$192,EJ183+EI184-ER183)))</f>
        <v>0</v>
      </c>
      <c r="EK184" s="158" t="str">
        <f>EJ184*VLOOKUP('Données projet'!$B$15,'Paramètres'!$A$1:$I$88,3,0)*VLOOKUP('Données projet'!$B$15,'Paramètres'!$A$1:$I$88,5,0)</f>
        <v>#N/A</v>
      </c>
      <c r="EL184" s="150" t="str">
        <f t="shared" si="46"/>
        <v>#N/A</v>
      </c>
      <c r="EM184" s="161" t="str">
        <f t="shared" si="20"/>
        <v>#N/A</v>
      </c>
      <c r="EN184" s="153" t="str">
        <f t="shared" si="21"/>
        <v>#N/A</v>
      </c>
      <c r="EO184" s="153" t="str">
        <f>AVERAGE(OFFSET($EN$3,0,0,'Données projet'!$E$15+1,1))-AVERAGE(OFFSET($H$3,0,0,'Données projet'!$E$15+1,1))</f>
        <v>#N/A</v>
      </c>
      <c r="EP184" s="153" t="str">
        <f t="shared" si="47"/>
        <v>#N/A</v>
      </c>
      <c r="EQ184" s="154">
        <f>IF(ISNA(VLOOKUP(A184,'Données projet'!$A$191:$I$211,3,0)),0,VLOOKUP(A184,'Données projet'!$A$191:$I$211,3,0))</f>
        <v>0</v>
      </c>
      <c r="ER184" s="154">
        <f>IF(ISNA(VLOOKUP(A184,'Données projet'!$A$191:$I$211,4,0)),0,VLOOKUP(A184,'Données projet'!$A$191:$I$211,4,0))</f>
        <v>0</v>
      </c>
      <c r="ES184" s="155">
        <f>IF(ISNA(VLOOKUP(A184,'Données projet'!$A$191:$I$211,5,0)),0%,VLOOKUP(A184,'Données projet'!$A$191:$I$211,5,0)*VLOOKUP('Données projet'!$B$15,'Paramètres'!$A$1:$I$88,7,0))</f>
        <v>0</v>
      </c>
      <c r="ET184" s="155">
        <f>IF(ISNA(VLOOKUP(A184,'Données projet'!$A$191:$I$211,6,0)),0%,VLOOKUP(A184,'Données projet'!$A$191:$I$211,6,0)*VLOOKUP('Données projet'!$B$15,'Paramètres'!$A$1:$I$88,7,0))</f>
        <v>0</v>
      </c>
      <c r="EU184" s="155">
        <f>IF(ISNA(VLOOKUP(A184,'Données projet'!$A$191:$I$211,7,0)),0%,VLOOKUP(A184,'Données projet'!$A$191:$I$211,7,0))</f>
        <v>0</v>
      </c>
      <c r="EV184" s="162" t="str">
        <f>EXP(-LN(2)/35)*EV183+(1-EXP(-LN(2)/35))/(LN(2)/35)*ER184*ES184*VLOOKUP('Données projet'!$B$15,'Paramètres'!$A$1:$I$88,3,0)*0.475*44/12</f>
        <v>#N/A</v>
      </c>
      <c r="EW184" s="162" t="str">
        <f>EXP(-LN(2)/25)*EW183+(1-EXP(-LN(2)/25))/(LN(2)/25)*Calculateur!ER184*Calculateur!ET184*VLOOKUP('Données projet'!$B$15,'Paramètres'!$A$1:$I$88,3,0)*0.475*44/12</f>
        <v>#N/A</v>
      </c>
      <c r="EX184" s="162" t="str">
        <f>EXP(-LN(2)/2)*EX183+(1-EXP(-LN(2)/2))/(LN(2)/2)*ER184*EU184*VLOOKUP('Données projet'!$B$15,'Paramètres'!$A$1:$I$88,3,0)*0.475*44/12</f>
        <v>#N/A</v>
      </c>
      <c r="EY184" s="163" t="str">
        <f t="shared" si="22"/>
        <v>#N/A</v>
      </c>
      <c r="EZ184" s="159">
        <f>('Scénario référence'!$F$8+'Scénario référence'!$F$9+'Scénario référence'!$B$17+'Scénario référence'!$B$9+'Scénario référence'!$B$10)*70+IF((45+25*(1-EXP(-0.0175*A184)))&lt;70,'Scénario référence'!$B$16*(45+25*(1-EXP(-0.0175*A184))),70*'Scénario référence'!$B$16)+IF((32+38*(1-EXP(-0.0175*A184)))&lt;70,'Scénario référence'!$B$18*(32+38*(1-EXP(-0.0175*A184))),70*'Scénario référence'!$B$18)</f>
        <v>70</v>
      </c>
      <c r="FA184" s="151">
        <f>IF(A184&gt;30,10,('Scénario référence'!$B$16+'Scénario référence'!$B$17+'Scénario référence'!$B$18+'Scénario référence'!$B$9+'Scénario référence'!$B$10)*A184*10/30+('Scénario référence'!$F$8+'Scénario référence'!$F$9)*10)</f>
        <v>10</v>
      </c>
      <c r="FB184" s="151" t="str">
        <f>VLOOKUP(A184,'Données projet'!$A$217:$I$237,2,0)</f>
        <v>#N/A</v>
      </c>
      <c r="FC184" s="151" t="str">
        <f>VLOOKUP(A184,'Données projet'!$A$217:$I$237,9,0)</f>
        <v>#N/A</v>
      </c>
      <c r="FD184" s="151" t="str">
        <f t="array" ref="FD184">INDEX(FC:FC,MIN(IF(ISNUMBER(FC184:FC380),ROW(FC184:FC380),"")))</f>
        <v/>
      </c>
      <c r="FE184" s="151">
        <f>IF('Données projet'!$A$218&gt;35,FE183+FD184-FM183,IF(A184&lt;'Données projet'!$A$218,$FB$205^A184,IF(A184='Données projet'!$A$218,'Données projet'!$B$218,FE183+FD184-FM183)))</f>
        <v>0</v>
      </c>
      <c r="FF184" s="158" t="str">
        <f>FE184*VLOOKUP('Données projet'!$B$16,'Paramètres'!$A$1:$I$88,3,0)*VLOOKUP('Données projet'!$B$16,'Paramètres'!$A$1:$I$88,5,0)</f>
        <v>#N/A</v>
      </c>
      <c r="FG184" s="150" t="str">
        <f t="shared" si="48"/>
        <v>#N/A</v>
      </c>
      <c r="FH184" s="161" t="str">
        <f t="shared" si="23"/>
        <v>#N/A</v>
      </c>
      <c r="FI184" s="153" t="str">
        <f t="shared" si="24"/>
        <v>#N/A</v>
      </c>
      <c r="FJ184" s="153" t="str">
        <f>AVERAGE(OFFSET($FI$3,0,0,'Données projet'!$E$16+1,1))-AVERAGE(OFFSET($H$3,0,0,'Données projet'!$E$16+1,1))</f>
        <v>#N/A</v>
      </c>
      <c r="FK184" s="153" t="str">
        <f t="shared" si="49"/>
        <v>#N/A</v>
      </c>
      <c r="FL184" s="154">
        <f>IF(ISNA(VLOOKUP(A184,'Données projet'!$A$217:$I$237,3,0)),0,VLOOKUP(A184,'Données projet'!$A$217:$I$237,3,0))</f>
        <v>0</v>
      </c>
      <c r="FM184" s="154">
        <f>IF(ISNA(VLOOKUP(A184,'Données projet'!$A$217:$I$237,4,0)),0,VLOOKUP(A184,'Données projet'!$A$217:$I$237,4,0))</f>
        <v>0</v>
      </c>
      <c r="FN184" s="155">
        <f>IF(ISNA(VLOOKUP(A184,'Données projet'!$A$217:$I$237,5,0)),0%,VLOOKUP(A184,'Données projet'!$A$217:$I$237,5,0)*VLOOKUP('Données projet'!$B$16,'Paramètres'!$A$1:$I$88,7,0))</f>
        <v>0</v>
      </c>
      <c r="FO184" s="155">
        <f>IF(ISNA(VLOOKUP(A184,'Données projet'!$A$217:$I$237,6,0)),0%,VLOOKUP(A184,'Données projet'!$A$217:$I$237,6,0)*VLOOKUP('Données projet'!$B$16,'Paramètres'!$A$1:$I$88,7,0))</f>
        <v>0</v>
      </c>
      <c r="FP184" s="155">
        <f>IF(ISNA(VLOOKUP(A184,'Données projet'!$A$217:$I$237,7,0)),0%,VLOOKUP(A184,'Données projet'!$A$217:$I$237,7,0))</f>
        <v>0</v>
      </c>
      <c r="FQ184" s="162" t="str">
        <f>EXP(-LN(2)/35)*FQ183+(1-EXP(-LN(2)/35))/(LN(2)/35)*FM184*FN184*VLOOKUP('Données projet'!$B$16,'Paramètres'!$A$1:$I$88,3,0)*0.475*44/12</f>
        <v>#N/A</v>
      </c>
      <c r="FR184" s="162" t="str">
        <f>EXP(-LN(2)/25)*FR183+(1-EXP(-LN(2)/25))/(LN(2)/25)*Calculateur!FM184*Calculateur!FO184*VLOOKUP('Données projet'!$B$16,'Paramètres'!$A$1:$I$88,3,0)*0.475*44/12</f>
        <v>#N/A</v>
      </c>
      <c r="FS184" s="162" t="str">
        <f>EXP(-LN(2)/2)*FS183+(1-EXP(-LN(2)/2))/(LN(2)/2)*FM184*FP184*VLOOKUP('Données projet'!$B$16,'Paramètres'!$A$1:$I$88,3,0)*0.475*44/12</f>
        <v>#N/A</v>
      </c>
      <c r="FT184" s="163" t="str">
        <f t="shared" si="25"/>
        <v>#N/A</v>
      </c>
      <c r="FU184" s="159">
        <f>('Scénario référence'!$F$8+'Scénario référence'!$F$9+'Scénario référence'!$B$17+'Scénario référence'!$B$9+'Scénario référence'!$B$10)*70+IF((45+25*(1-EXP(-0.0175*A184)))&lt;70,'Scénario référence'!$B$16*(45+25*(1-EXP(-0.0175*A184))),70*'Scénario référence'!$B$16)+IF((32+38*(1-EXP(-0.0175*A184)))&lt;70,'Scénario référence'!$B$18*(32+38*(1-EXP(-0.0175*A184))),70*'Scénario référence'!$B$18)</f>
        <v>70</v>
      </c>
      <c r="FV184" s="151">
        <f>IF(A184&gt;30,10,('Scénario référence'!$B$16+'Scénario référence'!$B$17+'Scénario référence'!$B$18+'Scénario référence'!$B$9+'Scénario référence'!$B$10)*A184*10/30+('Scénario référence'!$F$8+'Scénario référence'!$F$9)*10)</f>
        <v>10</v>
      </c>
      <c r="FW184" s="151" t="str">
        <f>VLOOKUP(A184,'Données projet'!$A$243:$I$263,2,0)</f>
        <v>#N/A</v>
      </c>
      <c r="FX184" s="151" t="str">
        <f>VLOOKUP(A184,'Données projet'!$A$243:$I$263,9,0)</f>
        <v>#N/A</v>
      </c>
      <c r="FY184" s="151" t="str">
        <f t="array" ref="FY184">INDEX(FX:FX,MIN(IF(ISNUMBER(FX184:FX380),ROW(FX184:FX380),"")))</f>
        <v/>
      </c>
      <c r="FZ184" s="151">
        <f>IF('Données projet'!$A$244&gt;35,FZ183+FY184-GH183,IF(A184&lt;'Données projet'!$A$244,$FW$205^A184,IF(A184='Données projet'!$A$244,'Données projet'!$B$244,FZ183+FY184-GH183)))</f>
        <v>0</v>
      </c>
      <c r="GA184" s="158" t="str">
        <f>FZ184*VLOOKUP('Données projet'!$B$17,'Paramètres'!$A$1:$I$88,3,0)*VLOOKUP('Données projet'!$B$17,'Paramètres'!$A$1:$I$88,5,0)</f>
        <v>#N/A</v>
      </c>
      <c r="GB184" s="150" t="str">
        <f t="shared" si="50"/>
        <v>#N/A</v>
      </c>
      <c r="GC184" s="161" t="str">
        <f t="shared" si="26"/>
        <v>#N/A</v>
      </c>
      <c r="GD184" s="153" t="str">
        <f t="shared" si="27"/>
        <v>#N/A</v>
      </c>
      <c r="GE184" s="153" t="str">
        <f>AVERAGE(OFFSET($GD$3,0,0,'Données projet'!$E$17+1,1))-AVERAGE(OFFSET($H$3,0,0,'Données projet'!$E$17+1,1))</f>
        <v>#N/A</v>
      </c>
      <c r="GF184" s="153" t="str">
        <f t="shared" si="51"/>
        <v>#N/A</v>
      </c>
      <c r="GG184" s="154">
        <f>IF(ISNA(VLOOKUP(A184,'Données projet'!$A$243:$I$263,3,0)),0,VLOOKUP(A184,'Données projet'!$A$243:$I$263,3,0))</f>
        <v>0</v>
      </c>
      <c r="GH184" s="154">
        <f>IF(ISNA(VLOOKUP(A184,'Données projet'!$A$243:$I$263,4,0)),0,VLOOKUP(A184,'Données projet'!$A$243:$I$263,4,0))</f>
        <v>0</v>
      </c>
      <c r="GI184" s="155">
        <f>IF(ISNA(VLOOKUP(A184,'Données projet'!$A$243:$I$263,5,0)),0%,VLOOKUP(A184,'Données projet'!$A$243:$I$263,5,0)*VLOOKUP('Données projet'!$B$17,'Paramètres'!$A$1:$I$88,7,0))</f>
        <v>0</v>
      </c>
      <c r="GJ184" s="155">
        <f>IF(ISNA(VLOOKUP(A184,'Données projet'!$A$243:$I$263,6,0)),0%,VLOOKUP(A184,'Données projet'!$A$243:$I$263,6,0)*VLOOKUP('Données projet'!$B$17,'Paramètres'!$A$1:$I$88,7,0))</f>
        <v>0</v>
      </c>
      <c r="GK184" s="155">
        <f>IF(ISNA(VLOOKUP(A184,'Données projet'!$A$243:$I$263,7,0)),0%,VLOOKUP(A184,'Données projet'!$A$243:$I$263,7,0))</f>
        <v>0</v>
      </c>
      <c r="GL184" s="162" t="str">
        <f>EXP(-LN(2)/35)*GL183+(1-EXP(-LN(2)/35))/(LN(2)/35)*GH184*GI184*VLOOKUP('Données projet'!$B$17,'Paramètres'!$A$1:$I$88,3,0)*0.475*44/12</f>
        <v>#N/A</v>
      </c>
      <c r="GM184" s="162" t="str">
        <f>EXP(-LN(2)/25)*GM183+(1-EXP(-LN(2)/25))/(LN(2)/25)*Calculateur!GH184*Calculateur!GJ184*VLOOKUP('Données projet'!$B$17,'Paramètres'!$A$1:$I$88,3,0)*0.475*44/12</f>
        <v>#N/A</v>
      </c>
      <c r="GN184" s="162" t="str">
        <f>EXP(-LN(2)/2)*GN183+(1-EXP(-LN(2)/2))/(LN(2)/2)*GH184*GK184*VLOOKUP('Données projet'!$B$17,'Paramètres'!$A$1:$I$88,3,0)*0.475*44/12</f>
        <v>#N/A</v>
      </c>
      <c r="GO184" s="162" t="str">
        <f t="shared" si="28"/>
        <v>#N/A</v>
      </c>
      <c r="GP184" s="159">
        <f>('Scénario référence'!$F$8+'Scénario référence'!$F$9+'Scénario référence'!$B$17+'Scénario référence'!$B$9+'Scénario référence'!$B$10)*70+IF((45+25*(1-EXP(-0.0175*A184)))&lt;70,'Scénario référence'!$B$16*(45+25*(1-EXP(-0.0175*A184))),70*'Scénario référence'!$B$16)+IF((32+38*(1-EXP(-0.0175*A184)))&lt;70,'Scénario référence'!$B$18*(32+38*(1-EXP(-0.0175*A184))),70*'Scénario référence'!$B$18)</f>
        <v>70</v>
      </c>
      <c r="GQ184" s="151">
        <f>IF(A184&gt;30,10,('Scénario référence'!$B$16+'Scénario référence'!$B$17+'Scénario référence'!$B$18+'Scénario référence'!$B$9+'Scénario référence'!$B$10)*A184*10/30+('Scénario référence'!$F$8+'Scénario référence'!$F$9)*10)</f>
        <v>10</v>
      </c>
      <c r="GR184" s="151" t="str">
        <f>VLOOKUP(A184,'Données projet'!$A$269:$I$289,2,0)</f>
        <v>#N/A</v>
      </c>
      <c r="GS184" s="151" t="str">
        <f>VLOOKUP(A184,'Données projet'!$A$269:$I$289,9,0)</f>
        <v>#N/A</v>
      </c>
      <c r="GT184" s="151" t="str">
        <f t="array" ref="GT184">INDEX(GS:GS,MIN(IF(ISNUMBER(GS184:GS380),ROW(GS184:GS380),"")))</f>
        <v/>
      </c>
      <c r="GU184" s="151">
        <f>IF('Données projet'!$A$270&gt;35,GU183+GT184-HC183,IF(A184&lt;'Données projet'!$A$270,$GR$205^A184,IF(A184='Données projet'!$A$270,'Données projet'!$B$270,GU183+GT184-HC183)))</f>
        <v>0</v>
      </c>
      <c r="GV184" s="158" t="str">
        <f>GU184*VLOOKUP('Données projet'!$B$18,'Paramètres'!$A$1:$I$88,3,0)*VLOOKUP('Données projet'!$B$18,'Paramètres'!$A$1:$I$88,5,0)</f>
        <v>#N/A</v>
      </c>
      <c r="GW184" s="150" t="str">
        <f t="shared" si="52"/>
        <v>#N/A</v>
      </c>
      <c r="GX184" s="161" t="str">
        <f t="shared" si="29"/>
        <v>#N/A</v>
      </c>
      <c r="GY184" s="153" t="str">
        <f t="shared" si="30"/>
        <v>#N/A</v>
      </c>
      <c r="GZ184" s="153" t="str">
        <f>AVERAGE(OFFSET($GY$3,0,0,'Données projet'!$E$18+1,1))-AVERAGE(OFFSET($H$3,0,0,'Données projet'!$E$18+1,1))</f>
        <v>#N/A</v>
      </c>
      <c r="HA184" s="153" t="str">
        <f t="shared" si="53"/>
        <v>#N/A</v>
      </c>
      <c r="HB184" s="154">
        <f>IF(ISNA(VLOOKUP(A184,'Données projet'!$A$269:$I$289,3,0)),0,VLOOKUP(A184,'Données projet'!$A$269:$I$289,3,0))</f>
        <v>0</v>
      </c>
      <c r="HC184" s="154">
        <f>IF(ISNA(VLOOKUP(A184,'Données projet'!$A$269:$I$289,4,0)),0,VLOOKUP(A184,'Données projet'!$A$269:$I$289,4,0))</f>
        <v>0</v>
      </c>
      <c r="HD184" s="155">
        <f>IF(ISNA(VLOOKUP(A184,'Données projet'!$A$269:$I$289,5,0)),0%,VLOOKUP(A184,'Données projet'!$A$269:$I$289,5,0)*VLOOKUP('Données projet'!$B$18,'Paramètres'!$A$1:$I$88,7,0))</f>
        <v>0</v>
      </c>
      <c r="HE184" s="155">
        <f>IF(ISNA(VLOOKUP(A184,'Données projet'!$A$269:$I$289,6,0)),0%,VLOOKUP(A184,'Données projet'!$A$269:$I$289,6,0)*VLOOKUP('Données projet'!$B$18,'Paramètres'!$A$1:$I$88,7,0))</f>
        <v>0</v>
      </c>
      <c r="HF184" s="155">
        <f>IF(ISNA(VLOOKUP(A184,'Données projet'!$A$269:$I$289,7,0)),0%,VLOOKUP(A184,'Données projet'!$A$269:$I$289,7,0))</f>
        <v>0</v>
      </c>
      <c r="HG184" s="162" t="str">
        <f>EXP(-LN(2)/35)*HG183+(1-EXP(-LN(2)/35))/(LN(2)/35)*HC184*HD184*VLOOKUP('Données projet'!$B$18,'Paramètres'!$A$1:$I$88,3,0)*0.475*44/12</f>
        <v>#N/A</v>
      </c>
      <c r="HH184" s="162" t="str">
        <f>EXP(-LN(2)/25)*HH183+(1-EXP(-LN(2)/25))/(LN(2)/25)*Calculateur!HC184*Calculateur!HE184*VLOOKUP('Données projet'!$B$18,'Paramètres'!$A$1:$I$88,3,0)*0.475*44/12</f>
        <v>#N/A</v>
      </c>
      <c r="HI184" s="162" t="str">
        <f>EXP(-LN(2)/2)*HI183+(1-EXP(-LN(2)/2))/(LN(2)/2)*HC184*HF184*VLOOKUP('Données projet'!$B$18,'Paramètres'!$A$1:$I$88,3,0)*0.475*44/12</f>
        <v>#N/A</v>
      </c>
      <c r="HJ184" s="163" t="str">
        <f t="shared" si="31"/>
        <v>#N/A</v>
      </c>
    </row>
    <row r="185" ht="15.75" customHeight="1">
      <c r="A185" s="145">
        <f t="shared" si="32"/>
        <v>182</v>
      </c>
      <c r="B185" s="146">
        <f>'Scénario référence'!$B$16*5+'Scénario référence'!$B$17*0+'Scénario référence'!$B$18*5</f>
        <v>0</v>
      </c>
      <c r="C185" s="160">
        <f>Calculateur!C184+'Scénario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85" s="147">
        <f t="shared" si="33"/>
        <v>0</v>
      </c>
      <c r="E185" s="147">
        <f>'Scénario référence'!$B$16*45+('Scénario référence'!$B$17+'Scénario référence'!$F$8+'Scénario référence'!$F$9+'Scénario référence'!$B$10+'Scénario référence'!$B$9)*70+'Scénario référence'!$B$18*32</f>
        <v>70</v>
      </c>
      <c r="F185" s="147">
        <f>IF(OR('Scénario référence'!$F$8&gt;0,'Scénario référence'!$F$9&gt;0),('Scénario référence'!$F$8+'Scénario référence'!$F$9)*10,0)</f>
        <v>0</v>
      </c>
      <c r="G185" s="147">
        <f>'Scénario référence'!$B$8*B185*44/12+'Scénario référence'!$B$9*(C185+D185)/0.475*44/12+'Scénario référence'!$B$10*(C185+D185)/0.475*44/12+'Scénario référence'!$F$8*(C185+D185)/0.475*44/12+'Scénario référence'!$F$9*(C185+D185)/0.475*44/12</f>
        <v>0</v>
      </c>
      <c r="H185" s="148">
        <f t="shared" si="1"/>
        <v>256.6666667</v>
      </c>
      <c r="I185" s="149">
        <f>('Scénario référence'!$F$8+'Scénario référence'!$F$9+'Scénario référence'!$B$17+'Scénario référence'!$B$9+'Scénario référence'!$B$10)*70+IF((45+25*(1-EXP(-0.0175*A185)))&lt;70,'Scénario référence'!$B$16*(45+25*(1-EXP(-0.0175*A185))),70*'Scénario référence'!$B$16)+IF((32+38*(1-EXP(-0.0175*A185)))&lt;70,'Scénario référence'!$B$18*(32+38*(1-EXP(-0.0175*A185))),70*'Scénario référence'!$B$18)</f>
        <v>70</v>
      </c>
      <c r="J185" s="150">
        <f>IF(A185&gt;30,10,('Scénario référence'!$B$16+'Scénario référence'!$B$17+'Scénario référence'!$B$18+'Scénario référence'!$B$9+'Scénario référence'!$B$10)*A185*10/30+('Scénario référence'!$F$8+'Scénario référence'!$F$9)*10)</f>
        <v>10</v>
      </c>
      <c r="K185" s="151" t="str">
        <f>VLOOKUP(A185,'Données projet'!$A$35:$I$55,2,0)</f>
        <v>#N/A</v>
      </c>
      <c r="L185" s="151" t="str">
        <f>VLOOKUP(A185,'Données projet'!$A$35:$I$55,9,0)</f>
        <v>#N/A</v>
      </c>
      <c r="M185" s="151" t="str">
        <f t="array" ref="M185">INDEX(L:L,MIN(IF(ISNUMBER(L185:L381),ROW(L185:L381),"")))</f>
        <v/>
      </c>
      <c r="N185" s="150">
        <f>IF('Données projet'!$A$36&gt;35,N184+M185-V184,IF(A185&lt;'Données projet'!$A$36,$K$205^A185,IF(A185='Données projet'!$A$36,'Données projet'!$B$36,N184+M185-V184)))</f>
        <v>307</v>
      </c>
      <c r="O185" s="150">
        <f>N185*VLOOKUP('Données projet'!$B$9,'Paramètres'!$A$1:$I$88,3,0)*VLOOKUP('Données projet'!$B$9,'Paramètres'!$A$1:$I$88,5,0)</f>
        <v>277.7736</v>
      </c>
      <c r="P185" s="150">
        <f t="shared" si="34"/>
        <v>66.49628818</v>
      </c>
      <c r="Q185" s="161">
        <f t="shared" si="2"/>
        <v>599.6033886</v>
      </c>
      <c r="R185" s="153">
        <f t="shared" si="3"/>
        <v>892.9367219</v>
      </c>
      <c r="S185" s="153">
        <f>AVERAGE(OFFSET($R$3,0,0,'Données projet'!$E$9+1,1))-AVERAGE(OFFSET($H$3,0,0,'Données projet'!$E$9+1,1))</f>
        <v>439.1985427</v>
      </c>
      <c r="T185" s="153">
        <f t="shared" si="35"/>
        <v>278.2174123</v>
      </c>
      <c r="U185" s="154">
        <f>IF(ISNA(VLOOKUP(A185,'Données projet'!$A$35:$I$55,3,0)),0,VLOOKUP(A185,'Données projet'!$A$35:$I$55,3,0))</f>
        <v>0</v>
      </c>
      <c r="V185" s="154">
        <f>IF(ISNA(VLOOKUP(A185,'Données projet'!$A$35:$I$55,4,0)),0,VLOOKUP(A185,'Données projet'!$A$35:$I$55,4,0))</f>
        <v>0</v>
      </c>
      <c r="W185" s="155">
        <f>IF(ISNA(VLOOKUP(A185,'Données projet'!$A$35:$I$55,5,0)),0%,VLOOKUP(A185,'Données projet'!$A$35:$I$55,5,0)*VLOOKUP('Données projet'!$B$9,'Paramètres'!$A$1:$I$88,7,0))</f>
        <v>0</v>
      </c>
      <c r="X185" s="155">
        <f>IF(ISNA(VLOOKUP(A185,'Données projet'!$A$35:$I$55,6,0)),0%,VLOOKUP(A185,'Données projet'!$A$35:$I$55,6,0)*VLOOKUP('Données projet'!$B$9,'Paramètres'!$A$1:$I$88,7,0))</f>
        <v>0</v>
      </c>
      <c r="Y185" s="155">
        <f>IF(ISNA(VLOOKUP(A185,'Données projet'!$A$35:$I$55,7,0)),0%,VLOOKUP(A185,'Données projet'!$A$35:$I$55,7,0))</f>
        <v>0</v>
      </c>
      <c r="Z185" s="162">
        <f>EXP(-LN(2)/35)*Z184+(1-EXP(-LN(2)/35))/(LN(2)/35)*V185*W185*VLOOKUP('Données projet'!$B$9,'Paramètres'!$A$1:$I$88,3,0)*0.475*44/12</f>
        <v>0</v>
      </c>
      <c r="AA185" s="162">
        <f>EXP(-LN(2)/25)*AA184+(1-EXP(-LN(2)/25))/(LN(2)/25)*Calculateur!V185*Calculateur!X185*VLOOKUP('Données projet'!$B$9,'Paramètres'!$A$1:$I$88,3,0)*0.475*44/12</f>
        <v>0.06633609545</v>
      </c>
      <c r="AB185" s="162">
        <f>EXP(-LN(2)/2)*AB184+(1-EXP(-LN(2)/2))/(LN(2)/2)*V185*Y185*VLOOKUP('Données projet'!$B$9,'Paramètres'!$A$1:$I$88,3,0)*0.475*44/12</f>
        <v>0</v>
      </c>
      <c r="AC185" s="163">
        <f t="shared" si="4"/>
        <v>0.06633609545</v>
      </c>
      <c r="AD185" s="150">
        <f>('Scénario référence'!$F$8+'Scénario référence'!$F$9+'Scénario référence'!$B$17+'Scénario référence'!$B$9+'Scénario référence'!$B$10)*70+IF((45+25*(1-EXP(-0.0175*A185)))&lt;70,'Scénario référence'!$B$16*(45+25*(1-EXP(-0.0175*A185))),70*'Scénario référence'!$B$16)+IF((32+38*(1-EXP(-0.0175*A185)))&lt;70,'Scénario référence'!$B$18*(32+38*(1-EXP(-0.0175*A185))),70*'Scénario référence'!$B$18)</f>
        <v>70</v>
      </c>
      <c r="AE185" s="150">
        <f>IF(A185&gt;30,10,('Scénario référence'!$B$16+'Scénario référence'!$B$17+'Scénario référence'!$B$18+'Scénario référence'!$B$9+'Scénario référence'!$B$10)*A185*10/30+('Scénario référence'!$F$8+'Scénario référence'!$F$9)*10)</f>
        <v>10</v>
      </c>
      <c r="AF185" s="151" t="str">
        <f>VLOOKUP(A185,'Données projet'!$A$61:$I$81,2,0)</f>
        <v>#N/A</v>
      </c>
      <c r="AG185" s="151" t="str">
        <f>VLOOKUP(A185,'Données projet'!$A$61:$I$81,9,0)</f>
        <v>#N/A</v>
      </c>
      <c r="AH185" s="151" t="str">
        <f t="array" ref="AH185">INDEX(AG:AG,MIN(IF(ISNUMBER(AG185:AG381),ROW(AG185:AG381),"")))</f>
        <v/>
      </c>
      <c r="AI185" s="150">
        <f>IF('Données projet'!$A$62&gt;35,AI184+AH185-AQ184,IF(A185&lt;'Données projet'!$A$62,$AF$205^A185,IF(A185='Données projet'!$A$62,'Données projet'!$B$62,AI184+AH185-AQ184)))</f>
        <v>369</v>
      </c>
      <c r="AJ185" s="150">
        <f>AI185*VLOOKUP('Données projet'!$B$10,'Paramètres'!$A$1:$I$88,3,0)*VLOOKUP('Données projet'!$B$10,'Paramètres'!$A$1:$I$88,5,0)</f>
        <v>293.5764</v>
      </c>
      <c r="AK185" s="150">
        <f t="shared" si="36"/>
        <v>69.82813851</v>
      </c>
      <c r="AL185" s="161">
        <f t="shared" si="5"/>
        <v>632.9295712</v>
      </c>
      <c r="AM185" s="153">
        <f t="shared" si="6"/>
        <v>926.2629046</v>
      </c>
      <c r="AN185" s="153">
        <f>AVERAGE(OFFSET($AM$3,0,0,'Données projet'!$E$10+1,1))-AVERAGE(OFFSET($H$3,0,0,'Données projet'!$E$10+1,1))</f>
        <v>405.6113614</v>
      </c>
      <c r="AO185" s="153">
        <f t="shared" si="37"/>
        <v>393.0787141</v>
      </c>
      <c r="AP185" s="154">
        <f>IF(ISNA(VLOOKUP(A185,'Données projet'!$A$61:$I$81,3,0)),0,VLOOKUP(A185,'Données projet'!$A$61:$I$81,3,0))</f>
        <v>0</v>
      </c>
      <c r="AQ185" s="154">
        <f>IF(ISNA(VLOOKUP(A185,'Données projet'!$A$61:$I$81,4,0)),0,VLOOKUP(A185,'Données projet'!$A$61:$I$81,4,0))</f>
        <v>0</v>
      </c>
      <c r="AR185" s="155">
        <f>IF(ISNA(VLOOKUP(A185,'Données projet'!$A$61:$I$81,5,0)),0%,VLOOKUP(A185,'Données projet'!$A$61:$I$81,5,0)*VLOOKUP('Données projet'!$B$10,'Paramètres'!$A$1:$I$88,7,0))</f>
        <v>0</v>
      </c>
      <c r="AS185" s="155">
        <f>IF(ISNA(VLOOKUP(A185,'Données projet'!$A$61:$I$81,6,0)),0%,VLOOKUP(A185,'Données projet'!$A$61:$I$81,6,0)*VLOOKUP('Données projet'!$B$10,'Paramètres'!$A$1:$I$88,7,0))</f>
        <v>0</v>
      </c>
      <c r="AT185" s="155">
        <f>IF(ISNA(VLOOKUP(A185,'Données projet'!$A$61:$I$81,7,0)),0%,VLOOKUP(A185,'Données projet'!$A$61:$I$81,7,0))</f>
        <v>0</v>
      </c>
      <c r="AU185" s="162">
        <f>EXP(-LN(2)/35)*AU184+(1-EXP(-LN(2)/35))/(LN(2)/35)*AQ185*AR185*VLOOKUP('Données projet'!$B$10,'Paramètres'!$A$1:$I$88,3,0)*0.475*44/12</f>
        <v>0</v>
      </c>
      <c r="AV185" s="162">
        <f>EXP(-LN(2)/25)*AV184+(1-EXP(-LN(2)/25))/(LN(2)/25)*Calculateur!AQ185*Calculateur!AS185*VLOOKUP('Données projet'!$B$10,'Paramètres'!$A$1:$I$88,3,0)*0.475*44/12</f>
        <v>0.2696067552</v>
      </c>
      <c r="AW185" s="162">
        <f>EXP(-LN(2)/2)*AW184+(1-EXP(-LN(2)/2))/(LN(2)/2)*AQ185*AT185*VLOOKUP('Données projet'!$B$10,'Paramètres'!$A$1:$I$88,3,0)*0.475*44/12</f>
        <v>0</v>
      </c>
      <c r="AX185" s="162">
        <f t="shared" si="7"/>
        <v>0.2696067552</v>
      </c>
      <c r="AY185" s="157">
        <f>('Scénario référence'!$F$8+'Scénario référence'!$F$9+'Scénario référence'!$B$17+'Scénario référence'!$B$9+'Scénario référence'!$B$10)*70+IF((45+25*(1-EXP(-0.0175*A185)))&lt;70,'Scénario référence'!$B$16*(45+25*(1-EXP(-0.0175*A185))),70*'Scénario référence'!$B$16)+IF((32+38*(1-EXP(-0.0175*A185)))&lt;70,'Scénario référence'!$B$18*(32+38*(1-EXP(-0.0175*A185))),70*'Scénario référence'!$B$18)</f>
        <v>70</v>
      </c>
      <c r="AZ185" s="151">
        <f>IF(A185&gt;30,10,('Scénario référence'!$B$16+'Scénario référence'!$B$17+'Scénario référence'!$B$18+'Scénario référence'!$B$9+'Scénario référence'!$B$10)*A185*10/30+('Scénario référence'!$F$8+'Scénario référence'!$F$9)*10)</f>
        <v>10</v>
      </c>
      <c r="BA185" s="151" t="str">
        <f>VLOOKUP(A185,'Données projet'!$A$87:$I$107,2,0)</f>
        <v>#N/A</v>
      </c>
      <c r="BB185" s="151" t="str">
        <f>VLOOKUP(A185,'Données projet'!$A$87:$I$107,9,0)</f>
        <v>#N/A</v>
      </c>
      <c r="BC185" s="151" t="str">
        <f t="array" ref="BC185">INDEX(BB:BB,MIN(IF(ISNUMBER(BB185:BB381),ROW(BB185:BB381),"")))</f>
        <v/>
      </c>
      <c r="BD185" s="150">
        <f>IF('Données projet'!$A$88&gt;35,BD184+BC185-BL184,IF(A185&lt;'Données projet'!$A$88,$BA$205^A185,IF(A185='Données projet'!$A$88,'Données projet'!$B$88,BD184+BC185-BL184)))</f>
        <v>0</v>
      </c>
      <c r="BE185" s="150">
        <f>BD185*VLOOKUP('Données projet'!$B$11,'Paramètres'!$A$1:$I$88,3,0)*VLOOKUP('Données projet'!$B$11,'Paramètres'!$A$1:$I$88,5,0)</f>
        <v>0</v>
      </c>
      <c r="BF185" s="150" t="str">
        <f t="shared" si="38"/>
        <v>#NUM!</v>
      </c>
      <c r="BG185" s="161" t="str">
        <f t="shared" si="8"/>
        <v>#NUM!</v>
      </c>
      <c r="BH185" s="153" t="str">
        <f t="shared" si="9"/>
        <v>#NUM!</v>
      </c>
      <c r="BI185" s="153">
        <f>AVERAGE(OFFSET($BH$3,0,0,'Données projet'!$E$11+1,1))-AVERAGE(OFFSET($H$3,0,0,'Données projet'!$E$11+1,1))</f>
        <v>0</v>
      </c>
      <c r="BJ185" s="153">
        <f t="shared" si="39"/>
        <v>0</v>
      </c>
      <c r="BK185" s="154">
        <f>IF(ISNA(VLOOKUP(A185,'Données projet'!$A$87:$I$107,3,0)),0,VLOOKUP(A185,'Données projet'!$A$87:$I$107,3,0))</f>
        <v>0</v>
      </c>
      <c r="BL185" s="154">
        <f>IF(ISNA(VLOOKUP(A185,'Données projet'!$A$87:$I$107,4,0)),0,VLOOKUP(A185,'Données projet'!$A$87:$I$107,4,0))</f>
        <v>0</v>
      </c>
      <c r="BM185" s="155">
        <f>IF(ISNA(VLOOKUP(A185,'Données projet'!$A$87:$I$107,5,0)),0%,VLOOKUP(A185,'Données projet'!$A$87:$I$107,5,0)*VLOOKUP('Données projet'!$B$11,'Paramètres'!$A$1:$I$88,7,0))</f>
        <v>0</v>
      </c>
      <c r="BN185" s="155">
        <f>IF(ISNA(VLOOKUP(A185,'Données projet'!$A$87:$I$107,6,0)),0%,VLOOKUP(A185,'Données projet'!$A$87:$I$107,6,0)*VLOOKUP('Données projet'!$B$11,'Paramètres'!$A$1:$I$88,7,0))</f>
        <v>0</v>
      </c>
      <c r="BO185" s="155">
        <f>IF(ISNA(VLOOKUP(A185,'Données projet'!$A$87:$I$107,7,0)),0%,VLOOKUP(A185,'Données projet'!$A$87:$I$107,7,0))</f>
        <v>0</v>
      </c>
      <c r="BP185" s="162">
        <f>EXP(-LN(2)/35)*BP184+(1-EXP(-LN(2)/35))/(LN(2)/35)*BL185*BM185*VLOOKUP('Données projet'!$B$11,'Paramètres'!$A$1:$I$88,3,0)*0.475*44/12</f>
        <v>0</v>
      </c>
      <c r="BQ185" s="162">
        <f>EXP(-LN(2)/25)*BQ184+(1-EXP(-LN(2)/25))/(LN(2)/25)*Calculateur!BL185*Calculateur!BN185*VLOOKUP('Données projet'!$B$11,'Paramètres'!$A$1:$I$88,3,0)*0.475*44/12</f>
        <v>0</v>
      </c>
      <c r="BR185" s="162">
        <f>EXP(-LN(2)/2)*BR184+(1-EXP(-LN(2)/2))/(LN(2)/2)*BL185*BO185*VLOOKUP('Données projet'!$B$11,'Paramètres'!$A$1:$I$88,3,0)*0.475*44/12</f>
        <v>0</v>
      </c>
      <c r="BS185" s="163">
        <f t="shared" si="10"/>
        <v>0</v>
      </c>
      <c r="BT185" s="159">
        <f>('Scénario référence'!$F$8+'Scénario référence'!$F$9+'Scénario référence'!$B$17+'Scénario référence'!$B$9+'Scénario référence'!$B$10)*70+IF((45+25*(1-EXP(-0.0175*A185)))&lt;70,'Scénario référence'!$B$16*(45+25*(1-EXP(-0.0175*A185))),70*'Scénario référence'!$B$16)+IF((32+38*(1-EXP(-0.0175*A185)))&lt;70,'Scénario référence'!$B$18*(32+38*(1-EXP(-0.0175*A185))),70*'Scénario référence'!$B$18)</f>
        <v>70</v>
      </c>
      <c r="BU185" s="151">
        <f>IF(A185&gt;30,10,('Scénario référence'!$B$16+'Scénario référence'!$B$17+'Scénario référence'!$B$18+'Scénario référence'!$B$9+'Scénario référence'!$B$10)*A185*10/30+('Scénario référence'!$F$8+'Scénario référence'!$F$9)*10)</f>
        <v>10</v>
      </c>
      <c r="BV185" s="151" t="str">
        <f>VLOOKUP(A185,'Données projet'!$A$113:$I$133,2,0)</f>
        <v>#N/A</v>
      </c>
      <c r="BW185" s="151" t="str">
        <f>VLOOKUP(A185,'Données projet'!$A$113:$I$133,9,0)</f>
        <v>#N/A</v>
      </c>
      <c r="BX185" s="151" t="str">
        <f t="array" ref="BX185">INDEX(BW:BW,MIN(IF(ISNUMBER(BW185:BW381),ROW(BW185:BW381),"")))</f>
        <v/>
      </c>
      <c r="BY185" s="150">
        <f>IF('Données projet'!$A$114&gt;35,BY184+BX185-CG184,IF(A185&lt;'Données projet'!$A$114,$BV$205^A185,IF(A185='Données projet'!$A$114,'Données projet'!$B$114,BY184+BX185-CG184)))</f>
        <v>0</v>
      </c>
      <c r="BZ185" s="150" t="str">
        <f>BY185*VLOOKUP('Données projet'!$B$12,'Paramètres'!$A$1:$I$88,3,0)*VLOOKUP('Données projet'!$B$12,'Paramètres'!$A$1:$I$88,5,0)</f>
        <v>#N/A</v>
      </c>
      <c r="CA185" s="150" t="str">
        <f t="shared" si="40"/>
        <v>#N/A</v>
      </c>
      <c r="CB185" s="161" t="str">
        <f t="shared" si="11"/>
        <v>#N/A</v>
      </c>
      <c r="CC185" s="153" t="str">
        <f t="shared" si="12"/>
        <v>#N/A</v>
      </c>
      <c r="CD185" s="153" t="str">
        <f>AVERAGE(OFFSET($CC$3,0,0,'Données projet'!$E$12+1,1))-AVERAGE(OFFSET($H$3,0,0,'Données projet'!$E$12+1,1))</f>
        <v>#N/A</v>
      </c>
      <c r="CE185" s="153" t="str">
        <f t="shared" si="41"/>
        <v>#N/A</v>
      </c>
      <c r="CF185" s="154">
        <f>IF(ISNA(VLOOKUP(A185,'Données projet'!$A$113:$I$133,3,0)),0,VLOOKUP(A185,'Données projet'!$A$113:$I$133,3,0))</f>
        <v>0</v>
      </c>
      <c r="CG185" s="154">
        <f>IF(ISNA(VLOOKUP(A185,'Données projet'!$A$113:$I$133,4,0)),0,VLOOKUP(A185,'Données projet'!$A$113:$I$133,4,0))</f>
        <v>0</v>
      </c>
      <c r="CH185" s="155">
        <f>IF(ISNA(VLOOKUP(A185,'Données projet'!$A$113:$I$133,5,0)),0%,VLOOKUP(A185,'Données projet'!$A$113:$I$133,5,0)*VLOOKUP('Données projet'!$B$12,'Paramètres'!$A$1:$I$88,7,0))</f>
        <v>0</v>
      </c>
      <c r="CI185" s="155">
        <f>IF(ISNA(VLOOKUP(A185,'Données projet'!$A$113:$I$133,6,0)),0%,VLOOKUP(A185,'Données projet'!$A$113:$I$133,6,0)*VLOOKUP('Données projet'!$B$12,'Paramètres'!$A$1:$I$88,7,0))</f>
        <v>0</v>
      </c>
      <c r="CJ185" s="155">
        <f>IF(ISNA(VLOOKUP(A185,'Données projet'!$A$113:$I$133,7,0)),0%,VLOOKUP(A185,'Données projet'!$A$113:$I$133,7,0))</f>
        <v>0</v>
      </c>
      <c r="CK185" s="162" t="str">
        <f>EXP(-LN(2)/35)*CK184+(1-EXP(-LN(2)/35))/(LN(2)/35)*CG185*CH185*VLOOKUP('Données projet'!$B$12,'Paramètres'!$A$1:$I$88,3,0)*0.475*44/12</f>
        <v>#N/A</v>
      </c>
      <c r="CL185" s="162" t="str">
        <f>EXP(-LN(2)/25)*CL184+(1-EXP(-LN(2)/25))/(LN(2)/25)*Calculateur!CG185*Calculateur!CI185*VLOOKUP('Données projet'!$B$12,'Paramètres'!$A$1:$I$88,3,0)*0.475*44/12</f>
        <v>#N/A</v>
      </c>
      <c r="CM185" s="162" t="str">
        <f>EXP(-LN(2)/2)*CM184+(1-EXP(-LN(2)/2))/(LN(2)/2)*CG185*CJ185*VLOOKUP('Données projet'!$B$12,'Paramètres'!$A$1:$I$88,3,0)*0.475*44/12</f>
        <v>#N/A</v>
      </c>
      <c r="CN185" s="163" t="str">
        <f t="shared" si="13"/>
        <v>#N/A</v>
      </c>
      <c r="CO185" s="159">
        <f>('Scénario référence'!$F$8+'Scénario référence'!$F$9+'Scénario référence'!$B$17+'Scénario référence'!$B$9+'Scénario référence'!$B$10)*70+IF((45+25*(1-EXP(-0.0175*A185)))&lt;70,'Scénario référence'!$B$16*(45+25*(1-EXP(-0.0175*A185))),70*'Scénario référence'!$B$16)+IF((32+38*(1-EXP(-0.0175*A185)))&lt;70,'Scénario référence'!$B$18*(32+38*(1-EXP(-0.0175*A185))),70*'Scénario référence'!$B$18)</f>
        <v>70</v>
      </c>
      <c r="CP185" s="151">
        <f>IF(A185&gt;30,10,('Scénario référence'!$B$16+'Scénario référence'!$B$17+'Scénario référence'!$B$18+'Scénario référence'!$B$9+'Scénario référence'!$B$10)*A185*10/30+('Scénario référence'!$F$8+'Scénario référence'!$F$9)*10)</f>
        <v>10</v>
      </c>
      <c r="CQ185" s="151" t="str">
        <f>VLOOKUP(A185,'Données projet'!$A$139:$I$159,2,0)</f>
        <v>#N/A</v>
      </c>
      <c r="CR185" s="151" t="str">
        <f>VLOOKUP(A185,'Données projet'!$A$139:$I$159,9,0)</f>
        <v>#N/A</v>
      </c>
      <c r="CS185" s="151" t="str">
        <f t="array" ref="CS185">INDEX(CR:CR,MIN(IF(ISNUMBER(CR185:CR381),ROW(CR185:CR381),"")))</f>
        <v/>
      </c>
      <c r="CT185" s="151">
        <f>IF('Données projet'!$A$140&gt;35,CT184+CS185-DB184,IF(A185&lt;'Données projet'!$A$140,$CQ$205^A185,IF(A185='Données projet'!$A$140,'Données projet'!$B$140,CT184+CS185-DB184)))</f>
        <v>0</v>
      </c>
      <c r="CU185" s="158" t="str">
        <f>CT185*VLOOKUP('Données projet'!$B$13,'Paramètres'!$A$1:$I$88,3,0)*VLOOKUP('Données projet'!$B$13,'Paramètres'!$A$1:$I$88,5,0)</f>
        <v>#N/A</v>
      </c>
      <c r="CV185" s="150" t="str">
        <f t="shared" si="42"/>
        <v>#N/A</v>
      </c>
      <c r="CW185" s="161" t="str">
        <f t="shared" si="14"/>
        <v>#N/A</v>
      </c>
      <c r="CX185" s="153" t="str">
        <f t="shared" si="15"/>
        <v>#N/A</v>
      </c>
      <c r="CY185" s="153" t="str">
        <f>AVERAGE(OFFSET($CX$3,0,0,'Données projet'!$E$13+1,1))-AVERAGE(OFFSET($H$3,0,0,'Données projet'!$E$13+1,1))</f>
        <v>#N/A</v>
      </c>
      <c r="CZ185" s="153" t="str">
        <f t="shared" si="43"/>
        <v>#N/A</v>
      </c>
      <c r="DA185" s="154">
        <f>IF(ISNA(VLOOKUP(A185,'Données projet'!$A$139:$I$159,3,0)),0,VLOOKUP(A185,'Données projet'!$A$139:$I$159,3,0))</f>
        <v>0</v>
      </c>
      <c r="DB185" s="154">
        <f>IF(ISNA(VLOOKUP(A185,'Données projet'!$A$139:$I$159,4,0)),0,VLOOKUP(A185,'Données projet'!$A$139:$I$159,4,0))</f>
        <v>0</v>
      </c>
      <c r="DC185" s="155">
        <f>IF(ISNA(VLOOKUP(A185,'Données projet'!$A$139:$I$159,5,0)),0%,VLOOKUP(A185,'Données projet'!$A$139:$I$159,5,0)*VLOOKUP('Données projet'!$B$13,'Paramètres'!$A$1:$I$88,7,0))</f>
        <v>0</v>
      </c>
      <c r="DD185" s="155">
        <f>IF(ISNA(VLOOKUP(A185,'Données projet'!$A$139:$I$159,6,0)),0%,VLOOKUP(A185,'Données projet'!$A$139:$I$159,6,0)*VLOOKUP('Données projet'!$B$13,'Paramètres'!$A$1:$I$88,7,0))</f>
        <v>0</v>
      </c>
      <c r="DE185" s="155">
        <f>IF(ISNA(VLOOKUP(A185,'Données projet'!$A$139:$I$159,7,0)),0%,VLOOKUP(A185,'Données projet'!$A$139:$I$159,7,0))</f>
        <v>0</v>
      </c>
      <c r="DF185" s="162" t="str">
        <f>EXP(-LN(2)/35)*DF184+(1-EXP(-LN(2)/35))/(LN(2)/35)*DB185*DC185*VLOOKUP('Données projet'!$B$13,'Paramètres'!$A$1:$I$88,3,0)*0.475*44/12</f>
        <v>#N/A</v>
      </c>
      <c r="DG185" s="162" t="str">
        <f>EXP(-LN(2)/25)*DG184+(1-EXP(-LN(2)/25))/(LN(2)/25)*Calculateur!DB185*Calculateur!DD185*VLOOKUP('Données projet'!$B$13,'Paramètres'!$A$1:$I$88,3,0)*0.475*44/12</f>
        <v>#N/A</v>
      </c>
      <c r="DH185" s="162" t="str">
        <f>EXP(-LN(2)/2)*DH184+(1-EXP(-LN(2)/2))/(LN(2)/2)*DB185*DE185*VLOOKUP('Données projet'!$B$13,'Paramètres'!$A$1:$I$88,3,0)*0.475*44/12</f>
        <v>#N/A</v>
      </c>
      <c r="DI185" s="163" t="str">
        <f t="shared" si="16"/>
        <v>#N/A</v>
      </c>
      <c r="DJ185" s="159">
        <f>('Scénario référence'!$F$8+'Scénario référence'!$F$9+'Scénario référence'!$B$17+'Scénario référence'!$B$9+'Scénario référence'!$B$10)*70+IF((45+25*(1-EXP(-0.0175*A185)))&lt;70,'Scénario référence'!$B$16*(45+25*(1-EXP(-0.0175*A185))),70*'Scénario référence'!$B$16)+IF((32+38*(1-EXP(-0.0175*A185)))&lt;70,'Scénario référence'!$B$18*(32+38*(1-EXP(-0.0175*A185))),70*'Scénario référence'!$B$18)</f>
        <v>70</v>
      </c>
      <c r="DK185" s="151">
        <f>IF(A185&gt;30,10,('Scénario référence'!$B$16+'Scénario référence'!$B$17+'Scénario référence'!$B$18+'Scénario référence'!$B$9+'Scénario référence'!$B$10)*A185*10/30+('Scénario référence'!$F$8+'Scénario référence'!$F$9)*10)</f>
        <v>10</v>
      </c>
      <c r="DL185" s="151" t="str">
        <f>VLOOKUP(A185,'Données projet'!$A$165:$I$185,2,0)</f>
        <v>#N/A</v>
      </c>
      <c r="DM185" s="151" t="str">
        <f>VLOOKUP(A185,'Données projet'!$A$165:$I$185,9,0)</f>
        <v>#N/A</v>
      </c>
      <c r="DN185" s="151" t="str">
        <f t="array" ref="DN185">INDEX(DM:DM,MIN(IF(ISNUMBER(DM185:DM381),ROW(DM185:DM381),"")))</f>
        <v/>
      </c>
      <c r="DO185" s="151">
        <f>IF('Données projet'!$A$166&gt;35,DO184+DN185-DW184,IF(A185&lt;'Données projet'!$A$166,$DL$205^A185,IF(A185='Données projet'!$A$166,'Données projet'!$B$166,DO184+DN185-DW184)))</f>
        <v>0</v>
      </c>
      <c r="DP185" s="158" t="str">
        <f>DO185*VLOOKUP('Données projet'!$B$14,'Paramètres'!$A$1:$I$88,3,0)*VLOOKUP('Données projet'!$B$14,'Paramètres'!$A$1:$I$88,5,0)</f>
        <v>#N/A</v>
      </c>
      <c r="DQ185" s="150" t="str">
        <f t="shared" si="44"/>
        <v>#N/A</v>
      </c>
      <c r="DR185" s="161" t="str">
        <f t="shared" si="17"/>
        <v>#N/A</v>
      </c>
      <c r="DS185" s="153" t="str">
        <f t="shared" si="18"/>
        <v>#N/A</v>
      </c>
      <c r="DT185" s="153" t="str">
        <f>AVERAGE(OFFSET($DS$3,0,0,'Données projet'!$E$14+1,1))-AVERAGE(OFFSET($H$3,0,0,'Données projet'!$E$14+1,1))</f>
        <v>#N/A</v>
      </c>
      <c r="DU185" s="153" t="str">
        <f t="shared" si="45"/>
        <v>#N/A</v>
      </c>
      <c r="DV185" s="154">
        <f>IF(ISNA(VLOOKUP(A185,'Données projet'!$A$165:$I$185,3,0)),0,VLOOKUP(A185,'Données projet'!$A$165:$I$185,3,0))</f>
        <v>0</v>
      </c>
      <c r="DW185" s="154">
        <f>IF(ISNA(VLOOKUP(A185,'Données projet'!$A$165:$I$185,4,0)),0,VLOOKUP(A185,'Données projet'!$A$165:$I$185,4,0))</f>
        <v>0</v>
      </c>
      <c r="DX185" s="155">
        <f>IF(ISNA(VLOOKUP(A185,'Données projet'!$A$165:$I$185,5,0)),0%,VLOOKUP(A185,'Données projet'!$A$165:$I$185,5,0)*VLOOKUP('Données projet'!$B$14,'Paramètres'!$A$1:$I$88,7,0))</f>
        <v>0</v>
      </c>
      <c r="DY185" s="155">
        <f>IF(ISNA(VLOOKUP(A185,'Données projet'!$A$165:$I$185,6,0)),0%,VLOOKUP(A185,'Données projet'!$A$165:$I$185,6,0)*VLOOKUP('Données projet'!$B$14,'Paramètres'!$A$1:$I$88,7,0))</f>
        <v>0</v>
      </c>
      <c r="DZ185" s="155">
        <f>IF(ISNA(VLOOKUP(A185,'Données projet'!$A$165:$I$185,7,0)),0%,VLOOKUP(A185,'Données projet'!$A$165:$I$185,7,0))</f>
        <v>0</v>
      </c>
      <c r="EA185" s="162" t="str">
        <f>EXP(-LN(2)/35)*EA184+(1-EXP(-LN(2)/35))/(LN(2)/35)*DW185*DX185*VLOOKUP('Données projet'!$B$14,'Paramètres'!$A$1:$I$88,3,0)*0.475*44/12</f>
        <v>#N/A</v>
      </c>
      <c r="EB185" s="162" t="str">
        <f>EXP(-LN(2)/25)*EB184+(1-EXP(-LN(2)/25))/(LN(2)/25)*Calculateur!DW185*Calculateur!DY185*VLOOKUP('Données projet'!$B$14,'Paramètres'!$A$1:$I$88,3,0)*0.475*44/12</f>
        <v>#N/A</v>
      </c>
      <c r="EC185" s="162" t="str">
        <f>EXP(-LN(2)/2)*EC184+(1-EXP(-LN(2)/2))/(LN(2)/2)*DW185*DZ185*VLOOKUP('Données projet'!$B$14,'Paramètres'!$A$1:$I$88,3,0)*0.475*44/12</f>
        <v>#N/A</v>
      </c>
      <c r="ED185" s="163" t="str">
        <f t="shared" si="19"/>
        <v>#N/A</v>
      </c>
      <c r="EE185" s="159">
        <f>('Scénario référence'!$F$8+'Scénario référence'!$F$9+'Scénario référence'!$B$17+'Scénario référence'!$B$9+'Scénario référence'!$B$10)*70+IF((45+25*(1-EXP(-0.0175*A185)))&lt;70,'Scénario référence'!$B$16*(45+25*(1-EXP(-0.0175*A185))),70*'Scénario référence'!$B$16)+IF((32+38*(1-EXP(-0.0175*A185)))&lt;70,'Scénario référence'!$B$18*(32+38*(1-EXP(-0.0175*A185))),70*'Scénario référence'!$B$18)</f>
        <v>70</v>
      </c>
      <c r="EF185" s="151">
        <f>IF(A185&gt;30,10,('Scénario référence'!$B$16+'Scénario référence'!$B$17+'Scénario référence'!$B$18+'Scénario référence'!$B$9+'Scénario référence'!$B$10)*A185*10/30+('Scénario référence'!$F$8+'Scénario référence'!$F$9)*10)</f>
        <v>10</v>
      </c>
      <c r="EG185" s="151" t="str">
        <f>VLOOKUP(A185,'Données projet'!$A$191:$I$211,2,0)</f>
        <v>#N/A</v>
      </c>
      <c r="EH185" s="151" t="str">
        <f>VLOOKUP(A185,'Données projet'!$A$191:$I$211,9,0)</f>
        <v>#N/A</v>
      </c>
      <c r="EI185" s="151" t="str">
        <f t="array" ref="EI185">INDEX(EH:EH,MIN(IF(ISNUMBER(EH185:EH381),ROW(EH185:EH381),"")))</f>
        <v/>
      </c>
      <c r="EJ185" s="151">
        <f>IF('Données projet'!$A$192&gt;35,EJ184+EI185-ER184,IF(A185&lt;'Données projet'!$A$192,$EG$205^A185,IF(A185='Données projet'!$A$192,'Données projet'!$B$192,EJ184+EI185-ER184)))</f>
        <v>0</v>
      </c>
      <c r="EK185" s="158" t="str">
        <f>EJ185*VLOOKUP('Données projet'!$B$15,'Paramètres'!$A$1:$I$88,3,0)*VLOOKUP('Données projet'!$B$15,'Paramètres'!$A$1:$I$88,5,0)</f>
        <v>#N/A</v>
      </c>
      <c r="EL185" s="150" t="str">
        <f t="shared" si="46"/>
        <v>#N/A</v>
      </c>
      <c r="EM185" s="161" t="str">
        <f t="shared" si="20"/>
        <v>#N/A</v>
      </c>
      <c r="EN185" s="153" t="str">
        <f t="shared" si="21"/>
        <v>#N/A</v>
      </c>
      <c r="EO185" s="153" t="str">
        <f>AVERAGE(OFFSET($EN$3,0,0,'Données projet'!$E$15+1,1))-AVERAGE(OFFSET($H$3,0,0,'Données projet'!$E$15+1,1))</f>
        <v>#N/A</v>
      </c>
      <c r="EP185" s="153" t="str">
        <f t="shared" si="47"/>
        <v>#N/A</v>
      </c>
      <c r="EQ185" s="154">
        <f>IF(ISNA(VLOOKUP(A185,'Données projet'!$A$191:$I$211,3,0)),0,VLOOKUP(A185,'Données projet'!$A$191:$I$211,3,0))</f>
        <v>0</v>
      </c>
      <c r="ER185" s="154">
        <f>IF(ISNA(VLOOKUP(A185,'Données projet'!$A$191:$I$211,4,0)),0,VLOOKUP(A185,'Données projet'!$A$191:$I$211,4,0))</f>
        <v>0</v>
      </c>
      <c r="ES185" s="155">
        <f>IF(ISNA(VLOOKUP(A185,'Données projet'!$A$191:$I$211,5,0)),0%,VLOOKUP(A185,'Données projet'!$A$191:$I$211,5,0)*VLOOKUP('Données projet'!$B$15,'Paramètres'!$A$1:$I$88,7,0))</f>
        <v>0</v>
      </c>
      <c r="ET185" s="155">
        <f>IF(ISNA(VLOOKUP(A185,'Données projet'!$A$191:$I$211,6,0)),0%,VLOOKUP(A185,'Données projet'!$A$191:$I$211,6,0)*VLOOKUP('Données projet'!$B$15,'Paramètres'!$A$1:$I$88,7,0))</f>
        <v>0</v>
      </c>
      <c r="EU185" s="155">
        <f>IF(ISNA(VLOOKUP(A185,'Données projet'!$A$191:$I$211,7,0)),0%,VLOOKUP(A185,'Données projet'!$A$191:$I$211,7,0))</f>
        <v>0</v>
      </c>
      <c r="EV185" s="162" t="str">
        <f>EXP(-LN(2)/35)*EV184+(1-EXP(-LN(2)/35))/(LN(2)/35)*ER185*ES185*VLOOKUP('Données projet'!$B$15,'Paramètres'!$A$1:$I$88,3,0)*0.475*44/12</f>
        <v>#N/A</v>
      </c>
      <c r="EW185" s="162" t="str">
        <f>EXP(-LN(2)/25)*EW184+(1-EXP(-LN(2)/25))/(LN(2)/25)*Calculateur!ER185*Calculateur!ET185*VLOOKUP('Données projet'!$B$15,'Paramètres'!$A$1:$I$88,3,0)*0.475*44/12</f>
        <v>#N/A</v>
      </c>
      <c r="EX185" s="162" t="str">
        <f>EXP(-LN(2)/2)*EX184+(1-EXP(-LN(2)/2))/(LN(2)/2)*ER185*EU185*VLOOKUP('Données projet'!$B$15,'Paramètres'!$A$1:$I$88,3,0)*0.475*44/12</f>
        <v>#N/A</v>
      </c>
      <c r="EY185" s="163" t="str">
        <f t="shared" si="22"/>
        <v>#N/A</v>
      </c>
      <c r="EZ185" s="159">
        <f>('Scénario référence'!$F$8+'Scénario référence'!$F$9+'Scénario référence'!$B$17+'Scénario référence'!$B$9+'Scénario référence'!$B$10)*70+IF((45+25*(1-EXP(-0.0175*A185)))&lt;70,'Scénario référence'!$B$16*(45+25*(1-EXP(-0.0175*A185))),70*'Scénario référence'!$B$16)+IF((32+38*(1-EXP(-0.0175*A185)))&lt;70,'Scénario référence'!$B$18*(32+38*(1-EXP(-0.0175*A185))),70*'Scénario référence'!$B$18)</f>
        <v>70</v>
      </c>
      <c r="FA185" s="151">
        <f>IF(A185&gt;30,10,('Scénario référence'!$B$16+'Scénario référence'!$B$17+'Scénario référence'!$B$18+'Scénario référence'!$B$9+'Scénario référence'!$B$10)*A185*10/30+('Scénario référence'!$F$8+'Scénario référence'!$F$9)*10)</f>
        <v>10</v>
      </c>
      <c r="FB185" s="151" t="str">
        <f>VLOOKUP(A185,'Données projet'!$A$217:$I$237,2,0)</f>
        <v>#N/A</v>
      </c>
      <c r="FC185" s="151" t="str">
        <f>VLOOKUP(A185,'Données projet'!$A$217:$I$237,9,0)</f>
        <v>#N/A</v>
      </c>
      <c r="FD185" s="151" t="str">
        <f t="array" ref="FD185">INDEX(FC:FC,MIN(IF(ISNUMBER(FC185:FC381),ROW(FC185:FC381),"")))</f>
        <v/>
      </c>
      <c r="FE185" s="151">
        <f>IF('Données projet'!$A$218&gt;35,FE184+FD185-FM184,IF(A185&lt;'Données projet'!$A$218,$FB$205^A185,IF(A185='Données projet'!$A$218,'Données projet'!$B$218,FE184+FD185-FM184)))</f>
        <v>0</v>
      </c>
      <c r="FF185" s="158" t="str">
        <f>FE185*VLOOKUP('Données projet'!$B$16,'Paramètres'!$A$1:$I$88,3,0)*VLOOKUP('Données projet'!$B$16,'Paramètres'!$A$1:$I$88,5,0)</f>
        <v>#N/A</v>
      </c>
      <c r="FG185" s="150" t="str">
        <f t="shared" si="48"/>
        <v>#N/A</v>
      </c>
      <c r="FH185" s="161" t="str">
        <f t="shared" si="23"/>
        <v>#N/A</v>
      </c>
      <c r="FI185" s="153" t="str">
        <f t="shared" si="24"/>
        <v>#N/A</v>
      </c>
      <c r="FJ185" s="153" t="str">
        <f>AVERAGE(OFFSET($FI$3,0,0,'Données projet'!$E$16+1,1))-AVERAGE(OFFSET($H$3,0,0,'Données projet'!$E$16+1,1))</f>
        <v>#N/A</v>
      </c>
      <c r="FK185" s="153" t="str">
        <f t="shared" si="49"/>
        <v>#N/A</v>
      </c>
      <c r="FL185" s="154">
        <f>IF(ISNA(VLOOKUP(A185,'Données projet'!$A$217:$I$237,3,0)),0,VLOOKUP(A185,'Données projet'!$A$217:$I$237,3,0))</f>
        <v>0</v>
      </c>
      <c r="FM185" s="154">
        <f>IF(ISNA(VLOOKUP(A185,'Données projet'!$A$217:$I$237,4,0)),0,VLOOKUP(A185,'Données projet'!$A$217:$I$237,4,0))</f>
        <v>0</v>
      </c>
      <c r="FN185" s="155">
        <f>IF(ISNA(VLOOKUP(A185,'Données projet'!$A$217:$I$237,5,0)),0%,VLOOKUP(A185,'Données projet'!$A$217:$I$237,5,0)*VLOOKUP('Données projet'!$B$16,'Paramètres'!$A$1:$I$88,7,0))</f>
        <v>0</v>
      </c>
      <c r="FO185" s="155">
        <f>IF(ISNA(VLOOKUP(A185,'Données projet'!$A$217:$I$237,6,0)),0%,VLOOKUP(A185,'Données projet'!$A$217:$I$237,6,0)*VLOOKUP('Données projet'!$B$16,'Paramètres'!$A$1:$I$88,7,0))</f>
        <v>0</v>
      </c>
      <c r="FP185" s="155">
        <f>IF(ISNA(VLOOKUP(A185,'Données projet'!$A$217:$I$237,7,0)),0%,VLOOKUP(A185,'Données projet'!$A$217:$I$237,7,0))</f>
        <v>0</v>
      </c>
      <c r="FQ185" s="162" t="str">
        <f>EXP(-LN(2)/35)*FQ184+(1-EXP(-LN(2)/35))/(LN(2)/35)*FM185*FN185*VLOOKUP('Données projet'!$B$16,'Paramètres'!$A$1:$I$88,3,0)*0.475*44/12</f>
        <v>#N/A</v>
      </c>
      <c r="FR185" s="162" t="str">
        <f>EXP(-LN(2)/25)*FR184+(1-EXP(-LN(2)/25))/(LN(2)/25)*Calculateur!FM185*Calculateur!FO185*VLOOKUP('Données projet'!$B$16,'Paramètres'!$A$1:$I$88,3,0)*0.475*44/12</f>
        <v>#N/A</v>
      </c>
      <c r="FS185" s="162" t="str">
        <f>EXP(-LN(2)/2)*FS184+(1-EXP(-LN(2)/2))/(LN(2)/2)*FM185*FP185*VLOOKUP('Données projet'!$B$16,'Paramètres'!$A$1:$I$88,3,0)*0.475*44/12</f>
        <v>#N/A</v>
      </c>
      <c r="FT185" s="163" t="str">
        <f t="shared" si="25"/>
        <v>#N/A</v>
      </c>
      <c r="FU185" s="159">
        <f>('Scénario référence'!$F$8+'Scénario référence'!$F$9+'Scénario référence'!$B$17+'Scénario référence'!$B$9+'Scénario référence'!$B$10)*70+IF((45+25*(1-EXP(-0.0175*A185)))&lt;70,'Scénario référence'!$B$16*(45+25*(1-EXP(-0.0175*A185))),70*'Scénario référence'!$B$16)+IF((32+38*(1-EXP(-0.0175*A185)))&lt;70,'Scénario référence'!$B$18*(32+38*(1-EXP(-0.0175*A185))),70*'Scénario référence'!$B$18)</f>
        <v>70</v>
      </c>
      <c r="FV185" s="151">
        <f>IF(A185&gt;30,10,('Scénario référence'!$B$16+'Scénario référence'!$B$17+'Scénario référence'!$B$18+'Scénario référence'!$B$9+'Scénario référence'!$B$10)*A185*10/30+('Scénario référence'!$F$8+'Scénario référence'!$F$9)*10)</f>
        <v>10</v>
      </c>
      <c r="FW185" s="151" t="str">
        <f>VLOOKUP(A185,'Données projet'!$A$243:$I$263,2,0)</f>
        <v>#N/A</v>
      </c>
      <c r="FX185" s="151" t="str">
        <f>VLOOKUP(A185,'Données projet'!$A$243:$I$263,9,0)</f>
        <v>#N/A</v>
      </c>
      <c r="FY185" s="151" t="str">
        <f t="array" ref="FY185">INDEX(FX:FX,MIN(IF(ISNUMBER(FX185:FX381),ROW(FX185:FX381),"")))</f>
        <v/>
      </c>
      <c r="FZ185" s="151">
        <f>IF('Données projet'!$A$244&gt;35,FZ184+FY185-GH184,IF(A185&lt;'Données projet'!$A$244,$FW$205^A185,IF(A185='Données projet'!$A$244,'Données projet'!$B$244,FZ184+FY185-GH184)))</f>
        <v>0</v>
      </c>
      <c r="GA185" s="158" t="str">
        <f>FZ185*VLOOKUP('Données projet'!$B$17,'Paramètres'!$A$1:$I$88,3,0)*VLOOKUP('Données projet'!$B$17,'Paramètres'!$A$1:$I$88,5,0)</f>
        <v>#N/A</v>
      </c>
      <c r="GB185" s="150" t="str">
        <f t="shared" si="50"/>
        <v>#N/A</v>
      </c>
      <c r="GC185" s="161" t="str">
        <f t="shared" si="26"/>
        <v>#N/A</v>
      </c>
      <c r="GD185" s="153" t="str">
        <f t="shared" si="27"/>
        <v>#N/A</v>
      </c>
      <c r="GE185" s="153" t="str">
        <f>AVERAGE(OFFSET($GD$3,0,0,'Données projet'!$E$17+1,1))-AVERAGE(OFFSET($H$3,0,0,'Données projet'!$E$17+1,1))</f>
        <v>#N/A</v>
      </c>
      <c r="GF185" s="153" t="str">
        <f t="shared" si="51"/>
        <v>#N/A</v>
      </c>
      <c r="GG185" s="154">
        <f>IF(ISNA(VLOOKUP(A185,'Données projet'!$A$243:$I$263,3,0)),0,VLOOKUP(A185,'Données projet'!$A$243:$I$263,3,0))</f>
        <v>0</v>
      </c>
      <c r="GH185" s="154">
        <f>IF(ISNA(VLOOKUP(A185,'Données projet'!$A$243:$I$263,4,0)),0,VLOOKUP(A185,'Données projet'!$A$243:$I$263,4,0))</f>
        <v>0</v>
      </c>
      <c r="GI185" s="155">
        <f>IF(ISNA(VLOOKUP(A185,'Données projet'!$A$243:$I$263,5,0)),0%,VLOOKUP(A185,'Données projet'!$A$243:$I$263,5,0)*VLOOKUP('Données projet'!$B$17,'Paramètres'!$A$1:$I$88,7,0))</f>
        <v>0</v>
      </c>
      <c r="GJ185" s="155">
        <f>IF(ISNA(VLOOKUP(A185,'Données projet'!$A$243:$I$263,6,0)),0%,VLOOKUP(A185,'Données projet'!$A$243:$I$263,6,0)*VLOOKUP('Données projet'!$B$17,'Paramètres'!$A$1:$I$88,7,0))</f>
        <v>0</v>
      </c>
      <c r="GK185" s="155">
        <f>IF(ISNA(VLOOKUP(A185,'Données projet'!$A$243:$I$263,7,0)),0%,VLOOKUP(A185,'Données projet'!$A$243:$I$263,7,0))</f>
        <v>0</v>
      </c>
      <c r="GL185" s="162" t="str">
        <f>EXP(-LN(2)/35)*GL184+(1-EXP(-LN(2)/35))/(LN(2)/35)*GH185*GI185*VLOOKUP('Données projet'!$B$17,'Paramètres'!$A$1:$I$88,3,0)*0.475*44/12</f>
        <v>#N/A</v>
      </c>
      <c r="GM185" s="162" t="str">
        <f>EXP(-LN(2)/25)*GM184+(1-EXP(-LN(2)/25))/(LN(2)/25)*Calculateur!GH185*Calculateur!GJ185*VLOOKUP('Données projet'!$B$17,'Paramètres'!$A$1:$I$88,3,0)*0.475*44/12</f>
        <v>#N/A</v>
      </c>
      <c r="GN185" s="162" t="str">
        <f>EXP(-LN(2)/2)*GN184+(1-EXP(-LN(2)/2))/(LN(2)/2)*GH185*GK185*VLOOKUP('Données projet'!$B$17,'Paramètres'!$A$1:$I$88,3,0)*0.475*44/12</f>
        <v>#N/A</v>
      </c>
      <c r="GO185" s="162" t="str">
        <f t="shared" si="28"/>
        <v>#N/A</v>
      </c>
      <c r="GP185" s="159">
        <f>('Scénario référence'!$F$8+'Scénario référence'!$F$9+'Scénario référence'!$B$17+'Scénario référence'!$B$9+'Scénario référence'!$B$10)*70+IF((45+25*(1-EXP(-0.0175*A185)))&lt;70,'Scénario référence'!$B$16*(45+25*(1-EXP(-0.0175*A185))),70*'Scénario référence'!$B$16)+IF((32+38*(1-EXP(-0.0175*A185)))&lt;70,'Scénario référence'!$B$18*(32+38*(1-EXP(-0.0175*A185))),70*'Scénario référence'!$B$18)</f>
        <v>70</v>
      </c>
      <c r="GQ185" s="151">
        <f>IF(A185&gt;30,10,('Scénario référence'!$B$16+'Scénario référence'!$B$17+'Scénario référence'!$B$18+'Scénario référence'!$B$9+'Scénario référence'!$B$10)*A185*10/30+('Scénario référence'!$F$8+'Scénario référence'!$F$9)*10)</f>
        <v>10</v>
      </c>
      <c r="GR185" s="151" t="str">
        <f>VLOOKUP(A185,'Données projet'!$A$269:$I$289,2,0)</f>
        <v>#N/A</v>
      </c>
      <c r="GS185" s="151" t="str">
        <f>VLOOKUP(A185,'Données projet'!$A$269:$I$289,9,0)</f>
        <v>#N/A</v>
      </c>
      <c r="GT185" s="151" t="str">
        <f t="array" ref="GT185">INDEX(GS:GS,MIN(IF(ISNUMBER(GS185:GS381),ROW(GS185:GS381),"")))</f>
        <v/>
      </c>
      <c r="GU185" s="151">
        <f>IF('Données projet'!$A$270&gt;35,GU184+GT185-HC184,IF(A185&lt;'Données projet'!$A$270,$GR$205^A185,IF(A185='Données projet'!$A$270,'Données projet'!$B$270,GU184+GT185-HC184)))</f>
        <v>0</v>
      </c>
      <c r="GV185" s="158" t="str">
        <f>GU185*VLOOKUP('Données projet'!$B$18,'Paramètres'!$A$1:$I$88,3,0)*VLOOKUP('Données projet'!$B$18,'Paramètres'!$A$1:$I$88,5,0)</f>
        <v>#N/A</v>
      </c>
      <c r="GW185" s="150" t="str">
        <f t="shared" si="52"/>
        <v>#N/A</v>
      </c>
      <c r="GX185" s="161" t="str">
        <f t="shared" si="29"/>
        <v>#N/A</v>
      </c>
      <c r="GY185" s="153" t="str">
        <f t="shared" si="30"/>
        <v>#N/A</v>
      </c>
      <c r="GZ185" s="153" t="str">
        <f>AVERAGE(OFFSET($GY$3,0,0,'Données projet'!$E$18+1,1))-AVERAGE(OFFSET($H$3,0,0,'Données projet'!$E$18+1,1))</f>
        <v>#N/A</v>
      </c>
      <c r="HA185" s="153" t="str">
        <f t="shared" si="53"/>
        <v>#N/A</v>
      </c>
      <c r="HB185" s="154">
        <f>IF(ISNA(VLOOKUP(A185,'Données projet'!$A$269:$I$289,3,0)),0,VLOOKUP(A185,'Données projet'!$A$269:$I$289,3,0))</f>
        <v>0</v>
      </c>
      <c r="HC185" s="154">
        <f>IF(ISNA(VLOOKUP(A185,'Données projet'!$A$269:$I$289,4,0)),0,VLOOKUP(A185,'Données projet'!$A$269:$I$289,4,0))</f>
        <v>0</v>
      </c>
      <c r="HD185" s="155">
        <f>IF(ISNA(VLOOKUP(A185,'Données projet'!$A$269:$I$289,5,0)),0%,VLOOKUP(A185,'Données projet'!$A$269:$I$289,5,0)*VLOOKUP('Données projet'!$B$18,'Paramètres'!$A$1:$I$88,7,0))</f>
        <v>0</v>
      </c>
      <c r="HE185" s="155">
        <f>IF(ISNA(VLOOKUP(A185,'Données projet'!$A$269:$I$289,6,0)),0%,VLOOKUP(A185,'Données projet'!$A$269:$I$289,6,0)*VLOOKUP('Données projet'!$B$18,'Paramètres'!$A$1:$I$88,7,0))</f>
        <v>0</v>
      </c>
      <c r="HF185" s="155">
        <f>IF(ISNA(VLOOKUP(A185,'Données projet'!$A$269:$I$289,7,0)),0%,VLOOKUP(A185,'Données projet'!$A$269:$I$289,7,0))</f>
        <v>0</v>
      </c>
      <c r="HG185" s="162" t="str">
        <f>EXP(-LN(2)/35)*HG184+(1-EXP(-LN(2)/35))/(LN(2)/35)*HC185*HD185*VLOOKUP('Données projet'!$B$18,'Paramètres'!$A$1:$I$88,3,0)*0.475*44/12</f>
        <v>#N/A</v>
      </c>
      <c r="HH185" s="162" t="str">
        <f>EXP(-LN(2)/25)*HH184+(1-EXP(-LN(2)/25))/(LN(2)/25)*Calculateur!HC185*Calculateur!HE185*VLOOKUP('Données projet'!$B$18,'Paramètres'!$A$1:$I$88,3,0)*0.475*44/12</f>
        <v>#N/A</v>
      </c>
      <c r="HI185" s="162" t="str">
        <f>EXP(-LN(2)/2)*HI184+(1-EXP(-LN(2)/2))/(LN(2)/2)*HC185*HF185*VLOOKUP('Données projet'!$B$18,'Paramètres'!$A$1:$I$88,3,0)*0.475*44/12</f>
        <v>#N/A</v>
      </c>
      <c r="HJ185" s="163" t="str">
        <f t="shared" si="31"/>
        <v>#N/A</v>
      </c>
    </row>
    <row r="186" ht="15.75" customHeight="1">
      <c r="A186" s="145">
        <f t="shared" si="32"/>
        <v>183</v>
      </c>
      <c r="B186" s="146">
        <f>'Scénario référence'!$B$16*5+'Scénario référence'!$B$17*0+'Scénario référence'!$B$18*5</f>
        <v>0</v>
      </c>
      <c r="C186" s="160">
        <f>Calculateur!C185+'Scénario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86" s="147">
        <f t="shared" si="33"/>
        <v>0</v>
      </c>
      <c r="E186" s="147">
        <f>'Scénario référence'!$B$16*45+('Scénario référence'!$B$17+'Scénario référence'!$F$8+'Scénario référence'!$F$9+'Scénario référence'!$B$10+'Scénario référence'!$B$9)*70+'Scénario référence'!$B$18*32</f>
        <v>70</v>
      </c>
      <c r="F186" s="147">
        <f>IF(OR('Scénario référence'!$F$8&gt;0,'Scénario référence'!$F$9&gt;0),('Scénario référence'!$F$8+'Scénario référence'!$F$9)*10,0)</f>
        <v>0</v>
      </c>
      <c r="G186" s="147">
        <f>'Scénario référence'!$B$8*B186*44/12+'Scénario référence'!$B$9*(C186+D186)/0.475*44/12+'Scénario référence'!$B$10*(C186+D186)/0.475*44/12+'Scénario référence'!$F$8*(C186+D186)/0.475*44/12+'Scénario référence'!$F$9*(C186+D186)/0.475*44/12</f>
        <v>0</v>
      </c>
      <c r="H186" s="148">
        <f t="shared" si="1"/>
        <v>256.6666667</v>
      </c>
      <c r="I186" s="149">
        <f>('Scénario référence'!$F$8+'Scénario référence'!$F$9+'Scénario référence'!$B$17+'Scénario référence'!$B$9+'Scénario référence'!$B$10)*70+IF((45+25*(1-EXP(-0.0175*A186)))&lt;70,'Scénario référence'!$B$16*(45+25*(1-EXP(-0.0175*A186))),70*'Scénario référence'!$B$16)+IF((32+38*(1-EXP(-0.0175*A186)))&lt;70,'Scénario référence'!$B$18*(32+38*(1-EXP(-0.0175*A186))),70*'Scénario référence'!$B$18)</f>
        <v>70</v>
      </c>
      <c r="J186" s="150">
        <f>IF(A186&gt;30,10,('Scénario référence'!$B$16+'Scénario référence'!$B$17+'Scénario référence'!$B$18+'Scénario référence'!$B$9+'Scénario référence'!$B$10)*A186*10/30+('Scénario référence'!$F$8+'Scénario référence'!$F$9)*10)</f>
        <v>10</v>
      </c>
      <c r="K186" s="151" t="str">
        <f>VLOOKUP(A186,'Données projet'!$A$35:$I$55,2,0)</f>
        <v>#N/A</v>
      </c>
      <c r="L186" s="151" t="str">
        <f>VLOOKUP(A186,'Données projet'!$A$35:$I$55,9,0)</f>
        <v>#N/A</v>
      </c>
      <c r="M186" s="151" t="str">
        <f t="array" ref="M186">INDEX(L:L,MIN(IF(ISNUMBER(L186:L382),ROW(L186:L382),"")))</f>
        <v/>
      </c>
      <c r="N186" s="150">
        <f>IF('Données projet'!$A$36&gt;35,N185+M186-V185,IF(A186&lt;'Données projet'!$A$36,$K$205^A186,IF(A186='Données projet'!$A$36,'Données projet'!$B$36,N185+M186-V185)))</f>
        <v>307</v>
      </c>
      <c r="O186" s="150">
        <f>N186*VLOOKUP('Données projet'!$B$9,'Paramètres'!$A$1:$I$88,3,0)*VLOOKUP('Données projet'!$B$9,'Paramètres'!$A$1:$I$88,5,0)</f>
        <v>277.7736</v>
      </c>
      <c r="P186" s="150">
        <f t="shared" si="34"/>
        <v>66.49628818</v>
      </c>
      <c r="Q186" s="161">
        <f t="shared" si="2"/>
        <v>599.6033886</v>
      </c>
      <c r="R186" s="153">
        <f t="shared" si="3"/>
        <v>892.9367219</v>
      </c>
      <c r="S186" s="153">
        <f>AVERAGE(OFFSET($R$3,0,0,'Données projet'!$E$9+1,1))-AVERAGE(OFFSET($H$3,0,0,'Données projet'!$E$9+1,1))</f>
        <v>439.1985427</v>
      </c>
      <c r="T186" s="153">
        <f t="shared" si="35"/>
        <v>278.2174123</v>
      </c>
      <c r="U186" s="154">
        <f>IF(ISNA(VLOOKUP(A186,'Données projet'!$A$35:$I$55,3,0)),0,VLOOKUP(A186,'Données projet'!$A$35:$I$55,3,0))</f>
        <v>0</v>
      </c>
      <c r="V186" s="154">
        <f>IF(ISNA(VLOOKUP(A186,'Données projet'!$A$35:$I$55,4,0)),0,VLOOKUP(A186,'Données projet'!$A$35:$I$55,4,0))</f>
        <v>0</v>
      </c>
      <c r="W186" s="155">
        <f>IF(ISNA(VLOOKUP(A186,'Données projet'!$A$35:$I$55,5,0)),0%,VLOOKUP(A186,'Données projet'!$A$35:$I$55,5,0)*VLOOKUP('Données projet'!$B$9,'Paramètres'!$A$1:$I$88,7,0))</f>
        <v>0</v>
      </c>
      <c r="X186" s="155">
        <f>IF(ISNA(VLOOKUP(A186,'Données projet'!$A$35:$I$55,6,0)),0%,VLOOKUP(A186,'Données projet'!$A$35:$I$55,6,0)*VLOOKUP('Données projet'!$B$9,'Paramètres'!$A$1:$I$88,7,0))</f>
        <v>0</v>
      </c>
      <c r="Y186" s="155">
        <f>IF(ISNA(VLOOKUP(A186,'Données projet'!$A$35:$I$55,7,0)),0%,VLOOKUP(A186,'Données projet'!$A$35:$I$55,7,0))</f>
        <v>0</v>
      </c>
      <c r="Z186" s="162">
        <f>EXP(-LN(2)/35)*Z185+(1-EXP(-LN(2)/35))/(LN(2)/35)*V186*W186*VLOOKUP('Données projet'!$B$9,'Paramètres'!$A$1:$I$88,3,0)*0.475*44/12</f>
        <v>0</v>
      </c>
      <c r="AA186" s="162">
        <f>EXP(-LN(2)/25)*AA185+(1-EXP(-LN(2)/25))/(LN(2)/25)*Calculateur!V186*Calculateur!X186*VLOOKUP('Données projet'!$B$9,'Paramètres'!$A$1:$I$88,3,0)*0.475*44/12</f>
        <v>0.06452213143</v>
      </c>
      <c r="AB186" s="162">
        <f>EXP(-LN(2)/2)*AB185+(1-EXP(-LN(2)/2))/(LN(2)/2)*V186*Y186*VLOOKUP('Données projet'!$B$9,'Paramètres'!$A$1:$I$88,3,0)*0.475*44/12</f>
        <v>0</v>
      </c>
      <c r="AC186" s="163">
        <f t="shared" si="4"/>
        <v>0.06452213143</v>
      </c>
      <c r="AD186" s="150">
        <f>('Scénario référence'!$F$8+'Scénario référence'!$F$9+'Scénario référence'!$B$17+'Scénario référence'!$B$9+'Scénario référence'!$B$10)*70+IF((45+25*(1-EXP(-0.0175*A186)))&lt;70,'Scénario référence'!$B$16*(45+25*(1-EXP(-0.0175*A186))),70*'Scénario référence'!$B$16)+IF((32+38*(1-EXP(-0.0175*A186)))&lt;70,'Scénario référence'!$B$18*(32+38*(1-EXP(-0.0175*A186))),70*'Scénario référence'!$B$18)</f>
        <v>70</v>
      </c>
      <c r="AE186" s="150">
        <f>IF(A186&gt;30,10,('Scénario référence'!$B$16+'Scénario référence'!$B$17+'Scénario référence'!$B$18+'Scénario référence'!$B$9+'Scénario référence'!$B$10)*A186*10/30+('Scénario référence'!$F$8+'Scénario référence'!$F$9)*10)</f>
        <v>10</v>
      </c>
      <c r="AF186" s="151" t="str">
        <f>VLOOKUP(A186,'Données projet'!$A$61:$I$81,2,0)</f>
        <v>#N/A</v>
      </c>
      <c r="AG186" s="151" t="str">
        <f>VLOOKUP(A186,'Données projet'!$A$61:$I$81,9,0)</f>
        <v>#N/A</v>
      </c>
      <c r="AH186" s="151" t="str">
        <f t="array" ref="AH186">INDEX(AG:AG,MIN(IF(ISNUMBER(AG186:AG382),ROW(AG186:AG382),"")))</f>
        <v/>
      </c>
      <c r="AI186" s="150">
        <f>IF('Données projet'!$A$62&gt;35,AI185+AH186-AQ185,IF(A186&lt;'Données projet'!$A$62,$AF$205^A186,IF(A186='Données projet'!$A$62,'Données projet'!$B$62,AI185+AH186-AQ185)))</f>
        <v>369</v>
      </c>
      <c r="AJ186" s="150">
        <f>AI186*VLOOKUP('Données projet'!$B$10,'Paramètres'!$A$1:$I$88,3,0)*VLOOKUP('Données projet'!$B$10,'Paramètres'!$A$1:$I$88,5,0)</f>
        <v>293.5764</v>
      </c>
      <c r="AK186" s="150">
        <f t="shared" si="36"/>
        <v>69.82813851</v>
      </c>
      <c r="AL186" s="161">
        <f t="shared" si="5"/>
        <v>632.9295712</v>
      </c>
      <c r="AM186" s="153">
        <f t="shared" si="6"/>
        <v>926.2629046</v>
      </c>
      <c r="AN186" s="153">
        <f>AVERAGE(OFFSET($AM$3,0,0,'Données projet'!$E$10+1,1))-AVERAGE(OFFSET($H$3,0,0,'Données projet'!$E$10+1,1))</f>
        <v>405.6113614</v>
      </c>
      <c r="AO186" s="153">
        <f t="shared" si="37"/>
        <v>393.0787141</v>
      </c>
      <c r="AP186" s="154">
        <f>IF(ISNA(VLOOKUP(A186,'Données projet'!$A$61:$I$81,3,0)),0,VLOOKUP(A186,'Données projet'!$A$61:$I$81,3,0))</f>
        <v>0</v>
      </c>
      <c r="AQ186" s="154">
        <f>IF(ISNA(VLOOKUP(A186,'Données projet'!$A$61:$I$81,4,0)),0,VLOOKUP(A186,'Données projet'!$A$61:$I$81,4,0))</f>
        <v>0</v>
      </c>
      <c r="AR186" s="155">
        <f>IF(ISNA(VLOOKUP(A186,'Données projet'!$A$61:$I$81,5,0)),0%,VLOOKUP(A186,'Données projet'!$A$61:$I$81,5,0)*VLOOKUP('Données projet'!$B$10,'Paramètres'!$A$1:$I$88,7,0))</f>
        <v>0</v>
      </c>
      <c r="AS186" s="155">
        <f>IF(ISNA(VLOOKUP(A186,'Données projet'!$A$61:$I$81,6,0)),0%,VLOOKUP(A186,'Données projet'!$A$61:$I$81,6,0)*VLOOKUP('Données projet'!$B$10,'Paramètres'!$A$1:$I$88,7,0))</f>
        <v>0</v>
      </c>
      <c r="AT186" s="155">
        <f>IF(ISNA(VLOOKUP(A186,'Données projet'!$A$61:$I$81,7,0)),0%,VLOOKUP(A186,'Données projet'!$A$61:$I$81,7,0))</f>
        <v>0</v>
      </c>
      <c r="AU186" s="162">
        <f>EXP(-LN(2)/35)*AU185+(1-EXP(-LN(2)/35))/(LN(2)/35)*AQ186*AR186*VLOOKUP('Données projet'!$B$10,'Paramètres'!$A$1:$I$88,3,0)*0.475*44/12</f>
        <v>0</v>
      </c>
      <c r="AV186" s="162">
        <f>EXP(-LN(2)/25)*AV185+(1-EXP(-LN(2)/25))/(LN(2)/25)*Calculateur!AQ186*Calculateur!AS186*VLOOKUP('Données projet'!$B$10,'Paramètres'!$A$1:$I$88,3,0)*0.475*44/12</f>
        <v>0.2622343443</v>
      </c>
      <c r="AW186" s="162">
        <f>EXP(-LN(2)/2)*AW185+(1-EXP(-LN(2)/2))/(LN(2)/2)*AQ186*AT186*VLOOKUP('Données projet'!$B$10,'Paramètres'!$A$1:$I$88,3,0)*0.475*44/12</f>
        <v>0</v>
      </c>
      <c r="AX186" s="162">
        <f t="shared" si="7"/>
        <v>0.2622343443</v>
      </c>
      <c r="AY186" s="157">
        <f>('Scénario référence'!$F$8+'Scénario référence'!$F$9+'Scénario référence'!$B$17+'Scénario référence'!$B$9+'Scénario référence'!$B$10)*70+IF((45+25*(1-EXP(-0.0175*A186)))&lt;70,'Scénario référence'!$B$16*(45+25*(1-EXP(-0.0175*A186))),70*'Scénario référence'!$B$16)+IF((32+38*(1-EXP(-0.0175*A186)))&lt;70,'Scénario référence'!$B$18*(32+38*(1-EXP(-0.0175*A186))),70*'Scénario référence'!$B$18)</f>
        <v>70</v>
      </c>
      <c r="AZ186" s="151">
        <f>IF(A186&gt;30,10,('Scénario référence'!$B$16+'Scénario référence'!$B$17+'Scénario référence'!$B$18+'Scénario référence'!$B$9+'Scénario référence'!$B$10)*A186*10/30+('Scénario référence'!$F$8+'Scénario référence'!$F$9)*10)</f>
        <v>10</v>
      </c>
      <c r="BA186" s="151" t="str">
        <f>VLOOKUP(A186,'Données projet'!$A$87:$I$107,2,0)</f>
        <v>#N/A</v>
      </c>
      <c r="BB186" s="151" t="str">
        <f>VLOOKUP(A186,'Données projet'!$A$87:$I$107,9,0)</f>
        <v>#N/A</v>
      </c>
      <c r="BC186" s="151" t="str">
        <f t="array" ref="BC186">INDEX(BB:BB,MIN(IF(ISNUMBER(BB186:BB382),ROW(BB186:BB382),"")))</f>
        <v/>
      </c>
      <c r="BD186" s="150">
        <f>IF('Données projet'!$A$88&gt;35,BD185+BC186-BL185,IF(A186&lt;'Données projet'!$A$88,$BA$205^A186,IF(A186='Données projet'!$A$88,'Données projet'!$B$88,BD185+BC186-BL185)))</f>
        <v>0</v>
      </c>
      <c r="BE186" s="150">
        <f>BD186*VLOOKUP('Données projet'!$B$11,'Paramètres'!$A$1:$I$88,3,0)*VLOOKUP('Données projet'!$B$11,'Paramètres'!$A$1:$I$88,5,0)</f>
        <v>0</v>
      </c>
      <c r="BF186" s="150" t="str">
        <f t="shared" si="38"/>
        <v>#NUM!</v>
      </c>
      <c r="BG186" s="161" t="str">
        <f t="shared" si="8"/>
        <v>#NUM!</v>
      </c>
      <c r="BH186" s="153" t="str">
        <f t="shared" si="9"/>
        <v>#NUM!</v>
      </c>
      <c r="BI186" s="153">
        <f>AVERAGE(OFFSET($BH$3,0,0,'Données projet'!$E$11+1,1))-AVERAGE(OFFSET($H$3,0,0,'Données projet'!$E$11+1,1))</f>
        <v>0</v>
      </c>
      <c r="BJ186" s="153">
        <f t="shared" si="39"/>
        <v>0</v>
      </c>
      <c r="BK186" s="154">
        <f>IF(ISNA(VLOOKUP(A186,'Données projet'!$A$87:$I$107,3,0)),0,VLOOKUP(A186,'Données projet'!$A$87:$I$107,3,0))</f>
        <v>0</v>
      </c>
      <c r="BL186" s="154">
        <f>IF(ISNA(VLOOKUP(A186,'Données projet'!$A$87:$I$107,4,0)),0,VLOOKUP(A186,'Données projet'!$A$87:$I$107,4,0))</f>
        <v>0</v>
      </c>
      <c r="BM186" s="155">
        <f>IF(ISNA(VLOOKUP(A186,'Données projet'!$A$87:$I$107,5,0)),0%,VLOOKUP(A186,'Données projet'!$A$87:$I$107,5,0)*VLOOKUP('Données projet'!$B$11,'Paramètres'!$A$1:$I$88,7,0))</f>
        <v>0</v>
      </c>
      <c r="BN186" s="155">
        <f>IF(ISNA(VLOOKUP(A186,'Données projet'!$A$87:$I$107,6,0)),0%,VLOOKUP(A186,'Données projet'!$A$87:$I$107,6,0)*VLOOKUP('Données projet'!$B$11,'Paramètres'!$A$1:$I$88,7,0))</f>
        <v>0</v>
      </c>
      <c r="BO186" s="155">
        <f>IF(ISNA(VLOOKUP(A186,'Données projet'!$A$87:$I$107,7,0)),0%,VLOOKUP(A186,'Données projet'!$A$87:$I$107,7,0))</f>
        <v>0</v>
      </c>
      <c r="BP186" s="162">
        <f>EXP(-LN(2)/35)*BP185+(1-EXP(-LN(2)/35))/(LN(2)/35)*BL186*BM186*VLOOKUP('Données projet'!$B$11,'Paramètres'!$A$1:$I$88,3,0)*0.475*44/12</f>
        <v>0</v>
      </c>
      <c r="BQ186" s="162">
        <f>EXP(-LN(2)/25)*BQ185+(1-EXP(-LN(2)/25))/(LN(2)/25)*Calculateur!BL186*Calculateur!BN186*VLOOKUP('Données projet'!$B$11,'Paramètres'!$A$1:$I$88,3,0)*0.475*44/12</f>
        <v>0</v>
      </c>
      <c r="BR186" s="162">
        <f>EXP(-LN(2)/2)*BR185+(1-EXP(-LN(2)/2))/(LN(2)/2)*BL186*BO186*VLOOKUP('Données projet'!$B$11,'Paramètres'!$A$1:$I$88,3,0)*0.475*44/12</f>
        <v>0</v>
      </c>
      <c r="BS186" s="163">
        <f t="shared" si="10"/>
        <v>0</v>
      </c>
      <c r="BT186" s="159">
        <f>('Scénario référence'!$F$8+'Scénario référence'!$F$9+'Scénario référence'!$B$17+'Scénario référence'!$B$9+'Scénario référence'!$B$10)*70+IF((45+25*(1-EXP(-0.0175*A186)))&lt;70,'Scénario référence'!$B$16*(45+25*(1-EXP(-0.0175*A186))),70*'Scénario référence'!$B$16)+IF((32+38*(1-EXP(-0.0175*A186)))&lt;70,'Scénario référence'!$B$18*(32+38*(1-EXP(-0.0175*A186))),70*'Scénario référence'!$B$18)</f>
        <v>70</v>
      </c>
      <c r="BU186" s="151">
        <f>IF(A186&gt;30,10,('Scénario référence'!$B$16+'Scénario référence'!$B$17+'Scénario référence'!$B$18+'Scénario référence'!$B$9+'Scénario référence'!$B$10)*A186*10/30+('Scénario référence'!$F$8+'Scénario référence'!$F$9)*10)</f>
        <v>10</v>
      </c>
      <c r="BV186" s="151" t="str">
        <f>VLOOKUP(A186,'Données projet'!$A$113:$I$133,2,0)</f>
        <v>#N/A</v>
      </c>
      <c r="BW186" s="151" t="str">
        <f>VLOOKUP(A186,'Données projet'!$A$113:$I$133,9,0)</f>
        <v>#N/A</v>
      </c>
      <c r="BX186" s="151" t="str">
        <f t="array" ref="BX186">INDEX(BW:BW,MIN(IF(ISNUMBER(BW186:BW382),ROW(BW186:BW382),"")))</f>
        <v/>
      </c>
      <c r="BY186" s="150">
        <f>IF('Données projet'!$A$114&gt;35,BY185+BX186-CG185,IF(A186&lt;'Données projet'!$A$114,$BV$205^A186,IF(A186='Données projet'!$A$114,'Données projet'!$B$114,BY185+BX186-CG185)))</f>
        <v>0</v>
      </c>
      <c r="BZ186" s="150" t="str">
        <f>BY186*VLOOKUP('Données projet'!$B$12,'Paramètres'!$A$1:$I$88,3,0)*VLOOKUP('Données projet'!$B$12,'Paramètres'!$A$1:$I$88,5,0)</f>
        <v>#N/A</v>
      </c>
      <c r="CA186" s="150" t="str">
        <f t="shared" si="40"/>
        <v>#N/A</v>
      </c>
      <c r="CB186" s="161" t="str">
        <f t="shared" si="11"/>
        <v>#N/A</v>
      </c>
      <c r="CC186" s="153" t="str">
        <f t="shared" si="12"/>
        <v>#N/A</v>
      </c>
      <c r="CD186" s="153" t="str">
        <f>AVERAGE(OFFSET($CC$3,0,0,'Données projet'!$E$12+1,1))-AVERAGE(OFFSET($H$3,0,0,'Données projet'!$E$12+1,1))</f>
        <v>#N/A</v>
      </c>
      <c r="CE186" s="153" t="str">
        <f t="shared" si="41"/>
        <v>#N/A</v>
      </c>
      <c r="CF186" s="154">
        <f>IF(ISNA(VLOOKUP(A186,'Données projet'!$A$113:$I$133,3,0)),0,VLOOKUP(A186,'Données projet'!$A$113:$I$133,3,0))</f>
        <v>0</v>
      </c>
      <c r="CG186" s="154">
        <f>IF(ISNA(VLOOKUP(A186,'Données projet'!$A$113:$I$133,4,0)),0,VLOOKUP(A186,'Données projet'!$A$113:$I$133,4,0))</f>
        <v>0</v>
      </c>
      <c r="CH186" s="155">
        <f>IF(ISNA(VLOOKUP(A186,'Données projet'!$A$113:$I$133,5,0)),0%,VLOOKUP(A186,'Données projet'!$A$113:$I$133,5,0)*VLOOKUP('Données projet'!$B$12,'Paramètres'!$A$1:$I$88,7,0))</f>
        <v>0</v>
      </c>
      <c r="CI186" s="155">
        <f>IF(ISNA(VLOOKUP(A186,'Données projet'!$A$113:$I$133,6,0)),0%,VLOOKUP(A186,'Données projet'!$A$113:$I$133,6,0)*VLOOKUP('Données projet'!$B$12,'Paramètres'!$A$1:$I$88,7,0))</f>
        <v>0</v>
      </c>
      <c r="CJ186" s="155">
        <f>IF(ISNA(VLOOKUP(A186,'Données projet'!$A$113:$I$133,7,0)),0%,VLOOKUP(A186,'Données projet'!$A$113:$I$133,7,0))</f>
        <v>0</v>
      </c>
      <c r="CK186" s="162" t="str">
        <f>EXP(-LN(2)/35)*CK185+(1-EXP(-LN(2)/35))/(LN(2)/35)*CG186*CH186*VLOOKUP('Données projet'!$B$12,'Paramètres'!$A$1:$I$88,3,0)*0.475*44/12</f>
        <v>#N/A</v>
      </c>
      <c r="CL186" s="162" t="str">
        <f>EXP(-LN(2)/25)*CL185+(1-EXP(-LN(2)/25))/(LN(2)/25)*Calculateur!CG186*Calculateur!CI186*VLOOKUP('Données projet'!$B$12,'Paramètres'!$A$1:$I$88,3,0)*0.475*44/12</f>
        <v>#N/A</v>
      </c>
      <c r="CM186" s="162" t="str">
        <f>EXP(-LN(2)/2)*CM185+(1-EXP(-LN(2)/2))/(LN(2)/2)*CG186*CJ186*VLOOKUP('Données projet'!$B$12,'Paramètres'!$A$1:$I$88,3,0)*0.475*44/12</f>
        <v>#N/A</v>
      </c>
      <c r="CN186" s="163" t="str">
        <f t="shared" si="13"/>
        <v>#N/A</v>
      </c>
      <c r="CO186" s="159">
        <f>('Scénario référence'!$F$8+'Scénario référence'!$F$9+'Scénario référence'!$B$17+'Scénario référence'!$B$9+'Scénario référence'!$B$10)*70+IF((45+25*(1-EXP(-0.0175*A186)))&lt;70,'Scénario référence'!$B$16*(45+25*(1-EXP(-0.0175*A186))),70*'Scénario référence'!$B$16)+IF((32+38*(1-EXP(-0.0175*A186)))&lt;70,'Scénario référence'!$B$18*(32+38*(1-EXP(-0.0175*A186))),70*'Scénario référence'!$B$18)</f>
        <v>70</v>
      </c>
      <c r="CP186" s="151">
        <f>IF(A186&gt;30,10,('Scénario référence'!$B$16+'Scénario référence'!$B$17+'Scénario référence'!$B$18+'Scénario référence'!$B$9+'Scénario référence'!$B$10)*A186*10/30+('Scénario référence'!$F$8+'Scénario référence'!$F$9)*10)</f>
        <v>10</v>
      </c>
      <c r="CQ186" s="151" t="str">
        <f>VLOOKUP(A186,'Données projet'!$A$139:$I$159,2,0)</f>
        <v>#N/A</v>
      </c>
      <c r="CR186" s="151" t="str">
        <f>VLOOKUP(A186,'Données projet'!$A$139:$I$159,9,0)</f>
        <v>#N/A</v>
      </c>
      <c r="CS186" s="151" t="str">
        <f t="array" ref="CS186">INDEX(CR:CR,MIN(IF(ISNUMBER(CR186:CR382),ROW(CR186:CR382),"")))</f>
        <v/>
      </c>
      <c r="CT186" s="151">
        <f>IF('Données projet'!$A$140&gt;35,CT185+CS186-DB185,IF(A186&lt;'Données projet'!$A$140,$CQ$205^A186,IF(A186='Données projet'!$A$140,'Données projet'!$B$140,CT185+CS186-DB185)))</f>
        <v>0</v>
      </c>
      <c r="CU186" s="158" t="str">
        <f>CT186*VLOOKUP('Données projet'!$B$13,'Paramètres'!$A$1:$I$88,3,0)*VLOOKUP('Données projet'!$B$13,'Paramètres'!$A$1:$I$88,5,0)</f>
        <v>#N/A</v>
      </c>
      <c r="CV186" s="150" t="str">
        <f t="shared" si="42"/>
        <v>#N/A</v>
      </c>
      <c r="CW186" s="161" t="str">
        <f t="shared" si="14"/>
        <v>#N/A</v>
      </c>
      <c r="CX186" s="153" t="str">
        <f t="shared" si="15"/>
        <v>#N/A</v>
      </c>
      <c r="CY186" s="153" t="str">
        <f>AVERAGE(OFFSET($CX$3,0,0,'Données projet'!$E$13+1,1))-AVERAGE(OFFSET($H$3,0,0,'Données projet'!$E$13+1,1))</f>
        <v>#N/A</v>
      </c>
      <c r="CZ186" s="153" t="str">
        <f t="shared" si="43"/>
        <v>#N/A</v>
      </c>
      <c r="DA186" s="154">
        <f>IF(ISNA(VLOOKUP(A186,'Données projet'!$A$139:$I$159,3,0)),0,VLOOKUP(A186,'Données projet'!$A$139:$I$159,3,0))</f>
        <v>0</v>
      </c>
      <c r="DB186" s="154">
        <f>IF(ISNA(VLOOKUP(A186,'Données projet'!$A$139:$I$159,4,0)),0,VLOOKUP(A186,'Données projet'!$A$139:$I$159,4,0))</f>
        <v>0</v>
      </c>
      <c r="DC186" s="155">
        <f>IF(ISNA(VLOOKUP(A186,'Données projet'!$A$139:$I$159,5,0)),0%,VLOOKUP(A186,'Données projet'!$A$139:$I$159,5,0)*VLOOKUP('Données projet'!$B$13,'Paramètres'!$A$1:$I$88,7,0))</f>
        <v>0</v>
      </c>
      <c r="DD186" s="155">
        <f>IF(ISNA(VLOOKUP(A186,'Données projet'!$A$139:$I$159,6,0)),0%,VLOOKUP(A186,'Données projet'!$A$139:$I$159,6,0)*VLOOKUP('Données projet'!$B$13,'Paramètres'!$A$1:$I$88,7,0))</f>
        <v>0</v>
      </c>
      <c r="DE186" s="155">
        <f>IF(ISNA(VLOOKUP(A186,'Données projet'!$A$139:$I$159,7,0)),0%,VLOOKUP(A186,'Données projet'!$A$139:$I$159,7,0))</f>
        <v>0</v>
      </c>
      <c r="DF186" s="162" t="str">
        <f>EXP(-LN(2)/35)*DF185+(1-EXP(-LN(2)/35))/(LN(2)/35)*DB186*DC186*VLOOKUP('Données projet'!$B$13,'Paramètres'!$A$1:$I$88,3,0)*0.475*44/12</f>
        <v>#N/A</v>
      </c>
      <c r="DG186" s="162" t="str">
        <f>EXP(-LN(2)/25)*DG185+(1-EXP(-LN(2)/25))/(LN(2)/25)*Calculateur!DB186*Calculateur!DD186*VLOOKUP('Données projet'!$B$13,'Paramètres'!$A$1:$I$88,3,0)*0.475*44/12</f>
        <v>#N/A</v>
      </c>
      <c r="DH186" s="162" t="str">
        <f>EXP(-LN(2)/2)*DH185+(1-EXP(-LN(2)/2))/(LN(2)/2)*DB186*DE186*VLOOKUP('Données projet'!$B$13,'Paramètres'!$A$1:$I$88,3,0)*0.475*44/12</f>
        <v>#N/A</v>
      </c>
      <c r="DI186" s="163" t="str">
        <f t="shared" si="16"/>
        <v>#N/A</v>
      </c>
      <c r="DJ186" s="159">
        <f>('Scénario référence'!$F$8+'Scénario référence'!$F$9+'Scénario référence'!$B$17+'Scénario référence'!$B$9+'Scénario référence'!$B$10)*70+IF((45+25*(1-EXP(-0.0175*A186)))&lt;70,'Scénario référence'!$B$16*(45+25*(1-EXP(-0.0175*A186))),70*'Scénario référence'!$B$16)+IF((32+38*(1-EXP(-0.0175*A186)))&lt;70,'Scénario référence'!$B$18*(32+38*(1-EXP(-0.0175*A186))),70*'Scénario référence'!$B$18)</f>
        <v>70</v>
      </c>
      <c r="DK186" s="151">
        <f>IF(A186&gt;30,10,('Scénario référence'!$B$16+'Scénario référence'!$B$17+'Scénario référence'!$B$18+'Scénario référence'!$B$9+'Scénario référence'!$B$10)*A186*10/30+('Scénario référence'!$F$8+'Scénario référence'!$F$9)*10)</f>
        <v>10</v>
      </c>
      <c r="DL186" s="151" t="str">
        <f>VLOOKUP(A186,'Données projet'!$A$165:$I$185,2,0)</f>
        <v>#N/A</v>
      </c>
      <c r="DM186" s="151" t="str">
        <f>VLOOKUP(A186,'Données projet'!$A$165:$I$185,9,0)</f>
        <v>#N/A</v>
      </c>
      <c r="DN186" s="151" t="str">
        <f t="array" ref="DN186">INDEX(DM:DM,MIN(IF(ISNUMBER(DM186:DM382),ROW(DM186:DM382),"")))</f>
        <v/>
      </c>
      <c r="DO186" s="151">
        <f>IF('Données projet'!$A$166&gt;35,DO185+DN186-DW185,IF(A186&lt;'Données projet'!$A$166,$DL$205^A186,IF(A186='Données projet'!$A$166,'Données projet'!$B$166,DO185+DN186-DW185)))</f>
        <v>0</v>
      </c>
      <c r="DP186" s="158" t="str">
        <f>DO186*VLOOKUP('Données projet'!$B$14,'Paramètres'!$A$1:$I$88,3,0)*VLOOKUP('Données projet'!$B$14,'Paramètres'!$A$1:$I$88,5,0)</f>
        <v>#N/A</v>
      </c>
      <c r="DQ186" s="150" t="str">
        <f t="shared" si="44"/>
        <v>#N/A</v>
      </c>
      <c r="DR186" s="161" t="str">
        <f t="shared" si="17"/>
        <v>#N/A</v>
      </c>
      <c r="DS186" s="153" t="str">
        <f t="shared" si="18"/>
        <v>#N/A</v>
      </c>
      <c r="DT186" s="153" t="str">
        <f>AVERAGE(OFFSET($DS$3,0,0,'Données projet'!$E$14+1,1))-AVERAGE(OFFSET($H$3,0,0,'Données projet'!$E$14+1,1))</f>
        <v>#N/A</v>
      </c>
      <c r="DU186" s="153" t="str">
        <f t="shared" si="45"/>
        <v>#N/A</v>
      </c>
      <c r="DV186" s="154">
        <f>IF(ISNA(VLOOKUP(A186,'Données projet'!$A$165:$I$185,3,0)),0,VLOOKUP(A186,'Données projet'!$A$165:$I$185,3,0))</f>
        <v>0</v>
      </c>
      <c r="DW186" s="154">
        <f>IF(ISNA(VLOOKUP(A186,'Données projet'!$A$165:$I$185,4,0)),0,VLOOKUP(A186,'Données projet'!$A$165:$I$185,4,0))</f>
        <v>0</v>
      </c>
      <c r="DX186" s="155">
        <f>IF(ISNA(VLOOKUP(A186,'Données projet'!$A$165:$I$185,5,0)),0%,VLOOKUP(A186,'Données projet'!$A$165:$I$185,5,0)*VLOOKUP('Données projet'!$B$14,'Paramètres'!$A$1:$I$88,7,0))</f>
        <v>0</v>
      </c>
      <c r="DY186" s="155">
        <f>IF(ISNA(VLOOKUP(A186,'Données projet'!$A$165:$I$185,6,0)),0%,VLOOKUP(A186,'Données projet'!$A$165:$I$185,6,0)*VLOOKUP('Données projet'!$B$14,'Paramètres'!$A$1:$I$88,7,0))</f>
        <v>0</v>
      </c>
      <c r="DZ186" s="155">
        <f>IF(ISNA(VLOOKUP(A186,'Données projet'!$A$165:$I$185,7,0)),0%,VLOOKUP(A186,'Données projet'!$A$165:$I$185,7,0))</f>
        <v>0</v>
      </c>
      <c r="EA186" s="162" t="str">
        <f>EXP(-LN(2)/35)*EA185+(1-EXP(-LN(2)/35))/(LN(2)/35)*DW186*DX186*VLOOKUP('Données projet'!$B$14,'Paramètres'!$A$1:$I$88,3,0)*0.475*44/12</f>
        <v>#N/A</v>
      </c>
      <c r="EB186" s="162" t="str">
        <f>EXP(-LN(2)/25)*EB185+(1-EXP(-LN(2)/25))/(LN(2)/25)*Calculateur!DW186*Calculateur!DY186*VLOOKUP('Données projet'!$B$14,'Paramètres'!$A$1:$I$88,3,0)*0.475*44/12</f>
        <v>#N/A</v>
      </c>
      <c r="EC186" s="162" t="str">
        <f>EXP(-LN(2)/2)*EC185+(1-EXP(-LN(2)/2))/(LN(2)/2)*DW186*DZ186*VLOOKUP('Données projet'!$B$14,'Paramètres'!$A$1:$I$88,3,0)*0.475*44/12</f>
        <v>#N/A</v>
      </c>
      <c r="ED186" s="163" t="str">
        <f t="shared" si="19"/>
        <v>#N/A</v>
      </c>
      <c r="EE186" s="159">
        <f>('Scénario référence'!$F$8+'Scénario référence'!$F$9+'Scénario référence'!$B$17+'Scénario référence'!$B$9+'Scénario référence'!$B$10)*70+IF((45+25*(1-EXP(-0.0175*A186)))&lt;70,'Scénario référence'!$B$16*(45+25*(1-EXP(-0.0175*A186))),70*'Scénario référence'!$B$16)+IF((32+38*(1-EXP(-0.0175*A186)))&lt;70,'Scénario référence'!$B$18*(32+38*(1-EXP(-0.0175*A186))),70*'Scénario référence'!$B$18)</f>
        <v>70</v>
      </c>
      <c r="EF186" s="151">
        <f>IF(A186&gt;30,10,('Scénario référence'!$B$16+'Scénario référence'!$B$17+'Scénario référence'!$B$18+'Scénario référence'!$B$9+'Scénario référence'!$B$10)*A186*10/30+('Scénario référence'!$F$8+'Scénario référence'!$F$9)*10)</f>
        <v>10</v>
      </c>
      <c r="EG186" s="151" t="str">
        <f>VLOOKUP(A186,'Données projet'!$A$191:$I$211,2,0)</f>
        <v>#N/A</v>
      </c>
      <c r="EH186" s="151" t="str">
        <f>VLOOKUP(A186,'Données projet'!$A$191:$I$211,9,0)</f>
        <v>#N/A</v>
      </c>
      <c r="EI186" s="151" t="str">
        <f t="array" ref="EI186">INDEX(EH:EH,MIN(IF(ISNUMBER(EH186:EH382),ROW(EH186:EH382),"")))</f>
        <v/>
      </c>
      <c r="EJ186" s="151">
        <f>IF('Données projet'!$A$192&gt;35,EJ185+EI186-ER185,IF(A186&lt;'Données projet'!$A$192,$EG$205^A186,IF(A186='Données projet'!$A$192,'Données projet'!$B$192,EJ185+EI186-ER185)))</f>
        <v>0</v>
      </c>
      <c r="EK186" s="158" t="str">
        <f>EJ186*VLOOKUP('Données projet'!$B$15,'Paramètres'!$A$1:$I$88,3,0)*VLOOKUP('Données projet'!$B$15,'Paramètres'!$A$1:$I$88,5,0)</f>
        <v>#N/A</v>
      </c>
      <c r="EL186" s="150" t="str">
        <f t="shared" si="46"/>
        <v>#N/A</v>
      </c>
      <c r="EM186" s="161" t="str">
        <f t="shared" si="20"/>
        <v>#N/A</v>
      </c>
      <c r="EN186" s="153" t="str">
        <f t="shared" si="21"/>
        <v>#N/A</v>
      </c>
      <c r="EO186" s="153" t="str">
        <f>AVERAGE(OFFSET($EN$3,0,0,'Données projet'!$E$15+1,1))-AVERAGE(OFFSET($H$3,0,0,'Données projet'!$E$15+1,1))</f>
        <v>#N/A</v>
      </c>
      <c r="EP186" s="153" t="str">
        <f t="shared" si="47"/>
        <v>#N/A</v>
      </c>
      <c r="EQ186" s="154">
        <f>IF(ISNA(VLOOKUP(A186,'Données projet'!$A$191:$I$211,3,0)),0,VLOOKUP(A186,'Données projet'!$A$191:$I$211,3,0))</f>
        <v>0</v>
      </c>
      <c r="ER186" s="154">
        <f>IF(ISNA(VLOOKUP(A186,'Données projet'!$A$191:$I$211,4,0)),0,VLOOKUP(A186,'Données projet'!$A$191:$I$211,4,0))</f>
        <v>0</v>
      </c>
      <c r="ES186" s="155">
        <f>IF(ISNA(VLOOKUP(A186,'Données projet'!$A$191:$I$211,5,0)),0%,VLOOKUP(A186,'Données projet'!$A$191:$I$211,5,0)*VLOOKUP('Données projet'!$B$15,'Paramètres'!$A$1:$I$88,7,0))</f>
        <v>0</v>
      </c>
      <c r="ET186" s="155">
        <f>IF(ISNA(VLOOKUP(A186,'Données projet'!$A$191:$I$211,6,0)),0%,VLOOKUP(A186,'Données projet'!$A$191:$I$211,6,0)*VLOOKUP('Données projet'!$B$15,'Paramètres'!$A$1:$I$88,7,0))</f>
        <v>0</v>
      </c>
      <c r="EU186" s="155">
        <f>IF(ISNA(VLOOKUP(A186,'Données projet'!$A$191:$I$211,7,0)),0%,VLOOKUP(A186,'Données projet'!$A$191:$I$211,7,0))</f>
        <v>0</v>
      </c>
      <c r="EV186" s="162" t="str">
        <f>EXP(-LN(2)/35)*EV185+(1-EXP(-LN(2)/35))/(LN(2)/35)*ER186*ES186*VLOOKUP('Données projet'!$B$15,'Paramètres'!$A$1:$I$88,3,0)*0.475*44/12</f>
        <v>#N/A</v>
      </c>
      <c r="EW186" s="162" t="str">
        <f>EXP(-LN(2)/25)*EW185+(1-EXP(-LN(2)/25))/(LN(2)/25)*Calculateur!ER186*Calculateur!ET186*VLOOKUP('Données projet'!$B$15,'Paramètres'!$A$1:$I$88,3,0)*0.475*44/12</f>
        <v>#N/A</v>
      </c>
      <c r="EX186" s="162" t="str">
        <f>EXP(-LN(2)/2)*EX185+(1-EXP(-LN(2)/2))/(LN(2)/2)*ER186*EU186*VLOOKUP('Données projet'!$B$15,'Paramètres'!$A$1:$I$88,3,0)*0.475*44/12</f>
        <v>#N/A</v>
      </c>
      <c r="EY186" s="163" t="str">
        <f t="shared" si="22"/>
        <v>#N/A</v>
      </c>
      <c r="EZ186" s="159">
        <f>('Scénario référence'!$F$8+'Scénario référence'!$F$9+'Scénario référence'!$B$17+'Scénario référence'!$B$9+'Scénario référence'!$B$10)*70+IF((45+25*(1-EXP(-0.0175*A186)))&lt;70,'Scénario référence'!$B$16*(45+25*(1-EXP(-0.0175*A186))),70*'Scénario référence'!$B$16)+IF((32+38*(1-EXP(-0.0175*A186)))&lt;70,'Scénario référence'!$B$18*(32+38*(1-EXP(-0.0175*A186))),70*'Scénario référence'!$B$18)</f>
        <v>70</v>
      </c>
      <c r="FA186" s="151">
        <f>IF(A186&gt;30,10,('Scénario référence'!$B$16+'Scénario référence'!$B$17+'Scénario référence'!$B$18+'Scénario référence'!$B$9+'Scénario référence'!$B$10)*A186*10/30+('Scénario référence'!$F$8+'Scénario référence'!$F$9)*10)</f>
        <v>10</v>
      </c>
      <c r="FB186" s="151" t="str">
        <f>VLOOKUP(A186,'Données projet'!$A$217:$I$237,2,0)</f>
        <v>#N/A</v>
      </c>
      <c r="FC186" s="151" t="str">
        <f>VLOOKUP(A186,'Données projet'!$A$217:$I$237,9,0)</f>
        <v>#N/A</v>
      </c>
      <c r="FD186" s="151" t="str">
        <f t="array" ref="FD186">INDEX(FC:FC,MIN(IF(ISNUMBER(FC186:FC382),ROW(FC186:FC382),"")))</f>
        <v/>
      </c>
      <c r="FE186" s="151">
        <f>IF('Données projet'!$A$218&gt;35,FE185+FD186-FM185,IF(A186&lt;'Données projet'!$A$218,$FB$205^A186,IF(A186='Données projet'!$A$218,'Données projet'!$B$218,FE185+FD186-FM185)))</f>
        <v>0</v>
      </c>
      <c r="FF186" s="158" t="str">
        <f>FE186*VLOOKUP('Données projet'!$B$16,'Paramètres'!$A$1:$I$88,3,0)*VLOOKUP('Données projet'!$B$16,'Paramètres'!$A$1:$I$88,5,0)</f>
        <v>#N/A</v>
      </c>
      <c r="FG186" s="150" t="str">
        <f t="shared" si="48"/>
        <v>#N/A</v>
      </c>
      <c r="FH186" s="161" t="str">
        <f t="shared" si="23"/>
        <v>#N/A</v>
      </c>
      <c r="FI186" s="153" t="str">
        <f t="shared" si="24"/>
        <v>#N/A</v>
      </c>
      <c r="FJ186" s="153" t="str">
        <f>AVERAGE(OFFSET($FI$3,0,0,'Données projet'!$E$16+1,1))-AVERAGE(OFFSET($H$3,0,0,'Données projet'!$E$16+1,1))</f>
        <v>#N/A</v>
      </c>
      <c r="FK186" s="153" t="str">
        <f t="shared" si="49"/>
        <v>#N/A</v>
      </c>
      <c r="FL186" s="154">
        <f>IF(ISNA(VLOOKUP(A186,'Données projet'!$A$217:$I$237,3,0)),0,VLOOKUP(A186,'Données projet'!$A$217:$I$237,3,0))</f>
        <v>0</v>
      </c>
      <c r="FM186" s="154">
        <f>IF(ISNA(VLOOKUP(A186,'Données projet'!$A$217:$I$237,4,0)),0,VLOOKUP(A186,'Données projet'!$A$217:$I$237,4,0))</f>
        <v>0</v>
      </c>
      <c r="FN186" s="155">
        <f>IF(ISNA(VLOOKUP(A186,'Données projet'!$A$217:$I$237,5,0)),0%,VLOOKUP(A186,'Données projet'!$A$217:$I$237,5,0)*VLOOKUP('Données projet'!$B$16,'Paramètres'!$A$1:$I$88,7,0))</f>
        <v>0</v>
      </c>
      <c r="FO186" s="155">
        <f>IF(ISNA(VLOOKUP(A186,'Données projet'!$A$217:$I$237,6,0)),0%,VLOOKUP(A186,'Données projet'!$A$217:$I$237,6,0)*VLOOKUP('Données projet'!$B$16,'Paramètres'!$A$1:$I$88,7,0))</f>
        <v>0</v>
      </c>
      <c r="FP186" s="155">
        <f>IF(ISNA(VLOOKUP(A186,'Données projet'!$A$217:$I$237,7,0)),0%,VLOOKUP(A186,'Données projet'!$A$217:$I$237,7,0))</f>
        <v>0</v>
      </c>
      <c r="FQ186" s="162" t="str">
        <f>EXP(-LN(2)/35)*FQ185+(1-EXP(-LN(2)/35))/(LN(2)/35)*FM186*FN186*VLOOKUP('Données projet'!$B$16,'Paramètres'!$A$1:$I$88,3,0)*0.475*44/12</f>
        <v>#N/A</v>
      </c>
      <c r="FR186" s="162" t="str">
        <f>EXP(-LN(2)/25)*FR185+(1-EXP(-LN(2)/25))/(LN(2)/25)*Calculateur!FM186*Calculateur!FO186*VLOOKUP('Données projet'!$B$16,'Paramètres'!$A$1:$I$88,3,0)*0.475*44/12</f>
        <v>#N/A</v>
      </c>
      <c r="FS186" s="162" t="str">
        <f>EXP(-LN(2)/2)*FS185+(1-EXP(-LN(2)/2))/(LN(2)/2)*FM186*FP186*VLOOKUP('Données projet'!$B$16,'Paramètres'!$A$1:$I$88,3,0)*0.475*44/12</f>
        <v>#N/A</v>
      </c>
      <c r="FT186" s="163" t="str">
        <f t="shared" si="25"/>
        <v>#N/A</v>
      </c>
      <c r="FU186" s="159">
        <f>('Scénario référence'!$F$8+'Scénario référence'!$F$9+'Scénario référence'!$B$17+'Scénario référence'!$B$9+'Scénario référence'!$B$10)*70+IF((45+25*(1-EXP(-0.0175*A186)))&lt;70,'Scénario référence'!$B$16*(45+25*(1-EXP(-0.0175*A186))),70*'Scénario référence'!$B$16)+IF((32+38*(1-EXP(-0.0175*A186)))&lt;70,'Scénario référence'!$B$18*(32+38*(1-EXP(-0.0175*A186))),70*'Scénario référence'!$B$18)</f>
        <v>70</v>
      </c>
      <c r="FV186" s="151">
        <f>IF(A186&gt;30,10,('Scénario référence'!$B$16+'Scénario référence'!$B$17+'Scénario référence'!$B$18+'Scénario référence'!$B$9+'Scénario référence'!$B$10)*A186*10/30+('Scénario référence'!$F$8+'Scénario référence'!$F$9)*10)</f>
        <v>10</v>
      </c>
      <c r="FW186" s="151" t="str">
        <f>VLOOKUP(A186,'Données projet'!$A$243:$I$263,2,0)</f>
        <v>#N/A</v>
      </c>
      <c r="FX186" s="151" t="str">
        <f>VLOOKUP(A186,'Données projet'!$A$243:$I$263,9,0)</f>
        <v>#N/A</v>
      </c>
      <c r="FY186" s="151" t="str">
        <f t="array" ref="FY186">INDEX(FX:FX,MIN(IF(ISNUMBER(FX186:FX382),ROW(FX186:FX382),"")))</f>
        <v/>
      </c>
      <c r="FZ186" s="151">
        <f>IF('Données projet'!$A$244&gt;35,FZ185+FY186-GH185,IF(A186&lt;'Données projet'!$A$244,$FW$205^A186,IF(A186='Données projet'!$A$244,'Données projet'!$B$244,FZ185+FY186-GH185)))</f>
        <v>0</v>
      </c>
      <c r="GA186" s="158" t="str">
        <f>FZ186*VLOOKUP('Données projet'!$B$17,'Paramètres'!$A$1:$I$88,3,0)*VLOOKUP('Données projet'!$B$17,'Paramètres'!$A$1:$I$88,5,0)</f>
        <v>#N/A</v>
      </c>
      <c r="GB186" s="150" t="str">
        <f t="shared" si="50"/>
        <v>#N/A</v>
      </c>
      <c r="GC186" s="161" t="str">
        <f t="shared" si="26"/>
        <v>#N/A</v>
      </c>
      <c r="GD186" s="153" t="str">
        <f t="shared" si="27"/>
        <v>#N/A</v>
      </c>
      <c r="GE186" s="153" t="str">
        <f>AVERAGE(OFFSET($GD$3,0,0,'Données projet'!$E$17+1,1))-AVERAGE(OFFSET($H$3,0,0,'Données projet'!$E$17+1,1))</f>
        <v>#N/A</v>
      </c>
      <c r="GF186" s="153" t="str">
        <f t="shared" si="51"/>
        <v>#N/A</v>
      </c>
      <c r="GG186" s="154">
        <f>IF(ISNA(VLOOKUP(A186,'Données projet'!$A$243:$I$263,3,0)),0,VLOOKUP(A186,'Données projet'!$A$243:$I$263,3,0))</f>
        <v>0</v>
      </c>
      <c r="GH186" s="154">
        <f>IF(ISNA(VLOOKUP(A186,'Données projet'!$A$243:$I$263,4,0)),0,VLOOKUP(A186,'Données projet'!$A$243:$I$263,4,0))</f>
        <v>0</v>
      </c>
      <c r="GI186" s="155">
        <f>IF(ISNA(VLOOKUP(A186,'Données projet'!$A$243:$I$263,5,0)),0%,VLOOKUP(A186,'Données projet'!$A$243:$I$263,5,0)*VLOOKUP('Données projet'!$B$17,'Paramètres'!$A$1:$I$88,7,0))</f>
        <v>0</v>
      </c>
      <c r="GJ186" s="155">
        <f>IF(ISNA(VLOOKUP(A186,'Données projet'!$A$243:$I$263,6,0)),0%,VLOOKUP(A186,'Données projet'!$A$243:$I$263,6,0)*VLOOKUP('Données projet'!$B$17,'Paramètres'!$A$1:$I$88,7,0))</f>
        <v>0</v>
      </c>
      <c r="GK186" s="155">
        <f>IF(ISNA(VLOOKUP(A186,'Données projet'!$A$243:$I$263,7,0)),0%,VLOOKUP(A186,'Données projet'!$A$243:$I$263,7,0))</f>
        <v>0</v>
      </c>
      <c r="GL186" s="162" t="str">
        <f>EXP(-LN(2)/35)*GL185+(1-EXP(-LN(2)/35))/(LN(2)/35)*GH186*GI186*VLOOKUP('Données projet'!$B$17,'Paramètres'!$A$1:$I$88,3,0)*0.475*44/12</f>
        <v>#N/A</v>
      </c>
      <c r="GM186" s="162" t="str">
        <f>EXP(-LN(2)/25)*GM185+(1-EXP(-LN(2)/25))/(LN(2)/25)*Calculateur!GH186*Calculateur!GJ186*VLOOKUP('Données projet'!$B$17,'Paramètres'!$A$1:$I$88,3,0)*0.475*44/12</f>
        <v>#N/A</v>
      </c>
      <c r="GN186" s="162" t="str">
        <f>EXP(-LN(2)/2)*GN185+(1-EXP(-LN(2)/2))/(LN(2)/2)*GH186*GK186*VLOOKUP('Données projet'!$B$17,'Paramètres'!$A$1:$I$88,3,0)*0.475*44/12</f>
        <v>#N/A</v>
      </c>
      <c r="GO186" s="162" t="str">
        <f t="shared" si="28"/>
        <v>#N/A</v>
      </c>
      <c r="GP186" s="159">
        <f>('Scénario référence'!$F$8+'Scénario référence'!$F$9+'Scénario référence'!$B$17+'Scénario référence'!$B$9+'Scénario référence'!$B$10)*70+IF((45+25*(1-EXP(-0.0175*A186)))&lt;70,'Scénario référence'!$B$16*(45+25*(1-EXP(-0.0175*A186))),70*'Scénario référence'!$B$16)+IF((32+38*(1-EXP(-0.0175*A186)))&lt;70,'Scénario référence'!$B$18*(32+38*(1-EXP(-0.0175*A186))),70*'Scénario référence'!$B$18)</f>
        <v>70</v>
      </c>
      <c r="GQ186" s="151">
        <f>IF(A186&gt;30,10,('Scénario référence'!$B$16+'Scénario référence'!$B$17+'Scénario référence'!$B$18+'Scénario référence'!$B$9+'Scénario référence'!$B$10)*A186*10/30+('Scénario référence'!$F$8+'Scénario référence'!$F$9)*10)</f>
        <v>10</v>
      </c>
      <c r="GR186" s="151" t="str">
        <f>VLOOKUP(A186,'Données projet'!$A$269:$I$289,2,0)</f>
        <v>#N/A</v>
      </c>
      <c r="GS186" s="151" t="str">
        <f>VLOOKUP(A186,'Données projet'!$A$269:$I$289,9,0)</f>
        <v>#N/A</v>
      </c>
      <c r="GT186" s="151" t="str">
        <f t="array" ref="GT186">INDEX(GS:GS,MIN(IF(ISNUMBER(GS186:GS382),ROW(GS186:GS382),"")))</f>
        <v/>
      </c>
      <c r="GU186" s="151">
        <f>IF('Données projet'!$A$270&gt;35,GU185+GT186-HC185,IF(A186&lt;'Données projet'!$A$270,$GR$205^A186,IF(A186='Données projet'!$A$270,'Données projet'!$B$270,GU185+GT186-HC185)))</f>
        <v>0</v>
      </c>
      <c r="GV186" s="158" t="str">
        <f>GU186*VLOOKUP('Données projet'!$B$18,'Paramètres'!$A$1:$I$88,3,0)*VLOOKUP('Données projet'!$B$18,'Paramètres'!$A$1:$I$88,5,0)</f>
        <v>#N/A</v>
      </c>
      <c r="GW186" s="150" t="str">
        <f t="shared" si="52"/>
        <v>#N/A</v>
      </c>
      <c r="GX186" s="161" t="str">
        <f t="shared" si="29"/>
        <v>#N/A</v>
      </c>
      <c r="GY186" s="153" t="str">
        <f t="shared" si="30"/>
        <v>#N/A</v>
      </c>
      <c r="GZ186" s="153" t="str">
        <f>AVERAGE(OFFSET($GY$3,0,0,'Données projet'!$E$18+1,1))-AVERAGE(OFFSET($H$3,0,0,'Données projet'!$E$18+1,1))</f>
        <v>#N/A</v>
      </c>
      <c r="HA186" s="153" t="str">
        <f t="shared" si="53"/>
        <v>#N/A</v>
      </c>
      <c r="HB186" s="154">
        <f>IF(ISNA(VLOOKUP(A186,'Données projet'!$A$269:$I$289,3,0)),0,VLOOKUP(A186,'Données projet'!$A$269:$I$289,3,0))</f>
        <v>0</v>
      </c>
      <c r="HC186" s="154">
        <f>IF(ISNA(VLOOKUP(A186,'Données projet'!$A$269:$I$289,4,0)),0,VLOOKUP(A186,'Données projet'!$A$269:$I$289,4,0))</f>
        <v>0</v>
      </c>
      <c r="HD186" s="155">
        <f>IF(ISNA(VLOOKUP(A186,'Données projet'!$A$269:$I$289,5,0)),0%,VLOOKUP(A186,'Données projet'!$A$269:$I$289,5,0)*VLOOKUP('Données projet'!$B$18,'Paramètres'!$A$1:$I$88,7,0))</f>
        <v>0</v>
      </c>
      <c r="HE186" s="155">
        <f>IF(ISNA(VLOOKUP(A186,'Données projet'!$A$269:$I$289,6,0)),0%,VLOOKUP(A186,'Données projet'!$A$269:$I$289,6,0)*VLOOKUP('Données projet'!$B$18,'Paramètres'!$A$1:$I$88,7,0))</f>
        <v>0</v>
      </c>
      <c r="HF186" s="155">
        <f>IF(ISNA(VLOOKUP(A186,'Données projet'!$A$269:$I$289,7,0)),0%,VLOOKUP(A186,'Données projet'!$A$269:$I$289,7,0))</f>
        <v>0</v>
      </c>
      <c r="HG186" s="162" t="str">
        <f>EXP(-LN(2)/35)*HG185+(1-EXP(-LN(2)/35))/(LN(2)/35)*HC186*HD186*VLOOKUP('Données projet'!$B$18,'Paramètres'!$A$1:$I$88,3,0)*0.475*44/12</f>
        <v>#N/A</v>
      </c>
      <c r="HH186" s="162" t="str">
        <f>EXP(-LN(2)/25)*HH185+(1-EXP(-LN(2)/25))/(LN(2)/25)*Calculateur!HC186*Calculateur!HE186*VLOOKUP('Données projet'!$B$18,'Paramètres'!$A$1:$I$88,3,0)*0.475*44/12</f>
        <v>#N/A</v>
      </c>
      <c r="HI186" s="162" t="str">
        <f>EXP(-LN(2)/2)*HI185+(1-EXP(-LN(2)/2))/(LN(2)/2)*HC186*HF186*VLOOKUP('Données projet'!$B$18,'Paramètres'!$A$1:$I$88,3,0)*0.475*44/12</f>
        <v>#N/A</v>
      </c>
      <c r="HJ186" s="163" t="str">
        <f t="shared" si="31"/>
        <v>#N/A</v>
      </c>
    </row>
    <row r="187" ht="15.75" customHeight="1">
      <c r="A187" s="145">
        <f t="shared" si="32"/>
        <v>184</v>
      </c>
      <c r="B187" s="146">
        <f>'Scénario référence'!$B$16*5+'Scénario référence'!$B$17*0+'Scénario référence'!$B$18*5</f>
        <v>0</v>
      </c>
      <c r="C187" s="160">
        <f>Calculateur!C186+'Scénario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87" s="147">
        <f t="shared" si="33"/>
        <v>0</v>
      </c>
      <c r="E187" s="147">
        <f>'Scénario référence'!$B$16*45+('Scénario référence'!$B$17+'Scénario référence'!$F$8+'Scénario référence'!$F$9+'Scénario référence'!$B$10+'Scénario référence'!$B$9)*70+'Scénario référence'!$B$18*32</f>
        <v>70</v>
      </c>
      <c r="F187" s="147">
        <f>IF(OR('Scénario référence'!$F$8&gt;0,'Scénario référence'!$F$9&gt;0),('Scénario référence'!$F$8+'Scénario référence'!$F$9)*10,0)</f>
        <v>0</v>
      </c>
      <c r="G187" s="147">
        <f>'Scénario référence'!$B$8*B187*44/12+'Scénario référence'!$B$9*(C187+D187)/0.475*44/12+'Scénario référence'!$B$10*(C187+D187)/0.475*44/12+'Scénario référence'!$F$8*(C187+D187)/0.475*44/12+'Scénario référence'!$F$9*(C187+D187)/0.475*44/12</f>
        <v>0</v>
      </c>
      <c r="H187" s="148">
        <f t="shared" si="1"/>
        <v>256.6666667</v>
      </c>
      <c r="I187" s="149">
        <f>('Scénario référence'!$F$8+'Scénario référence'!$F$9+'Scénario référence'!$B$17+'Scénario référence'!$B$9+'Scénario référence'!$B$10)*70+IF((45+25*(1-EXP(-0.0175*A187)))&lt;70,'Scénario référence'!$B$16*(45+25*(1-EXP(-0.0175*A187))),70*'Scénario référence'!$B$16)+IF((32+38*(1-EXP(-0.0175*A187)))&lt;70,'Scénario référence'!$B$18*(32+38*(1-EXP(-0.0175*A187))),70*'Scénario référence'!$B$18)</f>
        <v>70</v>
      </c>
      <c r="J187" s="150">
        <f>IF(A187&gt;30,10,('Scénario référence'!$B$16+'Scénario référence'!$B$17+'Scénario référence'!$B$18+'Scénario référence'!$B$9+'Scénario référence'!$B$10)*A187*10/30+('Scénario référence'!$F$8+'Scénario référence'!$F$9)*10)</f>
        <v>10</v>
      </c>
      <c r="K187" s="151" t="str">
        <f>VLOOKUP(A187,'Données projet'!$A$35:$I$55,2,0)</f>
        <v>#N/A</v>
      </c>
      <c r="L187" s="151" t="str">
        <f>VLOOKUP(A187,'Données projet'!$A$35:$I$55,9,0)</f>
        <v>#N/A</v>
      </c>
      <c r="M187" s="151" t="str">
        <f t="array" ref="M187">INDEX(L:L,MIN(IF(ISNUMBER(L187:L383),ROW(L187:L383),"")))</f>
        <v/>
      </c>
      <c r="N187" s="150">
        <f>IF('Données projet'!$A$36&gt;35,N186+M187-V186,IF(A187&lt;'Données projet'!$A$36,$K$205^A187,IF(A187='Données projet'!$A$36,'Données projet'!$B$36,N186+M187-V186)))</f>
        <v>307</v>
      </c>
      <c r="O187" s="150">
        <f>N187*VLOOKUP('Données projet'!$B$9,'Paramètres'!$A$1:$I$88,3,0)*VLOOKUP('Données projet'!$B$9,'Paramètres'!$A$1:$I$88,5,0)</f>
        <v>277.7736</v>
      </c>
      <c r="P187" s="150">
        <f t="shared" si="34"/>
        <v>66.49628818</v>
      </c>
      <c r="Q187" s="161">
        <f t="shared" si="2"/>
        <v>599.6033886</v>
      </c>
      <c r="R187" s="153">
        <f t="shared" si="3"/>
        <v>892.9367219</v>
      </c>
      <c r="S187" s="153">
        <f>AVERAGE(OFFSET($R$3,0,0,'Données projet'!$E$9+1,1))-AVERAGE(OFFSET($H$3,0,0,'Données projet'!$E$9+1,1))</f>
        <v>439.1985427</v>
      </c>
      <c r="T187" s="153">
        <f t="shared" si="35"/>
        <v>278.2174123</v>
      </c>
      <c r="U187" s="154">
        <f>IF(ISNA(VLOOKUP(A187,'Données projet'!$A$35:$I$55,3,0)),0,VLOOKUP(A187,'Données projet'!$A$35:$I$55,3,0))</f>
        <v>0</v>
      </c>
      <c r="V187" s="154">
        <f>IF(ISNA(VLOOKUP(A187,'Données projet'!$A$35:$I$55,4,0)),0,VLOOKUP(A187,'Données projet'!$A$35:$I$55,4,0))</f>
        <v>0</v>
      </c>
      <c r="W187" s="155">
        <f>IF(ISNA(VLOOKUP(A187,'Données projet'!$A$35:$I$55,5,0)),0%,VLOOKUP(A187,'Données projet'!$A$35:$I$55,5,0)*VLOOKUP('Données projet'!$B$9,'Paramètres'!$A$1:$I$88,7,0))</f>
        <v>0</v>
      </c>
      <c r="X187" s="155">
        <f>IF(ISNA(VLOOKUP(A187,'Données projet'!$A$35:$I$55,6,0)),0%,VLOOKUP(A187,'Données projet'!$A$35:$I$55,6,0)*VLOOKUP('Données projet'!$B$9,'Paramètres'!$A$1:$I$88,7,0))</f>
        <v>0</v>
      </c>
      <c r="Y187" s="155">
        <f>IF(ISNA(VLOOKUP(A187,'Données projet'!$A$35:$I$55,7,0)),0%,VLOOKUP(A187,'Données projet'!$A$35:$I$55,7,0))</f>
        <v>0</v>
      </c>
      <c r="Z187" s="162">
        <f>EXP(-LN(2)/35)*Z186+(1-EXP(-LN(2)/35))/(LN(2)/35)*V187*W187*VLOOKUP('Données projet'!$B$9,'Paramètres'!$A$1:$I$88,3,0)*0.475*44/12</f>
        <v>0</v>
      </c>
      <c r="AA187" s="162">
        <f>EXP(-LN(2)/25)*AA186+(1-EXP(-LN(2)/25))/(LN(2)/25)*Calculateur!V187*Calculateur!X187*VLOOKUP('Données projet'!$B$9,'Paramètres'!$A$1:$I$88,3,0)*0.475*44/12</f>
        <v>0.06275777036</v>
      </c>
      <c r="AB187" s="162">
        <f>EXP(-LN(2)/2)*AB186+(1-EXP(-LN(2)/2))/(LN(2)/2)*V187*Y187*VLOOKUP('Données projet'!$B$9,'Paramètres'!$A$1:$I$88,3,0)*0.475*44/12</f>
        <v>0</v>
      </c>
      <c r="AC187" s="163">
        <f t="shared" si="4"/>
        <v>0.06275777036</v>
      </c>
      <c r="AD187" s="150">
        <f>('Scénario référence'!$F$8+'Scénario référence'!$F$9+'Scénario référence'!$B$17+'Scénario référence'!$B$9+'Scénario référence'!$B$10)*70+IF((45+25*(1-EXP(-0.0175*A187)))&lt;70,'Scénario référence'!$B$16*(45+25*(1-EXP(-0.0175*A187))),70*'Scénario référence'!$B$16)+IF((32+38*(1-EXP(-0.0175*A187)))&lt;70,'Scénario référence'!$B$18*(32+38*(1-EXP(-0.0175*A187))),70*'Scénario référence'!$B$18)</f>
        <v>70</v>
      </c>
      <c r="AE187" s="150">
        <f>IF(A187&gt;30,10,('Scénario référence'!$B$16+'Scénario référence'!$B$17+'Scénario référence'!$B$18+'Scénario référence'!$B$9+'Scénario référence'!$B$10)*A187*10/30+('Scénario référence'!$F$8+'Scénario référence'!$F$9)*10)</f>
        <v>10</v>
      </c>
      <c r="AF187" s="151" t="str">
        <f>VLOOKUP(A187,'Données projet'!$A$61:$I$81,2,0)</f>
        <v>#N/A</v>
      </c>
      <c r="AG187" s="151" t="str">
        <f>VLOOKUP(A187,'Données projet'!$A$61:$I$81,9,0)</f>
        <v>#N/A</v>
      </c>
      <c r="AH187" s="151" t="str">
        <f t="array" ref="AH187">INDEX(AG:AG,MIN(IF(ISNUMBER(AG187:AG383),ROW(AG187:AG383),"")))</f>
        <v/>
      </c>
      <c r="AI187" s="150">
        <f>IF('Données projet'!$A$62&gt;35,AI186+AH187-AQ186,IF(A187&lt;'Données projet'!$A$62,$AF$205^A187,IF(A187='Données projet'!$A$62,'Données projet'!$B$62,AI186+AH187-AQ186)))</f>
        <v>369</v>
      </c>
      <c r="AJ187" s="150">
        <f>AI187*VLOOKUP('Données projet'!$B$10,'Paramètres'!$A$1:$I$88,3,0)*VLOOKUP('Données projet'!$B$10,'Paramètres'!$A$1:$I$88,5,0)</f>
        <v>293.5764</v>
      </c>
      <c r="AK187" s="150">
        <f t="shared" si="36"/>
        <v>69.82813851</v>
      </c>
      <c r="AL187" s="161">
        <f t="shared" si="5"/>
        <v>632.9295712</v>
      </c>
      <c r="AM187" s="153">
        <f t="shared" si="6"/>
        <v>926.2629046</v>
      </c>
      <c r="AN187" s="153">
        <f>AVERAGE(OFFSET($AM$3,0,0,'Données projet'!$E$10+1,1))-AVERAGE(OFFSET($H$3,0,0,'Données projet'!$E$10+1,1))</f>
        <v>405.6113614</v>
      </c>
      <c r="AO187" s="153">
        <f t="shared" si="37"/>
        <v>393.0787141</v>
      </c>
      <c r="AP187" s="154">
        <f>IF(ISNA(VLOOKUP(A187,'Données projet'!$A$61:$I$81,3,0)),0,VLOOKUP(A187,'Données projet'!$A$61:$I$81,3,0))</f>
        <v>0</v>
      </c>
      <c r="AQ187" s="154">
        <f>IF(ISNA(VLOOKUP(A187,'Données projet'!$A$61:$I$81,4,0)),0,VLOOKUP(A187,'Données projet'!$A$61:$I$81,4,0))</f>
        <v>0</v>
      </c>
      <c r="AR187" s="155">
        <f>IF(ISNA(VLOOKUP(A187,'Données projet'!$A$61:$I$81,5,0)),0%,VLOOKUP(A187,'Données projet'!$A$61:$I$81,5,0)*VLOOKUP('Données projet'!$B$10,'Paramètres'!$A$1:$I$88,7,0))</f>
        <v>0</v>
      </c>
      <c r="AS187" s="155">
        <f>IF(ISNA(VLOOKUP(A187,'Données projet'!$A$61:$I$81,6,0)),0%,VLOOKUP(A187,'Données projet'!$A$61:$I$81,6,0)*VLOOKUP('Données projet'!$B$10,'Paramètres'!$A$1:$I$88,7,0))</f>
        <v>0</v>
      </c>
      <c r="AT187" s="155">
        <f>IF(ISNA(VLOOKUP(A187,'Données projet'!$A$61:$I$81,7,0)),0%,VLOOKUP(A187,'Données projet'!$A$61:$I$81,7,0))</f>
        <v>0</v>
      </c>
      <c r="AU187" s="162">
        <f>EXP(-LN(2)/35)*AU186+(1-EXP(-LN(2)/35))/(LN(2)/35)*AQ187*AR187*VLOOKUP('Données projet'!$B$10,'Paramètres'!$A$1:$I$88,3,0)*0.475*44/12</f>
        <v>0</v>
      </c>
      <c r="AV187" s="162">
        <f>EXP(-LN(2)/25)*AV186+(1-EXP(-LN(2)/25))/(LN(2)/25)*Calculateur!AQ187*Calculateur!AS187*VLOOKUP('Données projet'!$B$10,'Paramètres'!$A$1:$I$88,3,0)*0.475*44/12</f>
        <v>0.2550635324</v>
      </c>
      <c r="AW187" s="162">
        <f>EXP(-LN(2)/2)*AW186+(1-EXP(-LN(2)/2))/(LN(2)/2)*AQ187*AT187*VLOOKUP('Données projet'!$B$10,'Paramètres'!$A$1:$I$88,3,0)*0.475*44/12</f>
        <v>0</v>
      </c>
      <c r="AX187" s="162">
        <f t="shared" si="7"/>
        <v>0.2550635324</v>
      </c>
      <c r="AY187" s="157">
        <f>('Scénario référence'!$F$8+'Scénario référence'!$F$9+'Scénario référence'!$B$17+'Scénario référence'!$B$9+'Scénario référence'!$B$10)*70+IF((45+25*(1-EXP(-0.0175*A187)))&lt;70,'Scénario référence'!$B$16*(45+25*(1-EXP(-0.0175*A187))),70*'Scénario référence'!$B$16)+IF((32+38*(1-EXP(-0.0175*A187)))&lt;70,'Scénario référence'!$B$18*(32+38*(1-EXP(-0.0175*A187))),70*'Scénario référence'!$B$18)</f>
        <v>70</v>
      </c>
      <c r="AZ187" s="151">
        <f>IF(A187&gt;30,10,('Scénario référence'!$B$16+'Scénario référence'!$B$17+'Scénario référence'!$B$18+'Scénario référence'!$B$9+'Scénario référence'!$B$10)*A187*10/30+('Scénario référence'!$F$8+'Scénario référence'!$F$9)*10)</f>
        <v>10</v>
      </c>
      <c r="BA187" s="151" t="str">
        <f>VLOOKUP(A187,'Données projet'!$A$87:$I$107,2,0)</f>
        <v>#N/A</v>
      </c>
      <c r="BB187" s="151" t="str">
        <f>VLOOKUP(A187,'Données projet'!$A$87:$I$107,9,0)</f>
        <v>#N/A</v>
      </c>
      <c r="BC187" s="151" t="str">
        <f t="array" ref="BC187">INDEX(BB:BB,MIN(IF(ISNUMBER(BB187:BB383),ROW(BB187:BB383),"")))</f>
        <v/>
      </c>
      <c r="BD187" s="150">
        <f>IF('Données projet'!$A$88&gt;35,BD186+BC187-BL186,IF(A187&lt;'Données projet'!$A$88,$BA$205^A187,IF(A187='Données projet'!$A$88,'Données projet'!$B$88,BD186+BC187-BL186)))</f>
        <v>0</v>
      </c>
      <c r="BE187" s="150">
        <f>BD187*VLOOKUP('Données projet'!$B$11,'Paramètres'!$A$1:$I$88,3,0)*VLOOKUP('Données projet'!$B$11,'Paramètres'!$A$1:$I$88,5,0)</f>
        <v>0</v>
      </c>
      <c r="BF187" s="150" t="str">
        <f t="shared" si="38"/>
        <v>#NUM!</v>
      </c>
      <c r="BG187" s="161" t="str">
        <f t="shared" si="8"/>
        <v>#NUM!</v>
      </c>
      <c r="BH187" s="153" t="str">
        <f t="shared" si="9"/>
        <v>#NUM!</v>
      </c>
      <c r="BI187" s="153">
        <f>AVERAGE(OFFSET($BH$3,0,0,'Données projet'!$E$11+1,1))-AVERAGE(OFFSET($H$3,0,0,'Données projet'!$E$11+1,1))</f>
        <v>0</v>
      </c>
      <c r="BJ187" s="153">
        <f t="shared" si="39"/>
        <v>0</v>
      </c>
      <c r="BK187" s="154">
        <f>IF(ISNA(VLOOKUP(A187,'Données projet'!$A$87:$I$107,3,0)),0,VLOOKUP(A187,'Données projet'!$A$87:$I$107,3,0))</f>
        <v>0</v>
      </c>
      <c r="BL187" s="154">
        <f>IF(ISNA(VLOOKUP(A187,'Données projet'!$A$87:$I$107,4,0)),0,VLOOKUP(A187,'Données projet'!$A$87:$I$107,4,0))</f>
        <v>0</v>
      </c>
      <c r="BM187" s="155">
        <f>IF(ISNA(VLOOKUP(A187,'Données projet'!$A$87:$I$107,5,0)),0%,VLOOKUP(A187,'Données projet'!$A$87:$I$107,5,0)*VLOOKUP('Données projet'!$B$11,'Paramètres'!$A$1:$I$88,7,0))</f>
        <v>0</v>
      </c>
      <c r="BN187" s="155">
        <f>IF(ISNA(VLOOKUP(A187,'Données projet'!$A$87:$I$107,6,0)),0%,VLOOKUP(A187,'Données projet'!$A$87:$I$107,6,0)*VLOOKUP('Données projet'!$B$11,'Paramètres'!$A$1:$I$88,7,0))</f>
        <v>0</v>
      </c>
      <c r="BO187" s="155">
        <f>IF(ISNA(VLOOKUP(A187,'Données projet'!$A$87:$I$107,7,0)),0%,VLOOKUP(A187,'Données projet'!$A$87:$I$107,7,0))</f>
        <v>0</v>
      </c>
      <c r="BP187" s="162">
        <f>EXP(-LN(2)/35)*BP186+(1-EXP(-LN(2)/35))/(LN(2)/35)*BL187*BM187*VLOOKUP('Données projet'!$B$11,'Paramètres'!$A$1:$I$88,3,0)*0.475*44/12</f>
        <v>0</v>
      </c>
      <c r="BQ187" s="162">
        <f>EXP(-LN(2)/25)*BQ186+(1-EXP(-LN(2)/25))/(LN(2)/25)*Calculateur!BL187*Calculateur!BN187*VLOOKUP('Données projet'!$B$11,'Paramètres'!$A$1:$I$88,3,0)*0.475*44/12</f>
        <v>0</v>
      </c>
      <c r="BR187" s="162">
        <f>EXP(-LN(2)/2)*BR186+(1-EXP(-LN(2)/2))/(LN(2)/2)*BL187*BO187*VLOOKUP('Données projet'!$B$11,'Paramètres'!$A$1:$I$88,3,0)*0.475*44/12</f>
        <v>0</v>
      </c>
      <c r="BS187" s="163">
        <f t="shared" si="10"/>
        <v>0</v>
      </c>
      <c r="BT187" s="159">
        <f>('Scénario référence'!$F$8+'Scénario référence'!$F$9+'Scénario référence'!$B$17+'Scénario référence'!$B$9+'Scénario référence'!$B$10)*70+IF((45+25*(1-EXP(-0.0175*A187)))&lt;70,'Scénario référence'!$B$16*(45+25*(1-EXP(-0.0175*A187))),70*'Scénario référence'!$B$16)+IF((32+38*(1-EXP(-0.0175*A187)))&lt;70,'Scénario référence'!$B$18*(32+38*(1-EXP(-0.0175*A187))),70*'Scénario référence'!$B$18)</f>
        <v>70</v>
      </c>
      <c r="BU187" s="151">
        <f>IF(A187&gt;30,10,('Scénario référence'!$B$16+'Scénario référence'!$B$17+'Scénario référence'!$B$18+'Scénario référence'!$B$9+'Scénario référence'!$B$10)*A187*10/30+('Scénario référence'!$F$8+'Scénario référence'!$F$9)*10)</f>
        <v>10</v>
      </c>
      <c r="BV187" s="151" t="str">
        <f>VLOOKUP(A187,'Données projet'!$A$113:$I$133,2,0)</f>
        <v>#N/A</v>
      </c>
      <c r="BW187" s="151" t="str">
        <f>VLOOKUP(A187,'Données projet'!$A$113:$I$133,9,0)</f>
        <v>#N/A</v>
      </c>
      <c r="BX187" s="151" t="str">
        <f t="array" ref="BX187">INDEX(BW:BW,MIN(IF(ISNUMBER(BW187:BW383),ROW(BW187:BW383),"")))</f>
        <v/>
      </c>
      <c r="BY187" s="150">
        <f>IF('Données projet'!$A$114&gt;35,BY186+BX187-CG186,IF(A187&lt;'Données projet'!$A$114,$BV$205^A187,IF(A187='Données projet'!$A$114,'Données projet'!$B$114,BY186+BX187-CG186)))</f>
        <v>0</v>
      </c>
      <c r="BZ187" s="150" t="str">
        <f>BY187*VLOOKUP('Données projet'!$B$12,'Paramètres'!$A$1:$I$88,3,0)*VLOOKUP('Données projet'!$B$12,'Paramètres'!$A$1:$I$88,5,0)</f>
        <v>#N/A</v>
      </c>
      <c r="CA187" s="150" t="str">
        <f t="shared" si="40"/>
        <v>#N/A</v>
      </c>
      <c r="CB187" s="161" t="str">
        <f t="shared" si="11"/>
        <v>#N/A</v>
      </c>
      <c r="CC187" s="153" t="str">
        <f t="shared" si="12"/>
        <v>#N/A</v>
      </c>
      <c r="CD187" s="153" t="str">
        <f>AVERAGE(OFFSET($CC$3,0,0,'Données projet'!$E$12+1,1))-AVERAGE(OFFSET($H$3,0,0,'Données projet'!$E$12+1,1))</f>
        <v>#N/A</v>
      </c>
      <c r="CE187" s="153" t="str">
        <f t="shared" si="41"/>
        <v>#N/A</v>
      </c>
      <c r="CF187" s="154">
        <f>IF(ISNA(VLOOKUP(A187,'Données projet'!$A$113:$I$133,3,0)),0,VLOOKUP(A187,'Données projet'!$A$113:$I$133,3,0))</f>
        <v>0</v>
      </c>
      <c r="CG187" s="154">
        <f>IF(ISNA(VLOOKUP(A187,'Données projet'!$A$113:$I$133,4,0)),0,VLOOKUP(A187,'Données projet'!$A$113:$I$133,4,0))</f>
        <v>0</v>
      </c>
      <c r="CH187" s="155">
        <f>IF(ISNA(VLOOKUP(A187,'Données projet'!$A$113:$I$133,5,0)),0%,VLOOKUP(A187,'Données projet'!$A$113:$I$133,5,0)*VLOOKUP('Données projet'!$B$12,'Paramètres'!$A$1:$I$88,7,0))</f>
        <v>0</v>
      </c>
      <c r="CI187" s="155">
        <f>IF(ISNA(VLOOKUP(A187,'Données projet'!$A$113:$I$133,6,0)),0%,VLOOKUP(A187,'Données projet'!$A$113:$I$133,6,0)*VLOOKUP('Données projet'!$B$12,'Paramètres'!$A$1:$I$88,7,0))</f>
        <v>0</v>
      </c>
      <c r="CJ187" s="155">
        <f>IF(ISNA(VLOOKUP(A187,'Données projet'!$A$113:$I$133,7,0)),0%,VLOOKUP(A187,'Données projet'!$A$113:$I$133,7,0))</f>
        <v>0</v>
      </c>
      <c r="CK187" s="162" t="str">
        <f>EXP(-LN(2)/35)*CK186+(1-EXP(-LN(2)/35))/(LN(2)/35)*CG187*CH187*VLOOKUP('Données projet'!$B$12,'Paramètres'!$A$1:$I$88,3,0)*0.475*44/12</f>
        <v>#N/A</v>
      </c>
      <c r="CL187" s="162" t="str">
        <f>EXP(-LN(2)/25)*CL186+(1-EXP(-LN(2)/25))/(LN(2)/25)*Calculateur!CG187*Calculateur!CI187*VLOOKUP('Données projet'!$B$12,'Paramètres'!$A$1:$I$88,3,0)*0.475*44/12</f>
        <v>#N/A</v>
      </c>
      <c r="CM187" s="162" t="str">
        <f>EXP(-LN(2)/2)*CM186+(1-EXP(-LN(2)/2))/(LN(2)/2)*CG187*CJ187*VLOOKUP('Données projet'!$B$12,'Paramètres'!$A$1:$I$88,3,0)*0.475*44/12</f>
        <v>#N/A</v>
      </c>
      <c r="CN187" s="163" t="str">
        <f t="shared" si="13"/>
        <v>#N/A</v>
      </c>
      <c r="CO187" s="159">
        <f>('Scénario référence'!$F$8+'Scénario référence'!$F$9+'Scénario référence'!$B$17+'Scénario référence'!$B$9+'Scénario référence'!$B$10)*70+IF((45+25*(1-EXP(-0.0175*A187)))&lt;70,'Scénario référence'!$B$16*(45+25*(1-EXP(-0.0175*A187))),70*'Scénario référence'!$B$16)+IF((32+38*(1-EXP(-0.0175*A187)))&lt;70,'Scénario référence'!$B$18*(32+38*(1-EXP(-0.0175*A187))),70*'Scénario référence'!$B$18)</f>
        <v>70</v>
      </c>
      <c r="CP187" s="151">
        <f>IF(A187&gt;30,10,('Scénario référence'!$B$16+'Scénario référence'!$B$17+'Scénario référence'!$B$18+'Scénario référence'!$B$9+'Scénario référence'!$B$10)*A187*10/30+('Scénario référence'!$F$8+'Scénario référence'!$F$9)*10)</f>
        <v>10</v>
      </c>
      <c r="CQ187" s="151" t="str">
        <f>VLOOKUP(A187,'Données projet'!$A$139:$I$159,2,0)</f>
        <v>#N/A</v>
      </c>
      <c r="CR187" s="151" t="str">
        <f>VLOOKUP(A187,'Données projet'!$A$139:$I$159,9,0)</f>
        <v>#N/A</v>
      </c>
      <c r="CS187" s="151" t="str">
        <f t="array" ref="CS187">INDEX(CR:CR,MIN(IF(ISNUMBER(CR187:CR383),ROW(CR187:CR383),"")))</f>
        <v/>
      </c>
      <c r="CT187" s="151">
        <f>IF('Données projet'!$A$140&gt;35,CT186+CS187-DB186,IF(A187&lt;'Données projet'!$A$140,$CQ$205^A187,IF(A187='Données projet'!$A$140,'Données projet'!$B$140,CT186+CS187-DB186)))</f>
        <v>0</v>
      </c>
      <c r="CU187" s="158" t="str">
        <f>CT187*VLOOKUP('Données projet'!$B$13,'Paramètres'!$A$1:$I$88,3,0)*VLOOKUP('Données projet'!$B$13,'Paramètres'!$A$1:$I$88,5,0)</f>
        <v>#N/A</v>
      </c>
      <c r="CV187" s="150" t="str">
        <f t="shared" si="42"/>
        <v>#N/A</v>
      </c>
      <c r="CW187" s="161" t="str">
        <f t="shared" si="14"/>
        <v>#N/A</v>
      </c>
      <c r="CX187" s="153" t="str">
        <f t="shared" si="15"/>
        <v>#N/A</v>
      </c>
      <c r="CY187" s="153" t="str">
        <f>AVERAGE(OFFSET($CX$3,0,0,'Données projet'!$E$13+1,1))-AVERAGE(OFFSET($H$3,0,0,'Données projet'!$E$13+1,1))</f>
        <v>#N/A</v>
      </c>
      <c r="CZ187" s="153" t="str">
        <f t="shared" si="43"/>
        <v>#N/A</v>
      </c>
      <c r="DA187" s="154">
        <f>IF(ISNA(VLOOKUP(A187,'Données projet'!$A$139:$I$159,3,0)),0,VLOOKUP(A187,'Données projet'!$A$139:$I$159,3,0))</f>
        <v>0</v>
      </c>
      <c r="DB187" s="154">
        <f>IF(ISNA(VLOOKUP(A187,'Données projet'!$A$139:$I$159,4,0)),0,VLOOKUP(A187,'Données projet'!$A$139:$I$159,4,0))</f>
        <v>0</v>
      </c>
      <c r="DC187" s="155">
        <f>IF(ISNA(VLOOKUP(A187,'Données projet'!$A$139:$I$159,5,0)),0%,VLOOKUP(A187,'Données projet'!$A$139:$I$159,5,0)*VLOOKUP('Données projet'!$B$13,'Paramètres'!$A$1:$I$88,7,0))</f>
        <v>0</v>
      </c>
      <c r="DD187" s="155">
        <f>IF(ISNA(VLOOKUP(A187,'Données projet'!$A$139:$I$159,6,0)),0%,VLOOKUP(A187,'Données projet'!$A$139:$I$159,6,0)*VLOOKUP('Données projet'!$B$13,'Paramètres'!$A$1:$I$88,7,0))</f>
        <v>0</v>
      </c>
      <c r="DE187" s="155">
        <f>IF(ISNA(VLOOKUP(A187,'Données projet'!$A$139:$I$159,7,0)),0%,VLOOKUP(A187,'Données projet'!$A$139:$I$159,7,0))</f>
        <v>0</v>
      </c>
      <c r="DF187" s="162" t="str">
        <f>EXP(-LN(2)/35)*DF186+(1-EXP(-LN(2)/35))/(LN(2)/35)*DB187*DC187*VLOOKUP('Données projet'!$B$13,'Paramètres'!$A$1:$I$88,3,0)*0.475*44/12</f>
        <v>#N/A</v>
      </c>
      <c r="DG187" s="162" t="str">
        <f>EXP(-LN(2)/25)*DG186+(1-EXP(-LN(2)/25))/(LN(2)/25)*Calculateur!DB187*Calculateur!DD187*VLOOKUP('Données projet'!$B$13,'Paramètres'!$A$1:$I$88,3,0)*0.475*44/12</f>
        <v>#N/A</v>
      </c>
      <c r="DH187" s="162" t="str">
        <f>EXP(-LN(2)/2)*DH186+(1-EXP(-LN(2)/2))/(LN(2)/2)*DB187*DE187*VLOOKUP('Données projet'!$B$13,'Paramètres'!$A$1:$I$88,3,0)*0.475*44/12</f>
        <v>#N/A</v>
      </c>
      <c r="DI187" s="163" t="str">
        <f t="shared" si="16"/>
        <v>#N/A</v>
      </c>
      <c r="DJ187" s="159">
        <f>('Scénario référence'!$F$8+'Scénario référence'!$F$9+'Scénario référence'!$B$17+'Scénario référence'!$B$9+'Scénario référence'!$B$10)*70+IF((45+25*(1-EXP(-0.0175*A187)))&lt;70,'Scénario référence'!$B$16*(45+25*(1-EXP(-0.0175*A187))),70*'Scénario référence'!$B$16)+IF((32+38*(1-EXP(-0.0175*A187)))&lt;70,'Scénario référence'!$B$18*(32+38*(1-EXP(-0.0175*A187))),70*'Scénario référence'!$B$18)</f>
        <v>70</v>
      </c>
      <c r="DK187" s="151">
        <f>IF(A187&gt;30,10,('Scénario référence'!$B$16+'Scénario référence'!$B$17+'Scénario référence'!$B$18+'Scénario référence'!$B$9+'Scénario référence'!$B$10)*A187*10/30+('Scénario référence'!$F$8+'Scénario référence'!$F$9)*10)</f>
        <v>10</v>
      </c>
      <c r="DL187" s="151" t="str">
        <f>VLOOKUP(A187,'Données projet'!$A$165:$I$185,2,0)</f>
        <v>#N/A</v>
      </c>
      <c r="DM187" s="151" t="str">
        <f>VLOOKUP(A187,'Données projet'!$A$165:$I$185,9,0)</f>
        <v>#N/A</v>
      </c>
      <c r="DN187" s="151" t="str">
        <f t="array" ref="DN187">INDEX(DM:DM,MIN(IF(ISNUMBER(DM187:DM383),ROW(DM187:DM383),"")))</f>
        <v/>
      </c>
      <c r="DO187" s="151">
        <f>IF('Données projet'!$A$166&gt;35,DO186+DN187-DW186,IF(A187&lt;'Données projet'!$A$166,$DL$205^A187,IF(A187='Données projet'!$A$166,'Données projet'!$B$166,DO186+DN187-DW186)))</f>
        <v>0</v>
      </c>
      <c r="DP187" s="158" t="str">
        <f>DO187*VLOOKUP('Données projet'!$B$14,'Paramètres'!$A$1:$I$88,3,0)*VLOOKUP('Données projet'!$B$14,'Paramètres'!$A$1:$I$88,5,0)</f>
        <v>#N/A</v>
      </c>
      <c r="DQ187" s="150" t="str">
        <f t="shared" si="44"/>
        <v>#N/A</v>
      </c>
      <c r="DR187" s="161" t="str">
        <f t="shared" si="17"/>
        <v>#N/A</v>
      </c>
      <c r="DS187" s="153" t="str">
        <f t="shared" si="18"/>
        <v>#N/A</v>
      </c>
      <c r="DT187" s="153" t="str">
        <f>AVERAGE(OFFSET($DS$3,0,0,'Données projet'!$E$14+1,1))-AVERAGE(OFFSET($H$3,0,0,'Données projet'!$E$14+1,1))</f>
        <v>#N/A</v>
      </c>
      <c r="DU187" s="153" t="str">
        <f t="shared" si="45"/>
        <v>#N/A</v>
      </c>
      <c r="DV187" s="154">
        <f>IF(ISNA(VLOOKUP(A187,'Données projet'!$A$165:$I$185,3,0)),0,VLOOKUP(A187,'Données projet'!$A$165:$I$185,3,0))</f>
        <v>0</v>
      </c>
      <c r="DW187" s="154">
        <f>IF(ISNA(VLOOKUP(A187,'Données projet'!$A$165:$I$185,4,0)),0,VLOOKUP(A187,'Données projet'!$A$165:$I$185,4,0))</f>
        <v>0</v>
      </c>
      <c r="DX187" s="155">
        <f>IF(ISNA(VLOOKUP(A187,'Données projet'!$A$165:$I$185,5,0)),0%,VLOOKUP(A187,'Données projet'!$A$165:$I$185,5,0)*VLOOKUP('Données projet'!$B$14,'Paramètres'!$A$1:$I$88,7,0))</f>
        <v>0</v>
      </c>
      <c r="DY187" s="155">
        <f>IF(ISNA(VLOOKUP(A187,'Données projet'!$A$165:$I$185,6,0)),0%,VLOOKUP(A187,'Données projet'!$A$165:$I$185,6,0)*VLOOKUP('Données projet'!$B$14,'Paramètres'!$A$1:$I$88,7,0))</f>
        <v>0</v>
      </c>
      <c r="DZ187" s="155">
        <f>IF(ISNA(VLOOKUP(A187,'Données projet'!$A$165:$I$185,7,0)),0%,VLOOKUP(A187,'Données projet'!$A$165:$I$185,7,0))</f>
        <v>0</v>
      </c>
      <c r="EA187" s="162" t="str">
        <f>EXP(-LN(2)/35)*EA186+(1-EXP(-LN(2)/35))/(LN(2)/35)*DW187*DX187*VLOOKUP('Données projet'!$B$14,'Paramètres'!$A$1:$I$88,3,0)*0.475*44/12</f>
        <v>#N/A</v>
      </c>
      <c r="EB187" s="162" t="str">
        <f>EXP(-LN(2)/25)*EB186+(1-EXP(-LN(2)/25))/(LN(2)/25)*Calculateur!DW187*Calculateur!DY187*VLOOKUP('Données projet'!$B$14,'Paramètres'!$A$1:$I$88,3,0)*0.475*44/12</f>
        <v>#N/A</v>
      </c>
      <c r="EC187" s="162" t="str">
        <f>EXP(-LN(2)/2)*EC186+(1-EXP(-LN(2)/2))/(LN(2)/2)*DW187*DZ187*VLOOKUP('Données projet'!$B$14,'Paramètres'!$A$1:$I$88,3,0)*0.475*44/12</f>
        <v>#N/A</v>
      </c>
      <c r="ED187" s="163" t="str">
        <f t="shared" si="19"/>
        <v>#N/A</v>
      </c>
      <c r="EE187" s="159">
        <f>('Scénario référence'!$F$8+'Scénario référence'!$F$9+'Scénario référence'!$B$17+'Scénario référence'!$B$9+'Scénario référence'!$B$10)*70+IF((45+25*(1-EXP(-0.0175*A187)))&lt;70,'Scénario référence'!$B$16*(45+25*(1-EXP(-0.0175*A187))),70*'Scénario référence'!$B$16)+IF((32+38*(1-EXP(-0.0175*A187)))&lt;70,'Scénario référence'!$B$18*(32+38*(1-EXP(-0.0175*A187))),70*'Scénario référence'!$B$18)</f>
        <v>70</v>
      </c>
      <c r="EF187" s="151">
        <f>IF(A187&gt;30,10,('Scénario référence'!$B$16+'Scénario référence'!$B$17+'Scénario référence'!$B$18+'Scénario référence'!$B$9+'Scénario référence'!$B$10)*A187*10/30+('Scénario référence'!$F$8+'Scénario référence'!$F$9)*10)</f>
        <v>10</v>
      </c>
      <c r="EG187" s="151" t="str">
        <f>VLOOKUP(A187,'Données projet'!$A$191:$I$211,2,0)</f>
        <v>#N/A</v>
      </c>
      <c r="EH187" s="151" t="str">
        <f>VLOOKUP(A187,'Données projet'!$A$191:$I$211,9,0)</f>
        <v>#N/A</v>
      </c>
      <c r="EI187" s="151" t="str">
        <f t="array" ref="EI187">INDEX(EH:EH,MIN(IF(ISNUMBER(EH187:EH383),ROW(EH187:EH383),"")))</f>
        <v/>
      </c>
      <c r="EJ187" s="151">
        <f>IF('Données projet'!$A$192&gt;35,EJ186+EI187-ER186,IF(A187&lt;'Données projet'!$A$192,$EG$205^A187,IF(A187='Données projet'!$A$192,'Données projet'!$B$192,EJ186+EI187-ER186)))</f>
        <v>0</v>
      </c>
      <c r="EK187" s="158" t="str">
        <f>EJ187*VLOOKUP('Données projet'!$B$15,'Paramètres'!$A$1:$I$88,3,0)*VLOOKUP('Données projet'!$B$15,'Paramètres'!$A$1:$I$88,5,0)</f>
        <v>#N/A</v>
      </c>
      <c r="EL187" s="150" t="str">
        <f t="shared" si="46"/>
        <v>#N/A</v>
      </c>
      <c r="EM187" s="161" t="str">
        <f t="shared" si="20"/>
        <v>#N/A</v>
      </c>
      <c r="EN187" s="153" t="str">
        <f t="shared" si="21"/>
        <v>#N/A</v>
      </c>
      <c r="EO187" s="153" t="str">
        <f>AVERAGE(OFFSET($EN$3,0,0,'Données projet'!$E$15+1,1))-AVERAGE(OFFSET($H$3,0,0,'Données projet'!$E$15+1,1))</f>
        <v>#N/A</v>
      </c>
      <c r="EP187" s="153" t="str">
        <f t="shared" si="47"/>
        <v>#N/A</v>
      </c>
      <c r="EQ187" s="154">
        <f>IF(ISNA(VLOOKUP(A187,'Données projet'!$A$191:$I$211,3,0)),0,VLOOKUP(A187,'Données projet'!$A$191:$I$211,3,0))</f>
        <v>0</v>
      </c>
      <c r="ER187" s="154">
        <f>IF(ISNA(VLOOKUP(A187,'Données projet'!$A$191:$I$211,4,0)),0,VLOOKUP(A187,'Données projet'!$A$191:$I$211,4,0))</f>
        <v>0</v>
      </c>
      <c r="ES187" s="155">
        <f>IF(ISNA(VLOOKUP(A187,'Données projet'!$A$191:$I$211,5,0)),0%,VLOOKUP(A187,'Données projet'!$A$191:$I$211,5,0)*VLOOKUP('Données projet'!$B$15,'Paramètres'!$A$1:$I$88,7,0))</f>
        <v>0</v>
      </c>
      <c r="ET187" s="155">
        <f>IF(ISNA(VLOOKUP(A187,'Données projet'!$A$191:$I$211,6,0)),0%,VLOOKUP(A187,'Données projet'!$A$191:$I$211,6,0)*VLOOKUP('Données projet'!$B$15,'Paramètres'!$A$1:$I$88,7,0))</f>
        <v>0</v>
      </c>
      <c r="EU187" s="155">
        <f>IF(ISNA(VLOOKUP(A187,'Données projet'!$A$191:$I$211,7,0)),0%,VLOOKUP(A187,'Données projet'!$A$191:$I$211,7,0))</f>
        <v>0</v>
      </c>
      <c r="EV187" s="162" t="str">
        <f>EXP(-LN(2)/35)*EV186+(1-EXP(-LN(2)/35))/(LN(2)/35)*ER187*ES187*VLOOKUP('Données projet'!$B$15,'Paramètres'!$A$1:$I$88,3,0)*0.475*44/12</f>
        <v>#N/A</v>
      </c>
      <c r="EW187" s="162" t="str">
        <f>EXP(-LN(2)/25)*EW186+(1-EXP(-LN(2)/25))/(LN(2)/25)*Calculateur!ER187*Calculateur!ET187*VLOOKUP('Données projet'!$B$15,'Paramètres'!$A$1:$I$88,3,0)*0.475*44/12</f>
        <v>#N/A</v>
      </c>
      <c r="EX187" s="162" t="str">
        <f>EXP(-LN(2)/2)*EX186+(1-EXP(-LN(2)/2))/(LN(2)/2)*ER187*EU187*VLOOKUP('Données projet'!$B$15,'Paramètres'!$A$1:$I$88,3,0)*0.475*44/12</f>
        <v>#N/A</v>
      </c>
      <c r="EY187" s="163" t="str">
        <f t="shared" si="22"/>
        <v>#N/A</v>
      </c>
      <c r="EZ187" s="159">
        <f>('Scénario référence'!$F$8+'Scénario référence'!$F$9+'Scénario référence'!$B$17+'Scénario référence'!$B$9+'Scénario référence'!$B$10)*70+IF((45+25*(1-EXP(-0.0175*A187)))&lt;70,'Scénario référence'!$B$16*(45+25*(1-EXP(-0.0175*A187))),70*'Scénario référence'!$B$16)+IF((32+38*(1-EXP(-0.0175*A187)))&lt;70,'Scénario référence'!$B$18*(32+38*(1-EXP(-0.0175*A187))),70*'Scénario référence'!$B$18)</f>
        <v>70</v>
      </c>
      <c r="FA187" s="151">
        <f>IF(A187&gt;30,10,('Scénario référence'!$B$16+'Scénario référence'!$B$17+'Scénario référence'!$B$18+'Scénario référence'!$B$9+'Scénario référence'!$B$10)*A187*10/30+('Scénario référence'!$F$8+'Scénario référence'!$F$9)*10)</f>
        <v>10</v>
      </c>
      <c r="FB187" s="151" t="str">
        <f>VLOOKUP(A187,'Données projet'!$A$217:$I$237,2,0)</f>
        <v>#N/A</v>
      </c>
      <c r="FC187" s="151" t="str">
        <f>VLOOKUP(A187,'Données projet'!$A$217:$I$237,9,0)</f>
        <v>#N/A</v>
      </c>
      <c r="FD187" s="151" t="str">
        <f t="array" ref="FD187">INDEX(FC:FC,MIN(IF(ISNUMBER(FC187:FC383),ROW(FC187:FC383),"")))</f>
        <v/>
      </c>
      <c r="FE187" s="151">
        <f>IF('Données projet'!$A$218&gt;35,FE186+FD187-FM186,IF(A187&lt;'Données projet'!$A$218,$FB$205^A187,IF(A187='Données projet'!$A$218,'Données projet'!$B$218,FE186+FD187-FM186)))</f>
        <v>0</v>
      </c>
      <c r="FF187" s="158" t="str">
        <f>FE187*VLOOKUP('Données projet'!$B$16,'Paramètres'!$A$1:$I$88,3,0)*VLOOKUP('Données projet'!$B$16,'Paramètres'!$A$1:$I$88,5,0)</f>
        <v>#N/A</v>
      </c>
      <c r="FG187" s="150" t="str">
        <f t="shared" si="48"/>
        <v>#N/A</v>
      </c>
      <c r="FH187" s="161" t="str">
        <f t="shared" si="23"/>
        <v>#N/A</v>
      </c>
      <c r="FI187" s="153" t="str">
        <f t="shared" si="24"/>
        <v>#N/A</v>
      </c>
      <c r="FJ187" s="153" t="str">
        <f>AVERAGE(OFFSET($FI$3,0,0,'Données projet'!$E$16+1,1))-AVERAGE(OFFSET($H$3,0,0,'Données projet'!$E$16+1,1))</f>
        <v>#N/A</v>
      </c>
      <c r="FK187" s="153" t="str">
        <f t="shared" si="49"/>
        <v>#N/A</v>
      </c>
      <c r="FL187" s="154">
        <f>IF(ISNA(VLOOKUP(A187,'Données projet'!$A$217:$I$237,3,0)),0,VLOOKUP(A187,'Données projet'!$A$217:$I$237,3,0))</f>
        <v>0</v>
      </c>
      <c r="FM187" s="154">
        <f>IF(ISNA(VLOOKUP(A187,'Données projet'!$A$217:$I$237,4,0)),0,VLOOKUP(A187,'Données projet'!$A$217:$I$237,4,0))</f>
        <v>0</v>
      </c>
      <c r="FN187" s="155">
        <f>IF(ISNA(VLOOKUP(A187,'Données projet'!$A$217:$I$237,5,0)),0%,VLOOKUP(A187,'Données projet'!$A$217:$I$237,5,0)*VLOOKUP('Données projet'!$B$16,'Paramètres'!$A$1:$I$88,7,0))</f>
        <v>0</v>
      </c>
      <c r="FO187" s="155">
        <f>IF(ISNA(VLOOKUP(A187,'Données projet'!$A$217:$I$237,6,0)),0%,VLOOKUP(A187,'Données projet'!$A$217:$I$237,6,0)*VLOOKUP('Données projet'!$B$16,'Paramètres'!$A$1:$I$88,7,0))</f>
        <v>0</v>
      </c>
      <c r="FP187" s="155">
        <f>IF(ISNA(VLOOKUP(A187,'Données projet'!$A$217:$I$237,7,0)),0%,VLOOKUP(A187,'Données projet'!$A$217:$I$237,7,0))</f>
        <v>0</v>
      </c>
      <c r="FQ187" s="162" t="str">
        <f>EXP(-LN(2)/35)*FQ186+(1-EXP(-LN(2)/35))/(LN(2)/35)*FM187*FN187*VLOOKUP('Données projet'!$B$16,'Paramètres'!$A$1:$I$88,3,0)*0.475*44/12</f>
        <v>#N/A</v>
      </c>
      <c r="FR187" s="162" t="str">
        <f>EXP(-LN(2)/25)*FR186+(1-EXP(-LN(2)/25))/(LN(2)/25)*Calculateur!FM187*Calculateur!FO187*VLOOKUP('Données projet'!$B$16,'Paramètres'!$A$1:$I$88,3,0)*0.475*44/12</f>
        <v>#N/A</v>
      </c>
      <c r="FS187" s="162" t="str">
        <f>EXP(-LN(2)/2)*FS186+(1-EXP(-LN(2)/2))/(LN(2)/2)*FM187*FP187*VLOOKUP('Données projet'!$B$16,'Paramètres'!$A$1:$I$88,3,0)*0.475*44/12</f>
        <v>#N/A</v>
      </c>
      <c r="FT187" s="163" t="str">
        <f t="shared" si="25"/>
        <v>#N/A</v>
      </c>
      <c r="FU187" s="159">
        <f>('Scénario référence'!$F$8+'Scénario référence'!$F$9+'Scénario référence'!$B$17+'Scénario référence'!$B$9+'Scénario référence'!$B$10)*70+IF((45+25*(1-EXP(-0.0175*A187)))&lt;70,'Scénario référence'!$B$16*(45+25*(1-EXP(-0.0175*A187))),70*'Scénario référence'!$B$16)+IF((32+38*(1-EXP(-0.0175*A187)))&lt;70,'Scénario référence'!$B$18*(32+38*(1-EXP(-0.0175*A187))),70*'Scénario référence'!$B$18)</f>
        <v>70</v>
      </c>
      <c r="FV187" s="151">
        <f>IF(A187&gt;30,10,('Scénario référence'!$B$16+'Scénario référence'!$B$17+'Scénario référence'!$B$18+'Scénario référence'!$B$9+'Scénario référence'!$B$10)*A187*10/30+('Scénario référence'!$F$8+'Scénario référence'!$F$9)*10)</f>
        <v>10</v>
      </c>
      <c r="FW187" s="151" t="str">
        <f>VLOOKUP(A187,'Données projet'!$A$243:$I$263,2,0)</f>
        <v>#N/A</v>
      </c>
      <c r="FX187" s="151" t="str">
        <f>VLOOKUP(A187,'Données projet'!$A$243:$I$263,9,0)</f>
        <v>#N/A</v>
      </c>
      <c r="FY187" s="151" t="str">
        <f t="array" ref="FY187">INDEX(FX:FX,MIN(IF(ISNUMBER(FX187:FX383),ROW(FX187:FX383),"")))</f>
        <v/>
      </c>
      <c r="FZ187" s="151">
        <f>IF('Données projet'!$A$244&gt;35,FZ186+FY187-GH186,IF(A187&lt;'Données projet'!$A$244,$FW$205^A187,IF(A187='Données projet'!$A$244,'Données projet'!$B$244,FZ186+FY187-GH186)))</f>
        <v>0</v>
      </c>
      <c r="GA187" s="158" t="str">
        <f>FZ187*VLOOKUP('Données projet'!$B$17,'Paramètres'!$A$1:$I$88,3,0)*VLOOKUP('Données projet'!$B$17,'Paramètres'!$A$1:$I$88,5,0)</f>
        <v>#N/A</v>
      </c>
      <c r="GB187" s="150" t="str">
        <f t="shared" si="50"/>
        <v>#N/A</v>
      </c>
      <c r="GC187" s="161" t="str">
        <f t="shared" si="26"/>
        <v>#N/A</v>
      </c>
      <c r="GD187" s="153" t="str">
        <f t="shared" si="27"/>
        <v>#N/A</v>
      </c>
      <c r="GE187" s="153" t="str">
        <f>AVERAGE(OFFSET($GD$3,0,0,'Données projet'!$E$17+1,1))-AVERAGE(OFFSET($H$3,0,0,'Données projet'!$E$17+1,1))</f>
        <v>#N/A</v>
      </c>
      <c r="GF187" s="153" t="str">
        <f t="shared" si="51"/>
        <v>#N/A</v>
      </c>
      <c r="GG187" s="154">
        <f>IF(ISNA(VLOOKUP(A187,'Données projet'!$A$243:$I$263,3,0)),0,VLOOKUP(A187,'Données projet'!$A$243:$I$263,3,0))</f>
        <v>0</v>
      </c>
      <c r="GH187" s="154">
        <f>IF(ISNA(VLOOKUP(A187,'Données projet'!$A$243:$I$263,4,0)),0,VLOOKUP(A187,'Données projet'!$A$243:$I$263,4,0))</f>
        <v>0</v>
      </c>
      <c r="GI187" s="155">
        <f>IF(ISNA(VLOOKUP(A187,'Données projet'!$A$243:$I$263,5,0)),0%,VLOOKUP(A187,'Données projet'!$A$243:$I$263,5,0)*VLOOKUP('Données projet'!$B$17,'Paramètres'!$A$1:$I$88,7,0))</f>
        <v>0</v>
      </c>
      <c r="GJ187" s="155">
        <f>IF(ISNA(VLOOKUP(A187,'Données projet'!$A$243:$I$263,6,0)),0%,VLOOKUP(A187,'Données projet'!$A$243:$I$263,6,0)*VLOOKUP('Données projet'!$B$17,'Paramètres'!$A$1:$I$88,7,0))</f>
        <v>0</v>
      </c>
      <c r="GK187" s="155">
        <f>IF(ISNA(VLOOKUP(A187,'Données projet'!$A$243:$I$263,7,0)),0%,VLOOKUP(A187,'Données projet'!$A$243:$I$263,7,0))</f>
        <v>0</v>
      </c>
      <c r="GL187" s="162" t="str">
        <f>EXP(-LN(2)/35)*GL186+(1-EXP(-LN(2)/35))/(LN(2)/35)*GH187*GI187*VLOOKUP('Données projet'!$B$17,'Paramètres'!$A$1:$I$88,3,0)*0.475*44/12</f>
        <v>#N/A</v>
      </c>
      <c r="GM187" s="162" t="str">
        <f>EXP(-LN(2)/25)*GM186+(1-EXP(-LN(2)/25))/(LN(2)/25)*Calculateur!GH187*Calculateur!GJ187*VLOOKUP('Données projet'!$B$17,'Paramètres'!$A$1:$I$88,3,0)*0.475*44/12</f>
        <v>#N/A</v>
      </c>
      <c r="GN187" s="162" t="str">
        <f>EXP(-LN(2)/2)*GN186+(1-EXP(-LN(2)/2))/(LN(2)/2)*GH187*GK187*VLOOKUP('Données projet'!$B$17,'Paramètres'!$A$1:$I$88,3,0)*0.475*44/12</f>
        <v>#N/A</v>
      </c>
      <c r="GO187" s="162" t="str">
        <f t="shared" si="28"/>
        <v>#N/A</v>
      </c>
      <c r="GP187" s="159">
        <f>('Scénario référence'!$F$8+'Scénario référence'!$F$9+'Scénario référence'!$B$17+'Scénario référence'!$B$9+'Scénario référence'!$B$10)*70+IF((45+25*(1-EXP(-0.0175*A187)))&lt;70,'Scénario référence'!$B$16*(45+25*(1-EXP(-0.0175*A187))),70*'Scénario référence'!$B$16)+IF((32+38*(1-EXP(-0.0175*A187)))&lt;70,'Scénario référence'!$B$18*(32+38*(1-EXP(-0.0175*A187))),70*'Scénario référence'!$B$18)</f>
        <v>70</v>
      </c>
      <c r="GQ187" s="151">
        <f>IF(A187&gt;30,10,('Scénario référence'!$B$16+'Scénario référence'!$B$17+'Scénario référence'!$B$18+'Scénario référence'!$B$9+'Scénario référence'!$B$10)*A187*10/30+('Scénario référence'!$F$8+'Scénario référence'!$F$9)*10)</f>
        <v>10</v>
      </c>
      <c r="GR187" s="151" t="str">
        <f>VLOOKUP(A187,'Données projet'!$A$269:$I$289,2,0)</f>
        <v>#N/A</v>
      </c>
      <c r="GS187" s="151" t="str">
        <f>VLOOKUP(A187,'Données projet'!$A$269:$I$289,9,0)</f>
        <v>#N/A</v>
      </c>
      <c r="GT187" s="151" t="str">
        <f t="array" ref="GT187">INDEX(GS:GS,MIN(IF(ISNUMBER(GS187:GS383),ROW(GS187:GS383),"")))</f>
        <v/>
      </c>
      <c r="GU187" s="151">
        <f>IF('Données projet'!$A$270&gt;35,GU186+GT187-HC186,IF(A187&lt;'Données projet'!$A$270,$GR$205^A187,IF(A187='Données projet'!$A$270,'Données projet'!$B$270,GU186+GT187-HC186)))</f>
        <v>0</v>
      </c>
      <c r="GV187" s="158" t="str">
        <f>GU187*VLOOKUP('Données projet'!$B$18,'Paramètres'!$A$1:$I$88,3,0)*VLOOKUP('Données projet'!$B$18,'Paramètres'!$A$1:$I$88,5,0)</f>
        <v>#N/A</v>
      </c>
      <c r="GW187" s="150" t="str">
        <f t="shared" si="52"/>
        <v>#N/A</v>
      </c>
      <c r="GX187" s="161" t="str">
        <f t="shared" si="29"/>
        <v>#N/A</v>
      </c>
      <c r="GY187" s="153" t="str">
        <f t="shared" si="30"/>
        <v>#N/A</v>
      </c>
      <c r="GZ187" s="153" t="str">
        <f>AVERAGE(OFFSET($GY$3,0,0,'Données projet'!$E$18+1,1))-AVERAGE(OFFSET($H$3,0,0,'Données projet'!$E$18+1,1))</f>
        <v>#N/A</v>
      </c>
      <c r="HA187" s="153" t="str">
        <f t="shared" si="53"/>
        <v>#N/A</v>
      </c>
      <c r="HB187" s="154">
        <f>IF(ISNA(VLOOKUP(A187,'Données projet'!$A$269:$I$289,3,0)),0,VLOOKUP(A187,'Données projet'!$A$269:$I$289,3,0))</f>
        <v>0</v>
      </c>
      <c r="HC187" s="154">
        <f>IF(ISNA(VLOOKUP(A187,'Données projet'!$A$269:$I$289,4,0)),0,VLOOKUP(A187,'Données projet'!$A$269:$I$289,4,0))</f>
        <v>0</v>
      </c>
      <c r="HD187" s="155">
        <f>IF(ISNA(VLOOKUP(A187,'Données projet'!$A$269:$I$289,5,0)),0%,VLOOKUP(A187,'Données projet'!$A$269:$I$289,5,0)*VLOOKUP('Données projet'!$B$18,'Paramètres'!$A$1:$I$88,7,0))</f>
        <v>0</v>
      </c>
      <c r="HE187" s="155">
        <f>IF(ISNA(VLOOKUP(A187,'Données projet'!$A$269:$I$289,6,0)),0%,VLOOKUP(A187,'Données projet'!$A$269:$I$289,6,0)*VLOOKUP('Données projet'!$B$18,'Paramètres'!$A$1:$I$88,7,0))</f>
        <v>0</v>
      </c>
      <c r="HF187" s="155">
        <f>IF(ISNA(VLOOKUP(A187,'Données projet'!$A$269:$I$289,7,0)),0%,VLOOKUP(A187,'Données projet'!$A$269:$I$289,7,0))</f>
        <v>0</v>
      </c>
      <c r="HG187" s="162" t="str">
        <f>EXP(-LN(2)/35)*HG186+(1-EXP(-LN(2)/35))/(LN(2)/35)*HC187*HD187*VLOOKUP('Données projet'!$B$18,'Paramètres'!$A$1:$I$88,3,0)*0.475*44/12</f>
        <v>#N/A</v>
      </c>
      <c r="HH187" s="162" t="str">
        <f>EXP(-LN(2)/25)*HH186+(1-EXP(-LN(2)/25))/(LN(2)/25)*Calculateur!HC187*Calculateur!HE187*VLOOKUP('Données projet'!$B$18,'Paramètres'!$A$1:$I$88,3,0)*0.475*44/12</f>
        <v>#N/A</v>
      </c>
      <c r="HI187" s="162" t="str">
        <f>EXP(-LN(2)/2)*HI186+(1-EXP(-LN(2)/2))/(LN(2)/2)*HC187*HF187*VLOOKUP('Données projet'!$B$18,'Paramètres'!$A$1:$I$88,3,0)*0.475*44/12</f>
        <v>#N/A</v>
      </c>
      <c r="HJ187" s="163" t="str">
        <f t="shared" si="31"/>
        <v>#N/A</v>
      </c>
    </row>
    <row r="188" ht="15.75" customHeight="1">
      <c r="A188" s="145">
        <f t="shared" si="32"/>
        <v>185</v>
      </c>
      <c r="B188" s="146">
        <f>'Scénario référence'!$B$16*5+'Scénario référence'!$B$17*0+'Scénario référence'!$B$18*5</f>
        <v>0</v>
      </c>
      <c r="C188" s="160">
        <f>Calculateur!C187+'Scénario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88" s="147">
        <f t="shared" si="33"/>
        <v>0</v>
      </c>
      <c r="E188" s="147">
        <f>'Scénario référence'!$B$16*45+('Scénario référence'!$B$17+'Scénario référence'!$F$8+'Scénario référence'!$F$9+'Scénario référence'!$B$10+'Scénario référence'!$B$9)*70+'Scénario référence'!$B$18*32</f>
        <v>70</v>
      </c>
      <c r="F188" s="147">
        <f>IF(OR('Scénario référence'!$F$8&gt;0,'Scénario référence'!$F$9&gt;0),('Scénario référence'!$F$8+'Scénario référence'!$F$9)*10,0)</f>
        <v>0</v>
      </c>
      <c r="G188" s="147">
        <f>'Scénario référence'!$B$8*B188*44/12+'Scénario référence'!$B$9*(C188+D188)/0.475*44/12+'Scénario référence'!$B$10*(C188+D188)/0.475*44/12+'Scénario référence'!$F$8*(C188+D188)/0.475*44/12+'Scénario référence'!$F$9*(C188+D188)/0.475*44/12</f>
        <v>0</v>
      </c>
      <c r="H188" s="148">
        <f t="shared" si="1"/>
        <v>256.6666667</v>
      </c>
      <c r="I188" s="149">
        <f>('Scénario référence'!$F$8+'Scénario référence'!$F$9+'Scénario référence'!$B$17+'Scénario référence'!$B$9+'Scénario référence'!$B$10)*70+IF((45+25*(1-EXP(-0.0175*A188)))&lt;70,'Scénario référence'!$B$16*(45+25*(1-EXP(-0.0175*A188))),70*'Scénario référence'!$B$16)+IF((32+38*(1-EXP(-0.0175*A188)))&lt;70,'Scénario référence'!$B$18*(32+38*(1-EXP(-0.0175*A188))),70*'Scénario référence'!$B$18)</f>
        <v>70</v>
      </c>
      <c r="J188" s="150">
        <f>IF(A188&gt;30,10,('Scénario référence'!$B$16+'Scénario référence'!$B$17+'Scénario référence'!$B$18+'Scénario référence'!$B$9+'Scénario référence'!$B$10)*A188*10/30+('Scénario référence'!$F$8+'Scénario référence'!$F$9)*10)</f>
        <v>10</v>
      </c>
      <c r="K188" s="151" t="str">
        <f>VLOOKUP(A188,'Données projet'!$A$35:$I$55,2,0)</f>
        <v>#N/A</v>
      </c>
      <c r="L188" s="151" t="str">
        <f>VLOOKUP(A188,'Données projet'!$A$35:$I$55,9,0)</f>
        <v>#N/A</v>
      </c>
      <c r="M188" s="151" t="str">
        <f t="array" ref="M188">INDEX(L:L,MIN(IF(ISNUMBER(L188:L384),ROW(L188:L384),"")))</f>
        <v/>
      </c>
      <c r="N188" s="150">
        <f>IF('Données projet'!$A$36&gt;35,N187+M188-V187,IF(A188&lt;'Données projet'!$A$36,$K$205^A188,IF(A188='Données projet'!$A$36,'Données projet'!$B$36,N187+M188-V187)))</f>
        <v>307</v>
      </c>
      <c r="O188" s="150">
        <f>N188*VLOOKUP('Données projet'!$B$9,'Paramètres'!$A$1:$I$88,3,0)*VLOOKUP('Données projet'!$B$9,'Paramètres'!$A$1:$I$88,5,0)</f>
        <v>277.7736</v>
      </c>
      <c r="P188" s="150">
        <f t="shared" si="34"/>
        <v>66.49628818</v>
      </c>
      <c r="Q188" s="161">
        <f t="shared" si="2"/>
        <v>599.6033886</v>
      </c>
      <c r="R188" s="153">
        <f t="shared" si="3"/>
        <v>892.9367219</v>
      </c>
      <c r="S188" s="153">
        <f>AVERAGE(OFFSET($R$3,0,0,'Données projet'!$E$9+1,1))-AVERAGE(OFFSET($H$3,0,0,'Données projet'!$E$9+1,1))</f>
        <v>439.1985427</v>
      </c>
      <c r="T188" s="153">
        <f t="shared" si="35"/>
        <v>278.2174123</v>
      </c>
      <c r="U188" s="154">
        <f>IF(ISNA(VLOOKUP(A188,'Données projet'!$A$35:$I$55,3,0)),0,VLOOKUP(A188,'Données projet'!$A$35:$I$55,3,0))</f>
        <v>0</v>
      </c>
      <c r="V188" s="154">
        <f>IF(ISNA(VLOOKUP(A188,'Données projet'!$A$35:$I$55,4,0)),0,VLOOKUP(A188,'Données projet'!$A$35:$I$55,4,0))</f>
        <v>0</v>
      </c>
      <c r="W188" s="155">
        <f>IF(ISNA(VLOOKUP(A188,'Données projet'!$A$35:$I$55,5,0)),0%,VLOOKUP(A188,'Données projet'!$A$35:$I$55,5,0)*VLOOKUP('Données projet'!$B$9,'Paramètres'!$A$1:$I$88,7,0))</f>
        <v>0</v>
      </c>
      <c r="X188" s="155">
        <f>IF(ISNA(VLOOKUP(A188,'Données projet'!$A$35:$I$55,6,0)),0%,VLOOKUP(A188,'Données projet'!$A$35:$I$55,6,0)*VLOOKUP('Données projet'!$B$9,'Paramètres'!$A$1:$I$88,7,0))</f>
        <v>0</v>
      </c>
      <c r="Y188" s="155">
        <f>IF(ISNA(VLOOKUP(A188,'Données projet'!$A$35:$I$55,7,0)),0%,VLOOKUP(A188,'Données projet'!$A$35:$I$55,7,0))</f>
        <v>0</v>
      </c>
      <c r="Z188" s="162">
        <f>EXP(-LN(2)/35)*Z187+(1-EXP(-LN(2)/35))/(LN(2)/35)*V188*W188*VLOOKUP('Données projet'!$B$9,'Paramètres'!$A$1:$I$88,3,0)*0.475*44/12</f>
        <v>0</v>
      </c>
      <c r="AA188" s="162">
        <f>EXP(-LN(2)/25)*AA187+(1-EXP(-LN(2)/25))/(LN(2)/25)*Calculateur!V188*Calculateur!X188*VLOOKUP('Données projet'!$B$9,'Paramètres'!$A$1:$I$88,3,0)*0.475*44/12</f>
        <v>0.06104165582</v>
      </c>
      <c r="AB188" s="162">
        <f>EXP(-LN(2)/2)*AB187+(1-EXP(-LN(2)/2))/(LN(2)/2)*V188*Y188*VLOOKUP('Données projet'!$B$9,'Paramètres'!$A$1:$I$88,3,0)*0.475*44/12</f>
        <v>0</v>
      </c>
      <c r="AC188" s="163">
        <f t="shared" si="4"/>
        <v>0.06104165582</v>
      </c>
      <c r="AD188" s="150">
        <f>('Scénario référence'!$F$8+'Scénario référence'!$F$9+'Scénario référence'!$B$17+'Scénario référence'!$B$9+'Scénario référence'!$B$10)*70+IF((45+25*(1-EXP(-0.0175*A188)))&lt;70,'Scénario référence'!$B$16*(45+25*(1-EXP(-0.0175*A188))),70*'Scénario référence'!$B$16)+IF((32+38*(1-EXP(-0.0175*A188)))&lt;70,'Scénario référence'!$B$18*(32+38*(1-EXP(-0.0175*A188))),70*'Scénario référence'!$B$18)</f>
        <v>70</v>
      </c>
      <c r="AE188" s="150">
        <f>IF(A188&gt;30,10,('Scénario référence'!$B$16+'Scénario référence'!$B$17+'Scénario référence'!$B$18+'Scénario référence'!$B$9+'Scénario référence'!$B$10)*A188*10/30+('Scénario référence'!$F$8+'Scénario référence'!$F$9)*10)</f>
        <v>10</v>
      </c>
      <c r="AF188" s="151" t="str">
        <f>VLOOKUP(A188,'Données projet'!$A$61:$I$81,2,0)</f>
        <v>#N/A</v>
      </c>
      <c r="AG188" s="151" t="str">
        <f>VLOOKUP(A188,'Données projet'!$A$61:$I$81,9,0)</f>
        <v>#N/A</v>
      </c>
      <c r="AH188" s="151" t="str">
        <f t="array" ref="AH188">INDEX(AG:AG,MIN(IF(ISNUMBER(AG188:AG384),ROW(AG188:AG384),"")))</f>
        <v/>
      </c>
      <c r="AI188" s="150">
        <f>IF('Données projet'!$A$62&gt;35,AI187+AH188-AQ187,IF(A188&lt;'Données projet'!$A$62,$AF$205^A188,IF(A188='Données projet'!$A$62,'Données projet'!$B$62,AI187+AH188-AQ187)))</f>
        <v>369</v>
      </c>
      <c r="AJ188" s="150">
        <f>AI188*VLOOKUP('Données projet'!$B$10,'Paramètres'!$A$1:$I$88,3,0)*VLOOKUP('Données projet'!$B$10,'Paramètres'!$A$1:$I$88,5,0)</f>
        <v>293.5764</v>
      </c>
      <c r="AK188" s="150">
        <f t="shared" si="36"/>
        <v>69.82813851</v>
      </c>
      <c r="AL188" s="161">
        <f t="shared" si="5"/>
        <v>632.9295712</v>
      </c>
      <c r="AM188" s="153">
        <f t="shared" si="6"/>
        <v>926.2629046</v>
      </c>
      <c r="AN188" s="153">
        <f>AVERAGE(OFFSET($AM$3,0,0,'Données projet'!$E$10+1,1))-AVERAGE(OFFSET($H$3,0,0,'Données projet'!$E$10+1,1))</f>
        <v>405.6113614</v>
      </c>
      <c r="AO188" s="153">
        <f t="shared" si="37"/>
        <v>393.0787141</v>
      </c>
      <c r="AP188" s="154">
        <f>IF(ISNA(VLOOKUP(A188,'Données projet'!$A$61:$I$81,3,0)),0,VLOOKUP(A188,'Données projet'!$A$61:$I$81,3,0))</f>
        <v>0</v>
      </c>
      <c r="AQ188" s="154">
        <f>IF(ISNA(VLOOKUP(A188,'Données projet'!$A$61:$I$81,4,0)),0,VLOOKUP(A188,'Données projet'!$A$61:$I$81,4,0))</f>
        <v>0</v>
      </c>
      <c r="AR188" s="155">
        <f>IF(ISNA(VLOOKUP(A188,'Données projet'!$A$61:$I$81,5,0)),0%,VLOOKUP(A188,'Données projet'!$A$61:$I$81,5,0)*VLOOKUP('Données projet'!$B$10,'Paramètres'!$A$1:$I$88,7,0))</f>
        <v>0</v>
      </c>
      <c r="AS188" s="155">
        <f>IF(ISNA(VLOOKUP(A188,'Données projet'!$A$61:$I$81,6,0)),0%,VLOOKUP(A188,'Données projet'!$A$61:$I$81,6,0)*VLOOKUP('Données projet'!$B$10,'Paramètres'!$A$1:$I$88,7,0))</f>
        <v>0</v>
      </c>
      <c r="AT188" s="155">
        <f>IF(ISNA(VLOOKUP(A188,'Données projet'!$A$61:$I$81,7,0)),0%,VLOOKUP(A188,'Données projet'!$A$61:$I$81,7,0))</f>
        <v>0</v>
      </c>
      <c r="AU188" s="162">
        <f>EXP(-LN(2)/35)*AU187+(1-EXP(-LN(2)/35))/(LN(2)/35)*AQ188*AR188*VLOOKUP('Données projet'!$B$10,'Paramètres'!$A$1:$I$88,3,0)*0.475*44/12</f>
        <v>0</v>
      </c>
      <c r="AV188" s="162">
        <f>EXP(-LN(2)/25)*AV187+(1-EXP(-LN(2)/25))/(LN(2)/25)*Calculateur!AQ188*Calculateur!AS188*VLOOKUP('Données projet'!$B$10,'Paramètres'!$A$1:$I$88,3,0)*0.475*44/12</f>
        <v>0.2480888067</v>
      </c>
      <c r="AW188" s="162">
        <f>EXP(-LN(2)/2)*AW187+(1-EXP(-LN(2)/2))/(LN(2)/2)*AQ188*AT188*VLOOKUP('Données projet'!$B$10,'Paramètres'!$A$1:$I$88,3,0)*0.475*44/12</f>
        <v>0</v>
      </c>
      <c r="AX188" s="162">
        <f t="shared" si="7"/>
        <v>0.2480888067</v>
      </c>
      <c r="AY188" s="157">
        <f>('Scénario référence'!$F$8+'Scénario référence'!$F$9+'Scénario référence'!$B$17+'Scénario référence'!$B$9+'Scénario référence'!$B$10)*70+IF((45+25*(1-EXP(-0.0175*A188)))&lt;70,'Scénario référence'!$B$16*(45+25*(1-EXP(-0.0175*A188))),70*'Scénario référence'!$B$16)+IF((32+38*(1-EXP(-0.0175*A188)))&lt;70,'Scénario référence'!$B$18*(32+38*(1-EXP(-0.0175*A188))),70*'Scénario référence'!$B$18)</f>
        <v>70</v>
      </c>
      <c r="AZ188" s="151">
        <f>IF(A188&gt;30,10,('Scénario référence'!$B$16+'Scénario référence'!$B$17+'Scénario référence'!$B$18+'Scénario référence'!$B$9+'Scénario référence'!$B$10)*A188*10/30+('Scénario référence'!$F$8+'Scénario référence'!$F$9)*10)</f>
        <v>10</v>
      </c>
      <c r="BA188" s="151" t="str">
        <f>VLOOKUP(A188,'Données projet'!$A$87:$I$107,2,0)</f>
        <v>#N/A</v>
      </c>
      <c r="BB188" s="151" t="str">
        <f>VLOOKUP(A188,'Données projet'!$A$87:$I$107,9,0)</f>
        <v>#N/A</v>
      </c>
      <c r="BC188" s="151" t="str">
        <f t="array" ref="BC188">INDEX(BB:BB,MIN(IF(ISNUMBER(BB188:BB384),ROW(BB188:BB384),"")))</f>
        <v/>
      </c>
      <c r="BD188" s="150">
        <f>IF('Données projet'!$A$88&gt;35,BD187+BC188-BL187,IF(A188&lt;'Données projet'!$A$88,$BA$205^A188,IF(A188='Données projet'!$A$88,'Données projet'!$B$88,BD187+BC188-BL187)))</f>
        <v>0</v>
      </c>
      <c r="BE188" s="150">
        <f>BD188*VLOOKUP('Données projet'!$B$11,'Paramètres'!$A$1:$I$88,3,0)*VLOOKUP('Données projet'!$B$11,'Paramètres'!$A$1:$I$88,5,0)</f>
        <v>0</v>
      </c>
      <c r="BF188" s="150" t="str">
        <f t="shared" si="38"/>
        <v>#NUM!</v>
      </c>
      <c r="BG188" s="161" t="str">
        <f t="shared" si="8"/>
        <v>#NUM!</v>
      </c>
      <c r="BH188" s="153" t="str">
        <f t="shared" si="9"/>
        <v>#NUM!</v>
      </c>
      <c r="BI188" s="153">
        <f>AVERAGE(OFFSET($BH$3,0,0,'Données projet'!$E$11+1,1))-AVERAGE(OFFSET($H$3,0,0,'Données projet'!$E$11+1,1))</f>
        <v>0</v>
      </c>
      <c r="BJ188" s="153">
        <f t="shared" si="39"/>
        <v>0</v>
      </c>
      <c r="BK188" s="154">
        <f>IF(ISNA(VLOOKUP(A188,'Données projet'!$A$87:$I$107,3,0)),0,VLOOKUP(A188,'Données projet'!$A$87:$I$107,3,0))</f>
        <v>0</v>
      </c>
      <c r="BL188" s="154">
        <f>IF(ISNA(VLOOKUP(A188,'Données projet'!$A$87:$I$107,4,0)),0,VLOOKUP(A188,'Données projet'!$A$87:$I$107,4,0))</f>
        <v>0</v>
      </c>
      <c r="BM188" s="155">
        <f>IF(ISNA(VLOOKUP(A188,'Données projet'!$A$87:$I$107,5,0)),0%,VLOOKUP(A188,'Données projet'!$A$87:$I$107,5,0)*VLOOKUP('Données projet'!$B$11,'Paramètres'!$A$1:$I$88,7,0))</f>
        <v>0</v>
      </c>
      <c r="BN188" s="155">
        <f>IF(ISNA(VLOOKUP(A188,'Données projet'!$A$87:$I$107,6,0)),0%,VLOOKUP(A188,'Données projet'!$A$87:$I$107,6,0)*VLOOKUP('Données projet'!$B$11,'Paramètres'!$A$1:$I$88,7,0))</f>
        <v>0</v>
      </c>
      <c r="BO188" s="155">
        <f>IF(ISNA(VLOOKUP(A188,'Données projet'!$A$87:$I$107,7,0)),0%,VLOOKUP(A188,'Données projet'!$A$87:$I$107,7,0))</f>
        <v>0</v>
      </c>
      <c r="BP188" s="162">
        <f>EXP(-LN(2)/35)*BP187+(1-EXP(-LN(2)/35))/(LN(2)/35)*BL188*BM188*VLOOKUP('Données projet'!$B$11,'Paramètres'!$A$1:$I$88,3,0)*0.475*44/12</f>
        <v>0</v>
      </c>
      <c r="BQ188" s="162">
        <f>EXP(-LN(2)/25)*BQ187+(1-EXP(-LN(2)/25))/(LN(2)/25)*Calculateur!BL188*Calculateur!BN188*VLOOKUP('Données projet'!$B$11,'Paramètres'!$A$1:$I$88,3,0)*0.475*44/12</f>
        <v>0</v>
      </c>
      <c r="BR188" s="162">
        <f>EXP(-LN(2)/2)*BR187+(1-EXP(-LN(2)/2))/(LN(2)/2)*BL188*BO188*VLOOKUP('Données projet'!$B$11,'Paramètres'!$A$1:$I$88,3,0)*0.475*44/12</f>
        <v>0</v>
      </c>
      <c r="BS188" s="163">
        <f t="shared" si="10"/>
        <v>0</v>
      </c>
      <c r="BT188" s="159">
        <f>('Scénario référence'!$F$8+'Scénario référence'!$F$9+'Scénario référence'!$B$17+'Scénario référence'!$B$9+'Scénario référence'!$B$10)*70+IF((45+25*(1-EXP(-0.0175*A188)))&lt;70,'Scénario référence'!$B$16*(45+25*(1-EXP(-0.0175*A188))),70*'Scénario référence'!$B$16)+IF((32+38*(1-EXP(-0.0175*A188)))&lt;70,'Scénario référence'!$B$18*(32+38*(1-EXP(-0.0175*A188))),70*'Scénario référence'!$B$18)</f>
        <v>70</v>
      </c>
      <c r="BU188" s="151">
        <f>IF(A188&gt;30,10,('Scénario référence'!$B$16+'Scénario référence'!$B$17+'Scénario référence'!$B$18+'Scénario référence'!$B$9+'Scénario référence'!$B$10)*A188*10/30+('Scénario référence'!$F$8+'Scénario référence'!$F$9)*10)</f>
        <v>10</v>
      </c>
      <c r="BV188" s="151" t="str">
        <f>VLOOKUP(A188,'Données projet'!$A$113:$I$133,2,0)</f>
        <v>#N/A</v>
      </c>
      <c r="BW188" s="151" t="str">
        <f>VLOOKUP(A188,'Données projet'!$A$113:$I$133,9,0)</f>
        <v>#N/A</v>
      </c>
      <c r="BX188" s="151" t="str">
        <f t="array" ref="BX188">INDEX(BW:BW,MIN(IF(ISNUMBER(BW188:BW384),ROW(BW188:BW384),"")))</f>
        <v/>
      </c>
      <c r="BY188" s="150">
        <f>IF('Données projet'!$A$114&gt;35,BY187+BX188-CG187,IF(A188&lt;'Données projet'!$A$114,$BV$205^A188,IF(A188='Données projet'!$A$114,'Données projet'!$B$114,BY187+BX188-CG187)))</f>
        <v>0</v>
      </c>
      <c r="BZ188" s="150" t="str">
        <f>BY188*VLOOKUP('Données projet'!$B$12,'Paramètres'!$A$1:$I$88,3,0)*VLOOKUP('Données projet'!$B$12,'Paramètres'!$A$1:$I$88,5,0)</f>
        <v>#N/A</v>
      </c>
      <c r="CA188" s="150" t="str">
        <f t="shared" si="40"/>
        <v>#N/A</v>
      </c>
      <c r="CB188" s="161" t="str">
        <f t="shared" si="11"/>
        <v>#N/A</v>
      </c>
      <c r="CC188" s="153" t="str">
        <f t="shared" si="12"/>
        <v>#N/A</v>
      </c>
      <c r="CD188" s="153" t="str">
        <f>AVERAGE(OFFSET($CC$3,0,0,'Données projet'!$E$12+1,1))-AVERAGE(OFFSET($H$3,0,0,'Données projet'!$E$12+1,1))</f>
        <v>#N/A</v>
      </c>
      <c r="CE188" s="153" t="str">
        <f t="shared" si="41"/>
        <v>#N/A</v>
      </c>
      <c r="CF188" s="154">
        <f>IF(ISNA(VLOOKUP(A188,'Données projet'!$A$113:$I$133,3,0)),0,VLOOKUP(A188,'Données projet'!$A$113:$I$133,3,0))</f>
        <v>0</v>
      </c>
      <c r="CG188" s="154">
        <f>IF(ISNA(VLOOKUP(A188,'Données projet'!$A$113:$I$133,4,0)),0,VLOOKUP(A188,'Données projet'!$A$113:$I$133,4,0))</f>
        <v>0</v>
      </c>
      <c r="CH188" s="155">
        <f>IF(ISNA(VLOOKUP(A188,'Données projet'!$A$113:$I$133,5,0)),0%,VLOOKUP(A188,'Données projet'!$A$113:$I$133,5,0)*VLOOKUP('Données projet'!$B$12,'Paramètres'!$A$1:$I$88,7,0))</f>
        <v>0</v>
      </c>
      <c r="CI188" s="155">
        <f>IF(ISNA(VLOOKUP(A188,'Données projet'!$A$113:$I$133,6,0)),0%,VLOOKUP(A188,'Données projet'!$A$113:$I$133,6,0)*VLOOKUP('Données projet'!$B$12,'Paramètres'!$A$1:$I$88,7,0))</f>
        <v>0</v>
      </c>
      <c r="CJ188" s="155">
        <f>IF(ISNA(VLOOKUP(A188,'Données projet'!$A$113:$I$133,7,0)),0%,VLOOKUP(A188,'Données projet'!$A$113:$I$133,7,0))</f>
        <v>0</v>
      </c>
      <c r="CK188" s="162" t="str">
        <f>EXP(-LN(2)/35)*CK187+(1-EXP(-LN(2)/35))/(LN(2)/35)*CG188*CH188*VLOOKUP('Données projet'!$B$12,'Paramètres'!$A$1:$I$88,3,0)*0.475*44/12</f>
        <v>#N/A</v>
      </c>
      <c r="CL188" s="162" t="str">
        <f>EXP(-LN(2)/25)*CL187+(1-EXP(-LN(2)/25))/(LN(2)/25)*Calculateur!CG188*Calculateur!CI188*VLOOKUP('Données projet'!$B$12,'Paramètres'!$A$1:$I$88,3,0)*0.475*44/12</f>
        <v>#N/A</v>
      </c>
      <c r="CM188" s="162" t="str">
        <f>EXP(-LN(2)/2)*CM187+(1-EXP(-LN(2)/2))/(LN(2)/2)*CG188*CJ188*VLOOKUP('Données projet'!$B$12,'Paramètres'!$A$1:$I$88,3,0)*0.475*44/12</f>
        <v>#N/A</v>
      </c>
      <c r="CN188" s="163" t="str">
        <f t="shared" si="13"/>
        <v>#N/A</v>
      </c>
      <c r="CO188" s="159">
        <f>('Scénario référence'!$F$8+'Scénario référence'!$F$9+'Scénario référence'!$B$17+'Scénario référence'!$B$9+'Scénario référence'!$B$10)*70+IF((45+25*(1-EXP(-0.0175*A188)))&lt;70,'Scénario référence'!$B$16*(45+25*(1-EXP(-0.0175*A188))),70*'Scénario référence'!$B$16)+IF((32+38*(1-EXP(-0.0175*A188)))&lt;70,'Scénario référence'!$B$18*(32+38*(1-EXP(-0.0175*A188))),70*'Scénario référence'!$B$18)</f>
        <v>70</v>
      </c>
      <c r="CP188" s="151">
        <f>IF(A188&gt;30,10,('Scénario référence'!$B$16+'Scénario référence'!$B$17+'Scénario référence'!$B$18+'Scénario référence'!$B$9+'Scénario référence'!$B$10)*A188*10/30+('Scénario référence'!$F$8+'Scénario référence'!$F$9)*10)</f>
        <v>10</v>
      </c>
      <c r="CQ188" s="151" t="str">
        <f>VLOOKUP(A188,'Données projet'!$A$139:$I$159,2,0)</f>
        <v>#N/A</v>
      </c>
      <c r="CR188" s="151" t="str">
        <f>VLOOKUP(A188,'Données projet'!$A$139:$I$159,9,0)</f>
        <v>#N/A</v>
      </c>
      <c r="CS188" s="151" t="str">
        <f t="array" ref="CS188">INDEX(CR:CR,MIN(IF(ISNUMBER(CR188:CR384),ROW(CR188:CR384),"")))</f>
        <v/>
      </c>
      <c r="CT188" s="151">
        <f>IF('Données projet'!$A$140&gt;35,CT187+CS188-DB187,IF(A188&lt;'Données projet'!$A$140,$CQ$205^A188,IF(A188='Données projet'!$A$140,'Données projet'!$B$140,CT187+CS188-DB187)))</f>
        <v>0</v>
      </c>
      <c r="CU188" s="158" t="str">
        <f>CT188*VLOOKUP('Données projet'!$B$13,'Paramètres'!$A$1:$I$88,3,0)*VLOOKUP('Données projet'!$B$13,'Paramètres'!$A$1:$I$88,5,0)</f>
        <v>#N/A</v>
      </c>
      <c r="CV188" s="150" t="str">
        <f t="shared" si="42"/>
        <v>#N/A</v>
      </c>
      <c r="CW188" s="161" t="str">
        <f t="shared" si="14"/>
        <v>#N/A</v>
      </c>
      <c r="CX188" s="153" t="str">
        <f t="shared" si="15"/>
        <v>#N/A</v>
      </c>
      <c r="CY188" s="153" t="str">
        <f>AVERAGE(OFFSET($CX$3,0,0,'Données projet'!$E$13+1,1))-AVERAGE(OFFSET($H$3,0,0,'Données projet'!$E$13+1,1))</f>
        <v>#N/A</v>
      </c>
      <c r="CZ188" s="153" t="str">
        <f t="shared" si="43"/>
        <v>#N/A</v>
      </c>
      <c r="DA188" s="154">
        <f>IF(ISNA(VLOOKUP(A188,'Données projet'!$A$139:$I$159,3,0)),0,VLOOKUP(A188,'Données projet'!$A$139:$I$159,3,0))</f>
        <v>0</v>
      </c>
      <c r="DB188" s="154">
        <f>IF(ISNA(VLOOKUP(A188,'Données projet'!$A$139:$I$159,4,0)),0,VLOOKUP(A188,'Données projet'!$A$139:$I$159,4,0))</f>
        <v>0</v>
      </c>
      <c r="DC188" s="155">
        <f>IF(ISNA(VLOOKUP(A188,'Données projet'!$A$139:$I$159,5,0)),0%,VLOOKUP(A188,'Données projet'!$A$139:$I$159,5,0)*VLOOKUP('Données projet'!$B$13,'Paramètres'!$A$1:$I$88,7,0))</f>
        <v>0</v>
      </c>
      <c r="DD188" s="155">
        <f>IF(ISNA(VLOOKUP(A188,'Données projet'!$A$139:$I$159,6,0)),0%,VLOOKUP(A188,'Données projet'!$A$139:$I$159,6,0)*VLOOKUP('Données projet'!$B$13,'Paramètres'!$A$1:$I$88,7,0))</f>
        <v>0</v>
      </c>
      <c r="DE188" s="155">
        <f>IF(ISNA(VLOOKUP(A188,'Données projet'!$A$139:$I$159,7,0)),0%,VLOOKUP(A188,'Données projet'!$A$139:$I$159,7,0))</f>
        <v>0</v>
      </c>
      <c r="DF188" s="162" t="str">
        <f>EXP(-LN(2)/35)*DF187+(1-EXP(-LN(2)/35))/(LN(2)/35)*DB188*DC188*VLOOKUP('Données projet'!$B$13,'Paramètres'!$A$1:$I$88,3,0)*0.475*44/12</f>
        <v>#N/A</v>
      </c>
      <c r="DG188" s="162" t="str">
        <f>EXP(-LN(2)/25)*DG187+(1-EXP(-LN(2)/25))/(LN(2)/25)*Calculateur!DB188*Calculateur!DD188*VLOOKUP('Données projet'!$B$13,'Paramètres'!$A$1:$I$88,3,0)*0.475*44/12</f>
        <v>#N/A</v>
      </c>
      <c r="DH188" s="162" t="str">
        <f>EXP(-LN(2)/2)*DH187+(1-EXP(-LN(2)/2))/(LN(2)/2)*DB188*DE188*VLOOKUP('Données projet'!$B$13,'Paramètres'!$A$1:$I$88,3,0)*0.475*44/12</f>
        <v>#N/A</v>
      </c>
      <c r="DI188" s="163" t="str">
        <f t="shared" si="16"/>
        <v>#N/A</v>
      </c>
      <c r="DJ188" s="159">
        <f>('Scénario référence'!$F$8+'Scénario référence'!$F$9+'Scénario référence'!$B$17+'Scénario référence'!$B$9+'Scénario référence'!$B$10)*70+IF((45+25*(1-EXP(-0.0175*A188)))&lt;70,'Scénario référence'!$B$16*(45+25*(1-EXP(-0.0175*A188))),70*'Scénario référence'!$B$16)+IF((32+38*(1-EXP(-0.0175*A188)))&lt;70,'Scénario référence'!$B$18*(32+38*(1-EXP(-0.0175*A188))),70*'Scénario référence'!$B$18)</f>
        <v>70</v>
      </c>
      <c r="DK188" s="151">
        <f>IF(A188&gt;30,10,('Scénario référence'!$B$16+'Scénario référence'!$B$17+'Scénario référence'!$B$18+'Scénario référence'!$B$9+'Scénario référence'!$B$10)*A188*10/30+('Scénario référence'!$F$8+'Scénario référence'!$F$9)*10)</f>
        <v>10</v>
      </c>
      <c r="DL188" s="151" t="str">
        <f>VLOOKUP(A188,'Données projet'!$A$165:$I$185,2,0)</f>
        <v>#N/A</v>
      </c>
      <c r="DM188" s="151" t="str">
        <f>VLOOKUP(A188,'Données projet'!$A$165:$I$185,9,0)</f>
        <v>#N/A</v>
      </c>
      <c r="DN188" s="151" t="str">
        <f t="array" ref="DN188">INDEX(DM:DM,MIN(IF(ISNUMBER(DM188:DM384),ROW(DM188:DM384),"")))</f>
        <v/>
      </c>
      <c r="DO188" s="151">
        <f>IF('Données projet'!$A$166&gt;35,DO187+DN188-DW187,IF(A188&lt;'Données projet'!$A$166,$DL$205^A188,IF(A188='Données projet'!$A$166,'Données projet'!$B$166,DO187+DN188-DW187)))</f>
        <v>0</v>
      </c>
      <c r="DP188" s="158" t="str">
        <f>DO188*VLOOKUP('Données projet'!$B$14,'Paramètres'!$A$1:$I$88,3,0)*VLOOKUP('Données projet'!$B$14,'Paramètres'!$A$1:$I$88,5,0)</f>
        <v>#N/A</v>
      </c>
      <c r="DQ188" s="150" t="str">
        <f t="shared" si="44"/>
        <v>#N/A</v>
      </c>
      <c r="DR188" s="161" t="str">
        <f t="shared" si="17"/>
        <v>#N/A</v>
      </c>
      <c r="DS188" s="153" t="str">
        <f t="shared" si="18"/>
        <v>#N/A</v>
      </c>
      <c r="DT188" s="153" t="str">
        <f>AVERAGE(OFFSET($DS$3,0,0,'Données projet'!$E$14+1,1))-AVERAGE(OFFSET($H$3,0,0,'Données projet'!$E$14+1,1))</f>
        <v>#N/A</v>
      </c>
      <c r="DU188" s="153" t="str">
        <f t="shared" si="45"/>
        <v>#N/A</v>
      </c>
      <c r="DV188" s="154">
        <f>IF(ISNA(VLOOKUP(A188,'Données projet'!$A$165:$I$185,3,0)),0,VLOOKUP(A188,'Données projet'!$A$165:$I$185,3,0))</f>
        <v>0</v>
      </c>
      <c r="DW188" s="154">
        <f>IF(ISNA(VLOOKUP(A188,'Données projet'!$A$165:$I$185,4,0)),0,VLOOKUP(A188,'Données projet'!$A$165:$I$185,4,0))</f>
        <v>0</v>
      </c>
      <c r="DX188" s="155">
        <f>IF(ISNA(VLOOKUP(A188,'Données projet'!$A$165:$I$185,5,0)),0%,VLOOKUP(A188,'Données projet'!$A$165:$I$185,5,0)*VLOOKUP('Données projet'!$B$14,'Paramètres'!$A$1:$I$88,7,0))</f>
        <v>0</v>
      </c>
      <c r="DY188" s="155">
        <f>IF(ISNA(VLOOKUP(A188,'Données projet'!$A$165:$I$185,6,0)),0%,VLOOKUP(A188,'Données projet'!$A$165:$I$185,6,0)*VLOOKUP('Données projet'!$B$14,'Paramètres'!$A$1:$I$88,7,0))</f>
        <v>0</v>
      </c>
      <c r="DZ188" s="155">
        <f>IF(ISNA(VLOOKUP(A188,'Données projet'!$A$165:$I$185,7,0)),0%,VLOOKUP(A188,'Données projet'!$A$165:$I$185,7,0))</f>
        <v>0</v>
      </c>
      <c r="EA188" s="162" t="str">
        <f>EXP(-LN(2)/35)*EA187+(1-EXP(-LN(2)/35))/(LN(2)/35)*DW188*DX188*VLOOKUP('Données projet'!$B$14,'Paramètres'!$A$1:$I$88,3,0)*0.475*44/12</f>
        <v>#N/A</v>
      </c>
      <c r="EB188" s="162" t="str">
        <f>EXP(-LN(2)/25)*EB187+(1-EXP(-LN(2)/25))/(LN(2)/25)*Calculateur!DW188*Calculateur!DY188*VLOOKUP('Données projet'!$B$14,'Paramètres'!$A$1:$I$88,3,0)*0.475*44/12</f>
        <v>#N/A</v>
      </c>
      <c r="EC188" s="162" t="str">
        <f>EXP(-LN(2)/2)*EC187+(1-EXP(-LN(2)/2))/(LN(2)/2)*DW188*DZ188*VLOOKUP('Données projet'!$B$14,'Paramètres'!$A$1:$I$88,3,0)*0.475*44/12</f>
        <v>#N/A</v>
      </c>
      <c r="ED188" s="163" t="str">
        <f t="shared" si="19"/>
        <v>#N/A</v>
      </c>
      <c r="EE188" s="159">
        <f>('Scénario référence'!$F$8+'Scénario référence'!$F$9+'Scénario référence'!$B$17+'Scénario référence'!$B$9+'Scénario référence'!$B$10)*70+IF((45+25*(1-EXP(-0.0175*A188)))&lt;70,'Scénario référence'!$B$16*(45+25*(1-EXP(-0.0175*A188))),70*'Scénario référence'!$B$16)+IF((32+38*(1-EXP(-0.0175*A188)))&lt;70,'Scénario référence'!$B$18*(32+38*(1-EXP(-0.0175*A188))),70*'Scénario référence'!$B$18)</f>
        <v>70</v>
      </c>
      <c r="EF188" s="151">
        <f>IF(A188&gt;30,10,('Scénario référence'!$B$16+'Scénario référence'!$B$17+'Scénario référence'!$B$18+'Scénario référence'!$B$9+'Scénario référence'!$B$10)*A188*10/30+('Scénario référence'!$F$8+'Scénario référence'!$F$9)*10)</f>
        <v>10</v>
      </c>
      <c r="EG188" s="151" t="str">
        <f>VLOOKUP(A188,'Données projet'!$A$191:$I$211,2,0)</f>
        <v>#N/A</v>
      </c>
      <c r="EH188" s="151" t="str">
        <f>VLOOKUP(A188,'Données projet'!$A$191:$I$211,9,0)</f>
        <v>#N/A</v>
      </c>
      <c r="EI188" s="151" t="str">
        <f t="array" ref="EI188">INDEX(EH:EH,MIN(IF(ISNUMBER(EH188:EH384),ROW(EH188:EH384),"")))</f>
        <v/>
      </c>
      <c r="EJ188" s="151">
        <f>IF('Données projet'!$A$192&gt;35,EJ187+EI188-ER187,IF(A188&lt;'Données projet'!$A$192,$EG$205^A188,IF(A188='Données projet'!$A$192,'Données projet'!$B$192,EJ187+EI188-ER187)))</f>
        <v>0</v>
      </c>
      <c r="EK188" s="158" t="str">
        <f>EJ188*VLOOKUP('Données projet'!$B$15,'Paramètres'!$A$1:$I$88,3,0)*VLOOKUP('Données projet'!$B$15,'Paramètres'!$A$1:$I$88,5,0)</f>
        <v>#N/A</v>
      </c>
      <c r="EL188" s="150" t="str">
        <f t="shared" si="46"/>
        <v>#N/A</v>
      </c>
      <c r="EM188" s="161" t="str">
        <f t="shared" si="20"/>
        <v>#N/A</v>
      </c>
      <c r="EN188" s="153" t="str">
        <f t="shared" si="21"/>
        <v>#N/A</v>
      </c>
      <c r="EO188" s="153" t="str">
        <f>AVERAGE(OFFSET($EN$3,0,0,'Données projet'!$E$15+1,1))-AVERAGE(OFFSET($H$3,0,0,'Données projet'!$E$15+1,1))</f>
        <v>#N/A</v>
      </c>
      <c r="EP188" s="153" t="str">
        <f t="shared" si="47"/>
        <v>#N/A</v>
      </c>
      <c r="EQ188" s="154">
        <f>IF(ISNA(VLOOKUP(A188,'Données projet'!$A$191:$I$211,3,0)),0,VLOOKUP(A188,'Données projet'!$A$191:$I$211,3,0))</f>
        <v>0</v>
      </c>
      <c r="ER188" s="154">
        <f>IF(ISNA(VLOOKUP(A188,'Données projet'!$A$191:$I$211,4,0)),0,VLOOKUP(A188,'Données projet'!$A$191:$I$211,4,0))</f>
        <v>0</v>
      </c>
      <c r="ES188" s="155">
        <f>IF(ISNA(VLOOKUP(A188,'Données projet'!$A$191:$I$211,5,0)),0%,VLOOKUP(A188,'Données projet'!$A$191:$I$211,5,0)*VLOOKUP('Données projet'!$B$15,'Paramètres'!$A$1:$I$88,7,0))</f>
        <v>0</v>
      </c>
      <c r="ET188" s="155">
        <f>IF(ISNA(VLOOKUP(A188,'Données projet'!$A$191:$I$211,6,0)),0%,VLOOKUP(A188,'Données projet'!$A$191:$I$211,6,0)*VLOOKUP('Données projet'!$B$15,'Paramètres'!$A$1:$I$88,7,0))</f>
        <v>0</v>
      </c>
      <c r="EU188" s="155">
        <f>IF(ISNA(VLOOKUP(A188,'Données projet'!$A$191:$I$211,7,0)),0%,VLOOKUP(A188,'Données projet'!$A$191:$I$211,7,0))</f>
        <v>0</v>
      </c>
      <c r="EV188" s="162" t="str">
        <f>EXP(-LN(2)/35)*EV187+(1-EXP(-LN(2)/35))/(LN(2)/35)*ER188*ES188*VLOOKUP('Données projet'!$B$15,'Paramètres'!$A$1:$I$88,3,0)*0.475*44/12</f>
        <v>#N/A</v>
      </c>
      <c r="EW188" s="162" t="str">
        <f>EXP(-LN(2)/25)*EW187+(1-EXP(-LN(2)/25))/(LN(2)/25)*Calculateur!ER188*Calculateur!ET188*VLOOKUP('Données projet'!$B$15,'Paramètres'!$A$1:$I$88,3,0)*0.475*44/12</f>
        <v>#N/A</v>
      </c>
      <c r="EX188" s="162" t="str">
        <f>EXP(-LN(2)/2)*EX187+(1-EXP(-LN(2)/2))/(LN(2)/2)*ER188*EU188*VLOOKUP('Données projet'!$B$15,'Paramètres'!$A$1:$I$88,3,0)*0.475*44/12</f>
        <v>#N/A</v>
      </c>
      <c r="EY188" s="163" t="str">
        <f t="shared" si="22"/>
        <v>#N/A</v>
      </c>
      <c r="EZ188" s="159">
        <f>('Scénario référence'!$F$8+'Scénario référence'!$F$9+'Scénario référence'!$B$17+'Scénario référence'!$B$9+'Scénario référence'!$B$10)*70+IF((45+25*(1-EXP(-0.0175*A188)))&lt;70,'Scénario référence'!$B$16*(45+25*(1-EXP(-0.0175*A188))),70*'Scénario référence'!$B$16)+IF((32+38*(1-EXP(-0.0175*A188)))&lt;70,'Scénario référence'!$B$18*(32+38*(1-EXP(-0.0175*A188))),70*'Scénario référence'!$B$18)</f>
        <v>70</v>
      </c>
      <c r="FA188" s="151">
        <f>IF(A188&gt;30,10,('Scénario référence'!$B$16+'Scénario référence'!$B$17+'Scénario référence'!$B$18+'Scénario référence'!$B$9+'Scénario référence'!$B$10)*A188*10/30+('Scénario référence'!$F$8+'Scénario référence'!$F$9)*10)</f>
        <v>10</v>
      </c>
      <c r="FB188" s="151" t="str">
        <f>VLOOKUP(A188,'Données projet'!$A$217:$I$237,2,0)</f>
        <v>#N/A</v>
      </c>
      <c r="FC188" s="151" t="str">
        <f>VLOOKUP(A188,'Données projet'!$A$217:$I$237,9,0)</f>
        <v>#N/A</v>
      </c>
      <c r="FD188" s="151" t="str">
        <f t="array" ref="FD188">INDEX(FC:FC,MIN(IF(ISNUMBER(FC188:FC384),ROW(FC188:FC384),"")))</f>
        <v/>
      </c>
      <c r="FE188" s="151">
        <f>IF('Données projet'!$A$218&gt;35,FE187+FD188-FM187,IF(A188&lt;'Données projet'!$A$218,$FB$205^A188,IF(A188='Données projet'!$A$218,'Données projet'!$B$218,FE187+FD188-FM187)))</f>
        <v>0</v>
      </c>
      <c r="FF188" s="158" t="str">
        <f>FE188*VLOOKUP('Données projet'!$B$16,'Paramètres'!$A$1:$I$88,3,0)*VLOOKUP('Données projet'!$B$16,'Paramètres'!$A$1:$I$88,5,0)</f>
        <v>#N/A</v>
      </c>
      <c r="FG188" s="150" t="str">
        <f t="shared" si="48"/>
        <v>#N/A</v>
      </c>
      <c r="FH188" s="161" t="str">
        <f t="shared" si="23"/>
        <v>#N/A</v>
      </c>
      <c r="FI188" s="153" t="str">
        <f t="shared" si="24"/>
        <v>#N/A</v>
      </c>
      <c r="FJ188" s="153" t="str">
        <f>AVERAGE(OFFSET($FI$3,0,0,'Données projet'!$E$16+1,1))-AVERAGE(OFFSET($H$3,0,0,'Données projet'!$E$16+1,1))</f>
        <v>#N/A</v>
      </c>
      <c r="FK188" s="153" t="str">
        <f t="shared" si="49"/>
        <v>#N/A</v>
      </c>
      <c r="FL188" s="154">
        <f>IF(ISNA(VLOOKUP(A188,'Données projet'!$A$217:$I$237,3,0)),0,VLOOKUP(A188,'Données projet'!$A$217:$I$237,3,0))</f>
        <v>0</v>
      </c>
      <c r="FM188" s="154">
        <f>IF(ISNA(VLOOKUP(A188,'Données projet'!$A$217:$I$237,4,0)),0,VLOOKUP(A188,'Données projet'!$A$217:$I$237,4,0))</f>
        <v>0</v>
      </c>
      <c r="FN188" s="155">
        <f>IF(ISNA(VLOOKUP(A188,'Données projet'!$A$217:$I$237,5,0)),0%,VLOOKUP(A188,'Données projet'!$A$217:$I$237,5,0)*VLOOKUP('Données projet'!$B$16,'Paramètres'!$A$1:$I$88,7,0))</f>
        <v>0</v>
      </c>
      <c r="FO188" s="155">
        <f>IF(ISNA(VLOOKUP(A188,'Données projet'!$A$217:$I$237,6,0)),0%,VLOOKUP(A188,'Données projet'!$A$217:$I$237,6,0)*VLOOKUP('Données projet'!$B$16,'Paramètres'!$A$1:$I$88,7,0))</f>
        <v>0</v>
      </c>
      <c r="FP188" s="155">
        <f>IF(ISNA(VLOOKUP(A188,'Données projet'!$A$217:$I$237,7,0)),0%,VLOOKUP(A188,'Données projet'!$A$217:$I$237,7,0))</f>
        <v>0</v>
      </c>
      <c r="FQ188" s="162" t="str">
        <f>EXP(-LN(2)/35)*FQ187+(1-EXP(-LN(2)/35))/(LN(2)/35)*FM188*FN188*VLOOKUP('Données projet'!$B$16,'Paramètres'!$A$1:$I$88,3,0)*0.475*44/12</f>
        <v>#N/A</v>
      </c>
      <c r="FR188" s="162" t="str">
        <f>EXP(-LN(2)/25)*FR187+(1-EXP(-LN(2)/25))/(LN(2)/25)*Calculateur!FM188*Calculateur!FO188*VLOOKUP('Données projet'!$B$16,'Paramètres'!$A$1:$I$88,3,0)*0.475*44/12</f>
        <v>#N/A</v>
      </c>
      <c r="FS188" s="162" t="str">
        <f>EXP(-LN(2)/2)*FS187+(1-EXP(-LN(2)/2))/(LN(2)/2)*FM188*FP188*VLOOKUP('Données projet'!$B$16,'Paramètres'!$A$1:$I$88,3,0)*0.475*44/12</f>
        <v>#N/A</v>
      </c>
      <c r="FT188" s="163" t="str">
        <f t="shared" si="25"/>
        <v>#N/A</v>
      </c>
      <c r="FU188" s="159">
        <f>('Scénario référence'!$F$8+'Scénario référence'!$F$9+'Scénario référence'!$B$17+'Scénario référence'!$B$9+'Scénario référence'!$B$10)*70+IF((45+25*(1-EXP(-0.0175*A188)))&lt;70,'Scénario référence'!$B$16*(45+25*(1-EXP(-0.0175*A188))),70*'Scénario référence'!$B$16)+IF((32+38*(1-EXP(-0.0175*A188)))&lt;70,'Scénario référence'!$B$18*(32+38*(1-EXP(-0.0175*A188))),70*'Scénario référence'!$B$18)</f>
        <v>70</v>
      </c>
      <c r="FV188" s="151">
        <f>IF(A188&gt;30,10,('Scénario référence'!$B$16+'Scénario référence'!$B$17+'Scénario référence'!$B$18+'Scénario référence'!$B$9+'Scénario référence'!$B$10)*A188*10/30+('Scénario référence'!$F$8+'Scénario référence'!$F$9)*10)</f>
        <v>10</v>
      </c>
      <c r="FW188" s="151" t="str">
        <f>VLOOKUP(A188,'Données projet'!$A$243:$I$263,2,0)</f>
        <v>#N/A</v>
      </c>
      <c r="FX188" s="151" t="str">
        <f>VLOOKUP(A188,'Données projet'!$A$243:$I$263,9,0)</f>
        <v>#N/A</v>
      </c>
      <c r="FY188" s="151" t="str">
        <f t="array" ref="FY188">INDEX(FX:FX,MIN(IF(ISNUMBER(FX188:FX384),ROW(FX188:FX384),"")))</f>
        <v/>
      </c>
      <c r="FZ188" s="151">
        <f>IF('Données projet'!$A$244&gt;35,FZ187+FY188-GH187,IF(A188&lt;'Données projet'!$A$244,$FW$205^A188,IF(A188='Données projet'!$A$244,'Données projet'!$B$244,FZ187+FY188-GH187)))</f>
        <v>0</v>
      </c>
      <c r="GA188" s="158" t="str">
        <f>FZ188*VLOOKUP('Données projet'!$B$17,'Paramètres'!$A$1:$I$88,3,0)*VLOOKUP('Données projet'!$B$17,'Paramètres'!$A$1:$I$88,5,0)</f>
        <v>#N/A</v>
      </c>
      <c r="GB188" s="150" t="str">
        <f t="shared" si="50"/>
        <v>#N/A</v>
      </c>
      <c r="GC188" s="161" t="str">
        <f t="shared" si="26"/>
        <v>#N/A</v>
      </c>
      <c r="GD188" s="153" t="str">
        <f t="shared" si="27"/>
        <v>#N/A</v>
      </c>
      <c r="GE188" s="153" t="str">
        <f>AVERAGE(OFFSET($GD$3,0,0,'Données projet'!$E$17+1,1))-AVERAGE(OFFSET($H$3,0,0,'Données projet'!$E$17+1,1))</f>
        <v>#N/A</v>
      </c>
      <c r="GF188" s="153" t="str">
        <f t="shared" si="51"/>
        <v>#N/A</v>
      </c>
      <c r="GG188" s="154">
        <f>IF(ISNA(VLOOKUP(A188,'Données projet'!$A$243:$I$263,3,0)),0,VLOOKUP(A188,'Données projet'!$A$243:$I$263,3,0))</f>
        <v>0</v>
      </c>
      <c r="GH188" s="154">
        <f>IF(ISNA(VLOOKUP(A188,'Données projet'!$A$243:$I$263,4,0)),0,VLOOKUP(A188,'Données projet'!$A$243:$I$263,4,0))</f>
        <v>0</v>
      </c>
      <c r="GI188" s="155">
        <f>IF(ISNA(VLOOKUP(A188,'Données projet'!$A$243:$I$263,5,0)),0%,VLOOKUP(A188,'Données projet'!$A$243:$I$263,5,0)*VLOOKUP('Données projet'!$B$17,'Paramètres'!$A$1:$I$88,7,0))</f>
        <v>0</v>
      </c>
      <c r="GJ188" s="155">
        <f>IF(ISNA(VLOOKUP(A188,'Données projet'!$A$243:$I$263,6,0)),0%,VLOOKUP(A188,'Données projet'!$A$243:$I$263,6,0)*VLOOKUP('Données projet'!$B$17,'Paramètres'!$A$1:$I$88,7,0))</f>
        <v>0</v>
      </c>
      <c r="GK188" s="155">
        <f>IF(ISNA(VLOOKUP(A188,'Données projet'!$A$243:$I$263,7,0)),0%,VLOOKUP(A188,'Données projet'!$A$243:$I$263,7,0))</f>
        <v>0</v>
      </c>
      <c r="GL188" s="162" t="str">
        <f>EXP(-LN(2)/35)*GL187+(1-EXP(-LN(2)/35))/(LN(2)/35)*GH188*GI188*VLOOKUP('Données projet'!$B$17,'Paramètres'!$A$1:$I$88,3,0)*0.475*44/12</f>
        <v>#N/A</v>
      </c>
      <c r="GM188" s="162" t="str">
        <f>EXP(-LN(2)/25)*GM187+(1-EXP(-LN(2)/25))/(LN(2)/25)*Calculateur!GH188*Calculateur!GJ188*VLOOKUP('Données projet'!$B$17,'Paramètres'!$A$1:$I$88,3,0)*0.475*44/12</f>
        <v>#N/A</v>
      </c>
      <c r="GN188" s="162" t="str">
        <f>EXP(-LN(2)/2)*GN187+(1-EXP(-LN(2)/2))/(LN(2)/2)*GH188*GK188*VLOOKUP('Données projet'!$B$17,'Paramètres'!$A$1:$I$88,3,0)*0.475*44/12</f>
        <v>#N/A</v>
      </c>
      <c r="GO188" s="162" t="str">
        <f t="shared" si="28"/>
        <v>#N/A</v>
      </c>
      <c r="GP188" s="159">
        <f>('Scénario référence'!$F$8+'Scénario référence'!$F$9+'Scénario référence'!$B$17+'Scénario référence'!$B$9+'Scénario référence'!$B$10)*70+IF((45+25*(1-EXP(-0.0175*A188)))&lt;70,'Scénario référence'!$B$16*(45+25*(1-EXP(-0.0175*A188))),70*'Scénario référence'!$B$16)+IF((32+38*(1-EXP(-0.0175*A188)))&lt;70,'Scénario référence'!$B$18*(32+38*(1-EXP(-0.0175*A188))),70*'Scénario référence'!$B$18)</f>
        <v>70</v>
      </c>
      <c r="GQ188" s="151">
        <f>IF(A188&gt;30,10,('Scénario référence'!$B$16+'Scénario référence'!$B$17+'Scénario référence'!$B$18+'Scénario référence'!$B$9+'Scénario référence'!$B$10)*A188*10/30+('Scénario référence'!$F$8+'Scénario référence'!$F$9)*10)</f>
        <v>10</v>
      </c>
      <c r="GR188" s="151" t="str">
        <f>VLOOKUP(A188,'Données projet'!$A$269:$I$289,2,0)</f>
        <v>#N/A</v>
      </c>
      <c r="GS188" s="151" t="str">
        <f>VLOOKUP(A188,'Données projet'!$A$269:$I$289,9,0)</f>
        <v>#N/A</v>
      </c>
      <c r="GT188" s="151" t="str">
        <f t="array" ref="GT188">INDEX(GS:GS,MIN(IF(ISNUMBER(GS188:GS384),ROW(GS188:GS384),"")))</f>
        <v/>
      </c>
      <c r="GU188" s="151">
        <f>IF('Données projet'!$A$270&gt;35,GU187+GT188-HC187,IF(A188&lt;'Données projet'!$A$270,$GR$205^A188,IF(A188='Données projet'!$A$270,'Données projet'!$B$270,GU187+GT188-HC187)))</f>
        <v>0</v>
      </c>
      <c r="GV188" s="158" t="str">
        <f>GU188*VLOOKUP('Données projet'!$B$18,'Paramètres'!$A$1:$I$88,3,0)*VLOOKUP('Données projet'!$B$18,'Paramètres'!$A$1:$I$88,5,0)</f>
        <v>#N/A</v>
      </c>
      <c r="GW188" s="150" t="str">
        <f t="shared" si="52"/>
        <v>#N/A</v>
      </c>
      <c r="GX188" s="161" t="str">
        <f t="shared" si="29"/>
        <v>#N/A</v>
      </c>
      <c r="GY188" s="153" t="str">
        <f t="shared" si="30"/>
        <v>#N/A</v>
      </c>
      <c r="GZ188" s="153" t="str">
        <f>AVERAGE(OFFSET($GY$3,0,0,'Données projet'!$E$18+1,1))-AVERAGE(OFFSET($H$3,0,0,'Données projet'!$E$18+1,1))</f>
        <v>#N/A</v>
      </c>
      <c r="HA188" s="153" t="str">
        <f t="shared" si="53"/>
        <v>#N/A</v>
      </c>
      <c r="HB188" s="154">
        <f>IF(ISNA(VLOOKUP(A188,'Données projet'!$A$269:$I$289,3,0)),0,VLOOKUP(A188,'Données projet'!$A$269:$I$289,3,0))</f>
        <v>0</v>
      </c>
      <c r="HC188" s="154">
        <f>IF(ISNA(VLOOKUP(A188,'Données projet'!$A$269:$I$289,4,0)),0,VLOOKUP(A188,'Données projet'!$A$269:$I$289,4,0))</f>
        <v>0</v>
      </c>
      <c r="HD188" s="155">
        <f>IF(ISNA(VLOOKUP(A188,'Données projet'!$A$269:$I$289,5,0)),0%,VLOOKUP(A188,'Données projet'!$A$269:$I$289,5,0)*VLOOKUP('Données projet'!$B$18,'Paramètres'!$A$1:$I$88,7,0))</f>
        <v>0</v>
      </c>
      <c r="HE188" s="155">
        <f>IF(ISNA(VLOOKUP(A188,'Données projet'!$A$269:$I$289,6,0)),0%,VLOOKUP(A188,'Données projet'!$A$269:$I$289,6,0)*VLOOKUP('Données projet'!$B$18,'Paramètres'!$A$1:$I$88,7,0))</f>
        <v>0</v>
      </c>
      <c r="HF188" s="155">
        <f>IF(ISNA(VLOOKUP(A188,'Données projet'!$A$269:$I$289,7,0)),0%,VLOOKUP(A188,'Données projet'!$A$269:$I$289,7,0))</f>
        <v>0</v>
      </c>
      <c r="HG188" s="162" t="str">
        <f>EXP(-LN(2)/35)*HG187+(1-EXP(-LN(2)/35))/(LN(2)/35)*HC188*HD188*VLOOKUP('Données projet'!$B$18,'Paramètres'!$A$1:$I$88,3,0)*0.475*44/12</f>
        <v>#N/A</v>
      </c>
      <c r="HH188" s="162" t="str">
        <f>EXP(-LN(2)/25)*HH187+(1-EXP(-LN(2)/25))/(LN(2)/25)*Calculateur!HC188*Calculateur!HE188*VLOOKUP('Données projet'!$B$18,'Paramètres'!$A$1:$I$88,3,0)*0.475*44/12</f>
        <v>#N/A</v>
      </c>
      <c r="HI188" s="162" t="str">
        <f>EXP(-LN(2)/2)*HI187+(1-EXP(-LN(2)/2))/(LN(2)/2)*HC188*HF188*VLOOKUP('Données projet'!$B$18,'Paramètres'!$A$1:$I$88,3,0)*0.475*44/12</f>
        <v>#N/A</v>
      </c>
      <c r="HJ188" s="163" t="str">
        <f t="shared" si="31"/>
        <v>#N/A</v>
      </c>
    </row>
    <row r="189" ht="15.75" customHeight="1">
      <c r="A189" s="145">
        <f t="shared" si="32"/>
        <v>186</v>
      </c>
      <c r="B189" s="146">
        <f>'Scénario référence'!$B$16*5+'Scénario référence'!$B$17*0+'Scénario référence'!$B$18*5</f>
        <v>0</v>
      </c>
      <c r="C189" s="160">
        <f>Calculateur!C188+'Scénario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89" s="147">
        <f t="shared" si="33"/>
        <v>0</v>
      </c>
      <c r="E189" s="147">
        <f>'Scénario référence'!$B$16*45+('Scénario référence'!$B$17+'Scénario référence'!$F$8+'Scénario référence'!$F$9+'Scénario référence'!$B$10+'Scénario référence'!$B$9)*70+'Scénario référence'!$B$18*32</f>
        <v>70</v>
      </c>
      <c r="F189" s="147">
        <f>IF(OR('Scénario référence'!$F$8&gt;0,'Scénario référence'!$F$9&gt;0),('Scénario référence'!$F$8+'Scénario référence'!$F$9)*10,0)</f>
        <v>0</v>
      </c>
      <c r="G189" s="147">
        <f>'Scénario référence'!$B$8*B189*44/12+'Scénario référence'!$B$9*(C189+D189)/0.475*44/12+'Scénario référence'!$B$10*(C189+D189)/0.475*44/12+'Scénario référence'!$F$8*(C189+D189)/0.475*44/12+'Scénario référence'!$F$9*(C189+D189)/0.475*44/12</f>
        <v>0</v>
      </c>
      <c r="H189" s="148">
        <f t="shared" si="1"/>
        <v>256.6666667</v>
      </c>
      <c r="I189" s="149">
        <f>('Scénario référence'!$F$8+'Scénario référence'!$F$9+'Scénario référence'!$B$17+'Scénario référence'!$B$9+'Scénario référence'!$B$10)*70+IF((45+25*(1-EXP(-0.0175*A189)))&lt;70,'Scénario référence'!$B$16*(45+25*(1-EXP(-0.0175*A189))),70*'Scénario référence'!$B$16)+IF((32+38*(1-EXP(-0.0175*A189)))&lt;70,'Scénario référence'!$B$18*(32+38*(1-EXP(-0.0175*A189))),70*'Scénario référence'!$B$18)</f>
        <v>70</v>
      </c>
      <c r="J189" s="150">
        <f>IF(A189&gt;30,10,('Scénario référence'!$B$16+'Scénario référence'!$B$17+'Scénario référence'!$B$18+'Scénario référence'!$B$9+'Scénario référence'!$B$10)*A189*10/30+('Scénario référence'!$F$8+'Scénario référence'!$F$9)*10)</f>
        <v>10</v>
      </c>
      <c r="K189" s="151" t="str">
        <f>VLOOKUP(A189,'Données projet'!$A$35:$I$55,2,0)</f>
        <v>#N/A</v>
      </c>
      <c r="L189" s="151" t="str">
        <f>VLOOKUP(A189,'Données projet'!$A$35:$I$55,9,0)</f>
        <v>#N/A</v>
      </c>
      <c r="M189" s="151" t="str">
        <f t="array" ref="M189">INDEX(L:L,MIN(IF(ISNUMBER(L189:L385),ROW(L189:L385),"")))</f>
        <v/>
      </c>
      <c r="N189" s="150">
        <f>IF('Données projet'!$A$36&gt;35,N188+M189-V188,IF(A189&lt;'Données projet'!$A$36,$K$205^A189,IF(A189='Données projet'!$A$36,'Données projet'!$B$36,N188+M189-V188)))</f>
        <v>307</v>
      </c>
      <c r="O189" s="150">
        <f>N189*VLOOKUP('Données projet'!$B$9,'Paramètres'!$A$1:$I$88,3,0)*VLOOKUP('Données projet'!$B$9,'Paramètres'!$A$1:$I$88,5,0)</f>
        <v>277.7736</v>
      </c>
      <c r="P189" s="150">
        <f t="shared" si="34"/>
        <v>66.49628818</v>
      </c>
      <c r="Q189" s="161">
        <f t="shared" si="2"/>
        <v>599.6033886</v>
      </c>
      <c r="R189" s="153">
        <f t="shared" si="3"/>
        <v>892.9367219</v>
      </c>
      <c r="S189" s="153">
        <f>AVERAGE(OFFSET($R$3,0,0,'Données projet'!$E$9+1,1))-AVERAGE(OFFSET($H$3,0,0,'Données projet'!$E$9+1,1))</f>
        <v>439.1985427</v>
      </c>
      <c r="T189" s="153">
        <f t="shared" si="35"/>
        <v>278.2174123</v>
      </c>
      <c r="U189" s="154">
        <f>IF(ISNA(VLOOKUP(A189,'Données projet'!$A$35:$I$55,3,0)),0,VLOOKUP(A189,'Données projet'!$A$35:$I$55,3,0))</f>
        <v>0</v>
      </c>
      <c r="V189" s="154">
        <f>IF(ISNA(VLOOKUP(A189,'Données projet'!$A$35:$I$55,4,0)),0,VLOOKUP(A189,'Données projet'!$A$35:$I$55,4,0))</f>
        <v>0</v>
      </c>
      <c r="W189" s="155">
        <f>IF(ISNA(VLOOKUP(A189,'Données projet'!$A$35:$I$55,5,0)),0%,VLOOKUP(A189,'Données projet'!$A$35:$I$55,5,0)*VLOOKUP('Données projet'!$B$9,'Paramètres'!$A$1:$I$88,7,0))</f>
        <v>0</v>
      </c>
      <c r="X189" s="155">
        <f>IF(ISNA(VLOOKUP(A189,'Données projet'!$A$35:$I$55,6,0)),0%,VLOOKUP(A189,'Données projet'!$A$35:$I$55,6,0)*VLOOKUP('Données projet'!$B$9,'Paramètres'!$A$1:$I$88,7,0))</f>
        <v>0</v>
      </c>
      <c r="Y189" s="155">
        <f>IF(ISNA(VLOOKUP(A189,'Données projet'!$A$35:$I$55,7,0)),0%,VLOOKUP(A189,'Données projet'!$A$35:$I$55,7,0))</f>
        <v>0</v>
      </c>
      <c r="Z189" s="162">
        <f>EXP(-LN(2)/35)*Z188+(1-EXP(-LN(2)/35))/(LN(2)/35)*V189*W189*VLOOKUP('Données projet'!$B$9,'Paramètres'!$A$1:$I$88,3,0)*0.475*44/12</f>
        <v>0</v>
      </c>
      <c r="AA189" s="162">
        <f>EXP(-LN(2)/25)*AA188+(1-EXP(-LN(2)/25))/(LN(2)/25)*Calculateur!V189*Calculateur!X189*VLOOKUP('Données projet'!$B$9,'Paramètres'!$A$1:$I$88,3,0)*0.475*44/12</f>
        <v>0.05937246854</v>
      </c>
      <c r="AB189" s="162">
        <f>EXP(-LN(2)/2)*AB188+(1-EXP(-LN(2)/2))/(LN(2)/2)*V189*Y189*VLOOKUP('Données projet'!$B$9,'Paramètres'!$A$1:$I$88,3,0)*0.475*44/12</f>
        <v>0</v>
      </c>
      <c r="AC189" s="163">
        <f t="shared" si="4"/>
        <v>0.05937246854</v>
      </c>
      <c r="AD189" s="150">
        <f>('Scénario référence'!$F$8+'Scénario référence'!$F$9+'Scénario référence'!$B$17+'Scénario référence'!$B$9+'Scénario référence'!$B$10)*70+IF((45+25*(1-EXP(-0.0175*A189)))&lt;70,'Scénario référence'!$B$16*(45+25*(1-EXP(-0.0175*A189))),70*'Scénario référence'!$B$16)+IF((32+38*(1-EXP(-0.0175*A189)))&lt;70,'Scénario référence'!$B$18*(32+38*(1-EXP(-0.0175*A189))),70*'Scénario référence'!$B$18)</f>
        <v>70</v>
      </c>
      <c r="AE189" s="150">
        <f>IF(A189&gt;30,10,('Scénario référence'!$B$16+'Scénario référence'!$B$17+'Scénario référence'!$B$18+'Scénario référence'!$B$9+'Scénario référence'!$B$10)*A189*10/30+('Scénario référence'!$F$8+'Scénario référence'!$F$9)*10)</f>
        <v>10</v>
      </c>
      <c r="AF189" s="151" t="str">
        <f>VLOOKUP(A189,'Données projet'!$A$61:$I$81,2,0)</f>
        <v>#N/A</v>
      </c>
      <c r="AG189" s="151" t="str">
        <f>VLOOKUP(A189,'Données projet'!$A$61:$I$81,9,0)</f>
        <v>#N/A</v>
      </c>
      <c r="AH189" s="151" t="str">
        <f t="array" ref="AH189">INDEX(AG:AG,MIN(IF(ISNUMBER(AG189:AG385),ROW(AG189:AG385),"")))</f>
        <v/>
      </c>
      <c r="AI189" s="150">
        <f>IF('Données projet'!$A$62&gt;35,AI188+AH189-AQ188,IF(A189&lt;'Données projet'!$A$62,$AF$205^A189,IF(A189='Données projet'!$A$62,'Données projet'!$B$62,AI188+AH189-AQ188)))</f>
        <v>369</v>
      </c>
      <c r="AJ189" s="150">
        <f>AI189*VLOOKUP('Données projet'!$B$10,'Paramètres'!$A$1:$I$88,3,0)*VLOOKUP('Données projet'!$B$10,'Paramètres'!$A$1:$I$88,5,0)</f>
        <v>293.5764</v>
      </c>
      <c r="AK189" s="150">
        <f t="shared" si="36"/>
        <v>69.82813851</v>
      </c>
      <c r="AL189" s="161">
        <f t="shared" si="5"/>
        <v>632.9295712</v>
      </c>
      <c r="AM189" s="153">
        <f t="shared" si="6"/>
        <v>926.2629046</v>
      </c>
      <c r="AN189" s="153">
        <f>AVERAGE(OFFSET($AM$3,0,0,'Données projet'!$E$10+1,1))-AVERAGE(OFFSET($H$3,0,0,'Données projet'!$E$10+1,1))</f>
        <v>405.6113614</v>
      </c>
      <c r="AO189" s="153">
        <f t="shared" si="37"/>
        <v>393.0787141</v>
      </c>
      <c r="AP189" s="154">
        <f>IF(ISNA(VLOOKUP(A189,'Données projet'!$A$61:$I$81,3,0)),0,VLOOKUP(A189,'Données projet'!$A$61:$I$81,3,0))</f>
        <v>0</v>
      </c>
      <c r="AQ189" s="154">
        <f>IF(ISNA(VLOOKUP(A189,'Données projet'!$A$61:$I$81,4,0)),0,VLOOKUP(A189,'Données projet'!$A$61:$I$81,4,0))</f>
        <v>0</v>
      </c>
      <c r="AR189" s="155">
        <f>IF(ISNA(VLOOKUP(A189,'Données projet'!$A$61:$I$81,5,0)),0%,VLOOKUP(A189,'Données projet'!$A$61:$I$81,5,0)*VLOOKUP('Données projet'!$B$10,'Paramètres'!$A$1:$I$88,7,0))</f>
        <v>0</v>
      </c>
      <c r="AS189" s="155">
        <f>IF(ISNA(VLOOKUP(A189,'Données projet'!$A$61:$I$81,6,0)),0%,VLOOKUP(A189,'Données projet'!$A$61:$I$81,6,0)*VLOOKUP('Données projet'!$B$10,'Paramètres'!$A$1:$I$88,7,0))</f>
        <v>0</v>
      </c>
      <c r="AT189" s="155">
        <f>IF(ISNA(VLOOKUP(A189,'Données projet'!$A$61:$I$81,7,0)),0%,VLOOKUP(A189,'Données projet'!$A$61:$I$81,7,0))</f>
        <v>0</v>
      </c>
      <c r="AU189" s="162">
        <f>EXP(-LN(2)/35)*AU188+(1-EXP(-LN(2)/35))/(LN(2)/35)*AQ189*AR189*VLOOKUP('Données projet'!$B$10,'Paramètres'!$A$1:$I$88,3,0)*0.475*44/12</f>
        <v>0</v>
      </c>
      <c r="AV189" s="162">
        <f>EXP(-LN(2)/25)*AV188+(1-EXP(-LN(2)/25))/(LN(2)/25)*Calculateur!AQ189*Calculateur!AS189*VLOOKUP('Données projet'!$B$10,'Paramètres'!$A$1:$I$88,3,0)*0.475*44/12</f>
        <v>0.2413048052</v>
      </c>
      <c r="AW189" s="162">
        <f>EXP(-LN(2)/2)*AW188+(1-EXP(-LN(2)/2))/(LN(2)/2)*AQ189*AT189*VLOOKUP('Données projet'!$B$10,'Paramètres'!$A$1:$I$88,3,0)*0.475*44/12</f>
        <v>0</v>
      </c>
      <c r="AX189" s="162">
        <f t="shared" si="7"/>
        <v>0.2413048052</v>
      </c>
      <c r="AY189" s="157">
        <f>('Scénario référence'!$F$8+'Scénario référence'!$F$9+'Scénario référence'!$B$17+'Scénario référence'!$B$9+'Scénario référence'!$B$10)*70+IF((45+25*(1-EXP(-0.0175*A189)))&lt;70,'Scénario référence'!$B$16*(45+25*(1-EXP(-0.0175*A189))),70*'Scénario référence'!$B$16)+IF((32+38*(1-EXP(-0.0175*A189)))&lt;70,'Scénario référence'!$B$18*(32+38*(1-EXP(-0.0175*A189))),70*'Scénario référence'!$B$18)</f>
        <v>70</v>
      </c>
      <c r="AZ189" s="151">
        <f>IF(A189&gt;30,10,('Scénario référence'!$B$16+'Scénario référence'!$B$17+'Scénario référence'!$B$18+'Scénario référence'!$B$9+'Scénario référence'!$B$10)*A189*10/30+('Scénario référence'!$F$8+'Scénario référence'!$F$9)*10)</f>
        <v>10</v>
      </c>
      <c r="BA189" s="151" t="str">
        <f>VLOOKUP(A189,'Données projet'!$A$87:$I$107,2,0)</f>
        <v>#N/A</v>
      </c>
      <c r="BB189" s="151" t="str">
        <f>VLOOKUP(A189,'Données projet'!$A$87:$I$107,9,0)</f>
        <v>#N/A</v>
      </c>
      <c r="BC189" s="151" t="str">
        <f t="array" ref="BC189">INDEX(BB:BB,MIN(IF(ISNUMBER(BB189:BB385),ROW(BB189:BB385),"")))</f>
        <v/>
      </c>
      <c r="BD189" s="150">
        <f>IF('Données projet'!$A$88&gt;35,BD188+BC189-BL188,IF(A189&lt;'Données projet'!$A$88,$BA$205^A189,IF(A189='Données projet'!$A$88,'Données projet'!$B$88,BD188+BC189-BL188)))</f>
        <v>0</v>
      </c>
      <c r="BE189" s="150">
        <f>BD189*VLOOKUP('Données projet'!$B$11,'Paramètres'!$A$1:$I$88,3,0)*VLOOKUP('Données projet'!$B$11,'Paramètres'!$A$1:$I$88,5,0)</f>
        <v>0</v>
      </c>
      <c r="BF189" s="150" t="str">
        <f t="shared" si="38"/>
        <v>#NUM!</v>
      </c>
      <c r="BG189" s="161" t="str">
        <f t="shared" si="8"/>
        <v>#NUM!</v>
      </c>
      <c r="BH189" s="153" t="str">
        <f t="shared" si="9"/>
        <v>#NUM!</v>
      </c>
      <c r="BI189" s="153">
        <f>AVERAGE(OFFSET($BH$3,0,0,'Données projet'!$E$11+1,1))-AVERAGE(OFFSET($H$3,0,0,'Données projet'!$E$11+1,1))</f>
        <v>0</v>
      </c>
      <c r="BJ189" s="153">
        <f t="shared" si="39"/>
        <v>0</v>
      </c>
      <c r="BK189" s="154">
        <f>IF(ISNA(VLOOKUP(A189,'Données projet'!$A$87:$I$107,3,0)),0,VLOOKUP(A189,'Données projet'!$A$87:$I$107,3,0))</f>
        <v>0</v>
      </c>
      <c r="BL189" s="154">
        <f>IF(ISNA(VLOOKUP(A189,'Données projet'!$A$87:$I$107,4,0)),0,VLOOKUP(A189,'Données projet'!$A$87:$I$107,4,0))</f>
        <v>0</v>
      </c>
      <c r="BM189" s="155">
        <f>IF(ISNA(VLOOKUP(A189,'Données projet'!$A$87:$I$107,5,0)),0%,VLOOKUP(A189,'Données projet'!$A$87:$I$107,5,0)*VLOOKUP('Données projet'!$B$11,'Paramètres'!$A$1:$I$88,7,0))</f>
        <v>0</v>
      </c>
      <c r="BN189" s="155">
        <f>IF(ISNA(VLOOKUP(A189,'Données projet'!$A$87:$I$107,6,0)),0%,VLOOKUP(A189,'Données projet'!$A$87:$I$107,6,0)*VLOOKUP('Données projet'!$B$11,'Paramètres'!$A$1:$I$88,7,0))</f>
        <v>0</v>
      </c>
      <c r="BO189" s="155">
        <f>IF(ISNA(VLOOKUP(A189,'Données projet'!$A$87:$I$107,7,0)),0%,VLOOKUP(A189,'Données projet'!$A$87:$I$107,7,0))</f>
        <v>0</v>
      </c>
      <c r="BP189" s="162">
        <f>EXP(-LN(2)/35)*BP188+(1-EXP(-LN(2)/35))/(LN(2)/35)*BL189*BM189*VLOOKUP('Données projet'!$B$11,'Paramètres'!$A$1:$I$88,3,0)*0.475*44/12</f>
        <v>0</v>
      </c>
      <c r="BQ189" s="162">
        <f>EXP(-LN(2)/25)*BQ188+(1-EXP(-LN(2)/25))/(LN(2)/25)*Calculateur!BL189*Calculateur!BN189*VLOOKUP('Données projet'!$B$11,'Paramètres'!$A$1:$I$88,3,0)*0.475*44/12</f>
        <v>0</v>
      </c>
      <c r="BR189" s="162">
        <f>EXP(-LN(2)/2)*BR188+(1-EXP(-LN(2)/2))/(LN(2)/2)*BL189*BO189*VLOOKUP('Données projet'!$B$11,'Paramètres'!$A$1:$I$88,3,0)*0.475*44/12</f>
        <v>0</v>
      </c>
      <c r="BS189" s="163">
        <f t="shared" si="10"/>
        <v>0</v>
      </c>
      <c r="BT189" s="159">
        <f>('Scénario référence'!$F$8+'Scénario référence'!$F$9+'Scénario référence'!$B$17+'Scénario référence'!$B$9+'Scénario référence'!$B$10)*70+IF((45+25*(1-EXP(-0.0175*A189)))&lt;70,'Scénario référence'!$B$16*(45+25*(1-EXP(-0.0175*A189))),70*'Scénario référence'!$B$16)+IF((32+38*(1-EXP(-0.0175*A189)))&lt;70,'Scénario référence'!$B$18*(32+38*(1-EXP(-0.0175*A189))),70*'Scénario référence'!$B$18)</f>
        <v>70</v>
      </c>
      <c r="BU189" s="151">
        <f>IF(A189&gt;30,10,('Scénario référence'!$B$16+'Scénario référence'!$B$17+'Scénario référence'!$B$18+'Scénario référence'!$B$9+'Scénario référence'!$B$10)*A189*10/30+('Scénario référence'!$F$8+'Scénario référence'!$F$9)*10)</f>
        <v>10</v>
      </c>
      <c r="BV189" s="151" t="str">
        <f>VLOOKUP(A189,'Données projet'!$A$113:$I$133,2,0)</f>
        <v>#N/A</v>
      </c>
      <c r="BW189" s="151" t="str">
        <f>VLOOKUP(A189,'Données projet'!$A$113:$I$133,9,0)</f>
        <v>#N/A</v>
      </c>
      <c r="BX189" s="151" t="str">
        <f t="array" ref="BX189">INDEX(BW:BW,MIN(IF(ISNUMBER(BW189:BW385),ROW(BW189:BW385),"")))</f>
        <v/>
      </c>
      <c r="BY189" s="150">
        <f>IF('Données projet'!$A$114&gt;35,BY188+BX189-CG188,IF(A189&lt;'Données projet'!$A$114,$BV$205^A189,IF(A189='Données projet'!$A$114,'Données projet'!$B$114,BY188+BX189-CG188)))</f>
        <v>0</v>
      </c>
      <c r="BZ189" s="150" t="str">
        <f>BY189*VLOOKUP('Données projet'!$B$12,'Paramètres'!$A$1:$I$88,3,0)*VLOOKUP('Données projet'!$B$12,'Paramètres'!$A$1:$I$88,5,0)</f>
        <v>#N/A</v>
      </c>
      <c r="CA189" s="150" t="str">
        <f t="shared" si="40"/>
        <v>#N/A</v>
      </c>
      <c r="CB189" s="161" t="str">
        <f t="shared" si="11"/>
        <v>#N/A</v>
      </c>
      <c r="CC189" s="153" t="str">
        <f t="shared" si="12"/>
        <v>#N/A</v>
      </c>
      <c r="CD189" s="153" t="str">
        <f>AVERAGE(OFFSET($CC$3,0,0,'Données projet'!$E$12+1,1))-AVERAGE(OFFSET($H$3,0,0,'Données projet'!$E$12+1,1))</f>
        <v>#N/A</v>
      </c>
      <c r="CE189" s="153" t="str">
        <f t="shared" si="41"/>
        <v>#N/A</v>
      </c>
      <c r="CF189" s="154">
        <f>IF(ISNA(VLOOKUP(A189,'Données projet'!$A$113:$I$133,3,0)),0,VLOOKUP(A189,'Données projet'!$A$113:$I$133,3,0))</f>
        <v>0</v>
      </c>
      <c r="CG189" s="154">
        <f>IF(ISNA(VLOOKUP(A189,'Données projet'!$A$113:$I$133,4,0)),0,VLOOKUP(A189,'Données projet'!$A$113:$I$133,4,0))</f>
        <v>0</v>
      </c>
      <c r="CH189" s="155">
        <f>IF(ISNA(VLOOKUP(A189,'Données projet'!$A$113:$I$133,5,0)),0%,VLOOKUP(A189,'Données projet'!$A$113:$I$133,5,0)*VLOOKUP('Données projet'!$B$12,'Paramètres'!$A$1:$I$88,7,0))</f>
        <v>0</v>
      </c>
      <c r="CI189" s="155">
        <f>IF(ISNA(VLOOKUP(A189,'Données projet'!$A$113:$I$133,6,0)),0%,VLOOKUP(A189,'Données projet'!$A$113:$I$133,6,0)*VLOOKUP('Données projet'!$B$12,'Paramètres'!$A$1:$I$88,7,0))</f>
        <v>0</v>
      </c>
      <c r="CJ189" s="155">
        <f>IF(ISNA(VLOOKUP(A189,'Données projet'!$A$113:$I$133,7,0)),0%,VLOOKUP(A189,'Données projet'!$A$113:$I$133,7,0))</f>
        <v>0</v>
      </c>
      <c r="CK189" s="162" t="str">
        <f>EXP(-LN(2)/35)*CK188+(1-EXP(-LN(2)/35))/(LN(2)/35)*CG189*CH189*VLOOKUP('Données projet'!$B$12,'Paramètres'!$A$1:$I$88,3,0)*0.475*44/12</f>
        <v>#N/A</v>
      </c>
      <c r="CL189" s="162" t="str">
        <f>EXP(-LN(2)/25)*CL188+(1-EXP(-LN(2)/25))/(LN(2)/25)*Calculateur!CG189*Calculateur!CI189*VLOOKUP('Données projet'!$B$12,'Paramètres'!$A$1:$I$88,3,0)*0.475*44/12</f>
        <v>#N/A</v>
      </c>
      <c r="CM189" s="162" t="str">
        <f>EXP(-LN(2)/2)*CM188+(1-EXP(-LN(2)/2))/(LN(2)/2)*CG189*CJ189*VLOOKUP('Données projet'!$B$12,'Paramètres'!$A$1:$I$88,3,0)*0.475*44/12</f>
        <v>#N/A</v>
      </c>
      <c r="CN189" s="163" t="str">
        <f t="shared" si="13"/>
        <v>#N/A</v>
      </c>
      <c r="CO189" s="159">
        <f>('Scénario référence'!$F$8+'Scénario référence'!$F$9+'Scénario référence'!$B$17+'Scénario référence'!$B$9+'Scénario référence'!$B$10)*70+IF((45+25*(1-EXP(-0.0175*A189)))&lt;70,'Scénario référence'!$B$16*(45+25*(1-EXP(-0.0175*A189))),70*'Scénario référence'!$B$16)+IF((32+38*(1-EXP(-0.0175*A189)))&lt;70,'Scénario référence'!$B$18*(32+38*(1-EXP(-0.0175*A189))),70*'Scénario référence'!$B$18)</f>
        <v>70</v>
      </c>
      <c r="CP189" s="151">
        <f>IF(A189&gt;30,10,('Scénario référence'!$B$16+'Scénario référence'!$B$17+'Scénario référence'!$B$18+'Scénario référence'!$B$9+'Scénario référence'!$B$10)*A189*10/30+('Scénario référence'!$F$8+'Scénario référence'!$F$9)*10)</f>
        <v>10</v>
      </c>
      <c r="CQ189" s="151" t="str">
        <f>VLOOKUP(A189,'Données projet'!$A$139:$I$159,2,0)</f>
        <v>#N/A</v>
      </c>
      <c r="CR189" s="151" t="str">
        <f>VLOOKUP(A189,'Données projet'!$A$139:$I$159,9,0)</f>
        <v>#N/A</v>
      </c>
      <c r="CS189" s="151" t="str">
        <f t="array" ref="CS189">INDEX(CR:CR,MIN(IF(ISNUMBER(CR189:CR385),ROW(CR189:CR385),"")))</f>
        <v/>
      </c>
      <c r="CT189" s="151">
        <f>IF('Données projet'!$A$140&gt;35,CT188+CS189-DB188,IF(A189&lt;'Données projet'!$A$140,$CQ$205^A189,IF(A189='Données projet'!$A$140,'Données projet'!$B$140,CT188+CS189-DB188)))</f>
        <v>0</v>
      </c>
      <c r="CU189" s="158" t="str">
        <f>CT189*VLOOKUP('Données projet'!$B$13,'Paramètres'!$A$1:$I$88,3,0)*VLOOKUP('Données projet'!$B$13,'Paramètres'!$A$1:$I$88,5,0)</f>
        <v>#N/A</v>
      </c>
      <c r="CV189" s="150" t="str">
        <f t="shared" si="42"/>
        <v>#N/A</v>
      </c>
      <c r="CW189" s="161" t="str">
        <f t="shared" si="14"/>
        <v>#N/A</v>
      </c>
      <c r="CX189" s="153" t="str">
        <f t="shared" si="15"/>
        <v>#N/A</v>
      </c>
      <c r="CY189" s="153" t="str">
        <f>AVERAGE(OFFSET($CX$3,0,0,'Données projet'!$E$13+1,1))-AVERAGE(OFFSET($H$3,0,0,'Données projet'!$E$13+1,1))</f>
        <v>#N/A</v>
      </c>
      <c r="CZ189" s="153" t="str">
        <f t="shared" si="43"/>
        <v>#N/A</v>
      </c>
      <c r="DA189" s="154">
        <f>IF(ISNA(VLOOKUP(A189,'Données projet'!$A$139:$I$159,3,0)),0,VLOOKUP(A189,'Données projet'!$A$139:$I$159,3,0))</f>
        <v>0</v>
      </c>
      <c r="DB189" s="154">
        <f>IF(ISNA(VLOOKUP(A189,'Données projet'!$A$139:$I$159,4,0)),0,VLOOKUP(A189,'Données projet'!$A$139:$I$159,4,0))</f>
        <v>0</v>
      </c>
      <c r="DC189" s="155">
        <f>IF(ISNA(VLOOKUP(A189,'Données projet'!$A$139:$I$159,5,0)),0%,VLOOKUP(A189,'Données projet'!$A$139:$I$159,5,0)*VLOOKUP('Données projet'!$B$13,'Paramètres'!$A$1:$I$88,7,0))</f>
        <v>0</v>
      </c>
      <c r="DD189" s="155">
        <f>IF(ISNA(VLOOKUP(A189,'Données projet'!$A$139:$I$159,6,0)),0%,VLOOKUP(A189,'Données projet'!$A$139:$I$159,6,0)*VLOOKUP('Données projet'!$B$13,'Paramètres'!$A$1:$I$88,7,0))</f>
        <v>0</v>
      </c>
      <c r="DE189" s="155">
        <f>IF(ISNA(VLOOKUP(A189,'Données projet'!$A$139:$I$159,7,0)),0%,VLOOKUP(A189,'Données projet'!$A$139:$I$159,7,0))</f>
        <v>0</v>
      </c>
      <c r="DF189" s="162" t="str">
        <f>EXP(-LN(2)/35)*DF188+(1-EXP(-LN(2)/35))/(LN(2)/35)*DB189*DC189*VLOOKUP('Données projet'!$B$13,'Paramètres'!$A$1:$I$88,3,0)*0.475*44/12</f>
        <v>#N/A</v>
      </c>
      <c r="DG189" s="162" t="str">
        <f>EXP(-LN(2)/25)*DG188+(1-EXP(-LN(2)/25))/(LN(2)/25)*Calculateur!DB189*Calculateur!DD189*VLOOKUP('Données projet'!$B$13,'Paramètres'!$A$1:$I$88,3,0)*0.475*44/12</f>
        <v>#N/A</v>
      </c>
      <c r="DH189" s="162" t="str">
        <f>EXP(-LN(2)/2)*DH188+(1-EXP(-LN(2)/2))/(LN(2)/2)*DB189*DE189*VLOOKUP('Données projet'!$B$13,'Paramètres'!$A$1:$I$88,3,0)*0.475*44/12</f>
        <v>#N/A</v>
      </c>
      <c r="DI189" s="163" t="str">
        <f t="shared" si="16"/>
        <v>#N/A</v>
      </c>
      <c r="DJ189" s="159">
        <f>('Scénario référence'!$F$8+'Scénario référence'!$F$9+'Scénario référence'!$B$17+'Scénario référence'!$B$9+'Scénario référence'!$B$10)*70+IF((45+25*(1-EXP(-0.0175*A189)))&lt;70,'Scénario référence'!$B$16*(45+25*(1-EXP(-0.0175*A189))),70*'Scénario référence'!$B$16)+IF((32+38*(1-EXP(-0.0175*A189)))&lt;70,'Scénario référence'!$B$18*(32+38*(1-EXP(-0.0175*A189))),70*'Scénario référence'!$B$18)</f>
        <v>70</v>
      </c>
      <c r="DK189" s="151">
        <f>IF(A189&gt;30,10,('Scénario référence'!$B$16+'Scénario référence'!$B$17+'Scénario référence'!$B$18+'Scénario référence'!$B$9+'Scénario référence'!$B$10)*A189*10/30+('Scénario référence'!$F$8+'Scénario référence'!$F$9)*10)</f>
        <v>10</v>
      </c>
      <c r="DL189" s="151" t="str">
        <f>VLOOKUP(A189,'Données projet'!$A$165:$I$185,2,0)</f>
        <v>#N/A</v>
      </c>
      <c r="DM189" s="151" t="str">
        <f>VLOOKUP(A189,'Données projet'!$A$165:$I$185,9,0)</f>
        <v>#N/A</v>
      </c>
      <c r="DN189" s="151" t="str">
        <f t="array" ref="DN189">INDEX(DM:DM,MIN(IF(ISNUMBER(DM189:DM385),ROW(DM189:DM385),"")))</f>
        <v/>
      </c>
      <c r="DO189" s="151">
        <f>IF('Données projet'!$A$166&gt;35,DO188+DN189-DW188,IF(A189&lt;'Données projet'!$A$166,$DL$205^A189,IF(A189='Données projet'!$A$166,'Données projet'!$B$166,DO188+DN189-DW188)))</f>
        <v>0</v>
      </c>
      <c r="DP189" s="158" t="str">
        <f>DO189*VLOOKUP('Données projet'!$B$14,'Paramètres'!$A$1:$I$88,3,0)*VLOOKUP('Données projet'!$B$14,'Paramètres'!$A$1:$I$88,5,0)</f>
        <v>#N/A</v>
      </c>
      <c r="DQ189" s="150" t="str">
        <f t="shared" si="44"/>
        <v>#N/A</v>
      </c>
      <c r="DR189" s="161" t="str">
        <f t="shared" si="17"/>
        <v>#N/A</v>
      </c>
      <c r="DS189" s="153" t="str">
        <f t="shared" si="18"/>
        <v>#N/A</v>
      </c>
      <c r="DT189" s="153" t="str">
        <f>AVERAGE(OFFSET($DS$3,0,0,'Données projet'!$E$14+1,1))-AVERAGE(OFFSET($H$3,0,0,'Données projet'!$E$14+1,1))</f>
        <v>#N/A</v>
      </c>
      <c r="DU189" s="153" t="str">
        <f t="shared" si="45"/>
        <v>#N/A</v>
      </c>
      <c r="DV189" s="154">
        <f>IF(ISNA(VLOOKUP(A189,'Données projet'!$A$165:$I$185,3,0)),0,VLOOKUP(A189,'Données projet'!$A$165:$I$185,3,0))</f>
        <v>0</v>
      </c>
      <c r="DW189" s="154">
        <f>IF(ISNA(VLOOKUP(A189,'Données projet'!$A$165:$I$185,4,0)),0,VLOOKUP(A189,'Données projet'!$A$165:$I$185,4,0))</f>
        <v>0</v>
      </c>
      <c r="DX189" s="155">
        <f>IF(ISNA(VLOOKUP(A189,'Données projet'!$A$165:$I$185,5,0)),0%,VLOOKUP(A189,'Données projet'!$A$165:$I$185,5,0)*VLOOKUP('Données projet'!$B$14,'Paramètres'!$A$1:$I$88,7,0))</f>
        <v>0</v>
      </c>
      <c r="DY189" s="155">
        <f>IF(ISNA(VLOOKUP(A189,'Données projet'!$A$165:$I$185,6,0)),0%,VLOOKUP(A189,'Données projet'!$A$165:$I$185,6,0)*VLOOKUP('Données projet'!$B$14,'Paramètres'!$A$1:$I$88,7,0))</f>
        <v>0</v>
      </c>
      <c r="DZ189" s="155">
        <f>IF(ISNA(VLOOKUP(A189,'Données projet'!$A$165:$I$185,7,0)),0%,VLOOKUP(A189,'Données projet'!$A$165:$I$185,7,0))</f>
        <v>0</v>
      </c>
      <c r="EA189" s="162" t="str">
        <f>EXP(-LN(2)/35)*EA188+(1-EXP(-LN(2)/35))/(LN(2)/35)*DW189*DX189*VLOOKUP('Données projet'!$B$14,'Paramètres'!$A$1:$I$88,3,0)*0.475*44/12</f>
        <v>#N/A</v>
      </c>
      <c r="EB189" s="162" t="str">
        <f>EXP(-LN(2)/25)*EB188+(1-EXP(-LN(2)/25))/(LN(2)/25)*Calculateur!DW189*Calculateur!DY189*VLOOKUP('Données projet'!$B$14,'Paramètres'!$A$1:$I$88,3,0)*0.475*44/12</f>
        <v>#N/A</v>
      </c>
      <c r="EC189" s="162" t="str">
        <f>EXP(-LN(2)/2)*EC188+(1-EXP(-LN(2)/2))/(LN(2)/2)*DW189*DZ189*VLOOKUP('Données projet'!$B$14,'Paramètres'!$A$1:$I$88,3,0)*0.475*44/12</f>
        <v>#N/A</v>
      </c>
      <c r="ED189" s="163" t="str">
        <f t="shared" si="19"/>
        <v>#N/A</v>
      </c>
      <c r="EE189" s="159">
        <f>('Scénario référence'!$F$8+'Scénario référence'!$F$9+'Scénario référence'!$B$17+'Scénario référence'!$B$9+'Scénario référence'!$B$10)*70+IF((45+25*(1-EXP(-0.0175*A189)))&lt;70,'Scénario référence'!$B$16*(45+25*(1-EXP(-0.0175*A189))),70*'Scénario référence'!$B$16)+IF((32+38*(1-EXP(-0.0175*A189)))&lt;70,'Scénario référence'!$B$18*(32+38*(1-EXP(-0.0175*A189))),70*'Scénario référence'!$B$18)</f>
        <v>70</v>
      </c>
      <c r="EF189" s="151">
        <f>IF(A189&gt;30,10,('Scénario référence'!$B$16+'Scénario référence'!$B$17+'Scénario référence'!$B$18+'Scénario référence'!$B$9+'Scénario référence'!$B$10)*A189*10/30+('Scénario référence'!$F$8+'Scénario référence'!$F$9)*10)</f>
        <v>10</v>
      </c>
      <c r="EG189" s="151" t="str">
        <f>VLOOKUP(A189,'Données projet'!$A$191:$I$211,2,0)</f>
        <v>#N/A</v>
      </c>
      <c r="EH189" s="151" t="str">
        <f>VLOOKUP(A189,'Données projet'!$A$191:$I$211,9,0)</f>
        <v>#N/A</v>
      </c>
      <c r="EI189" s="151" t="str">
        <f t="array" ref="EI189">INDEX(EH:EH,MIN(IF(ISNUMBER(EH189:EH385),ROW(EH189:EH385),"")))</f>
        <v/>
      </c>
      <c r="EJ189" s="151">
        <f>IF('Données projet'!$A$192&gt;35,EJ188+EI189-ER188,IF(A189&lt;'Données projet'!$A$192,$EG$205^A189,IF(A189='Données projet'!$A$192,'Données projet'!$B$192,EJ188+EI189-ER188)))</f>
        <v>0</v>
      </c>
      <c r="EK189" s="158" t="str">
        <f>EJ189*VLOOKUP('Données projet'!$B$15,'Paramètres'!$A$1:$I$88,3,0)*VLOOKUP('Données projet'!$B$15,'Paramètres'!$A$1:$I$88,5,0)</f>
        <v>#N/A</v>
      </c>
      <c r="EL189" s="150" t="str">
        <f t="shared" si="46"/>
        <v>#N/A</v>
      </c>
      <c r="EM189" s="161" t="str">
        <f t="shared" si="20"/>
        <v>#N/A</v>
      </c>
      <c r="EN189" s="153" t="str">
        <f t="shared" si="21"/>
        <v>#N/A</v>
      </c>
      <c r="EO189" s="153" t="str">
        <f>AVERAGE(OFFSET($EN$3,0,0,'Données projet'!$E$15+1,1))-AVERAGE(OFFSET($H$3,0,0,'Données projet'!$E$15+1,1))</f>
        <v>#N/A</v>
      </c>
      <c r="EP189" s="153" t="str">
        <f t="shared" si="47"/>
        <v>#N/A</v>
      </c>
      <c r="EQ189" s="154">
        <f>IF(ISNA(VLOOKUP(A189,'Données projet'!$A$191:$I$211,3,0)),0,VLOOKUP(A189,'Données projet'!$A$191:$I$211,3,0))</f>
        <v>0</v>
      </c>
      <c r="ER189" s="154">
        <f>IF(ISNA(VLOOKUP(A189,'Données projet'!$A$191:$I$211,4,0)),0,VLOOKUP(A189,'Données projet'!$A$191:$I$211,4,0))</f>
        <v>0</v>
      </c>
      <c r="ES189" s="155">
        <f>IF(ISNA(VLOOKUP(A189,'Données projet'!$A$191:$I$211,5,0)),0%,VLOOKUP(A189,'Données projet'!$A$191:$I$211,5,0)*VLOOKUP('Données projet'!$B$15,'Paramètres'!$A$1:$I$88,7,0))</f>
        <v>0</v>
      </c>
      <c r="ET189" s="155">
        <f>IF(ISNA(VLOOKUP(A189,'Données projet'!$A$191:$I$211,6,0)),0%,VLOOKUP(A189,'Données projet'!$A$191:$I$211,6,0)*VLOOKUP('Données projet'!$B$15,'Paramètres'!$A$1:$I$88,7,0))</f>
        <v>0</v>
      </c>
      <c r="EU189" s="155">
        <f>IF(ISNA(VLOOKUP(A189,'Données projet'!$A$191:$I$211,7,0)),0%,VLOOKUP(A189,'Données projet'!$A$191:$I$211,7,0))</f>
        <v>0</v>
      </c>
      <c r="EV189" s="162" t="str">
        <f>EXP(-LN(2)/35)*EV188+(1-EXP(-LN(2)/35))/(LN(2)/35)*ER189*ES189*VLOOKUP('Données projet'!$B$15,'Paramètres'!$A$1:$I$88,3,0)*0.475*44/12</f>
        <v>#N/A</v>
      </c>
      <c r="EW189" s="162" t="str">
        <f>EXP(-LN(2)/25)*EW188+(1-EXP(-LN(2)/25))/(LN(2)/25)*Calculateur!ER189*Calculateur!ET189*VLOOKUP('Données projet'!$B$15,'Paramètres'!$A$1:$I$88,3,0)*0.475*44/12</f>
        <v>#N/A</v>
      </c>
      <c r="EX189" s="162" t="str">
        <f>EXP(-LN(2)/2)*EX188+(1-EXP(-LN(2)/2))/(LN(2)/2)*ER189*EU189*VLOOKUP('Données projet'!$B$15,'Paramètres'!$A$1:$I$88,3,0)*0.475*44/12</f>
        <v>#N/A</v>
      </c>
      <c r="EY189" s="163" t="str">
        <f t="shared" si="22"/>
        <v>#N/A</v>
      </c>
      <c r="EZ189" s="159">
        <f>('Scénario référence'!$F$8+'Scénario référence'!$F$9+'Scénario référence'!$B$17+'Scénario référence'!$B$9+'Scénario référence'!$B$10)*70+IF((45+25*(1-EXP(-0.0175*A189)))&lt;70,'Scénario référence'!$B$16*(45+25*(1-EXP(-0.0175*A189))),70*'Scénario référence'!$B$16)+IF((32+38*(1-EXP(-0.0175*A189)))&lt;70,'Scénario référence'!$B$18*(32+38*(1-EXP(-0.0175*A189))),70*'Scénario référence'!$B$18)</f>
        <v>70</v>
      </c>
      <c r="FA189" s="151">
        <f>IF(A189&gt;30,10,('Scénario référence'!$B$16+'Scénario référence'!$B$17+'Scénario référence'!$B$18+'Scénario référence'!$B$9+'Scénario référence'!$B$10)*A189*10/30+('Scénario référence'!$F$8+'Scénario référence'!$F$9)*10)</f>
        <v>10</v>
      </c>
      <c r="FB189" s="151" t="str">
        <f>VLOOKUP(A189,'Données projet'!$A$217:$I$237,2,0)</f>
        <v>#N/A</v>
      </c>
      <c r="FC189" s="151" t="str">
        <f>VLOOKUP(A189,'Données projet'!$A$217:$I$237,9,0)</f>
        <v>#N/A</v>
      </c>
      <c r="FD189" s="151" t="str">
        <f t="array" ref="FD189">INDEX(FC:FC,MIN(IF(ISNUMBER(FC189:FC385),ROW(FC189:FC385),"")))</f>
        <v/>
      </c>
      <c r="FE189" s="151">
        <f>IF('Données projet'!$A$218&gt;35,FE188+FD189-FM188,IF(A189&lt;'Données projet'!$A$218,$FB$205^A189,IF(A189='Données projet'!$A$218,'Données projet'!$B$218,FE188+FD189-FM188)))</f>
        <v>0</v>
      </c>
      <c r="FF189" s="158" t="str">
        <f>FE189*VLOOKUP('Données projet'!$B$16,'Paramètres'!$A$1:$I$88,3,0)*VLOOKUP('Données projet'!$B$16,'Paramètres'!$A$1:$I$88,5,0)</f>
        <v>#N/A</v>
      </c>
      <c r="FG189" s="150" t="str">
        <f t="shared" si="48"/>
        <v>#N/A</v>
      </c>
      <c r="FH189" s="161" t="str">
        <f t="shared" si="23"/>
        <v>#N/A</v>
      </c>
      <c r="FI189" s="153" t="str">
        <f t="shared" si="24"/>
        <v>#N/A</v>
      </c>
      <c r="FJ189" s="153" t="str">
        <f>AVERAGE(OFFSET($FI$3,0,0,'Données projet'!$E$16+1,1))-AVERAGE(OFFSET($H$3,0,0,'Données projet'!$E$16+1,1))</f>
        <v>#N/A</v>
      </c>
      <c r="FK189" s="153" t="str">
        <f t="shared" si="49"/>
        <v>#N/A</v>
      </c>
      <c r="FL189" s="154">
        <f>IF(ISNA(VLOOKUP(A189,'Données projet'!$A$217:$I$237,3,0)),0,VLOOKUP(A189,'Données projet'!$A$217:$I$237,3,0))</f>
        <v>0</v>
      </c>
      <c r="FM189" s="154">
        <f>IF(ISNA(VLOOKUP(A189,'Données projet'!$A$217:$I$237,4,0)),0,VLOOKUP(A189,'Données projet'!$A$217:$I$237,4,0))</f>
        <v>0</v>
      </c>
      <c r="FN189" s="155">
        <f>IF(ISNA(VLOOKUP(A189,'Données projet'!$A$217:$I$237,5,0)),0%,VLOOKUP(A189,'Données projet'!$A$217:$I$237,5,0)*VLOOKUP('Données projet'!$B$16,'Paramètres'!$A$1:$I$88,7,0))</f>
        <v>0</v>
      </c>
      <c r="FO189" s="155">
        <f>IF(ISNA(VLOOKUP(A189,'Données projet'!$A$217:$I$237,6,0)),0%,VLOOKUP(A189,'Données projet'!$A$217:$I$237,6,0)*VLOOKUP('Données projet'!$B$16,'Paramètres'!$A$1:$I$88,7,0))</f>
        <v>0</v>
      </c>
      <c r="FP189" s="155">
        <f>IF(ISNA(VLOOKUP(A189,'Données projet'!$A$217:$I$237,7,0)),0%,VLOOKUP(A189,'Données projet'!$A$217:$I$237,7,0))</f>
        <v>0</v>
      </c>
      <c r="FQ189" s="162" t="str">
        <f>EXP(-LN(2)/35)*FQ188+(1-EXP(-LN(2)/35))/(LN(2)/35)*FM189*FN189*VLOOKUP('Données projet'!$B$16,'Paramètres'!$A$1:$I$88,3,0)*0.475*44/12</f>
        <v>#N/A</v>
      </c>
      <c r="FR189" s="162" t="str">
        <f>EXP(-LN(2)/25)*FR188+(1-EXP(-LN(2)/25))/(LN(2)/25)*Calculateur!FM189*Calculateur!FO189*VLOOKUP('Données projet'!$B$16,'Paramètres'!$A$1:$I$88,3,0)*0.475*44/12</f>
        <v>#N/A</v>
      </c>
      <c r="FS189" s="162" t="str">
        <f>EXP(-LN(2)/2)*FS188+(1-EXP(-LN(2)/2))/(LN(2)/2)*FM189*FP189*VLOOKUP('Données projet'!$B$16,'Paramètres'!$A$1:$I$88,3,0)*0.475*44/12</f>
        <v>#N/A</v>
      </c>
      <c r="FT189" s="163" t="str">
        <f t="shared" si="25"/>
        <v>#N/A</v>
      </c>
      <c r="FU189" s="159">
        <f>('Scénario référence'!$F$8+'Scénario référence'!$F$9+'Scénario référence'!$B$17+'Scénario référence'!$B$9+'Scénario référence'!$B$10)*70+IF((45+25*(1-EXP(-0.0175*A189)))&lt;70,'Scénario référence'!$B$16*(45+25*(1-EXP(-0.0175*A189))),70*'Scénario référence'!$B$16)+IF((32+38*(1-EXP(-0.0175*A189)))&lt;70,'Scénario référence'!$B$18*(32+38*(1-EXP(-0.0175*A189))),70*'Scénario référence'!$B$18)</f>
        <v>70</v>
      </c>
      <c r="FV189" s="151">
        <f>IF(A189&gt;30,10,('Scénario référence'!$B$16+'Scénario référence'!$B$17+'Scénario référence'!$B$18+'Scénario référence'!$B$9+'Scénario référence'!$B$10)*A189*10/30+('Scénario référence'!$F$8+'Scénario référence'!$F$9)*10)</f>
        <v>10</v>
      </c>
      <c r="FW189" s="151" t="str">
        <f>VLOOKUP(A189,'Données projet'!$A$243:$I$263,2,0)</f>
        <v>#N/A</v>
      </c>
      <c r="FX189" s="151" t="str">
        <f>VLOOKUP(A189,'Données projet'!$A$243:$I$263,9,0)</f>
        <v>#N/A</v>
      </c>
      <c r="FY189" s="151" t="str">
        <f t="array" ref="FY189">INDEX(FX:FX,MIN(IF(ISNUMBER(FX189:FX385),ROW(FX189:FX385),"")))</f>
        <v/>
      </c>
      <c r="FZ189" s="151">
        <f>IF('Données projet'!$A$244&gt;35,FZ188+FY189-GH188,IF(A189&lt;'Données projet'!$A$244,$FW$205^A189,IF(A189='Données projet'!$A$244,'Données projet'!$B$244,FZ188+FY189-GH188)))</f>
        <v>0</v>
      </c>
      <c r="GA189" s="158" t="str">
        <f>FZ189*VLOOKUP('Données projet'!$B$17,'Paramètres'!$A$1:$I$88,3,0)*VLOOKUP('Données projet'!$B$17,'Paramètres'!$A$1:$I$88,5,0)</f>
        <v>#N/A</v>
      </c>
      <c r="GB189" s="150" t="str">
        <f t="shared" si="50"/>
        <v>#N/A</v>
      </c>
      <c r="GC189" s="161" t="str">
        <f t="shared" si="26"/>
        <v>#N/A</v>
      </c>
      <c r="GD189" s="153" t="str">
        <f t="shared" si="27"/>
        <v>#N/A</v>
      </c>
      <c r="GE189" s="153" t="str">
        <f>AVERAGE(OFFSET($GD$3,0,0,'Données projet'!$E$17+1,1))-AVERAGE(OFFSET($H$3,0,0,'Données projet'!$E$17+1,1))</f>
        <v>#N/A</v>
      </c>
      <c r="GF189" s="153" t="str">
        <f t="shared" si="51"/>
        <v>#N/A</v>
      </c>
      <c r="GG189" s="154">
        <f>IF(ISNA(VLOOKUP(A189,'Données projet'!$A$243:$I$263,3,0)),0,VLOOKUP(A189,'Données projet'!$A$243:$I$263,3,0))</f>
        <v>0</v>
      </c>
      <c r="GH189" s="154">
        <f>IF(ISNA(VLOOKUP(A189,'Données projet'!$A$243:$I$263,4,0)),0,VLOOKUP(A189,'Données projet'!$A$243:$I$263,4,0))</f>
        <v>0</v>
      </c>
      <c r="GI189" s="155">
        <f>IF(ISNA(VLOOKUP(A189,'Données projet'!$A$243:$I$263,5,0)),0%,VLOOKUP(A189,'Données projet'!$A$243:$I$263,5,0)*VLOOKUP('Données projet'!$B$17,'Paramètres'!$A$1:$I$88,7,0))</f>
        <v>0</v>
      </c>
      <c r="GJ189" s="155">
        <f>IF(ISNA(VLOOKUP(A189,'Données projet'!$A$243:$I$263,6,0)),0%,VLOOKUP(A189,'Données projet'!$A$243:$I$263,6,0)*VLOOKUP('Données projet'!$B$17,'Paramètres'!$A$1:$I$88,7,0))</f>
        <v>0</v>
      </c>
      <c r="GK189" s="155">
        <f>IF(ISNA(VLOOKUP(A189,'Données projet'!$A$243:$I$263,7,0)),0%,VLOOKUP(A189,'Données projet'!$A$243:$I$263,7,0))</f>
        <v>0</v>
      </c>
      <c r="GL189" s="162" t="str">
        <f>EXP(-LN(2)/35)*GL188+(1-EXP(-LN(2)/35))/(LN(2)/35)*GH189*GI189*VLOOKUP('Données projet'!$B$17,'Paramètres'!$A$1:$I$88,3,0)*0.475*44/12</f>
        <v>#N/A</v>
      </c>
      <c r="GM189" s="162" t="str">
        <f>EXP(-LN(2)/25)*GM188+(1-EXP(-LN(2)/25))/(LN(2)/25)*Calculateur!GH189*Calculateur!GJ189*VLOOKUP('Données projet'!$B$17,'Paramètres'!$A$1:$I$88,3,0)*0.475*44/12</f>
        <v>#N/A</v>
      </c>
      <c r="GN189" s="162" t="str">
        <f>EXP(-LN(2)/2)*GN188+(1-EXP(-LN(2)/2))/(LN(2)/2)*GH189*GK189*VLOOKUP('Données projet'!$B$17,'Paramètres'!$A$1:$I$88,3,0)*0.475*44/12</f>
        <v>#N/A</v>
      </c>
      <c r="GO189" s="162" t="str">
        <f t="shared" si="28"/>
        <v>#N/A</v>
      </c>
      <c r="GP189" s="159">
        <f>('Scénario référence'!$F$8+'Scénario référence'!$F$9+'Scénario référence'!$B$17+'Scénario référence'!$B$9+'Scénario référence'!$B$10)*70+IF((45+25*(1-EXP(-0.0175*A189)))&lt;70,'Scénario référence'!$B$16*(45+25*(1-EXP(-0.0175*A189))),70*'Scénario référence'!$B$16)+IF((32+38*(1-EXP(-0.0175*A189)))&lt;70,'Scénario référence'!$B$18*(32+38*(1-EXP(-0.0175*A189))),70*'Scénario référence'!$B$18)</f>
        <v>70</v>
      </c>
      <c r="GQ189" s="151">
        <f>IF(A189&gt;30,10,('Scénario référence'!$B$16+'Scénario référence'!$B$17+'Scénario référence'!$B$18+'Scénario référence'!$B$9+'Scénario référence'!$B$10)*A189*10/30+('Scénario référence'!$F$8+'Scénario référence'!$F$9)*10)</f>
        <v>10</v>
      </c>
      <c r="GR189" s="151" t="str">
        <f>VLOOKUP(A189,'Données projet'!$A$269:$I$289,2,0)</f>
        <v>#N/A</v>
      </c>
      <c r="GS189" s="151" t="str">
        <f>VLOOKUP(A189,'Données projet'!$A$269:$I$289,9,0)</f>
        <v>#N/A</v>
      </c>
      <c r="GT189" s="151" t="str">
        <f t="array" ref="GT189">INDEX(GS:GS,MIN(IF(ISNUMBER(GS189:GS385),ROW(GS189:GS385),"")))</f>
        <v/>
      </c>
      <c r="GU189" s="151">
        <f>IF('Données projet'!$A$270&gt;35,GU188+GT189-HC188,IF(A189&lt;'Données projet'!$A$270,$GR$205^A189,IF(A189='Données projet'!$A$270,'Données projet'!$B$270,GU188+GT189-HC188)))</f>
        <v>0</v>
      </c>
      <c r="GV189" s="158" t="str">
        <f>GU189*VLOOKUP('Données projet'!$B$18,'Paramètres'!$A$1:$I$88,3,0)*VLOOKUP('Données projet'!$B$18,'Paramètres'!$A$1:$I$88,5,0)</f>
        <v>#N/A</v>
      </c>
      <c r="GW189" s="150" t="str">
        <f t="shared" si="52"/>
        <v>#N/A</v>
      </c>
      <c r="GX189" s="161" t="str">
        <f t="shared" si="29"/>
        <v>#N/A</v>
      </c>
      <c r="GY189" s="153" t="str">
        <f t="shared" si="30"/>
        <v>#N/A</v>
      </c>
      <c r="GZ189" s="153" t="str">
        <f>AVERAGE(OFFSET($GY$3,0,0,'Données projet'!$E$18+1,1))-AVERAGE(OFFSET($H$3,0,0,'Données projet'!$E$18+1,1))</f>
        <v>#N/A</v>
      </c>
      <c r="HA189" s="153" t="str">
        <f t="shared" si="53"/>
        <v>#N/A</v>
      </c>
      <c r="HB189" s="154">
        <f>IF(ISNA(VLOOKUP(A189,'Données projet'!$A$269:$I$289,3,0)),0,VLOOKUP(A189,'Données projet'!$A$269:$I$289,3,0))</f>
        <v>0</v>
      </c>
      <c r="HC189" s="154">
        <f>IF(ISNA(VLOOKUP(A189,'Données projet'!$A$269:$I$289,4,0)),0,VLOOKUP(A189,'Données projet'!$A$269:$I$289,4,0))</f>
        <v>0</v>
      </c>
      <c r="HD189" s="155">
        <f>IF(ISNA(VLOOKUP(A189,'Données projet'!$A$269:$I$289,5,0)),0%,VLOOKUP(A189,'Données projet'!$A$269:$I$289,5,0)*VLOOKUP('Données projet'!$B$18,'Paramètres'!$A$1:$I$88,7,0))</f>
        <v>0</v>
      </c>
      <c r="HE189" s="155">
        <f>IF(ISNA(VLOOKUP(A189,'Données projet'!$A$269:$I$289,6,0)),0%,VLOOKUP(A189,'Données projet'!$A$269:$I$289,6,0)*VLOOKUP('Données projet'!$B$18,'Paramètres'!$A$1:$I$88,7,0))</f>
        <v>0</v>
      </c>
      <c r="HF189" s="155">
        <f>IF(ISNA(VLOOKUP(A189,'Données projet'!$A$269:$I$289,7,0)),0%,VLOOKUP(A189,'Données projet'!$A$269:$I$289,7,0))</f>
        <v>0</v>
      </c>
      <c r="HG189" s="162" t="str">
        <f>EXP(-LN(2)/35)*HG188+(1-EXP(-LN(2)/35))/(LN(2)/35)*HC189*HD189*VLOOKUP('Données projet'!$B$18,'Paramètres'!$A$1:$I$88,3,0)*0.475*44/12</f>
        <v>#N/A</v>
      </c>
      <c r="HH189" s="162" t="str">
        <f>EXP(-LN(2)/25)*HH188+(1-EXP(-LN(2)/25))/(LN(2)/25)*Calculateur!HC189*Calculateur!HE189*VLOOKUP('Données projet'!$B$18,'Paramètres'!$A$1:$I$88,3,0)*0.475*44/12</f>
        <v>#N/A</v>
      </c>
      <c r="HI189" s="162" t="str">
        <f>EXP(-LN(2)/2)*HI188+(1-EXP(-LN(2)/2))/(LN(2)/2)*HC189*HF189*VLOOKUP('Données projet'!$B$18,'Paramètres'!$A$1:$I$88,3,0)*0.475*44/12</f>
        <v>#N/A</v>
      </c>
      <c r="HJ189" s="163" t="str">
        <f t="shared" si="31"/>
        <v>#N/A</v>
      </c>
    </row>
    <row r="190" ht="15.75" customHeight="1">
      <c r="A190" s="145">
        <f t="shared" si="32"/>
        <v>187</v>
      </c>
      <c r="B190" s="146">
        <f>'Scénario référence'!$B$16*5+'Scénario référence'!$B$17*0+'Scénario référence'!$B$18*5</f>
        <v>0</v>
      </c>
      <c r="C190" s="160">
        <f>Calculateur!C189+'Scénario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90" s="147">
        <f t="shared" si="33"/>
        <v>0</v>
      </c>
      <c r="E190" s="147">
        <f>'Scénario référence'!$B$16*45+('Scénario référence'!$B$17+'Scénario référence'!$F$8+'Scénario référence'!$F$9+'Scénario référence'!$B$10+'Scénario référence'!$B$9)*70+'Scénario référence'!$B$18*32</f>
        <v>70</v>
      </c>
      <c r="F190" s="147">
        <f>IF(OR('Scénario référence'!$F$8&gt;0,'Scénario référence'!$F$9&gt;0),('Scénario référence'!$F$8+'Scénario référence'!$F$9)*10,0)</f>
        <v>0</v>
      </c>
      <c r="G190" s="147">
        <f>'Scénario référence'!$B$8*B190*44/12+'Scénario référence'!$B$9*(C190+D190)/0.475*44/12+'Scénario référence'!$B$10*(C190+D190)/0.475*44/12+'Scénario référence'!$F$8*(C190+D190)/0.475*44/12+'Scénario référence'!$F$9*(C190+D190)/0.475*44/12</f>
        <v>0</v>
      </c>
      <c r="H190" s="148">
        <f t="shared" si="1"/>
        <v>256.6666667</v>
      </c>
      <c r="I190" s="149">
        <f>('Scénario référence'!$F$8+'Scénario référence'!$F$9+'Scénario référence'!$B$17+'Scénario référence'!$B$9+'Scénario référence'!$B$10)*70+IF((45+25*(1-EXP(-0.0175*A190)))&lt;70,'Scénario référence'!$B$16*(45+25*(1-EXP(-0.0175*A190))),70*'Scénario référence'!$B$16)+IF((32+38*(1-EXP(-0.0175*A190)))&lt;70,'Scénario référence'!$B$18*(32+38*(1-EXP(-0.0175*A190))),70*'Scénario référence'!$B$18)</f>
        <v>70</v>
      </c>
      <c r="J190" s="150">
        <f>IF(A190&gt;30,10,('Scénario référence'!$B$16+'Scénario référence'!$B$17+'Scénario référence'!$B$18+'Scénario référence'!$B$9+'Scénario référence'!$B$10)*A190*10/30+('Scénario référence'!$F$8+'Scénario référence'!$F$9)*10)</f>
        <v>10</v>
      </c>
      <c r="K190" s="151" t="str">
        <f>VLOOKUP(A190,'Données projet'!$A$35:$I$55,2,0)</f>
        <v>#N/A</v>
      </c>
      <c r="L190" s="151" t="str">
        <f>VLOOKUP(A190,'Données projet'!$A$35:$I$55,9,0)</f>
        <v>#N/A</v>
      </c>
      <c r="M190" s="151" t="str">
        <f t="array" ref="M190">INDEX(L:L,MIN(IF(ISNUMBER(L190:L386),ROW(L190:L386),"")))</f>
        <v/>
      </c>
      <c r="N190" s="150">
        <f>IF('Données projet'!$A$36&gt;35,N189+M190-V189,IF(A190&lt;'Données projet'!$A$36,$K$205^A190,IF(A190='Données projet'!$A$36,'Données projet'!$B$36,N189+M190-V189)))</f>
        <v>307</v>
      </c>
      <c r="O190" s="150">
        <f>N190*VLOOKUP('Données projet'!$B$9,'Paramètres'!$A$1:$I$88,3,0)*VLOOKUP('Données projet'!$B$9,'Paramètres'!$A$1:$I$88,5,0)</f>
        <v>277.7736</v>
      </c>
      <c r="P190" s="150">
        <f t="shared" si="34"/>
        <v>66.49628818</v>
      </c>
      <c r="Q190" s="161">
        <f t="shared" si="2"/>
        <v>599.6033886</v>
      </c>
      <c r="R190" s="153">
        <f t="shared" si="3"/>
        <v>892.9367219</v>
      </c>
      <c r="S190" s="153">
        <f>AVERAGE(OFFSET($R$3,0,0,'Données projet'!$E$9+1,1))-AVERAGE(OFFSET($H$3,0,0,'Données projet'!$E$9+1,1))</f>
        <v>439.1985427</v>
      </c>
      <c r="T190" s="153">
        <f t="shared" si="35"/>
        <v>278.2174123</v>
      </c>
      <c r="U190" s="154">
        <f>IF(ISNA(VLOOKUP(A190,'Données projet'!$A$35:$I$55,3,0)),0,VLOOKUP(A190,'Données projet'!$A$35:$I$55,3,0))</f>
        <v>0</v>
      </c>
      <c r="V190" s="154">
        <f>IF(ISNA(VLOOKUP(A190,'Données projet'!$A$35:$I$55,4,0)),0,VLOOKUP(A190,'Données projet'!$A$35:$I$55,4,0))</f>
        <v>0</v>
      </c>
      <c r="W190" s="155">
        <f>IF(ISNA(VLOOKUP(A190,'Données projet'!$A$35:$I$55,5,0)),0%,VLOOKUP(A190,'Données projet'!$A$35:$I$55,5,0)*VLOOKUP('Données projet'!$B$9,'Paramètres'!$A$1:$I$88,7,0))</f>
        <v>0</v>
      </c>
      <c r="X190" s="155">
        <f>IF(ISNA(VLOOKUP(A190,'Données projet'!$A$35:$I$55,6,0)),0%,VLOOKUP(A190,'Données projet'!$A$35:$I$55,6,0)*VLOOKUP('Données projet'!$B$9,'Paramètres'!$A$1:$I$88,7,0))</f>
        <v>0</v>
      </c>
      <c r="Y190" s="155">
        <f>IF(ISNA(VLOOKUP(A190,'Données projet'!$A$35:$I$55,7,0)),0%,VLOOKUP(A190,'Données projet'!$A$35:$I$55,7,0))</f>
        <v>0</v>
      </c>
      <c r="Z190" s="162">
        <f>EXP(-LN(2)/35)*Z189+(1-EXP(-LN(2)/35))/(LN(2)/35)*V190*W190*VLOOKUP('Données projet'!$B$9,'Paramètres'!$A$1:$I$88,3,0)*0.475*44/12</f>
        <v>0</v>
      </c>
      <c r="AA190" s="162">
        <f>EXP(-LN(2)/25)*AA189+(1-EXP(-LN(2)/25))/(LN(2)/25)*Calculateur!V190*Calculateur!X190*VLOOKUP('Données projet'!$B$9,'Paramètres'!$A$1:$I$88,3,0)*0.475*44/12</f>
        <v>0.05774892526</v>
      </c>
      <c r="AB190" s="162">
        <f>EXP(-LN(2)/2)*AB189+(1-EXP(-LN(2)/2))/(LN(2)/2)*V190*Y190*VLOOKUP('Données projet'!$B$9,'Paramètres'!$A$1:$I$88,3,0)*0.475*44/12</f>
        <v>0</v>
      </c>
      <c r="AC190" s="163">
        <f t="shared" si="4"/>
        <v>0.05774892526</v>
      </c>
      <c r="AD190" s="150">
        <f>('Scénario référence'!$F$8+'Scénario référence'!$F$9+'Scénario référence'!$B$17+'Scénario référence'!$B$9+'Scénario référence'!$B$10)*70+IF((45+25*(1-EXP(-0.0175*A190)))&lt;70,'Scénario référence'!$B$16*(45+25*(1-EXP(-0.0175*A190))),70*'Scénario référence'!$B$16)+IF((32+38*(1-EXP(-0.0175*A190)))&lt;70,'Scénario référence'!$B$18*(32+38*(1-EXP(-0.0175*A190))),70*'Scénario référence'!$B$18)</f>
        <v>70</v>
      </c>
      <c r="AE190" s="150">
        <f>IF(A190&gt;30,10,('Scénario référence'!$B$16+'Scénario référence'!$B$17+'Scénario référence'!$B$18+'Scénario référence'!$B$9+'Scénario référence'!$B$10)*A190*10/30+('Scénario référence'!$F$8+'Scénario référence'!$F$9)*10)</f>
        <v>10</v>
      </c>
      <c r="AF190" s="151" t="str">
        <f>VLOOKUP(A190,'Données projet'!$A$61:$I$81,2,0)</f>
        <v>#N/A</v>
      </c>
      <c r="AG190" s="151" t="str">
        <f>VLOOKUP(A190,'Données projet'!$A$61:$I$81,9,0)</f>
        <v>#N/A</v>
      </c>
      <c r="AH190" s="151" t="str">
        <f t="array" ref="AH190">INDEX(AG:AG,MIN(IF(ISNUMBER(AG190:AG386),ROW(AG190:AG386),"")))</f>
        <v/>
      </c>
      <c r="AI190" s="150">
        <f>IF('Données projet'!$A$62&gt;35,AI189+AH190-AQ189,IF(A190&lt;'Données projet'!$A$62,$AF$205^A190,IF(A190='Données projet'!$A$62,'Données projet'!$B$62,AI189+AH190-AQ189)))</f>
        <v>369</v>
      </c>
      <c r="AJ190" s="150">
        <f>AI190*VLOOKUP('Données projet'!$B$10,'Paramètres'!$A$1:$I$88,3,0)*VLOOKUP('Données projet'!$B$10,'Paramètres'!$A$1:$I$88,5,0)</f>
        <v>293.5764</v>
      </c>
      <c r="AK190" s="150">
        <f t="shared" si="36"/>
        <v>69.82813851</v>
      </c>
      <c r="AL190" s="161">
        <f t="shared" si="5"/>
        <v>632.9295712</v>
      </c>
      <c r="AM190" s="153">
        <f t="shared" si="6"/>
        <v>926.2629046</v>
      </c>
      <c r="AN190" s="153">
        <f>AVERAGE(OFFSET($AM$3,0,0,'Données projet'!$E$10+1,1))-AVERAGE(OFFSET($H$3,0,0,'Données projet'!$E$10+1,1))</f>
        <v>405.6113614</v>
      </c>
      <c r="AO190" s="153">
        <f t="shared" si="37"/>
        <v>393.0787141</v>
      </c>
      <c r="AP190" s="154">
        <f>IF(ISNA(VLOOKUP(A190,'Données projet'!$A$61:$I$81,3,0)),0,VLOOKUP(A190,'Données projet'!$A$61:$I$81,3,0))</f>
        <v>0</v>
      </c>
      <c r="AQ190" s="154">
        <f>IF(ISNA(VLOOKUP(A190,'Données projet'!$A$61:$I$81,4,0)),0,VLOOKUP(A190,'Données projet'!$A$61:$I$81,4,0))</f>
        <v>0</v>
      </c>
      <c r="AR190" s="155">
        <f>IF(ISNA(VLOOKUP(A190,'Données projet'!$A$61:$I$81,5,0)),0%,VLOOKUP(A190,'Données projet'!$A$61:$I$81,5,0)*VLOOKUP('Données projet'!$B$10,'Paramètres'!$A$1:$I$88,7,0))</f>
        <v>0</v>
      </c>
      <c r="AS190" s="155">
        <f>IF(ISNA(VLOOKUP(A190,'Données projet'!$A$61:$I$81,6,0)),0%,VLOOKUP(A190,'Données projet'!$A$61:$I$81,6,0)*VLOOKUP('Données projet'!$B$10,'Paramètres'!$A$1:$I$88,7,0))</f>
        <v>0</v>
      </c>
      <c r="AT190" s="155">
        <f>IF(ISNA(VLOOKUP(A190,'Données projet'!$A$61:$I$81,7,0)),0%,VLOOKUP(A190,'Données projet'!$A$61:$I$81,7,0))</f>
        <v>0</v>
      </c>
      <c r="AU190" s="162">
        <f>EXP(-LN(2)/35)*AU189+(1-EXP(-LN(2)/35))/(LN(2)/35)*AQ190*AR190*VLOOKUP('Données projet'!$B$10,'Paramètres'!$A$1:$I$88,3,0)*0.475*44/12</f>
        <v>0</v>
      </c>
      <c r="AV190" s="162">
        <f>EXP(-LN(2)/25)*AV189+(1-EXP(-LN(2)/25))/(LN(2)/25)*Calculateur!AQ190*Calculateur!AS190*VLOOKUP('Données projet'!$B$10,'Paramètres'!$A$1:$I$88,3,0)*0.475*44/12</f>
        <v>0.2347063126</v>
      </c>
      <c r="AW190" s="162">
        <f>EXP(-LN(2)/2)*AW189+(1-EXP(-LN(2)/2))/(LN(2)/2)*AQ190*AT190*VLOOKUP('Données projet'!$B$10,'Paramètres'!$A$1:$I$88,3,0)*0.475*44/12</f>
        <v>0</v>
      </c>
      <c r="AX190" s="162">
        <f t="shared" si="7"/>
        <v>0.2347063126</v>
      </c>
      <c r="AY190" s="157">
        <f>('Scénario référence'!$F$8+'Scénario référence'!$F$9+'Scénario référence'!$B$17+'Scénario référence'!$B$9+'Scénario référence'!$B$10)*70+IF((45+25*(1-EXP(-0.0175*A190)))&lt;70,'Scénario référence'!$B$16*(45+25*(1-EXP(-0.0175*A190))),70*'Scénario référence'!$B$16)+IF((32+38*(1-EXP(-0.0175*A190)))&lt;70,'Scénario référence'!$B$18*(32+38*(1-EXP(-0.0175*A190))),70*'Scénario référence'!$B$18)</f>
        <v>70</v>
      </c>
      <c r="AZ190" s="151">
        <f>IF(A190&gt;30,10,('Scénario référence'!$B$16+'Scénario référence'!$B$17+'Scénario référence'!$B$18+'Scénario référence'!$B$9+'Scénario référence'!$B$10)*A190*10/30+('Scénario référence'!$F$8+'Scénario référence'!$F$9)*10)</f>
        <v>10</v>
      </c>
      <c r="BA190" s="151" t="str">
        <f>VLOOKUP(A190,'Données projet'!$A$87:$I$107,2,0)</f>
        <v>#N/A</v>
      </c>
      <c r="BB190" s="151" t="str">
        <f>VLOOKUP(A190,'Données projet'!$A$87:$I$107,9,0)</f>
        <v>#N/A</v>
      </c>
      <c r="BC190" s="151" t="str">
        <f t="array" ref="BC190">INDEX(BB:BB,MIN(IF(ISNUMBER(BB190:BB386),ROW(BB190:BB386),"")))</f>
        <v/>
      </c>
      <c r="BD190" s="150">
        <f>IF('Données projet'!$A$88&gt;35,BD189+BC190-BL189,IF(A190&lt;'Données projet'!$A$88,$BA$205^A190,IF(A190='Données projet'!$A$88,'Données projet'!$B$88,BD189+BC190-BL189)))</f>
        <v>0</v>
      </c>
      <c r="BE190" s="150">
        <f>BD190*VLOOKUP('Données projet'!$B$11,'Paramètres'!$A$1:$I$88,3,0)*VLOOKUP('Données projet'!$B$11,'Paramètres'!$A$1:$I$88,5,0)</f>
        <v>0</v>
      </c>
      <c r="BF190" s="150" t="str">
        <f t="shared" si="38"/>
        <v>#NUM!</v>
      </c>
      <c r="BG190" s="161" t="str">
        <f t="shared" si="8"/>
        <v>#NUM!</v>
      </c>
      <c r="BH190" s="153" t="str">
        <f t="shared" si="9"/>
        <v>#NUM!</v>
      </c>
      <c r="BI190" s="153">
        <f>AVERAGE(OFFSET($BH$3,0,0,'Données projet'!$E$11+1,1))-AVERAGE(OFFSET($H$3,0,0,'Données projet'!$E$11+1,1))</f>
        <v>0</v>
      </c>
      <c r="BJ190" s="153">
        <f t="shared" si="39"/>
        <v>0</v>
      </c>
      <c r="BK190" s="154">
        <f>IF(ISNA(VLOOKUP(A190,'Données projet'!$A$87:$I$107,3,0)),0,VLOOKUP(A190,'Données projet'!$A$87:$I$107,3,0))</f>
        <v>0</v>
      </c>
      <c r="BL190" s="154">
        <f>IF(ISNA(VLOOKUP(A190,'Données projet'!$A$87:$I$107,4,0)),0,VLOOKUP(A190,'Données projet'!$A$87:$I$107,4,0))</f>
        <v>0</v>
      </c>
      <c r="BM190" s="155">
        <f>IF(ISNA(VLOOKUP(A190,'Données projet'!$A$87:$I$107,5,0)),0%,VLOOKUP(A190,'Données projet'!$A$87:$I$107,5,0)*VLOOKUP('Données projet'!$B$11,'Paramètres'!$A$1:$I$88,7,0))</f>
        <v>0</v>
      </c>
      <c r="BN190" s="155">
        <f>IF(ISNA(VLOOKUP(A190,'Données projet'!$A$87:$I$107,6,0)),0%,VLOOKUP(A190,'Données projet'!$A$87:$I$107,6,0)*VLOOKUP('Données projet'!$B$11,'Paramètres'!$A$1:$I$88,7,0))</f>
        <v>0</v>
      </c>
      <c r="BO190" s="155">
        <f>IF(ISNA(VLOOKUP(A190,'Données projet'!$A$87:$I$107,7,0)),0%,VLOOKUP(A190,'Données projet'!$A$87:$I$107,7,0))</f>
        <v>0</v>
      </c>
      <c r="BP190" s="162">
        <f>EXP(-LN(2)/35)*BP189+(1-EXP(-LN(2)/35))/(LN(2)/35)*BL190*BM190*VLOOKUP('Données projet'!$B$11,'Paramètres'!$A$1:$I$88,3,0)*0.475*44/12</f>
        <v>0</v>
      </c>
      <c r="BQ190" s="162">
        <f>EXP(-LN(2)/25)*BQ189+(1-EXP(-LN(2)/25))/(LN(2)/25)*Calculateur!BL190*Calculateur!BN190*VLOOKUP('Données projet'!$B$11,'Paramètres'!$A$1:$I$88,3,0)*0.475*44/12</f>
        <v>0</v>
      </c>
      <c r="BR190" s="162">
        <f>EXP(-LN(2)/2)*BR189+(1-EXP(-LN(2)/2))/(LN(2)/2)*BL190*BO190*VLOOKUP('Données projet'!$B$11,'Paramètres'!$A$1:$I$88,3,0)*0.475*44/12</f>
        <v>0</v>
      </c>
      <c r="BS190" s="163">
        <f t="shared" si="10"/>
        <v>0</v>
      </c>
      <c r="BT190" s="159">
        <f>('Scénario référence'!$F$8+'Scénario référence'!$F$9+'Scénario référence'!$B$17+'Scénario référence'!$B$9+'Scénario référence'!$B$10)*70+IF((45+25*(1-EXP(-0.0175*A190)))&lt;70,'Scénario référence'!$B$16*(45+25*(1-EXP(-0.0175*A190))),70*'Scénario référence'!$B$16)+IF((32+38*(1-EXP(-0.0175*A190)))&lt;70,'Scénario référence'!$B$18*(32+38*(1-EXP(-0.0175*A190))),70*'Scénario référence'!$B$18)</f>
        <v>70</v>
      </c>
      <c r="BU190" s="151">
        <f>IF(A190&gt;30,10,('Scénario référence'!$B$16+'Scénario référence'!$B$17+'Scénario référence'!$B$18+'Scénario référence'!$B$9+'Scénario référence'!$B$10)*A190*10/30+('Scénario référence'!$F$8+'Scénario référence'!$F$9)*10)</f>
        <v>10</v>
      </c>
      <c r="BV190" s="151" t="str">
        <f>VLOOKUP(A190,'Données projet'!$A$113:$I$133,2,0)</f>
        <v>#N/A</v>
      </c>
      <c r="BW190" s="151" t="str">
        <f>VLOOKUP(A190,'Données projet'!$A$113:$I$133,9,0)</f>
        <v>#N/A</v>
      </c>
      <c r="BX190" s="151" t="str">
        <f t="array" ref="BX190">INDEX(BW:BW,MIN(IF(ISNUMBER(BW190:BW386),ROW(BW190:BW386),"")))</f>
        <v/>
      </c>
      <c r="BY190" s="150">
        <f>IF('Données projet'!$A$114&gt;35,BY189+BX190-CG189,IF(A190&lt;'Données projet'!$A$114,$BV$205^A190,IF(A190='Données projet'!$A$114,'Données projet'!$B$114,BY189+BX190-CG189)))</f>
        <v>0</v>
      </c>
      <c r="BZ190" s="150" t="str">
        <f>BY190*VLOOKUP('Données projet'!$B$12,'Paramètres'!$A$1:$I$88,3,0)*VLOOKUP('Données projet'!$B$12,'Paramètres'!$A$1:$I$88,5,0)</f>
        <v>#N/A</v>
      </c>
      <c r="CA190" s="150" t="str">
        <f t="shared" si="40"/>
        <v>#N/A</v>
      </c>
      <c r="CB190" s="161" t="str">
        <f t="shared" si="11"/>
        <v>#N/A</v>
      </c>
      <c r="CC190" s="153" t="str">
        <f t="shared" si="12"/>
        <v>#N/A</v>
      </c>
      <c r="CD190" s="153" t="str">
        <f>AVERAGE(OFFSET($CC$3,0,0,'Données projet'!$E$12+1,1))-AVERAGE(OFFSET($H$3,0,0,'Données projet'!$E$12+1,1))</f>
        <v>#N/A</v>
      </c>
      <c r="CE190" s="153" t="str">
        <f t="shared" si="41"/>
        <v>#N/A</v>
      </c>
      <c r="CF190" s="154">
        <f>IF(ISNA(VLOOKUP(A190,'Données projet'!$A$113:$I$133,3,0)),0,VLOOKUP(A190,'Données projet'!$A$113:$I$133,3,0))</f>
        <v>0</v>
      </c>
      <c r="CG190" s="154">
        <f>IF(ISNA(VLOOKUP(A190,'Données projet'!$A$113:$I$133,4,0)),0,VLOOKUP(A190,'Données projet'!$A$113:$I$133,4,0))</f>
        <v>0</v>
      </c>
      <c r="CH190" s="155">
        <f>IF(ISNA(VLOOKUP(A190,'Données projet'!$A$113:$I$133,5,0)),0%,VLOOKUP(A190,'Données projet'!$A$113:$I$133,5,0)*VLOOKUP('Données projet'!$B$12,'Paramètres'!$A$1:$I$88,7,0))</f>
        <v>0</v>
      </c>
      <c r="CI190" s="155">
        <f>IF(ISNA(VLOOKUP(A190,'Données projet'!$A$113:$I$133,6,0)),0%,VLOOKUP(A190,'Données projet'!$A$113:$I$133,6,0)*VLOOKUP('Données projet'!$B$12,'Paramètres'!$A$1:$I$88,7,0))</f>
        <v>0</v>
      </c>
      <c r="CJ190" s="155">
        <f>IF(ISNA(VLOOKUP(A190,'Données projet'!$A$113:$I$133,7,0)),0%,VLOOKUP(A190,'Données projet'!$A$113:$I$133,7,0))</f>
        <v>0</v>
      </c>
      <c r="CK190" s="162" t="str">
        <f>EXP(-LN(2)/35)*CK189+(1-EXP(-LN(2)/35))/(LN(2)/35)*CG190*CH190*VLOOKUP('Données projet'!$B$12,'Paramètres'!$A$1:$I$88,3,0)*0.475*44/12</f>
        <v>#N/A</v>
      </c>
      <c r="CL190" s="162" t="str">
        <f>EXP(-LN(2)/25)*CL189+(1-EXP(-LN(2)/25))/(LN(2)/25)*Calculateur!CG190*Calculateur!CI190*VLOOKUP('Données projet'!$B$12,'Paramètres'!$A$1:$I$88,3,0)*0.475*44/12</f>
        <v>#N/A</v>
      </c>
      <c r="CM190" s="162" t="str">
        <f>EXP(-LN(2)/2)*CM189+(1-EXP(-LN(2)/2))/(LN(2)/2)*CG190*CJ190*VLOOKUP('Données projet'!$B$12,'Paramètres'!$A$1:$I$88,3,0)*0.475*44/12</f>
        <v>#N/A</v>
      </c>
      <c r="CN190" s="163" t="str">
        <f t="shared" si="13"/>
        <v>#N/A</v>
      </c>
      <c r="CO190" s="159">
        <f>('Scénario référence'!$F$8+'Scénario référence'!$F$9+'Scénario référence'!$B$17+'Scénario référence'!$B$9+'Scénario référence'!$B$10)*70+IF((45+25*(1-EXP(-0.0175*A190)))&lt;70,'Scénario référence'!$B$16*(45+25*(1-EXP(-0.0175*A190))),70*'Scénario référence'!$B$16)+IF((32+38*(1-EXP(-0.0175*A190)))&lt;70,'Scénario référence'!$B$18*(32+38*(1-EXP(-0.0175*A190))),70*'Scénario référence'!$B$18)</f>
        <v>70</v>
      </c>
      <c r="CP190" s="151">
        <f>IF(A190&gt;30,10,('Scénario référence'!$B$16+'Scénario référence'!$B$17+'Scénario référence'!$B$18+'Scénario référence'!$B$9+'Scénario référence'!$B$10)*A190*10/30+('Scénario référence'!$F$8+'Scénario référence'!$F$9)*10)</f>
        <v>10</v>
      </c>
      <c r="CQ190" s="151" t="str">
        <f>VLOOKUP(A190,'Données projet'!$A$139:$I$159,2,0)</f>
        <v>#N/A</v>
      </c>
      <c r="CR190" s="151" t="str">
        <f>VLOOKUP(A190,'Données projet'!$A$139:$I$159,9,0)</f>
        <v>#N/A</v>
      </c>
      <c r="CS190" s="151" t="str">
        <f t="array" ref="CS190">INDEX(CR:CR,MIN(IF(ISNUMBER(CR190:CR386),ROW(CR190:CR386),"")))</f>
        <v/>
      </c>
      <c r="CT190" s="151">
        <f>IF('Données projet'!$A$140&gt;35,CT189+CS190-DB189,IF(A190&lt;'Données projet'!$A$140,$CQ$205^A190,IF(A190='Données projet'!$A$140,'Données projet'!$B$140,CT189+CS190-DB189)))</f>
        <v>0</v>
      </c>
      <c r="CU190" s="158" t="str">
        <f>CT190*VLOOKUP('Données projet'!$B$13,'Paramètres'!$A$1:$I$88,3,0)*VLOOKUP('Données projet'!$B$13,'Paramètres'!$A$1:$I$88,5,0)</f>
        <v>#N/A</v>
      </c>
      <c r="CV190" s="150" t="str">
        <f t="shared" si="42"/>
        <v>#N/A</v>
      </c>
      <c r="CW190" s="161" t="str">
        <f t="shared" si="14"/>
        <v>#N/A</v>
      </c>
      <c r="CX190" s="153" t="str">
        <f t="shared" si="15"/>
        <v>#N/A</v>
      </c>
      <c r="CY190" s="153" t="str">
        <f>AVERAGE(OFFSET($CX$3,0,0,'Données projet'!$E$13+1,1))-AVERAGE(OFFSET($H$3,0,0,'Données projet'!$E$13+1,1))</f>
        <v>#N/A</v>
      </c>
      <c r="CZ190" s="153" t="str">
        <f t="shared" si="43"/>
        <v>#N/A</v>
      </c>
      <c r="DA190" s="154">
        <f>IF(ISNA(VLOOKUP(A190,'Données projet'!$A$139:$I$159,3,0)),0,VLOOKUP(A190,'Données projet'!$A$139:$I$159,3,0))</f>
        <v>0</v>
      </c>
      <c r="DB190" s="154">
        <f>IF(ISNA(VLOOKUP(A190,'Données projet'!$A$139:$I$159,4,0)),0,VLOOKUP(A190,'Données projet'!$A$139:$I$159,4,0))</f>
        <v>0</v>
      </c>
      <c r="DC190" s="155">
        <f>IF(ISNA(VLOOKUP(A190,'Données projet'!$A$139:$I$159,5,0)),0%,VLOOKUP(A190,'Données projet'!$A$139:$I$159,5,0)*VLOOKUP('Données projet'!$B$13,'Paramètres'!$A$1:$I$88,7,0))</f>
        <v>0</v>
      </c>
      <c r="DD190" s="155">
        <f>IF(ISNA(VLOOKUP(A190,'Données projet'!$A$139:$I$159,6,0)),0%,VLOOKUP(A190,'Données projet'!$A$139:$I$159,6,0)*VLOOKUP('Données projet'!$B$13,'Paramètres'!$A$1:$I$88,7,0))</f>
        <v>0</v>
      </c>
      <c r="DE190" s="155">
        <f>IF(ISNA(VLOOKUP(A190,'Données projet'!$A$139:$I$159,7,0)),0%,VLOOKUP(A190,'Données projet'!$A$139:$I$159,7,0))</f>
        <v>0</v>
      </c>
      <c r="DF190" s="162" t="str">
        <f>EXP(-LN(2)/35)*DF189+(1-EXP(-LN(2)/35))/(LN(2)/35)*DB190*DC190*VLOOKUP('Données projet'!$B$13,'Paramètres'!$A$1:$I$88,3,0)*0.475*44/12</f>
        <v>#N/A</v>
      </c>
      <c r="DG190" s="162" t="str">
        <f>EXP(-LN(2)/25)*DG189+(1-EXP(-LN(2)/25))/(LN(2)/25)*Calculateur!DB190*Calculateur!DD190*VLOOKUP('Données projet'!$B$13,'Paramètres'!$A$1:$I$88,3,0)*0.475*44/12</f>
        <v>#N/A</v>
      </c>
      <c r="DH190" s="162" t="str">
        <f>EXP(-LN(2)/2)*DH189+(1-EXP(-LN(2)/2))/(LN(2)/2)*DB190*DE190*VLOOKUP('Données projet'!$B$13,'Paramètres'!$A$1:$I$88,3,0)*0.475*44/12</f>
        <v>#N/A</v>
      </c>
      <c r="DI190" s="163" t="str">
        <f t="shared" si="16"/>
        <v>#N/A</v>
      </c>
      <c r="DJ190" s="159">
        <f>('Scénario référence'!$F$8+'Scénario référence'!$F$9+'Scénario référence'!$B$17+'Scénario référence'!$B$9+'Scénario référence'!$B$10)*70+IF((45+25*(1-EXP(-0.0175*A190)))&lt;70,'Scénario référence'!$B$16*(45+25*(1-EXP(-0.0175*A190))),70*'Scénario référence'!$B$16)+IF((32+38*(1-EXP(-0.0175*A190)))&lt;70,'Scénario référence'!$B$18*(32+38*(1-EXP(-0.0175*A190))),70*'Scénario référence'!$B$18)</f>
        <v>70</v>
      </c>
      <c r="DK190" s="151">
        <f>IF(A190&gt;30,10,('Scénario référence'!$B$16+'Scénario référence'!$B$17+'Scénario référence'!$B$18+'Scénario référence'!$B$9+'Scénario référence'!$B$10)*A190*10/30+('Scénario référence'!$F$8+'Scénario référence'!$F$9)*10)</f>
        <v>10</v>
      </c>
      <c r="DL190" s="151" t="str">
        <f>VLOOKUP(A190,'Données projet'!$A$165:$I$185,2,0)</f>
        <v>#N/A</v>
      </c>
      <c r="DM190" s="151" t="str">
        <f>VLOOKUP(A190,'Données projet'!$A$165:$I$185,9,0)</f>
        <v>#N/A</v>
      </c>
      <c r="DN190" s="151" t="str">
        <f t="array" ref="DN190">INDEX(DM:DM,MIN(IF(ISNUMBER(DM190:DM386),ROW(DM190:DM386),"")))</f>
        <v/>
      </c>
      <c r="DO190" s="151">
        <f>IF('Données projet'!$A$166&gt;35,DO189+DN190-DW189,IF(A190&lt;'Données projet'!$A$166,$DL$205^A190,IF(A190='Données projet'!$A$166,'Données projet'!$B$166,DO189+DN190-DW189)))</f>
        <v>0</v>
      </c>
      <c r="DP190" s="158" t="str">
        <f>DO190*VLOOKUP('Données projet'!$B$14,'Paramètres'!$A$1:$I$88,3,0)*VLOOKUP('Données projet'!$B$14,'Paramètres'!$A$1:$I$88,5,0)</f>
        <v>#N/A</v>
      </c>
      <c r="DQ190" s="150" t="str">
        <f t="shared" si="44"/>
        <v>#N/A</v>
      </c>
      <c r="DR190" s="161" t="str">
        <f t="shared" si="17"/>
        <v>#N/A</v>
      </c>
      <c r="DS190" s="153" t="str">
        <f t="shared" si="18"/>
        <v>#N/A</v>
      </c>
      <c r="DT190" s="153" t="str">
        <f>AVERAGE(OFFSET($DS$3,0,0,'Données projet'!$E$14+1,1))-AVERAGE(OFFSET($H$3,0,0,'Données projet'!$E$14+1,1))</f>
        <v>#N/A</v>
      </c>
      <c r="DU190" s="153" t="str">
        <f t="shared" si="45"/>
        <v>#N/A</v>
      </c>
      <c r="DV190" s="154">
        <f>IF(ISNA(VLOOKUP(A190,'Données projet'!$A$165:$I$185,3,0)),0,VLOOKUP(A190,'Données projet'!$A$165:$I$185,3,0))</f>
        <v>0</v>
      </c>
      <c r="DW190" s="154">
        <f>IF(ISNA(VLOOKUP(A190,'Données projet'!$A$165:$I$185,4,0)),0,VLOOKUP(A190,'Données projet'!$A$165:$I$185,4,0))</f>
        <v>0</v>
      </c>
      <c r="DX190" s="155">
        <f>IF(ISNA(VLOOKUP(A190,'Données projet'!$A$165:$I$185,5,0)),0%,VLOOKUP(A190,'Données projet'!$A$165:$I$185,5,0)*VLOOKUP('Données projet'!$B$14,'Paramètres'!$A$1:$I$88,7,0))</f>
        <v>0</v>
      </c>
      <c r="DY190" s="155">
        <f>IF(ISNA(VLOOKUP(A190,'Données projet'!$A$165:$I$185,6,0)),0%,VLOOKUP(A190,'Données projet'!$A$165:$I$185,6,0)*VLOOKUP('Données projet'!$B$14,'Paramètres'!$A$1:$I$88,7,0))</f>
        <v>0</v>
      </c>
      <c r="DZ190" s="155">
        <f>IF(ISNA(VLOOKUP(A190,'Données projet'!$A$165:$I$185,7,0)),0%,VLOOKUP(A190,'Données projet'!$A$165:$I$185,7,0))</f>
        <v>0</v>
      </c>
      <c r="EA190" s="162" t="str">
        <f>EXP(-LN(2)/35)*EA189+(1-EXP(-LN(2)/35))/(LN(2)/35)*DW190*DX190*VLOOKUP('Données projet'!$B$14,'Paramètres'!$A$1:$I$88,3,0)*0.475*44/12</f>
        <v>#N/A</v>
      </c>
      <c r="EB190" s="162" t="str">
        <f>EXP(-LN(2)/25)*EB189+(1-EXP(-LN(2)/25))/(LN(2)/25)*Calculateur!DW190*Calculateur!DY190*VLOOKUP('Données projet'!$B$14,'Paramètres'!$A$1:$I$88,3,0)*0.475*44/12</f>
        <v>#N/A</v>
      </c>
      <c r="EC190" s="162" t="str">
        <f>EXP(-LN(2)/2)*EC189+(1-EXP(-LN(2)/2))/(LN(2)/2)*DW190*DZ190*VLOOKUP('Données projet'!$B$14,'Paramètres'!$A$1:$I$88,3,0)*0.475*44/12</f>
        <v>#N/A</v>
      </c>
      <c r="ED190" s="163" t="str">
        <f t="shared" si="19"/>
        <v>#N/A</v>
      </c>
      <c r="EE190" s="159">
        <f>('Scénario référence'!$F$8+'Scénario référence'!$F$9+'Scénario référence'!$B$17+'Scénario référence'!$B$9+'Scénario référence'!$B$10)*70+IF((45+25*(1-EXP(-0.0175*A190)))&lt;70,'Scénario référence'!$B$16*(45+25*(1-EXP(-0.0175*A190))),70*'Scénario référence'!$B$16)+IF((32+38*(1-EXP(-0.0175*A190)))&lt;70,'Scénario référence'!$B$18*(32+38*(1-EXP(-0.0175*A190))),70*'Scénario référence'!$B$18)</f>
        <v>70</v>
      </c>
      <c r="EF190" s="151">
        <f>IF(A190&gt;30,10,('Scénario référence'!$B$16+'Scénario référence'!$B$17+'Scénario référence'!$B$18+'Scénario référence'!$B$9+'Scénario référence'!$B$10)*A190*10/30+('Scénario référence'!$F$8+'Scénario référence'!$F$9)*10)</f>
        <v>10</v>
      </c>
      <c r="EG190" s="151" t="str">
        <f>VLOOKUP(A190,'Données projet'!$A$191:$I$211,2,0)</f>
        <v>#N/A</v>
      </c>
      <c r="EH190" s="151" t="str">
        <f>VLOOKUP(A190,'Données projet'!$A$191:$I$211,9,0)</f>
        <v>#N/A</v>
      </c>
      <c r="EI190" s="151" t="str">
        <f t="array" ref="EI190">INDEX(EH:EH,MIN(IF(ISNUMBER(EH190:EH386),ROW(EH190:EH386),"")))</f>
        <v/>
      </c>
      <c r="EJ190" s="151">
        <f>IF('Données projet'!$A$192&gt;35,EJ189+EI190-ER189,IF(A190&lt;'Données projet'!$A$192,$EG$205^A190,IF(A190='Données projet'!$A$192,'Données projet'!$B$192,EJ189+EI190-ER189)))</f>
        <v>0</v>
      </c>
      <c r="EK190" s="158" t="str">
        <f>EJ190*VLOOKUP('Données projet'!$B$15,'Paramètres'!$A$1:$I$88,3,0)*VLOOKUP('Données projet'!$B$15,'Paramètres'!$A$1:$I$88,5,0)</f>
        <v>#N/A</v>
      </c>
      <c r="EL190" s="150" t="str">
        <f t="shared" si="46"/>
        <v>#N/A</v>
      </c>
      <c r="EM190" s="161" t="str">
        <f t="shared" si="20"/>
        <v>#N/A</v>
      </c>
      <c r="EN190" s="153" t="str">
        <f t="shared" si="21"/>
        <v>#N/A</v>
      </c>
      <c r="EO190" s="153" t="str">
        <f>AVERAGE(OFFSET($EN$3,0,0,'Données projet'!$E$15+1,1))-AVERAGE(OFFSET($H$3,0,0,'Données projet'!$E$15+1,1))</f>
        <v>#N/A</v>
      </c>
      <c r="EP190" s="153" t="str">
        <f t="shared" si="47"/>
        <v>#N/A</v>
      </c>
      <c r="EQ190" s="154">
        <f>IF(ISNA(VLOOKUP(A190,'Données projet'!$A$191:$I$211,3,0)),0,VLOOKUP(A190,'Données projet'!$A$191:$I$211,3,0))</f>
        <v>0</v>
      </c>
      <c r="ER190" s="154">
        <f>IF(ISNA(VLOOKUP(A190,'Données projet'!$A$191:$I$211,4,0)),0,VLOOKUP(A190,'Données projet'!$A$191:$I$211,4,0))</f>
        <v>0</v>
      </c>
      <c r="ES190" s="155">
        <f>IF(ISNA(VLOOKUP(A190,'Données projet'!$A$191:$I$211,5,0)),0%,VLOOKUP(A190,'Données projet'!$A$191:$I$211,5,0)*VLOOKUP('Données projet'!$B$15,'Paramètres'!$A$1:$I$88,7,0))</f>
        <v>0</v>
      </c>
      <c r="ET190" s="155">
        <f>IF(ISNA(VLOOKUP(A190,'Données projet'!$A$191:$I$211,6,0)),0%,VLOOKUP(A190,'Données projet'!$A$191:$I$211,6,0)*VLOOKUP('Données projet'!$B$15,'Paramètres'!$A$1:$I$88,7,0))</f>
        <v>0</v>
      </c>
      <c r="EU190" s="155">
        <f>IF(ISNA(VLOOKUP(A190,'Données projet'!$A$191:$I$211,7,0)),0%,VLOOKUP(A190,'Données projet'!$A$191:$I$211,7,0))</f>
        <v>0</v>
      </c>
      <c r="EV190" s="162" t="str">
        <f>EXP(-LN(2)/35)*EV189+(1-EXP(-LN(2)/35))/(LN(2)/35)*ER190*ES190*VLOOKUP('Données projet'!$B$15,'Paramètres'!$A$1:$I$88,3,0)*0.475*44/12</f>
        <v>#N/A</v>
      </c>
      <c r="EW190" s="162" t="str">
        <f>EXP(-LN(2)/25)*EW189+(1-EXP(-LN(2)/25))/(LN(2)/25)*Calculateur!ER190*Calculateur!ET190*VLOOKUP('Données projet'!$B$15,'Paramètres'!$A$1:$I$88,3,0)*0.475*44/12</f>
        <v>#N/A</v>
      </c>
      <c r="EX190" s="162" t="str">
        <f>EXP(-LN(2)/2)*EX189+(1-EXP(-LN(2)/2))/(LN(2)/2)*ER190*EU190*VLOOKUP('Données projet'!$B$15,'Paramètres'!$A$1:$I$88,3,0)*0.475*44/12</f>
        <v>#N/A</v>
      </c>
      <c r="EY190" s="163" t="str">
        <f t="shared" si="22"/>
        <v>#N/A</v>
      </c>
      <c r="EZ190" s="159">
        <f>('Scénario référence'!$F$8+'Scénario référence'!$F$9+'Scénario référence'!$B$17+'Scénario référence'!$B$9+'Scénario référence'!$B$10)*70+IF((45+25*(1-EXP(-0.0175*A190)))&lt;70,'Scénario référence'!$B$16*(45+25*(1-EXP(-0.0175*A190))),70*'Scénario référence'!$B$16)+IF((32+38*(1-EXP(-0.0175*A190)))&lt;70,'Scénario référence'!$B$18*(32+38*(1-EXP(-0.0175*A190))),70*'Scénario référence'!$B$18)</f>
        <v>70</v>
      </c>
      <c r="FA190" s="151">
        <f>IF(A190&gt;30,10,('Scénario référence'!$B$16+'Scénario référence'!$B$17+'Scénario référence'!$B$18+'Scénario référence'!$B$9+'Scénario référence'!$B$10)*A190*10/30+('Scénario référence'!$F$8+'Scénario référence'!$F$9)*10)</f>
        <v>10</v>
      </c>
      <c r="FB190" s="151" t="str">
        <f>VLOOKUP(A190,'Données projet'!$A$217:$I$237,2,0)</f>
        <v>#N/A</v>
      </c>
      <c r="FC190" s="151" t="str">
        <f>VLOOKUP(A190,'Données projet'!$A$217:$I$237,9,0)</f>
        <v>#N/A</v>
      </c>
      <c r="FD190" s="151" t="str">
        <f t="array" ref="FD190">INDEX(FC:FC,MIN(IF(ISNUMBER(FC190:FC386),ROW(FC190:FC386),"")))</f>
        <v/>
      </c>
      <c r="FE190" s="151">
        <f>IF('Données projet'!$A$218&gt;35,FE189+FD190-FM189,IF(A190&lt;'Données projet'!$A$218,$FB$205^A190,IF(A190='Données projet'!$A$218,'Données projet'!$B$218,FE189+FD190-FM189)))</f>
        <v>0</v>
      </c>
      <c r="FF190" s="158" t="str">
        <f>FE190*VLOOKUP('Données projet'!$B$16,'Paramètres'!$A$1:$I$88,3,0)*VLOOKUP('Données projet'!$B$16,'Paramètres'!$A$1:$I$88,5,0)</f>
        <v>#N/A</v>
      </c>
      <c r="FG190" s="150" t="str">
        <f t="shared" si="48"/>
        <v>#N/A</v>
      </c>
      <c r="FH190" s="161" t="str">
        <f t="shared" si="23"/>
        <v>#N/A</v>
      </c>
      <c r="FI190" s="153" t="str">
        <f t="shared" si="24"/>
        <v>#N/A</v>
      </c>
      <c r="FJ190" s="153" t="str">
        <f>AVERAGE(OFFSET($FI$3,0,0,'Données projet'!$E$16+1,1))-AVERAGE(OFFSET($H$3,0,0,'Données projet'!$E$16+1,1))</f>
        <v>#N/A</v>
      </c>
      <c r="FK190" s="153" t="str">
        <f t="shared" si="49"/>
        <v>#N/A</v>
      </c>
      <c r="FL190" s="154">
        <f>IF(ISNA(VLOOKUP(A190,'Données projet'!$A$217:$I$237,3,0)),0,VLOOKUP(A190,'Données projet'!$A$217:$I$237,3,0))</f>
        <v>0</v>
      </c>
      <c r="FM190" s="154">
        <f>IF(ISNA(VLOOKUP(A190,'Données projet'!$A$217:$I$237,4,0)),0,VLOOKUP(A190,'Données projet'!$A$217:$I$237,4,0))</f>
        <v>0</v>
      </c>
      <c r="FN190" s="155">
        <f>IF(ISNA(VLOOKUP(A190,'Données projet'!$A$217:$I$237,5,0)),0%,VLOOKUP(A190,'Données projet'!$A$217:$I$237,5,0)*VLOOKUP('Données projet'!$B$16,'Paramètres'!$A$1:$I$88,7,0))</f>
        <v>0</v>
      </c>
      <c r="FO190" s="155">
        <f>IF(ISNA(VLOOKUP(A190,'Données projet'!$A$217:$I$237,6,0)),0%,VLOOKUP(A190,'Données projet'!$A$217:$I$237,6,0)*VLOOKUP('Données projet'!$B$16,'Paramètres'!$A$1:$I$88,7,0))</f>
        <v>0</v>
      </c>
      <c r="FP190" s="155">
        <f>IF(ISNA(VLOOKUP(A190,'Données projet'!$A$217:$I$237,7,0)),0%,VLOOKUP(A190,'Données projet'!$A$217:$I$237,7,0))</f>
        <v>0</v>
      </c>
      <c r="FQ190" s="162" t="str">
        <f>EXP(-LN(2)/35)*FQ189+(1-EXP(-LN(2)/35))/(LN(2)/35)*FM190*FN190*VLOOKUP('Données projet'!$B$16,'Paramètres'!$A$1:$I$88,3,0)*0.475*44/12</f>
        <v>#N/A</v>
      </c>
      <c r="FR190" s="162" t="str">
        <f>EXP(-LN(2)/25)*FR189+(1-EXP(-LN(2)/25))/(LN(2)/25)*Calculateur!FM190*Calculateur!FO190*VLOOKUP('Données projet'!$B$16,'Paramètres'!$A$1:$I$88,3,0)*0.475*44/12</f>
        <v>#N/A</v>
      </c>
      <c r="FS190" s="162" t="str">
        <f>EXP(-LN(2)/2)*FS189+(1-EXP(-LN(2)/2))/(LN(2)/2)*FM190*FP190*VLOOKUP('Données projet'!$B$16,'Paramètres'!$A$1:$I$88,3,0)*0.475*44/12</f>
        <v>#N/A</v>
      </c>
      <c r="FT190" s="163" t="str">
        <f t="shared" si="25"/>
        <v>#N/A</v>
      </c>
      <c r="FU190" s="159">
        <f>('Scénario référence'!$F$8+'Scénario référence'!$F$9+'Scénario référence'!$B$17+'Scénario référence'!$B$9+'Scénario référence'!$B$10)*70+IF((45+25*(1-EXP(-0.0175*A190)))&lt;70,'Scénario référence'!$B$16*(45+25*(1-EXP(-0.0175*A190))),70*'Scénario référence'!$B$16)+IF((32+38*(1-EXP(-0.0175*A190)))&lt;70,'Scénario référence'!$B$18*(32+38*(1-EXP(-0.0175*A190))),70*'Scénario référence'!$B$18)</f>
        <v>70</v>
      </c>
      <c r="FV190" s="151">
        <f>IF(A190&gt;30,10,('Scénario référence'!$B$16+'Scénario référence'!$B$17+'Scénario référence'!$B$18+'Scénario référence'!$B$9+'Scénario référence'!$B$10)*A190*10/30+('Scénario référence'!$F$8+'Scénario référence'!$F$9)*10)</f>
        <v>10</v>
      </c>
      <c r="FW190" s="151" t="str">
        <f>VLOOKUP(A190,'Données projet'!$A$243:$I$263,2,0)</f>
        <v>#N/A</v>
      </c>
      <c r="FX190" s="151" t="str">
        <f>VLOOKUP(A190,'Données projet'!$A$243:$I$263,9,0)</f>
        <v>#N/A</v>
      </c>
      <c r="FY190" s="151" t="str">
        <f t="array" ref="FY190">INDEX(FX:FX,MIN(IF(ISNUMBER(FX190:FX386),ROW(FX190:FX386),"")))</f>
        <v/>
      </c>
      <c r="FZ190" s="151">
        <f>IF('Données projet'!$A$244&gt;35,FZ189+FY190-GH189,IF(A190&lt;'Données projet'!$A$244,$FW$205^A190,IF(A190='Données projet'!$A$244,'Données projet'!$B$244,FZ189+FY190-GH189)))</f>
        <v>0</v>
      </c>
      <c r="GA190" s="158" t="str">
        <f>FZ190*VLOOKUP('Données projet'!$B$17,'Paramètres'!$A$1:$I$88,3,0)*VLOOKUP('Données projet'!$B$17,'Paramètres'!$A$1:$I$88,5,0)</f>
        <v>#N/A</v>
      </c>
      <c r="GB190" s="150" t="str">
        <f t="shared" si="50"/>
        <v>#N/A</v>
      </c>
      <c r="GC190" s="161" t="str">
        <f t="shared" si="26"/>
        <v>#N/A</v>
      </c>
      <c r="GD190" s="153" t="str">
        <f t="shared" si="27"/>
        <v>#N/A</v>
      </c>
      <c r="GE190" s="153" t="str">
        <f>AVERAGE(OFFSET($GD$3,0,0,'Données projet'!$E$17+1,1))-AVERAGE(OFFSET($H$3,0,0,'Données projet'!$E$17+1,1))</f>
        <v>#N/A</v>
      </c>
      <c r="GF190" s="153" t="str">
        <f t="shared" si="51"/>
        <v>#N/A</v>
      </c>
      <c r="GG190" s="154">
        <f>IF(ISNA(VLOOKUP(A190,'Données projet'!$A$243:$I$263,3,0)),0,VLOOKUP(A190,'Données projet'!$A$243:$I$263,3,0))</f>
        <v>0</v>
      </c>
      <c r="GH190" s="154">
        <f>IF(ISNA(VLOOKUP(A190,'Données projet'!$A$243:$I$263,4,0)),0,VLOOKUP(A190,'Données projet'!$A$243:$I$263,4,0))</f>
        <v>0</v>
      </c>
      <c r="GI190" s="155">
        <f>IF(ISNA(VLOOKUP(A190,'Données projet'!$A$243:$I$263,5,0)),0%,VLOOKUP(A190,'Données projet'!$A$243:$I$263,5,0)*VLOOKUP('Données projet'!$B$17,'Paramètres'!$A$1:$I$88,7,0))</f>
        <v>0</v>
      </c>
      <c r="GJ190" s="155">
        <f>IF(ISNA(VLOOKUP(A190,'Données projet'!$A$243:$I$263,6,0)),0%,VLOOKUP(A190,'Données projet'!$A$243:$I$263,6,0)*VLOOKUP('Données projet'!$B$17,'Paramètres'!$A$1:$I$88,7,0))</f>
        <v>0</v>
      </c>
      <c r="GK190" s="155">
        <f>IF(ISNA(VLOOKUP(A190,'Données projet'!$A$243:$I$263,7,0)),0%,VLOOKUP(A190,'Données projet'!$A$243:$I$263,7,0))</f>
        <v>0</v>
      </c>
      <c r="GL190" s="162" t="str">
        <f>EXP(-LN(2)/35)*GL189+(1-EXP(-LN(2)/35))/(LN(2)/35)*GH190*GI190*VLOOKUP('Données projet'!$B$17,'Paramètres'!$A$1:$I$88,3,0)*0.475*44/12</f>
        <v>#N/A</v>
      </c>
      <c r="GM190" s="162" t="str">
        <f>EXP(-LN(2)/25)*GM189+(1-EXP(-LN(2)/25))/(LN(2)/25)*Calculateur!GH190*Calculateur!GJ190*VLOOKUP('Données projet'!$B$17,'Paramètres'!$A$1:$I$88,3,0)*0.475*44/12</f>
        <v>#N/A</v>
      </c>
      <c r="GN190" s="162" t="str">
        <f>EXP(-LN(2)/2)*GN189+(1-EXP(-LN(2)/2))/(LN(2)/2)*GH190*GK190*VLOOKUP('Données projet'!$B$17,'Paramètres'!$A$1:$I$88,3,0)*0.475*44/12</f>
        <v>#N/A</v>
      </c>
      <c r="GO190" s="162" t="str">
        <f t="shared" si="28"/>
        <v>#N/A</v>
      </c>
      <c r="GP190" s="159">
        <f>('Scénario référence'!$F$8+'Scénario référence'!$F$9+'Scénario référence'!$B$17+'Scénario référence'!$B$9+'Scénario référence'!$B$10)*70+IF((45+25*(1-EXP(-0.0175*A190)))&lt;70,'Scénario référence'!$B$16*(45+25*(1-EXP(-0.0175*A190))),70*'Scénario référence'!$B$16)+IF((32+38*(1-EXP(-0.0175*A190)))&lt;70,'Scénario référence'!$B$18*(32+38*(1-EXP(-0.0175*A190))),70*'Scénario référence'!$B$18)</f>
        <v>70</v>
      </c>
      <c r="GQ190" s="151">
        <f>IF(A190&gt;30,10,('Scénario référence'!$B$16+'Scénario référence'!$B$17+'Scénario référence'!$B$18+'Scénario référence'!$B$9+'Scénario référence'!$B$10)*A190*10/30+('Scénario référence'!$F$8+'Scénario référence'!$F$9)*10)</f>
        <v>10</v>
      </c>
      <c r="GR190" s="151" t="str">
        <f>VLOOKUP(A190,'Données projet'!$A$269:$I$289,2,0)</f>
        <v>#N/A</v>
      </c>
      <c r="GS190" s="151" t="str">
        <f>VLOOKUP(A190,'Données projet'!$A$269:$I$289,9,0)</f>
        <v>#N/A</v>
      </c>
      <c r="GT190" s="151" t="str">
        <f t="array" ref="GT190">INDEX(GS:GS,MIN(IF(ISNUMBER(GS190:GS386),ROW(GS190:GS386),"")))</f>
        <v/>
      </c>
      <c r="GU190" s="151">
        <f>IF('Données projet'!$A$270&gt;35,GU189+GT190-HC189,IF(A190&lt;'Données projet'!$A$270,$GR$205^A190,IF(A190='Données projet'!$A$270,'Données projet'!$B$270,GU189+GT190-HC189)))</f>
        <v>0</v>
      </c>
      <c r="GV190" s="158" t="str">
        <f>GU190*VLOOKUP('Données projet'!$B$18,'Paramètres'!$A$1:$I$88,3,0)*VLOOKUP('Données projet'!$B$18,'Paramètres'!$A$1:$I$88,5,0)</f>
        <v>#N/A</v>
      </c>
      <c r="GW190" s="150" t="str">
        <f t="shared" si="52"/>
        <v>#N/A</v>
      </c>
      <c r="GX190" s="161" t="str">
        <f t="shared" si="29"/>
        <v>#N/A</v>
      </c>
      <c r="GY190" s="153" t="str">
        <f t="shared" si="30"/>
        <v>#N/A</v>
      </c>
      <c r="GZ190" s="153" t="str">
        <f>AVERAGE(OFFSET($GY$3,0,0,'Données projet'!$E$18+1,1))-AVERAGE(OFFSET($H$3,0,0,'Données projet'!$E$18+1,1))</f>
        <v>#N/A</v>
      </c>
      <c r="HA190" s="153" t="str">
        <f t="shared" si="53"/>
        <v>#N/A</v>
      </c>
      <c r="HB190" s="154">
        <f>IF(ISNA(VLOOKUP(A190,'Données projet'!$A$269:$I$289,3,0)),0,VLOOKUP(A190,'Données projet'!$A$269:$I$289,3,0))</f>
        <v>0</v>
      </c>
      <c r="HC190" s="154">
        <f>IF(ISNA(VLOOKUP(A190,'Données projet'!$A$269:$I$289,4,0)),0,VLOOKUP(A190,'Données projet'!$A$269:$I$289,4,0))</f>
        <v>0</v>
      </c>
      <c r="HD190" s="155">
        <f>IF(ISNA(VLOOKUP(A190,'Données projet'!$A$269:$I$289,5,0)),0%,VLOOKUP(A190,'Données projet'!$A$269:$I$289,5,0)*VLOOKUP('Données projet'!$B$18,'Paramètres'!$A$1:$I$88,7,0))</f>
        <v>0</v>
      </c>
      <c r="HE190" s="155">
        <f>IF(ISNA(VLOOKUP(A190,'Données projet'!$A$269:$I$289,6,0)),0%,VLOOKUP(A190,'Données projet'!$A$269:$I$289,6,0)*VLOOKUP('Données projet'!$B$18,'Paramètres'!$A$1:$I$88,7,0))</f>
        <v>0</v>
      </c>
      <c r="HF190" s="155">
        <f>IF(ISNA(VLOOKUP(A190,'Données projet'!$A$269:$I$289,7,0)),0%,VLOOKUP(A190,'Données projet'!$A$269:$I$289,7,0))</f>
        <v>0</v>
      </c>
      <c r="HG190" s="162" t="str">
        <f>EXP(-LN(2)/35)*HG189+(1-EXP(-LN(2)/35))/(LN(2)/35)*HC190*HD190*VLOOKUP('Données projet'!$B$18,'Paramètres'!$A$1:$I$88,3,0)*0.475*44/12</f>
        <v>#N/A</v>
      </c>
      <c r="HH190" s="162" t="str">
        <f>EXP(-LN(2)/25)*HH189+(1-EXP(-LN(2)/25))/(LN(2)/25)*Calculateur!HC190*Calculateur!HE190*VLOOKUP('Données projet'!$B$18,'Paramètres'!$A$1:$I$88,3,0)*0.475*44/12</f>
        <v>#N/A</v>
      </c>
      <c r="HI190" s="162" t="str">
        <f>EXP(-LN(2)/2)*HI189+(1-EXP(-LN(2)/2))/(LN(2)/2)*HC190*HF190*VLOOKUP('Données projet'!$B$18,'Paramètres'!$A$1:$I$88,3,0)*0.475*44/12</f>
        <v>#N/A</v>
      </c>
      <c r="HJ190" s="163" t="str">
        <f t="shared" si="31"/>
        <v>#N/A</v>
      </c>
    </row>
    <row r="191" ht="15.75" customHeight="1">
      <c r="A191" s="145">
        <f t="shared" si="32"/>
        <v>188</v>
      </c>
      <c r="B191" s="146">
        <f>'Scénario référence'!$B$16*5+'Scénario référence'!$B$17*0+'Scénario référence'!$B$18*5</f>
        <v>0</v>
      </c>
      <c r="C191" s="160">
        <f>Calculateur!C190+'Scénario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91" s="147">
        <f t="shared" si="33"/>
        <v>0</v>
      </c>
      <c r="E191" s="147">
        <f>'Scénario référence'!$B$16*45+('Scénario référence'!$B$17+'Scénario référence'!$F$8+'Scénario référence'!$F$9+'Scénario référence'!$B$10+'Scénario référence'!$B$9)*70+'Scénario référence'!$B$18*32</f>
        <v>70</v>
      </c>
      <c r="F191" s="147">
        <f>IF(OR('Scénario référence'!$F$8&gt;0,'Scénario référence'!$F$9&gt;0),('Scénario référence'!$F$8+'Scénario référence'!$F$9)*10,0)</f>
        <v>0</v>
      </c>
      <c r="G191" s="147">
        <f>'Scénario référence'!$B$8*B191*44/12+'Scénario référence'!$B$9*(C191+D191)/0.475*44/12+'Scénario référence'!$B$10*(C191+D191)/0.475*44/12+'Scénario référence'!$F$8*(C191+D191)/0.475*44/12+'Scénario référence'!$F$9*(C191+D191)/0.475*44/12</f>
        <v>0</v>
      </c>
      <c r="H191" s="148">
        <f t="shared" si="1"/>
        <v>256.6666667</v>
      </c>
      <c r="I191" s="149">
        <f>('Scénario référence'!$F$8+'Scénario référence'!$F$9+'Scénario référence'!$B$17+'Scénario référence'!$B$9+'Scénario référence'!$B$10)*70+IF((45+25*(1-EXP(-0.0175*A191)))&lt;70,'Scénario référence'!$B$16*(45+25*(1-EXP(-0.0175*A191))),70*'Scénario référence'!$B$16)+IF((32+38*(1-EXP(-0.0175*A191)))&lt;70,'Scénario référence'!$B$18*(32+38*(1-EXP(-0.0175*A191))),70*'Scénario référence'!$B$18)</f>
        <v>70</v>
      </c>
      <c r="J191" s="150">
        <f>IF(A191&gt;30,10,('Scénario référence'!$B$16+'Scénario référence'!$B$17+'Scénario référence'!$B$18+'Scénario référence'!$B$9+'Scénario référence'!$B$10)*A191*10/30+('Scénario référence'!$F$8+'Scénario référence'!$F$9)*10)</f>
        <v>10</v>
      </c>
      <c r="K191" s="151" t="str">
        <f>VLOOKUP(A191,'Données projet'!$A$35:$I$55,2,0)</f>
        <v>#N/A</v>
      </c>
      <c r="L191" s="151" t="str">
        <f>VLOOKUP(A191,'Données projet'!$A$35:$I$55,9,0)</f>
        <v>#N/A</v>
      </c>
      <c r="M191" s="151" t="str">
        <f t="array" ref="M191">INDEX(L:L,MIN(IF(ISNUMBER(L191:L387),ROW(L191:L387),"")))</f>
        <v/>
      </c>
      <c r="N191" s="150">
        <f>IF('Données projet'!$A$36&gt;35,N190+M191-V190,IF(A191&lt;'Données projet'!$A$36,$K$205^A191,IF(A191='Données projet'!$A$36,'Données projet'!$B$36,N190+M191-V190)))</f>
        <v>307</v>
      </c>
      <c r="O191" s="150">
        <f>N191*VLOOKUP('Données projet'!$B$9,'Paramètres'!$A$1:$I$88,3,0)*VLOOKUP('Données projet'!$B$9,'Paramètres'!$A$1:$I$88,5,0)</f>
        <v>277.7736</v>
      </c>
      <c r="P191" s="150">
        <f t="shared" si="34"/>
        <v>66.49628818</v>
      </c>
      <c r="Q191" s="161">
        <f t="shared" si="2"/>
        <v>599.6033886</v>
      </c>
      <c r="R191" s="153">
        <f t="shared" si="3"/>
        <v>892.9367219</v>
      </c>
      <c r="S191" s="153">
        <f>AVERAGE(OFFSET($R$3,0,0,'Données projet'!$E$9+1,1))-AVERAGE(OFFSET($H$3,0,0,'Données projet'!$E$9+1,1))</f>
        <v>439.1985427</v>
      </c>
      <c r="T191" s="153">
        <f t="shared" si="35"/>
        <v>278.2174123</v>
      </c>
      <c r="U191" s="154">
        <f>IF(ISNA(VLOOKUP(A191,'Données projet'!$A$35:$I$55,3,0)),0,VLOOKUP(A191,'Données projet'!$A$35:$I$55,3,0))</f>
        <v>0</v>
      </c>
      <c r="V191" s="154">
        <f>IF(ISNA(VLOOKUP(A191,'Données projet'!$A$35:$I$55,4,0)),0,VLOOKUP(A191,'Données projet'!$A$35:$I$55,4,0))</f>
        <v>0</v>
      </c>
      <c r="W191" s="155">
        <f>IF(ISNA(VLOOKUP(A191,'Données projet'!$A$35:$I$55,5,0)),0%,VLOOKUP(A191,'Données projet'!$A$35:$I$55,5,0)*VLOOKUP('Données projet'!$B$9,'Paramètres'!$A$1:$I$88,7,0))</f>
        <v>0</v>
      </c>
      <c r="X191" s="155">
        <f>IF(ISNA(VLOOKUP(A191,'Données projet'!$A$35:$I$55,6,0)),0%,VLOOKUP(A191,'Données projet'!$A$35:$I$55,6,0)*VLOOKUP('Données projet'!$B$9,'Paramètres'!$A$1:$I$88,7,0))</f>
        <v>0</v>
      </c>
      <c r="Y191" s="155">
        <f>IF(ISNA(VLOOKUP(A191,'Données projet'!$A$35:$I$55,7,0)),0%,VLOOKUP(A191,'Données projet'!$A$35:$I$55,7,0))</f>
        <v>0</v>
      </c>
      <c r="Z191" s="162">
        <f>EXP(-LN(2)/35)*Z190+(1-EXP(-LN(2)/35))/(LN(2)/35)*V191*W191*VLOOKUP('Données projet'!$B$9,'Paramètres'!$A$1:$I$88,3,0)*0.475*44/12</f>
        <v>0</v>
      </c>
      <c r="AA191" s="162">
        <f>EXP(-LN(2)/25)*AA190+(1-EXP(-LN(2)/25))/(LN(2)/25)*Calculateur!V191*Calculateur!X191*VLOOKUP('Données projet'!$B$9,'Paramètres'!$A$1:$I$88,3,0)*0.475*44/12</f>
        <v>0.05616977786</v>
      </c>
      <c r="AB191" s="162">
        <f>EXP(-LN(2)/2)*AB190+(1-EXP(-LN(2)/2))/(LN(2)/2)*V191*Y191*VLOOKUP('Données projet'!$B$9,'Paramètres'!$A$1:$I$88,3,0)*0.475*44/12</f>
        <v>0</v>
      </c>
      <c r="AC191" s="163">
        <f t="shared" si="4"/>
        <v>0.05616977786</v>
      </c>
      <c r="AD191" s="150">
        <f>('Scénario référence'!$F$8+'Scénario référence'!$F$9+'Scénario référence'!$B$17+'Scénario référence'!$B$9+'Scénario référence'!$B$10)*70+IF((45+25*(1-EXP(-0.0175*A191)))&lt;70,'Scénario référence'!$B$16*(45+25*(1-EXP(-0.0175*A191))),70*'Scénario référence'!$B$16)+IF((32+38*(1-EXP(-0.0175*A191)))&lt;70,'Scénario référence'!$B$18*(32+38*(1-EXP(-0.0175*A191))),70*'Scénario référence'!$B$18)</f>
        <v>70</v>
      </c>
      <c r="AE191" s="150">
        <f>IF(A191&gt;30,10,('Scénario référence'!$B$16+'Scénario référence'!$B$17+'Scénario référence'!$B$18+'Scénario référence'!$B$9+'Scénario référence'!$B$10)*A191*10/30+('Scénario référence'!$F$8+'Scénario référence'!$F$9)*10)</f>
        <v>10</v>
      </c>
      <c r="AF191" s="151" t="str">
        <f>VLOOKUP(A191,'Données projet'!$A$61:$I$81,2,0)</f>
        <v>#N/A</v>
      </c>
      <c r="AG191" s="151" t="str">
        <f>VLOOKUP(A191,'Données projet'!$A$61:$I$81,9,0)</f>
        <v>#N/A</v>
      </c>
      <c r="AH191" s="151" t="str">
        <f t="array" ref="AH191">INDEX(AG:AG,MIN(IF(ISNUMBER(AG191:AG387),ROW(AG191:AG387),"")))</f>
        <v/>
      </c>
      <c r="AI191" s="150">
        <f>IF('Données projet'!$A$62&gt;35,AI190+AH191-AQ190,IF(A191&lt;'Données projet'!$A$62,$AF$205^A191,IF(A191='Données projet'!$A$62,'Données projet'!$B$62,AI190+AH191-AQ190)))</f>
        <v>369</v>
      </c>
      <c r="AJ191" s="150">
        <f>AI191*VLOOKUP('Données projet'!$B$10,'Paramètres'!$A$1:$I$88,3,0)*VLOOKUP('Données projet'!$B$10,'Paramètres'!$A$1:$I$88,5,0)</f>
        <v>293.5764</v>
      </c>
      <c r="AK191" s="150">
        <f t="shared" si="36"/>
        <v>69.82813851</v>
      </c>
      <c r="AL191" s="161">
        <f t="shared" si="5"/>
        <v>632.9295712</v>
      </c>
      <c r="AM191" s="153">
        <f t="shared" si="6"/>
        <v>926.2629046</v>
      </c>
      <c r="AN191" s="153">
        <f>AVERAGE(OFFSET($AM$3,0,0,'Données projet'!$E$10+1,1))-AVERAGE(OFFSET($H$3,0,0,'Données projet'!$E$10+1,1))</f>
        <v>405.6113614</v>
      </c>
      <c r="AO191" s="153">
        <f t="shared" si="37"/>
        <v>393.0787141</v>
      </c>
      <c r="AP191" s="154">
        <f>IF(ISNA(VLOOKUP(A191,'Données projet'!$A$61:$I$81,3,0)),0,VLOOKUP(A191,'Données projet'!$A$61:$I$81,3,0))</f>
        <v>0</v>
      </c>
      <c r="AQ191" s="154">
        <f>IF(ISNA(VLOOKUP(A191,'Données projet'!$A$61:$I$81,4,0)),0,VLOOKUP(A191,'Données projet'!$A$61:$I$81,4,0))</f>
        <v>0</v>
      </c>
      <c r="AR191" s="155">
        <f>IF(ISNA(VLOOKUP(A191,'Données projet'!$A$61:$I$81,5,0)),0%,VLOOKUP(A191,'Données projet'!$A$61:$I$81,5,0)*VLOOKUP('Données projet'!$B$10,'Paramètres'!$A$1:$I$88,7,0))</f>
        <v>0</v>
      </c>
      <c r="AS191" s="155">
        <f>IF(ISNA(VLOOKUP(A191,'Données projet'!$A$61:$I$81,6,0)),0%,VLOOKUP(A191,'Données projet'!$A$61:$I$81,6,0)*VLOOKUP('Données projet'!$B$10,'Paramètres'!$A$1:$I$88,7,0))</f>
        <v>0</v>
      </c>
      <c r="AT191" s="155">
        <f>IF(ISNA(VLOOKUP(A191,'Données projet'!$A$61:$I$81,7,0)),0%,VLOOKUP(A191,'Données projet'!$A$61:$I$81,7,0))</f>
        <v>0</v>
      </c>
      <c r="AU191" s="162">
        <f>EXP(-LN(2)/35)*AU190+(1-EXP(-LN(2)/35))/(LN(2)/35)*AQ191*AR191*VLOOKUP('Données projet'!$B$10,'Paramètres'!$A$1:$I$88,3,0)*0.475*44/12</f>
        <v>0</v>
      </c>
      <c r="AV191" s="162">
        <f>EXP(-LN(2)/25)*AV190+(1-EXP(-LN(2)/25))/(LN(2)/25)*Calculateur!AQ191*Calculateur!AS191*VLOOKUP('Données projet'!$B$10,'Paramètres'!$A$1:$I$88,3,0)*0.475*44/12</f>
        <v>0.2282882562</v>
      </c>
      <c r="AW191" s="162">
        <f>EXP(-LN(2)/2)*AW190+(1-EXP(-LN(2)/2))/(LN(2)/2)*AQ191*AT191*VLOOKUP('Données projet'!$B$10,'Paramètres'!$A$1:$I$88,3,0)*0.475*44/12</f>
        <v>0</v>
      </c>
      <c r="AX191" s="162">
        <f t="shared" si="7"/>
        <v>0.2282882562</v>
      </c>
      <c r="AY191" s="157">
        <f>('Scénario référence'!$F$8+'Scénario référence'!$F$9+'Scénario référence'!$B$17+'Scénario référence'!$B$9+'Scénario référence'!$B$10)*70+IF((45+25*(1-EXP(-0.0175*A191)))&lt;70,'Scénario référence'!$B$16*(45+25*(1-EXP(-0.0175*A191))),70*'Scénario référence'!$B$16)+IF((32+38*(1-EXP(-0.0175*A191)))&lt;70,'Scénario référence'!$B$18*(32+38*(1-EXP(-0.0175*A191))),70*'Scénario référence'!$B$18)</f>
        <v>70</v>
      </c>
      <c r="AZ191" s="151">
        <f>IF(A191&gt;30,10,('Scénario référence'!$B$16+'Scénario référence'!$B$17+'Scénario référence'!$B$18+'Scénario référence'!$B$9+'Scénario référence'!$B$10)*A191*10/30+('Scénario référence'!$F$8+'Scénario référence'!$F$9)*10)</f>
        <v>10</v>
      </c>
      <c r="BA191" s="151" t="str">
        <f>VLOOKUP(A191,'Données projet'!$A$87:$I$107,2,0)</f>
        <v>#N/A</v>
      </c>
      <c r="BB191" s="151" t="str">
        <f>VLOOKUP(A191,'Données projet'!$A$87:$I$107,9,0)</f>
        <v>#N/A</v>
      </c>
      <c r="BC191" s="151" t="str">
        <f t="array" ref="BC191">INDEX(BB:BB,MIN(IF(ISNUMBER(BB191:BB387),ROW(BB191:BB387),"")))</f>
        <v/>
      </c>
      <c r="BD191" s="150">
        <f>IF('Données projet'!$A$88&gt;35,BD190+BC191-BL190,IF(A191&lt;'Données projet'!$A$88,$BA$205^A191,IF(A191='Données projet'!$A$88,'Données projet'!$B$88,BD190+BC191-BL190)))</f>
        <v>0</v>
      </c>
      <c r="BE191" s="150">
        <f>BD191*VLOOKUP('Données projet'!$B$11,'Paramètres'!$A$1:$I$88,3,0)*VLOOKUP('Données projet'!$B$11,'Paramètres'!$A$1:$I$88,5,0)</f>
        <v>0</v>
      </c>
      <c r="BF191" s="150" t="str">
        <f t="shared" si="38"/>
        <v>#NUM!</v>
      </c>
      <c r="BG191" s="161" t="str">
        <f t="shared" si="8"/>
        <v>#NUM!</v>
      </c>
      <c r="BH191" s="153" t="str">
        <f t="shared" si="9"/>
        <v>#NUM!</v>
      </c>
      <c r="BI191" s="153">
        <f>AVERAGE(OFFSET($BH$3,0,0,'Données projet'!$E$11+1,1))-AVERAGE(OFFSET($H$3,0,0,'Données projet'!$E$11+1,1))</f>
        <v>0</v>
      </c>
      <c r="BJ191" s="153">
        <f t="shared" si="39"/>
        <v>0</v>
      </c>
      <c r="BK191" s="154">
        <f>IF(ISNA(VLOOKUP(A191,'Données projet'!$A$87:$I$107,3,0)),0,VLOOKUP(A191,'Données projet'!$A$87:$I$107,3,0))</f>
        <v>0</v>
      </c>
      <c r="BL191" s="154">
        <f>IF(ISNA(VLOOKUP(A191,'Données projet'!$A$87:$I$107,4,0)),0,VLOOKUP(A191,'Données projet'!$A$87:$I$107,4,0))</f>
        <v>0</v>
      </c>
      <c r="BM191" s="155">
        <f>IF(ISNA(VLOOKUP(A191,'Données projet'!$A$87:$I$107,5,0)),0%,VLOOKUP(A191,'Données projet'!$A$87:$I$107,5,0)*VLOOKUP('Données projet'!$B$11,'Paramètres'!$A$1:$I$88,7,0))</f>
        <v>0</v>
      </c>
      <c r="BN191" s="155">
        <f>IF(ISNA(VLOOKUP(A191,'Données projet'!$A$87:$I$107,6,0)),0%,VLOOKUP(A191,'Données projet'!$A$87:$I$107,6,0)*VLOOKUP('Données projet'!$B$11,'Paramètres'!$A$1:$I$88,7,0))</f>
        <v>0</v>
      </c>
      <c r="BO191" s="155">
        <f>IF(ISNA(VLOOKUP(A191,'Données projet'!$A$87:$I$107,7,0)),0%,VLOOKUP(A191,'Données projet'!$A$87:$I$107,7,0))</f>
        <v>0</v>
      </c>
      <c r="BP191" s="162">
        <f>EXP(-LN(2)/35)*BP190+(1-EXP(-LN(2)/35))/(LN(2)/35)*BL191*BM191*VLOOKUP('Données projet'!$B$11,'Paramètres'!$A$1:$I$88,3,0)*0.475*44/12</f>
        <v>0</v>
      </c>
      <c r="BQ191" s="162">
        <f>EXP(-LN(2)/25)*BQ190+(1-EXP(-LN(2)/25))/(LN(2)/25)*Calculateur!BL191*Calculateur!BN191*VLOOKUP('Données projet'!$B$11,'Paramètres'!$A$1:$I$88,3,0)*0.475*44/12</f>
        <v>0</v>
      </c>
      <c r="BR191" s="162">
        <f>EXP(-LN(2)/2)*BR190+(1-EXP(-LN(2)/2))/(LN(2)/2)*BL191*BO191*VLOOKUP('Données projet'!$B$11,'Paramètres'!$A$1:$I$88,3,0)*0.475*44/12</f>
        <v>0</v>
      </c>
      <c r="BS191" s="163">
        <f t="shared" si="10"/>
        <v>0</v>
      </c>
      <c r="BT191" s="159">
        <f>('Scénario référence'!$F$8+'Scénario référence'!$F$9+'Scénario référence'!$B$17+'Scénario référence'!$B$9+'Scénario référence'!$B$10)*70+IF((45+25*(1-EXP(-0.0175*A191)))&lt;70,'Scénario référence'!$B$16*(45+25*(1-EXP(-0.0175*A191))),70*'Scénario référence'!$B$16)+IF((32+38*(1-EXP(-0.0175*A191)))&lt;70,'Scénario référence'!$B$18*(32+38*(1-EXP(-0.0175*A191))),70*'Scénario référence'!$B$18)</f>
        <v>70</v>
      </c>
      <c r="BU191" s="151">
        <f>IF(A191&gt;30,10,('Scénario référence'!$B$16+'Scénario référence'!$B$17+'Scénario référence'!$B$18+'Scénario référence'!$B$9+'Scénario référence'!$B$10)*A191*10/30+('Scénario référence'!$F$8+'Scénario référence'!$F$9)*10)</f>
        <v>10</v>
      </c>
      <c r="BV191" s="151" t="str">
        <f>VLOOKUP(A191,'Données projet'!$A$113:$I$133,2,0)</f>
        <v>#N/A</v>
      </c>
      <c r="BW191" s="151" t="str">
        <f>VLOOKUP(A191,'Données projet'!$A$113:$I$133,9,0)</f>
        <v>#N/A</v>
      </c>
      <c r="BX191" s="151" t="str">
        <f t="array" ref="BX191">INDEX(BW:BW,MIN(IF(ISNUMBER(BW191:BW387),ROW(BW191:BW387),"")))</f>
        <v/>
      </c>
      <c r="BY191" s="150">
        <f>IF('Données projet'!$A$114&gt;35,BY190+BX191-CG190,IF(A191&lt;'Données projet'!$A$114,$BV$205^A191,IF(A191='Données projet'!$A$114,'Données projet'!$B$114,BY190+BX191-CG190)))</f>
        <v>0</v>
      </c>
      <c r="BZ191" s="150" t="str">
        <f>BY191*VLOOKUP('Données projet'!$B$12,'Paramètres'!$A$1:$I$88,3,0)*VLOOKUP('Données projet'!$B$12,'Paramètres'!$A$1:$I$88,5,0)</f>
        <v>#N/A</v>
      </c>
      <c r="CA191" s="150" t="str">
        <f t="shared" si="40"/>
        <v>#N/A</v>
      </c>
      <c r="CB191" s="161" t="str">
        <f t="shared" si="11"/>
        <v>#N/A</v>
      </c>
      <c r="CC191" s="153" t="str">
        <f t="shared" si="12"/>
        <v>#N/A</v>
      </c>
      <c r="CD191" s="153" t="str">
        <f>AVERAGE(OFFSET($CC$3,0,0,'Données projet'!$E$12+1,1))-AVERAGE(OFFSET($H$3,0,0,'Données projet'!$E$12+1,1))</f>
        <v>#N/A</v>
      </c>
      <c r="CE191" s="153" t="str">
        <f t="shared" si="41"/>
        <v>#N/A</v>
      </c>
      <c r="CF191" s="154">
        <f>IF(ISNA(VLOOKUP(A191,'Données projet'!$A$113:$I$133,3,0)),0,VLOOKUP(A191,'Données projet'!$A$113:$I$133,3,0))</f>
        <v>0</v>
      </c>
      <c r="CG191" s="154">
        <f>IF(ISNA(VLOOKUP(A191,'Données projet'!$A$113:$I$133,4,0)),0,VLOOKUP(A191,'Données projet'!$A$113:$I$133,4,0))</f>
        <v>0</v>
      </c>
      <c r="CH191" s="155">
        <f>IF(ISNA(VLOOKUP(A191,'Données projet'!$A$113:$I$133,5,0)),0%,VLOOKUP(A191,'Données projet'!$A$113:$I$133,5,0)*VLOOKUP('Données projet'!$B$12,'Paramètres'!$A$1:$I$88,7,0))</f>
        <v>0</v>
      </c>
      <c r="CI191" s="155">
        <f>IF(ISNA(VLOOKUP(A191,'Données projet'!$A$113:$I$133,6,0)),0%,VLOOKUP(A191,'Données projet'!$A$113:$I$133,6,0)*VLOOKUP('Données projet'!$B$12,'Paramètres'!$A$1:$I$88,7,0))</f>
        <v>0</v>
      </c>
      <c r="CJ191" s="155">
        <f>IF(ISNA(VLOOKUP(A191,'Données projet'!$A$113:$I$133,7,0)),0%,VLOOKUP(A191,'Données projet'!$A$113:$I$133,7,0))</f>
        <v>0</v>
      </c>
      <c r="CK191" s="162" t="str">
        <f>EXP(-LN(2)/35)*CK190+(1-EXP(-LN(2)/35))/(LN(2)/35)*CG191*CH191*VLOOKUP('Données projet'!$B$12,'Paramètres'!$A$1:$I$88,3,0)*0.475*44/12</f>
        <v>#N/A</v>
      </c>
      <c r="CL191" s="162" t="str">
        <f>EXP(-LN(2)/25)*CL190+(1-EXP(-LN(2)/25))/(LN(2)/25)*Calculateur!CG191*Calculateur!CI191*VLOOKUP('Données projet'!$B$12,'Paramètres'!$A$1:$I$88,3,0)*0.475*44/12</f>
        <v>#N/A</v>
      </c>
      <c r="CM191" s="162" t="str">
        <f>EXP(-LN(2)/2)*CM190+(1-EXP(-LN(2)/2))/(LN(2)/2)*CG191*CJ191*VLOOKUP('Données projet'!$B$12,'Paramètres'!$A$1:$I$88,3,0)*0.475*44/12</f>
        <v>#N/A</v>
      </c>
      <c r="CN191" s="163" t="str">
        <f t="shared" si="13"/>
        <v>#N/A</v>
      </c>
      <c r="CO191" s="159">
        <f>('Scénario référence'!$F$8+'Scénario référence'!$F$9+'Scénario référence'!$B$17+'Scénario référence'!$B$9+'Scénario référence'!$B$10)*70+IF((45+25*(1-EXP(-0.0175*A191)))&lt;70,'Scénario référence'!$B$16*(45+25*(1-EXP(-0.0175*A191))),70*'Scénario référence'!$B$16)+IF((32+38*(1-EXP(-0.0175*A191)))&lt;70,'Scénario référence'!$B$18*(32+38*(1-EXP(-0.0175*A191))),70*'Scénario référence'!$B$18)</f>
        <v>70</v>
      </c>
      <c r="CP191" s="151">
        <f>IF(A191&gt;30,10,('Scénario référence'!$B$16+'Scénario référence'!$B$17+'Scénario référence'!$B$18+'Scénario référence'!$B$9+'Scénario référence'!$B$10)*A191*10/30+('Scénario référence'!$F$8+'Scénario référence'!$F$9)*10)</f>
        <v>10</v>
      </c>
      <c r="CQ191" s="151" t="str">
        <f>VLOOKUP(A191,'Données projet'!$A$139:$I$159,2,0)</f>
        <v>#N/A</v>
      </c>
      <c r="CR191" s="151" t="str">
        <f>VLOOKUP(A191,'Données projet'!$A$139:$I$159,9,0)</f>
        <v>#N/A</v>
      </c>
      <c r="CS191" s="151" t="str">
        <f t="array" ref="CS191">INDEX(CR:CR,MIN(IF(ISNUMBER(CR191:CR387),ROW(CR191:CR387),"")))</f>
        <v/>
      </c>
      <c r="CT191" s="151">
        <f>IF('Données projet'!$A$140&gt;35,CT190+CS191-DB190,IF(A191&lt;'Données projet'!$A$140,$CQ$205^A191,IF(A191='Données projet'!$A$140,'Données projet'!$B$140,CT190+CS191-DB190)))</f>
        <v>0</v>
      </c>
      <c r="CU191" s="158" t="str">
        <f>CT191*VLOOKUP('Données projet'!$B$13,'Paramètres'!$A$1:$I$88,3,0)*VLOOKUP('Données projet'!$B$13,'Paramètres'!$A$1:$I$88,5,0)</f>
        <v>#N/A</v>
      </c>
      <c r="CV191" s="150" t="str">
        <f t="shared" si="42"/>
        <v>#N/A</v>
      </c>
      <c r="CW191" s="161" t="str">
        <f t="shared" si="14"/>
        <v>#N/A</v>
      </c>
      <c r="CX191" s="153" t="str">
        <f t="shared" si="15"/>
        <v>#N/A</v>
      </c>
      <c r="CY191" s="153" t="str">
        <f>AVERAGE(OFFSET($CX$3,0,0,'Données projet'!$E$13+1,1))-AVERAGE(OFFSET($H$3,0,0,'Données projet'!$E$13+1,1))</f>
        <v>#N/A</v>
      </c>
      <c r="CZ191" s="153" t="str">
        <f t="shared" si="43"/>
        <v>#N/A</v>
      </c>
      <c r="DA191" s="154">
        <f>IF(ISNA(VLOOKUP(A191,'Données projet'!$A$139:$I$159,3,0)),0,VLOOKUP(A191,'Données projet'!$A$139:$I$159,3,0))</f>
        <v>0</v>
      </c>
      <c r="DB191" s="154">
        <f>IF(ISNA(VLOOKUP(A191,'Données projet'!$A$139:$I$159,4,0)),0,VLOOKUP(A191,'Données projet'!$A$139:$I$159,4,0))</f>
        <v>0</v>
      </c>
      <c r="DC191" s="155">
        <f>IF(ISNA(VLOOKUP(A191,'Données projet'!$A$139:$I$159,5,0)),0%,VLOOKUP(A191,'Données projet'!$A$139:$I$159,5,0)*VLOOKUP('Données projet'!$B$13,'Paramètres'!$A$1:$I$88,7,0))</f>
        <v>0</v>
      </c>
      <c r="DD191" s="155">
        <f>IF(ISNA(VLOOKUP(A191,'Données projet'!$A$139:$I$159,6,0)),0%,VLOOKUP(A191,'Données projet'!$A$139:$I$159,6,0)*VLOOKUP('Données projet'!$B$13,'Paramètres'!$A$1:$I$88,7,0))</f>
        <v>0</v>
      </c>
      <c r="DE191" s="155">
        <f>IF(ISNA(VLOOKUP(A191,'Données projet'!$A$139:$I$159,7,0)),0%,VLOOKUP(A191,'Données projet'!$A$139:$I$159,7,0))</f>
        <v>0</v>
      </c>
      <c r="DF191" s="162" t="str">
        <f>EXP(-LN(2)/35)*DF190+(1-EXP(-LN(2)/35))/(LN(2)/35)*DB191*DC191*VLOOKUP('Données projet'!$B$13,'Paramètres'!$A$1:$I$88,3,0)*0.475*44/12</f>
        <v>#N/A</v>
      </c>
      <c r="DG191" s="162" t="str">
        <f>EXP(-LN(2)/25)*DG190+(1-EXP(-LN(2)/25))/(LN(2)/25)*Calculateur!DB191*Calculateur!DD191*VLOOKUP('Données projet'!$B$13,'Paramètres'!$A$1:$I$88,3,0)*0.475*44/12</f>
        <v>#N/A</v>
      </c>
      <c r="DH191" s="162" t="str">
        <f>EXP(-LN(2)/2)*DH190+(1-EXP(-LN(2)/2))/(LN(2)/2)*DB191*DE191*VLOOKUP('Données projet'!$B$13,'Paramètres'!$A$1:$I$88,3,0)*0.475*44/12</f>
        <v>#N/A</v>
      </c>
      <c r="DI191" s="163" t="str">
        <f t="shared" si="16"/>
        <v>#N/A</v>
      </c>
      <c r="DJ191" s="159">
        <f>('Scénario référence'!$F$8+'Scénario référence'!$F$9+'Scénario référence'!$B$17+'Scénario référence'!$B$9+'Scénario référence'!$B$10)*70+IF((45+25*(1-EXP(-0.0175*A191)))&lt;70,'Scénario référence'!$B$16*(45+25*(1-EXP(-0.0175*A191))),70*'Scénario référence'!$B$16)+IF((32+38*(1-EXP(-0.0175*A191)))&lt;70,'Scénario référence'!$B$18*(32+38*(1-EXP(-0.0175*A191))),70*'Scénario référence'!$B$18)</f>
        <v>70</v>
      </c>
      <c r="DK191" s="151">
        <f>IF(A191&gt;30,10,('Scénario référence'!$B$16+'Scénario référence'!$B$17+'Scénario référence'!$B$18+'Scénario référence'!$B$9+'Scénario référence'!$B$10)*A191*10/30+('Scénario référence'!$F$8+'Scénario référence'!$F$9)*10)</f>
        <v>10</v>
      </c>
      <c r="DL191" s="151" t="str">
        <f>VLOOKUP(A191,'Données projet'!$A$165:$I$185,2,0)</f>
        <v>#N/A</v>
      </c>
      <c r="DM191" s="151" t="str">
        <f>VLOOKUP(A191,'Données projet'!$A$165:$I$185,9,0)</f>
        <v>#N/A</v>
      </c>
      <c r="DN191" s="151" t="str">
        <f t="array" ref="DN191">INDEX(DM:DM,MIN(IF(ISNUMBER(DM191:DM387),ROW(DM191:DM387),"")))</f>
        <v/>
      </c>
      <c r="DO191" s="151">
        <f>IF('Données projet'!$A$166&gt;35,DO190+DN191-DW190,IF(A191&lt;'Données projet'!$A$166,$DL$205^A191,IF(A191='Données projet'!$A$166,'Données projet'!$B$166,DO190+DN191-DW190)))</f>
        <v>0</v>
      </c>
      <c r="DP191" s="158" t="str">
        <f>DO191*VLOOKUP('Données projet'!$B$14,'Paramètres'!$A$1:$I$88,3,0)*VLOOKUP('Données projet'!$B$14,'Paramètres'!$A$1:$I$88,5,0)</f>
        <v>#N/A</v>
      </c>
      <c r="DQ191" s="150" t="str">
        <f t="shared" si="44"/>
        <v>#N/A</v>
      </c>
      <c r="DR191" s="161" t="str">
        <f t="shared" si="17"/>
        <v>#N/A</v>
      </c>
      <c r="DS191" s="153" t="str">
        <f t="shared" si="18"/>
        <v>#N/A</v>
      </c>
      <c r="DT191" s="153" t="str">
        <f>AVERAGE(OFFSET($DS$3,0,0,'Données projet'!$E$14+1,1))-AVERAGE(OFFSET($H$3,0,0,'Données projet'!$E$14+1,1))</f>
        <v>#N/A</v>
      </c>
      <c r="DU191" s="153" t="str">
        <f t="shared" si="45"/>
        <v>#N/A</v>
      </c>
      <c r="DV191" s="154">
        <f>IF(ISNA(VLOOKUP(A191,'Données projet'!$A$165:$I$185,3,0)),0,VLOOKUP(A191,'Données projet'!$A$165:$I$185,3,0))</f>
        <v>0</v>
      </c>
      <c r="DW191" s="154">
        <f>IF(ISNA(VLOOKUP(A191,'Données projet'!$A$165:$I$185,4,0)),0,VLOOKUP(A191,'Données projet'!$A$165:$I$185,4,0))</f>
        <v>0</v>
      </c>
      <c r="DX191" s="155">
        <f>IF(ISNA(VLOOKUP(A191,'Données projet'!$A$165:$I$185,5,0)),0%,VLOOKUP(A191,'Données projet'!$A$165:$I$185,5,0)*VLOOKUP('Données projet'!$B$14,'Paramètres'!$A$1:$I$88,7,0))</f>
        <v>0</v>
      </c>
      <c r="DY191" s="155">
        <f>IF(ISNA(VLOOKUP(A191,'Données projet'!$A$165:$I$185,6,0)),0%,VLOOKUP(A191,'Données projet'!$A$165:$I$185,6,0)*VLOOKUP('Données projet'!$B$14,'Paramètres'!$A$1:$I$88,7,0))</f>
        <v>0</v>
      </c>
      <c r="DZ191" s="155">
        <f>IF(ISNA(VLOOKUP(A191,'Données projet'!$A$165:$I$185,7,0)),0%,VLOOKUP(A191,'Données projet'!$A$165:$I$185,7,0))</f>
        <v>0</v>
      </c>
      <c r="EA191" s="162" t="str">
        <f>EXP(-LN(2)/35)*EA190+(1-EXP(-LN(2)/35))/(LN(2)/35)*DW191*DX191*VLOOKUP('Données projet'!$B$14,'Paramètres'!$A$1:$I$88,3,0)*0.475*44/12</f>
        <v>#N/A</v>
      </c>
      <c r="EB191" s="162" t="str">
        <f>EXP(-LN(2)/25)*EB190+(1-EXP(-LN(2)/25))/(LN(2)/25)*Calculateur!DW191*Calculateur!DY191*VLOOKUP('Données projet'!$B$14,'Paramètres'!$A$1:$I$88,3,0)*0.475*44/12</f>
        <v>#N/A</v>
      </c>
      <c r="EC191" s="162" t="str">
        <f>EXP(-LN(2)/2)*EC190+(1-EXP(-LN(2)/2))/(LN(2)/2)*DW191*DZ191*VLOOKUP('Données projet'!$B$14,'Paramètres'!$A$1:$I$88,3,0)*0.475*44/12</f>
        <v>#N/A</v>
      </c>
      <c r="ED191" s="163" t="str">
        <f t="shared" si="19"/>
        <v>#N/A</v>
      </c>
      <c r="EE191" s="159">
        <f>('Scénario référence'!$F$8+'Scénario référence'!$F$9+'Scénario référence'!$B$17+'Scénario référence'!$B$9+'Scénario référence'!$B$10)*70+IF((45+25*(1-EXP(-0.0175*A191)))&lt;70,'Scénario référence'!$B$16*(45+25*(1-EXP(-0.0175*A191))),70*'Scénario référence'!$B$16)+IF((32+38*(1-EXP(-0.0175*A191)))&lt;70,'Scénario référence'!$B$18*(32+38*(1-EXP(-0.0175*A191))),70*'Scénario référence'!$B$18)</f>
        <v>70</v>
      </c>
      <c r="EF191" s="151">
        <f>IF(A191&gt;30,10,('Scénario référence'!$B$16+'Scénario référence'!$B$17+'Scénario référence'!$B$18+'Scénario référence'!$B$9+'Scénario référence'!$B$10)*A191*10/30+('Scénario référence'!$F$8+'Scénario référence'!$F$9)*10)</f>
        <v>10</v>
      </c>
      <c r="EG191" s="151" t="str">
        <f>VLOOKUP(A191,'Données projet'!$A$191:$I$211,2,0)</f>
        <v>#N/A</v>
      </c>
      <c r="EH191" s="151" t="str">
        <f>VLOOKUP(A191,'Données projet'!$A$191:$I$211,9,0)</f>
        <v>#N/A</v>
      </c>
      <c r="EI191" s="151" t="str">
        <f t="array" ref="EI191">INDEX(EH:EH,MIN(IF(ISNUMBER(EH191:EH387),ROW(EH191:EH387),"")))</f>
        <v/>
      </c>
      <c r="EJ191" s="151">
        <f>IF('Données projet'!$A$192&gt;35,EJ190+EI191-ER190,IF(A191&lt;'Données projet'!$A$192,$EG$205^A191,IF(A191='Données projet'!$A$192,'Données projet'!$B$192,EJ190+EI191-ER190)))</f>
        <v>0</v>
      </c>
      <c r="EK191" s="158" t="str">
        <f>EJ191*VLOOKUP('Données projet'!$B$15,'Paramètres'!$A$1:$I$88,3,0)*VLOOKUP('Données projet'!$B$15,'Paramètres'!$A$1:$I$88,5,0)</f>
        <v>#N/A</v>
      </c>
      <c r="EL191" s="150" t="str">
        <f t="shared" si="46"/>
        <v>#N/A</v>
      </c>
      <c r="EM191" s="161" t="str">
        <f t="shared" si="20"/>
        <v>#N/A</v>
      </c>
      <c r="EN191" s="153" t="str">
        <f t="shared" si="21"/>
        <v>#N/A</v>
      </c>
      <c r="EO191" s="153" t="str">
        <f>AVERAGE(OFFSET($EN$3,0,0,'Données projet'!$E$15+1,1))-AVERAGE(OFFSET($H$3,0,0,'Données projet'!$E$15+1,1))</f>
        <v>#N/A</v>
      </c>
      <c r="EP191" s="153" t="str">
        <f t="shared" si="47"/>
        <v>#N/A</v>
      </c>
      <c r="EQ191" s="154">
        <f>IF(ISNA(VLOOKUP(A191,'Données projet'!$A$191:$I$211,3,0)),0,VLOOKUP(A191,'Données projet'!$A$191:$I$211,3,0))</f>
        <v>0</v>
      </c>
      <c r="ER191" s="154">
        <f>IF(ISNA(VLOOKUP(A191,'Données projet'!$A$191:$I$211,4,0)),0,VLOOKUP(A191,'Données projet'!$A$191:$I$211,4,0))</f>
        <v>0</v>
      </c>
      <c r="ES191" s="155">
        <f>IF(ISNA(VLOOKUP(A191,'Données projet'!$A$191:$I$211,5,0)),0%,VLOOKUP(A191,'Données projet'!$A$191:$I$211,5,0)*VLOOKUP('Données projet'!$B$15,'Paramètres'!$A$1:$I$88,7,0))</f>
        <v>0</v>
      </c>
      <c r="ET191" s="155">
        <f>IF(ISNA(VLOOKUP(A191,'Données projet'!$A$191:$I$211,6,0)),0%,VLOOKUP(A191,'Données projet'!$A$191:$I$211,6,0)*VLOOKUP('Données projet'!$B$15,'Paramètres'!$A$1:$I$88,7,0))</f>
        <v>0</v>
      </c>
      <c r="EU191" s="155">
        <f>IF(ISNA(VLOOKUP(A191,'Données projet'!$A$191:$I$211,7,0)),0%,VLOOKUP(A191,'Données projet'!$A$191:$I$211,7,0))</f>
        <v>0</v>
      </c>
      <c r="EV191" s="162" t="str">
        <f>EXP(-LN(2)/35)*EV190+(1-EXP(-LN(2)/35))/(LN(2)/35)*ER191*ES191*VLOOKUP('Données projet'!$B$15,'Paramètres'!$A$1:$I$88,3,0)*0.475*44/12</f>
        <v>#N/A</v>
      </c>
      <c r="EW191" s="162" t="str">
        <f>EXP(-LN(2)/25)*EW190+(1-EXP(-LN(2)/25))/(LN(2)/25)*Calculateur!ER191*Calculateur!ET191*VLOOKUP('Données projet'!$B$15,'Paramètres'!$A$1:$I$88,3,0)*0.475*44/12</f>
        <v>#N/A</v>
      </c>
      <c r="EX191" s="162" t="str">
        <f>EXP(-LN(2)/2)*EX190+(1-EXP(-LN(2)/2))/(LN(2)/2)*ER191*EU191*VLOOKUP('Données projet'!$B$15,'Paramètres'!$A$1:$I$88,3,0)*0.475*44/12</f>
        <v>#N/A</v>
      </c>
      <c r="EY191" s="163" t="str">
        <f t="shared" si="22"/>
        <v>#N/A</v>
      </c>
      <c r="EZ191" s="159">
        <f>('Scénario référence'!$F$8+'Scénario référence'!$F$9+'Scénario référence'!$B$17+'Scénario référence'!$B$9+'Scénario référence'!$B$10)*70+IF((45+25*(1-EXP(-0.0175*A191)))&lt;70,'Scénario référence'!$B$16*(45+25*(1-EXP(-0.0175*A191))),70*'Scénario référence'!$B$16)+IF((32+38*(1-EXP(-0.0175*A191)))&lt;70,'Scénario référence'!$B$18*(32+38*(1-EXP(-0.0175*A191))),70*'Scénario référence'!$B$18)</f>
        <v>70</v>
      </c>
      <c r="FA191" s="151">
        <f>IF(A191&gt;30,10,('Scénario référence'!$B$16+'Scénario référence'!$B$17+'Scénario référence'!$B$18+'Scénario référence'!$B$9+'Scénario référence'!$B$10)*A191*10/30+('Scénario référence'!$F$8+'Scénario référence'!$F$9)*10)</f>
        <v>10</v>
      </c>
      <c r="FB191" s="151" t="str">
        <f>VLOOKUP(A191,'Données projet'!$A$217:$I$237,2,0)</f>
        <v>#N/A</v>
      </c>
      <c r="FC191" s="151" t="str">
        <f>VLOOKUP(A191,'Données projet'!$A$217:$I$237,9,0)</f>
        <v>#N/A</v>
      </c>
      <c r="FD191" s="151" t="str">
        <f t="array" ref="FD191">INDEX(FC:FC,MIN(IF(ISNUMBER(FC191:FC387),ROW(FC191:FC387),"")))</f>
        <v/>
      </c>
      <c r="FE191" s="151">
        <f>IF('Données projet'!$A$218&gt;35,FE190+FD191-FM190,IF(A191&lt;'Données projet'!$A$218,$FB$205^A191,IF(A191='Données projet'!$A$218,'Données projet'!$B$218,FE190+FD191-FM190)))</f>
        <v>0</v>
      </c>
      <c r="FF191" s="158" t="str">
        <f>FE191*VLOOKUP('Données projet'!$B$16,'Paramètres'!$A$1:$I$88,3,0)*VLOOKUP('Données projet'!$B$16,'Paramètres'!$A$1:$I$88,5,0)</f>
        <v>#N/A</v>
      </c>
      <c r="FG191" s="150" t="str">
        <f t="shared" si="48"/>
        <v>#N/A</v>
      </c>
      <c r="FH191" s="161" t="str">
        <f t="shared" si="23"/>
        <v>#N/A</v>
      </c>
      <c r="FI191" s="153" t="str">
        <f t="shared" si="24"/>
        <v>#N/A</v>
      </c>
      <c r="FJ191" s="153" t="str">
        <f>AVERAGE(OFFSET($FI$3,0,0,'Données projet'!$E$16+1,1))-AVERAGE(OFFSET($H$3,0,0,'Données projet'!$E$16+1,1))</f>
        <v>#N/A</v>
      </c>
      <c r="FK191" s="153" t="str">
        <f t="shared" si="49"/>
        <v>#N/A</v>
      </c>
      <c r="FL191" s="154">
        <f>IF(ISNA(VLOOKUP(A191,'Données projet'!$A$217:$I$237,3,0)),0,VLOOKUP(A191,'Données projet'!$A$217:$I$237,3,0))</f>
        <v>0</v>
      </c>
      <c r="FM191" s="154">
        <f>IF(ISNA(VLOOKUP(A191,'Données projet'!$A$217:$I$237,4,0)),0,VLOOKUP(A191,'Données projet'!$A$217:$I$237,4,0))</f>
        <v>0</v>
      </c>
      <c r="FN191" s="155">
        <f>IF(ISNA(VLOOKUP(A191,'Données projet'!$A$217:$I$237,5,0)),0%,VLOOKUP(A191,'Données projet'!$A$217:$I$237,5,0)*VLOOKUP('Données projet'!$B$16,'Paramètres'!$A$1:$I$88,7,0))</f>
        <v>0</v>
      </c>
      <c r="FO191" s="155">
        <f>IF(ISNA(VLOOKUP(A191,'Données projet'!$A$217:$I$237,6,0)),0%,VLOOKUP(A191,'Données projet'!$A$217:$I$237,6,0)*VLOOKUP('Données projet'!$B$16,'Paramètres'!$A$1:$I$88,7,0))</f>
        <v>0</v>
      </c>
      <c r="FP191" s="155">
        <f>IF(ISNA(VLOOKUP(A191,'Données projet'!$A$217:$I$237,7,0)),0%,VLOOKUP(A191,'Données projet'!$A$217:$I$237,7,0))</f>
        <v>0</v>
      </c>
      <c r="FQ191" s="162" t="str">
        <f>EXP(-LN(2)/35)*FQ190+(1-EXP(-LN(2)/35))/(LN(2)/35)*FM191*FN191*VLOOKUP('Données projet'!$B$16,'Paramètres'!$A$1:$I$88,3,0)*0.475*44/12</f>
        <v>#N/A</v>
      </c>
      <c r="FR191" s="162" t="str">
        <f>EXP(-LN(2)/25)*FR190+(1-EXP(-LN(2)/25))/(LN(2)/25)*Calculateur!FM191*Calculateur!FO191*VLOOKUP('Données projet'!$B$16,'Paramètres'!$A$1:$I$88,3,0)*0.475*44/12</f>
        <v>#N/A</v>
      </c>
      <c r="FS191" s="162" t="str">
        <f>EXP(-LN(2)/2)*FS190+(1-EXP(-LN(2)/2))/(LN(2)/2)*FM191*FP191*VLOOKUP('Données projet'!$B$16,'Paramètres'!$A$1:$I$88,3,0)*0.475*44/12</f>
        <v>#N/A</v>
      </c>
      <c r="FT191" s="163" t="str">
        <f t="shared" si="25"/>
        <v>#N/A</v>
      </c>
      <c r="FU191" s="159">
        <f>('Scénario référence'!$F$8+'Scénario référence'!$F$9+'Scénario référence'!$B$17+'Scénario référence'!$B$9+'Scénario référence'!$B$10)*70+IF((45+25*(1-EXP(-0.0175*A191)))&lt;70,'Scénario référence'!$B$16*(45+25*(1-EXP(-0.0175*A191))),70*'Scénario référence'!$B$16)+IF((32+38*(1-EXP(-0.0175*A191)))&lt;70,'Scénario référence'!$B$18*(32+38*(1-EXP(-0.0175*A191))),70*'Scénario référence'!$B$18)</f>
        <v>70</v>
      </c>
      <c r="FV191" s="151">
        <f>IF(A191&gt;30,10,('Scénario référence'!$B$16+'Scénario référence'!$B$17+'Scénario référence'!$B$18+'Scénario référence'!$B$9+'Scénario référence'!$B$10)*A191*10/30+('Scénario référence'!$F$8+'Scénario référence'!$F$9)*10)</f>
        <v>10</v>
      </c>
      <c r="FW191" s="151" t="str">
        <f>VLOOKUP(A191,'Données projet'!$A$243:$I$263,2,0)</f>
        <v>#N/A</v>
      </c>
      <c r="FX191" s="151" t="str">
        <f>VLOOKUP(A191,'Données projet'!$A$243:$I$263,9,0)</f>
        <v>#N/A</v>
      </c>
      <c r="FY191" s="151" t="str">
        <f t="array" ref="FY191">INDEX(FX:FX,MIN(IF(ISNUMBER(FX191:FX387),ROW(FX191:FX387),"")))</f>
        <v/>
      </c>
      <c r="FZ191" s="151">
        <f>IF('Données projet'!$A$244&gt;35,FZ190+FY191-GH190,IF(A191&lt;'Données projet'!$A$244,$FW$205^A191,IF(A191='Données projet'!$A$244,'Données projet'!$B$244,FZ190+FY191-GH190)))</f>
        <v>0</v>
      </c>
      <c r="GA191" s="158" t="str">
        <f>FZ191*VLOOKUP('Données projet'!$B$17,'Paramètres'!$A$1:$I$88,3,0)*VLOOKUP('Données projet'!$B$17,'Paramètres'!$A$1:$I$88,5,0)</f>
        <v>#N/A</v>
      </c>
      <c r="GB191" s="150" t="str">
        <f t="shared" si="50"/>
        <v>#N/A</v>
      </c>
      <c r="GC191" s="161" t="str">
        <f t="shared" si="26"/>
        <v>#N/A</v>
      </c>
      <c r="GD191" s="153" t="str">
        <f t="shared" si="27"/>
        <v>#N/A</v>
      </c>
      <c r="GE191" s="153" t="str">
        <f>AVERAGE(OFFSET($GD$3,0,0,'Données projet'!$E$17+1,1))-AVERAGE(OFFSET($H$3,0,0,'Données projet'!$E$17+1,1))</f>
        <v>#N/A</v>
      </c>
      <c r="GF191" s="153" t="str">
        <f t="shared" si="51"/>
        <v>#N/A</v>
      </c>
      <c r="GG191" s="154">
        <f>IF(ISNA(VLOOKUP(A191,'Données projet'!$A$243:$I$263,3,0)),0,VLOOKUP(A191,'Données projet'!$A$243:$I$263,3,0))</f>
        <v>0</v>
      </c>
      <c r="GH191" s="154">
        <f>IF(ISNA(VLOOKUP(A191,'Données projet'!$A$243:$I$263,4,0)),0,VLOOKUP(A191,'Données projet'!$A$243:$I$263,4,0))</f>
        <v>0</v>
      </c>
      <c r="GI191" s="155">
        <f>IF(ISNA(VLOOKUP(A191,'Données projet'!$A$243:$I$263,5,0)),0%,VLOOKUP(A191,'Données projet'!$A$243:$I$263,5,0)*VLOOKUP('Données projet'!$B$17,'Paramètres'!$A$1:$I$88,7,0))</f>
        <v>0</v>
      </c>
      <c r="GJ191" s="155">
        <f>IF(ISNA(VLOOKUP(A191,'Données projet'!$A$243:$I$263,6,0)),0%,VLOOKUP(A191,'Données projet'!$A$243:$I$263,6,0)*VLOOKUP('Données projet'!$B$17,'Paramètres'!$A$1:$I$88,7,0))</f>
        <v>0</v>
      </c>
      <c r="GK191" s="155">
        <f>IF(ISNA(VLOOKUP(A191,'Données projet'!$A$243:$I$263,7,0)),0%,VLOOKUP(A191,'Données projet'!$A$243:$I$263,7,0))</f>
        <v>0</v>
      </c>
      <c r="GL191" s="162" t="str">
        <f>EXP(-LN(2)/35)*GL190+(1-EXP(-LN(2)/35))/(LN(2)/35)*GH191*GI191*VLOOKUP('Données projet'!$B$17,'Paramètres'!$A$1:$I$88,3,0)*0.475*44/12</f>
        <v>#N/A</v>
      </c>
      <c r="GM191" s="162" t="str">
        <f>EXP(-LN(2)/25)*GM190+(1-EXP(-LN(2)/25))/(LN(2)/25)*Calculateur!GH191*Calculateur!GJ191*VLOOKUP('Données projet'!$B$17,'Paramètres'!$A$1:$I$88,3,0)*0.475*44/12</f>
        <v>#N/A</v>
      </c>
      <c r="GN191" s="162" t="str">
        <f>EXP(-LN(2)/2)*GN190+(1-EXP(-LN(2)/2))/(LN(2)/2)*GH191*GK191*VLOOKUP('Données projet'!$B$17,'Paramètres'!$A$1:$I$88,3,0)*0.475*44/12</f>
        <v>#N/A</v>
      </c>
      <c r="GO191" s="162" t="str">
        <f t="shared" si="28"/>
        <v>#N/A</v>
      </c>
      <c r="GP191" s="159">
        <f>('Scénario référence'!$F$8+'Scénario référence'!$F$9+'Scénario référence'!$B$17+'Scénario référence'!$B$9+'Scénario référence'!$B$10)*70+IF((45+25*(1-EXP(-0.0175*A191)))&lt;70,'Scénario référence'!$B$16*(45+25*(1-EXP(-0.0175*A191))),70*'Scénario référence'!$B$16)+IF((32+38*(1-EXP(-0.0175*A191)))&lt;70,'Scénario référence'!$B$18*(32+38*(1-EXP(-0.0175*A191))),70*'Scénario référence'!$B$18)</f>
        <v>70</v>
      </c>
      <c r="GQ191" s="151">
        <f>IF(A191&gt;30,10,('Scénario référence'!$B$16+'Scénario référence'!$B$17+'Scénario référence'!$B$18+'Scénario référence'!$B$9+'Scénario référence'!$B$10)*A191*10/30+('Scénario référence'!$F$8+'Scénario référence'!$F$9)*10)</f>
        <v>10</v>
      </c>
      <c r="GR191" s="151" t="str">
        <f>VLOOKUP(A191,'Données projet'!$A$269:$I$289,2,0)</f>
        <v>#N/A</v>
      </c>
      <c r="GS191" s="151" t="str">
        <f>VLOOKUP(A191,'Données projet'!$A$269:$I$289,9,0)</f>
        <v>#N/A</v>
      </c>
      <c r="GT191" s="151" t="str">
        <f t="array" ref="GT191">INDEX(GS:GS,MIN(IF(ISNUMBER(GS191:GS387),ROW(GS191:GS387),"")))</f>
        <v/>
      </c>
      <c r="GU191" s="151">
        <f>IF('Données projet'!$A$270&gt;35,GU190+GT191-HC190,IF(A191&lt;'Données projet'!$A$270,$GR$205^A191,IF(A191='Données projet'!$A$270,'Données projet'!$B$270,GU190+GT191-HC190)))</f>
        <v>0</v>
      </c>
      <c r="GV191" s="158" t="str">
        <f>GU191*VLOOKUP('Données projet'!$B$18,'Paramètres'!$A$1:$I$88,3,0)*VLOOKUP('Données projet'!$B$18,'Paramètres'!$A$1:$I$88,5,0)</f>
        <v>#N/A</v>
      </c>
      <c r="GW191" s="150" t="str">
        <f t="shared" si="52"/>
        <v>#N/A</v>
      </c>
      <c r="GX191" s="161" t="str">
        <f t="shared" si="29"/>
        <v>#N/A</v>
      </c>
      <c r="GY191" s="153" t="str">
        <f t="shared" si="30"/>
        <v>#N/A</v>
      </c>
      <c r="GZ191" s="153" t="str">
        <f>AVERAGE(OFFSET($GY$3,0,0,'Données projet'!$E$18+1,1))-AVERAGE(OFFSET($H$3,0,0,'Données projet'!$E$18+1,1))</f>
        <v>#N/A</v>
      </c>
      <c r="HA191" s="153" t="str">
        <f t="shared" si="53"/>
        <v>#N/A</v>
      </c>
      <c r="HB191" s="154">
        <f>IF(ISNA(VLOOKUP(A191,'Données projet'!$A$269:$I$289,3,0)),0,VLOOKUP(A191,'Données projet'!$A$269:$I$289,3,0))</f>
        <v>0</v>
      </c>
      <c r="HC191" s="154">
        <f>IF(ISNA(VLOOKUP(A191,'Données projet'!$A$269:$I$289,4,0)),0,VLOOKUP(A191,'Données projet'!$A$269:$I$289,4,0))</f>
        <v>0</v>
      </c>
      <c r="HD191" s="155">
        <f>IF(ISNA(VLOOKUP(A191,'Données projet'!$A$269:$I$289,5,0)),0%,VLOOKUP(A191,'Données projet'!$A$269:$I$289,5,0)*VLOOKUP('Données projet'!$B$18,'Paramètres'!$A$1:$I$88,7,0))</f>
        <v>0</v>
      </c>
      <c r="HE191" s="155">
        <f>IF(ISNA(VLOOKUP(A191,'Données projet'!$A$269:$I$289,6,0)),0%,VLOOKUP(A191,'Données projet'!$A$269:$I$289,6,0)*VLOOKUP('Données projet'!$B$18,'Paramètres'!$A$1:$I$88,7,0))</f>
        <v>0</v>
      </c>
      <c r="HF191" s="155">
        <f>IF(ISNA(VLOOKUP(A191,'Données projet'!$A$269:$I$289,7,0)),0%,VLOOKUP(A191,'Données projet'!$A$269:$I$289,7,0))</f>
        <v>0</v>
      </c>
      <c r="HG191" s="162" t="str">
        <f>EXP(-LN(2)/35)*HG190+(1-EXP(-LN(2)/35))/(LN(2)/35)*HC191*HD191*VLOOKUP('Données projet'!$B$18,'Paramètres'!$A$1:$I$88,3,0)*0.475*44/12</f>
        <v>#N/A</v>
      </c>
      <c r="HH191" s="162" t="str">
        <f>EXP(-LN(2)/25)*HH190+(1-EXP(-LN(2)/25))/(LN(2)/25)*Calculateur!HC191*Calculateur!HE191*VLOOKUP('Données projet'!$B$18,'Paramètres'!$A$1:$I$88,3,0)*0.475*44/12</f>
        <v>#N/A</v>
      </c>
      <c r="HI191" s="162" t="str">
        <f>EXP(-LN(2)/2)*HI190+(1-EXP(-LN(2)/2))/(LN(2)/2)*HC191*HF191*VLOOKUP('Données projet'!$B$18,'Paramètres'!$A$1:$I$88,3,0)*0.475*44/12</f>
        <v>#N/A</v>
      </c>
      <c r="HJ191" s="163" t="str">
        <f t="shared" si="31"/>
        <v>#N/A</v>
      </c>
    </row>
    <row r="192" ht="15.75" customHeight="1">
      <c r="A192" s="145">
        <f t="shared" si="32"/>
        <v>189</v>
      </c>
      <c r="B192" s="146">
        <f>'Scénario référence'!$B$16*5+'Scénario référence'!$B$17*0+'Scénario référence'!$B$18*5</f>
        <v>0</v>
      </c>
      <c r="C192" s="160">
        <f>Calculateur!C191+'Scénario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92" s="147">
        <f t="shared" si="33"/>
        <v>0</v>
      </c>
      <c r="E192" s="147">
        <f>'Scénario référence'!$B$16*45+('Scénario référence'!$B$17+'Scénario référence'!$F$8+'Scénario référence'!$F$9+'Scénario référence'!$B$10+'Scénario référence'!$B$9)*70+'Scénario référence'!$B$18*32</f>
        <v>70</v>
      </c>
      <c r="F192" s="147">
        <f>IF(OR('Scénario référence'!$F$8&gt;0,'Scénario référence'!$F$9&gt;0),('Scénario référence'!$F$8+'Scénario référence'!$F$9)*10,0)</f>
        <v>0</v>
      </c>
      <c r="G192" s="147">
        <f>'Scénario référence'!$B$8*B192*44/12+'Scénario référence'!$B$9*(C192+D192)/0.475*44/12+'Scénario référence'!$B$10*(C192+D192)/0.475*44/12+'Scénario référence'!$F$8*(C192+D192)/0.475*44/12+'Scénario référence'!$F$9*(C192+D192)/0.475*44/12</f>
        <v>0</v>
      </c>
      <c r="H192" s="148">
        <f t="shared" si="1"/>
        <v>256.6666667</v>
      </c>
      <c r="I192" s="149">
        <f>('Scénario référence'!$F$8+'Scénario référence'!$F$9+'Scénario référence'!$B$17+'Scénario référence'!$B$9+'Scénario référence'!$B$10)*70+IF((45+25*(1-EXP(-0.0175*A192)))&lt;70,'Scénario référence'!$B$16*(45+25*(1-EXP(-0.0175*A192))),70*'Scénario référence'!$B$16)+IF((32+38*(1-EXP(-0.0175*A192)))&lt;70,'Scénario référence'!$B$18*(32+38*(1-EXP(-0.0175*A192))),70*'Scénario référence'!$B$18)</f>
        <v>70</v>
      </c>
      <c r="J192" s="150">
        <f>IF(A192&gt;30,10,('Scénario référence'!$B$16+'Scénario référence'!$B$17+'Scénario référence'!$B$18+'Scénario référence'!$B$9+'Scénario référence'!$B$10)*A192*10/30+('Scénario référence'!$F$8+'Scénario référence'!$F$9)*10)</f>
        <v>10</v>
      </c>
      <c r="K192" s="151" t="str">
        <f>VLOOKUP(A192,'Données projet'!$A$35:$I$55,2,0)</f>
        <v>#N/A</v>
      </c>
      <c r="L192" s="151" t="str">
        <f>VLOOKUP(A192,'Données projet'!$A$35:$I$55,9,0)</f>
        <v>#N/A</v>
      </c>
      <c r="M192" s="151" t="str">
        <f t="array" ref="M192">INDEX(L:L,MIN(IF(ISNUMBER(L192:L388),ROW(L192:L388),"")))</f>
        <v/>
      </c>
      <c r="N192" s="150">
        <f>IF('Données projet'!$A$36&gt;35,N191+M192-V191,IF(A192&lt;'Données projet'!$A$36,$K$205^A192,IF(A192='Données projet'!$A$36,'Données projet'!$B$36,N191+M192-V191)))</f>
        <v>307</v>
      </c>
      <c r="O192" s="150">
        <f>N192*VLOOKUP('Données projet'!$B$9,'Paramètres'!$A$1:$I$88,3,0)*VLOOKUP('Données projet'!$B$9,'Paramètres'!$A$1:$I$88,5,0)</f>
        <v>277.7736</v>
      </c>
      <c r="P192" s="150">
        <f t="shared" si="34"/>
        <v>66.49628818</v>
      </c>
      <c r="Q192" s="161">
        <f t="shared" si="2"/>
        <v>599.6033886</v>
      </c>
      <c r="R192" s="153">
        <f t="shared" si="3"/>
        <v>892.9367219</v>
      </c>
      <c r="S192" s="153">
        <f>AVERAGE(OFFSET($R$3,0,0,'Données projet'!$E$9+1,1))-AVERAGE(OFFSET($H$3,0,0,'Données projet'!$E$9+1,1))</f>
        <v>439.1985427</v>
      </c>
      <c r="T192" s="153">
        <f t="shared" si="35"/>
        <v>278.2174123</v>
      </c>
      <c r="U192" s="154">
        <f>IF(ISNA(VLOOKUP(A192,'Données projet'!$A$35:$I$55,3,0)),0,VLOOKUP(A192,'Données projet'!$A$35:$I$55,3,0))</f>
        <v>0</v>
      </c>
      <c r="V192" s="154">
        <f>IF(ISNA(VLOOKUP(A192,'Données projet'!$A$35:$I$55,4,0)),0,VLOOKUP(A192,'Données projet'!$A$35:$I$55,4,0))</f>
        <v>0</v>
      </c>
      <c r="W192" s="155">
        <f>IF(ISNA(VLOOKUP(A192,'Données projet'!$A$35:$I$55,5,0)),0%,VLOOKUP(A192,'Données projet'!$A$35:$I$55,5,0)*VLOOKUP('Données projet'!$B$9,'Paramètres'!$A$1:$I$88,7,0))</f>
        <v>0</v>
      </c>
      <c r="X192" s="155">
        <f>IF(ISNA(VLOOKUP(A192,'Données projet'!$A$35:$I$55,6,0)),0%,VLOOKUP(A192,'Données projet'!$A$35:$I$55,6,0)*VLOOKUP('Données projet'!$B$9,'Paramètres'!$A$1:$I$88,7,0))</f>
        <v>0</v>
      </c>
      <c r="Y192" s="155">
        <f>IF(ISNA(VLOOKUP(A192,'Données projet'!$A$35:$I$55,7,0)),0%,VLOOKUP(A192,'Données projet'!$A$35:$I$55,7,0))</f>
        <v>0</v>
      </c>
      <c r="Z192" s="162">
        <f>EXP(-LN(2)/35)*Z191+(1-EXP(-LN(2)/35))/(LN(2)/35)*V192*W192*VLOOKUP('Données projet'!$B$9,'Paramètres'!$A$1:$I$88,3,0)*0.475*44/12</f>
        <v>0</v>
      </c>
      <c r="AA192" s="162">
        <f>EXP(-LN(2)/25)*AA191+(1-EXP(-LN(2)/25))/(LN(2)/25)*Calculateur!V192*Calculateur!X192*VLOOKUP('Données projet'!$B$9,'Paramètres'!$A$1:$I$88,3,0)*0.475*44/12</f>
        <v>0.05463381233</v>
      </c>
      <c r="AB192" s="162">
        <f>EXP(-LN(2)/2)*AB191+(1-EXP(-LN(2)/2))/(LN(2)/2)*V192*Y192*VLOOKUP('Données projet'!$B$9,'Paramètres'!$A$1:$I$88,3,0)*0.475*44/12</f>
        <v>0</v>
      </c>
      <c r="AC192" s="163">
        <f t="shared" si="4"/>
        <v>0.05463381233</v>
      </c>
      <c r="AD192" s="150">
        <f>('Scénario référence'!$F$8+'Scénario référence'!$F$9+'Scénario référence'!$B$17+'Scénario référence'!$B$9+'Scénario référence'!$B$10)*70+IF((45+25*(1-EXP(-0.0175*A192)))&lt;70,'Scénario référence'!$B$16*(45+25*(1-EXP(-0.0175*A192))),70*'Scénario référence'!$B$16)+IF((32+38*(1-EXP(-0.0175*A192)))&lt;70,'Scénario référence'!$B$18*(32+38*(1-EXP(-0.0175*A192))),70*'Scénario référence'!$B$18)</f>
        <v>70</v>
      </c>
      <c r="AE192" s="150">
        <f>IF(A192&gt;30,10,('Scénario référence'!$B$16+'Scénario référence'!$B$17+'Scénario référence'!$B$18+'Scénario référence'!$B$9+'Scénario référence'!$B$10)*A192*10/30+('Scénario référence'!$F$8+'Scénario référence'!$F$9)*10)</f>
        <v>10</v>
      </c>
      <c r="AF192" s="151" t="str">
        <f>VLOOKUP(A192,'Données projet'!$A$61:$I$81,2,0)</f>
        <v>#N/A</v>
      </c>
      <c r="AG192" s="151" t="str">
        <f>VLOOKUP(A192,'Données projet'!$A$61:$I$81,9,0)</f>
        <v>#N/A</v>
      </c>
      <c r="AH192" s="151" t="str">
        <f t="array" ref="AH192">INDEX(AG:AG,MIN(IF(ISNUMBER(AG192:AG388),ROW(AG192:AG388),"")))</f>
        <v/>
      </c>
      <c r="AI192" s="150">
        <f>IF('Données projet'!$A$62&gt;35,AI191+AH192-AQ191,IF(A192&lt;'Données projet'!$A$62,$AF$205^A192,IF(A192='Données projet'!$A$62,'Données projet'!$B$62,AI191+AH192-AQ191)))</f>
        <v>369</v>
      </c>
      <c r="AJ192" s="150">
        <f>AI192*VLOOKUP('Données projet'!$B$10,'Paramètres'!$A$1:$I$88,3,0)*VLOOKUP('Données projet'!$B$10,'Paramètres'!$A$1:$I$88,5,0)</f>
        <v>293.5764</v>
      </c>
      <c r="AK192" s="150">
        <f t="shared" si="36"/>
        <v>69.82813851</v>
      </c>
      <c r="AL192" s="161">
        <f t="shared" si="5"/>
        <v>632.9295712</v>
      </c>
      <c r="AM192" s="153">
        <f t="shared" si="6"/>
        <v>926.2629046</v>
      </c>
      <c r="AN192" s="153">
        <f>AVERAGE(OFFSET($AM$3,0,0,'Données projet'!$E$10+1,1))-AVERAGE(OFFSET($H$3,0,0,'Données projet'!$E$10+1,1))</f>
        <v>405.6113614</v>
      </c>
      <c r="AO192" s="153">
        <f t="shared" si="37"/>
        <v>393.0787141</v>
      </c>
      <c r="AP192" s="154">
        <f>IF(ISNA(VLOOKUP(A192,'Données projet'!$A$61:$I$81,3,0)),0,VLOOKUP(A192,'Données projet'!$A$61:$I$81,3,0))</f>
        <v>0</v>
      </c>
      <c r="AQ192" s="154">
        <f>IF(ISNA(VLOOKUP(A192,'Données projet'!$A$61:$I$81,4,0)),0,VLOOKUP(A192,'Données projet'!$A$61:$I$81,4,0))</f>
        <v>0</v>
      </c>
      <c r="AR192" s="155">
        <f>IF(ISNA(VLOOKUP(A192,'Données projet'!$A$61:$I$81,5,0)),0%,VLOOKUP(A192,'Données projet'!$A$61:$I$81,5,0)*VLOOKUP('Données projet'!$B$10,'Paramètres'!$A$1:$I$88,7,0))</f>
        <v>0</v>
      </c>
      <c r="AS192" s="155">
        <f>IF(ISNA(VLOOKUP(A192,'Données projet'!$A$61:$I$81,6,0)),0%,VLOOKUP(A192,'Données projet'!$A$61:$I$81,6,0)*VLOOKUP('Données projet'!$B$10,'Paramètres'!$A$1:$I$88,7,0))</f>
        <v>0</v>
      </c>
      <c r="AT192" s="155">
        <f>IF(ISNA(VLOOKUP(A192,'Données projet'!$A$61:$I$81,7,0)),0%,VLOOKUP(A192,'Données projet'!$A$61:$I$81,7,0))</f>
        <v>0</v>
      </c>
      <c r="AU192" s="162">
        <f>EXP(-LN(2)/35)*AU191+(1-EXP(-LN(2)/35))/(LN(2)/35)*AQ192*AR192*VLOOKUP('Données projet'!$B$10,'Paramètres'!$A$1:$I$88,3,0)*0.475*44/12</f>
        <v>0</v>
      </c>
      <c r="AV192" s="162">
        <f>EXP(-LN(2)/25)*AV191+(1-EXP(-LN(2)/25))/(LN(2)/25)*Calculateur!AQ192*Calculateur!AS192*VLOOKUP('Données projet'!$B$10,'Paramètres'!$A$1:$I$88,3,0)*0.475*44/12</f>
        <v>0.2220457018</v>
      </c>
      <c r="AW192" s="162">
        <f>EXP(-LN(2)/2)*AW191+(1-EXP(-LN(2)/2))/(LN(2)/2)*AQ192*AT192*VLOOKUP('Données projet'!$B$10,'Paramètres'!$A$1:$I$88,3,0)*0.475*44/12</f>
        <v>0</v>
      </c>
      <c r="AX192" s="162">
        <f t="shared" si="7"/>
        <v>0.2220457018</v>
      </c>
      <c r="AY192" s="157">
        <f>('Scénario référence'!$F$8+'Scénario référence'!$F$9+'Scénario référence'!$B$17+'Scénario référence'!$B$9+'Scénario référence'!$B$10)*70+IF((45+25*(1-EXP(-0.0175*A192)))&lt;70,'Scénario référence'!$B$16*(45+25*(1-EXP(-0.0175*A192))),70*'Scénario référence'!$B$16)+IF((32+38*(1-EXP(-0.0175*A192)))&lt;70,'Scénario référence'!$B$18*(32+38*(1-EXP(-0.0175*A192))),70*'Scénario référence'!$B$18)</f>
        <v>70</v>
      </c>
      <c r="AZ192" s="151">
        <f>IF(A192&gt;30,10,('Scénario référence'!$B$16+'Scénario référence'!$B$17+'Scénario référence'!$B$18+'Scénario référence'!$B$9+'Scénario référence'!$B$10)*A192*10/30+('Scénario référence'!$F$8+'Scénario référence'!$F$9)*10)</f>
        <v>10</v>
      </c>
      <c r="BA192" s="151" t="str">
        <f>VLOOKUP(A192,'Données projet'!$A$87:$I$107,2,0)</f>
        <v>#N/A</v>
      </c>
      <c r="BB192" s="151" t="str">
        <f>VLOOKUP(A192,'Données projet'!$A$87:$I$107,9,0)</f>
        <v>#N/A</v>
      </c>
      <c r="BC192" s="151" t="str">
        <f t="array" ref="BC192">INDEX(BB:BB,MIN(IF(ISNUMBER(BB192:BB388),ROW(BB192:BB388),"")))</f>
        <v/>
      </c>
      <c r="BD192" s="150">
        <f>IF('Données projet'!$A$88&gt;35,BD191+BC192-BL191,IF(A192&lt;'Données projet'!$A$88,$BA$205^A192,IF(A192='Données projet'!$A$88,'Données projet'!$B$88,BD191+BC192-BL191)))</f>
        <v>0</v>
      </c>
      <c r="BE192" s="150">
        <f>BD192*VLOOKUP('Données projet'!$B$11,'Paramètres'!$A$1:$I$88,3,0)*VLOOKUP('Données projet'!$B$11,'Paramètres'!$A$1:$I$88,5,0)</f>
        <v>0</v>
      </c>
      <c r="BF192" s="150" t="str">
        <f t="shared" si="38"/>
        <v>#NUM!</v>
      </c>
      <c r="BG192" s="161" t="str">
        <f t="shared" si="8"/>
        <v>#NUM!</v>
      </c>
      <c r="BH192" s="153" t="str">
        <f t="shared" si="9"/>
        <v>#NUM!</v>
      </c>
      <c r="BI192" s="153">
        <f>AVERAGE(OFFSET($BH$3,0,0,'Données projet'!$E$11+1,1))-AVERAGE(OFFSET($H$3,0,0,'Données projet'!$E$11+1,1))</f>
        <v>0</v>
      </c>
      <c r="BJ192" s="153">
        <f t="shared" si="39"/>
        <v>0</v>
      </c>
      <c r="BK192" s="154">
        <f>IF(ISNA(VLOOKUP(A192,'Données projet'!$A$87:$I$107,3,0)),0,VLOOKUP(A192,'Données projet'!$A$87:$I$107,3,0))</f>
        <v>0</v>
      </c>
      <c r="BL192" s="154">
        <f>IF(ISNA(VLOOKUP(A192,'Données projet'!$A$87:$I$107,4,0)),0,VLOOKUP(A192,'Données projet'!$A$87:$I$107,4,0))</f>
        <v>0</v>
      </c>
      <c r="BM192" s="155">
        <f>IF(ISNA(VLOOKUP(A192,'Données projet'!$A$87:$I$107,5,0)),0%,VLOOKUP(A192,'Données projet'!$A$87:$I$107,5,0)*VLOOKUP('Données projet'!$B$11,'Paramètres'!$A$1:$I$88,7,0))</f>
        <v>0</v>
      </c>
      <c r="BN192" s="155">
        <f>IF(ISNA(VLOOKUP(A192,'Données projet'!$A$87:$I$107,6,0)),0%,VLOOKUP(A192,'Données projet'!$A$87:$I$107,6,0)*VLOOKUP('Données projet'!$B$11,'Paramètres'!$A$1:$I$88,7,0))</f>
        <v>0</v>
      </c>
      <c r="BO192" s="155">
        <f>IF(ISNA(VLOOKUP(A192,'Données projet'!$A$87:$I$107,7,0)),0%,VLOOKUP(A192,'Données projet'!$A$87:$I$107,7,0))</f>
        <v>0</v>
      </c>
      <c r="BP192" s="162">
        <f>EXP(-LN(2)/35)*BP191+(1-EXP(-LN(2)/35))/(LN(2)/35)*BL192*BM192*VLOOKUP('Données projet'!$B$11,'Paramètres'!$A$1:$I$88,3,0)*0.475*44/12</f>
        <v>0</v>
      </c>
      <c r="BQ192" s="162">
        <f>EXP(-LN(2)/25)*BQ191+(1-EXP(-LN(2)/25))/(LN(2)/25)*Calculateur!BL192*Calculateur!BN192*VLOOKUP('Données projet'!$B$11,'Paramètres'!$A$1:$I$88,3,0)*0.475*44/12</f>
        <v>0</v>
      </c>
      <c r="BR192" s="162">
        <f>EXP(-LN(2)/2)*BR191+(1-EXP(-LN(2)/2))/(LN(2)/2)*BL192*BO192*VLOOKUP('Données projet'!$B$11,'Paramètres'!$A$1:$I$88,3,0)*0.475*44/12</f>
        <v>0</v>
      </c>
      <c r="BS192" s="163">
        <f t="shared" si="10"/>
        <v>0</v>
      </c>
      <c r="BT192" s="159">
        <f>('Scénario référence'!$F$8+'Scénario référence'!$F$9+'Scénario référence'!$B$17+'Scénario référence'!$B$9+'Scénario référence'!$B$10)*70+IF((45+25*(1-EXP(-0.0175*A192)))&lt;70,'Scénario référence'!$B$16*(45+25*(1-EXP(-0.0175*A192))),70*'Scénario référence'!$B$16)+IF((32+38*(1-EXP(-0.0175*A192)))&lt;70,'Scénario référence'!$B$18*(32+38*(1-EXP(-0.0175*A192))),70*'Scénario référence'!$B$18)</f>
        <v>70</v>
      </c>
      <c r="BU192" s="151">
        <f>IF(A192&gt;30,10,('Scénario référence'!$B$16+'Scénario référence'!$B$17+'Scénario référence'!$B$18+'Scénario référence'!$B$9+'Scénario référence'!$B$10)*A192*10/30+('Scénario référence'!$F$8+'Scénario référence'!$F$9)*10)</f>
        <v>10</v>
      </c>
      <c r="BV192" s="151" t="str">
        <f>VLOOKUP(A192,'Données projet'!$A$113:$I$133,2,0)</f>
        <v>#N/A</v>
      </c>
      <c r="BW192" s="151" t="str">
        <f>VLOOKUP(A192,'Données projet'!$A$113:$I$133,9,0)</f>
        <v>#N/A</v>
      </c>
      <c r="BX192" s="151" t="str">
        <f t="array" ref="BX192">INDEX(BW:BW,MIN(IF(ISNUMBER(BW192:BW388),ROW(BW192:BW388),"")))</f>
        <v/>
      </c>
      <c r="BY192" s="150">
        <f>IF('Données projet'!$A$114&gt;35,BY191+BX192-CG191,IF(A192&lt;'Données projet'!$A$114,$BV$205^A192,IF(A192='Données projet'!$A$114,'Données projet'!$B$114,BY191+BX192-CG191)))</f>
        <v>0</v>
      </c>
      <c r="BZ192" s="150" t="str">
        <f>BY192*VLOOKUP('Données projet'!$B$12,'Paramètres'!$A$1:$I$88,3,0)*VLOOKUP('Données projet'!$B$12,'Paramètres'!$A$1:$I$88,5,0)</f>
        <v>#N/A</v>
      </c>
      <c r="CA192" s="150" t="str">
        <f t="shared" si="40"/>
        <v>#N/A</v>
      </c>
      <c r="CB192" s="161" t="str">
        <f t="shared" si="11"/>
        <v>#N/A</v>
      </c>
      <c r="CC192" s="153" t="str">
        <f t="shared" si="12"/>
        <v>#N/A</v>
      </c>
      <c r="CD192" s="153" t="str">
        <f>AVERAGE(OFFSET($CC$3,0,0,'Données projet'!$E$12+1,1))-AVERAGE(OFFSET($H$3,0,0,'Données projet'!$E$12+1,1))</f>
        <v>#N/A</v>
      </c>
      <c r="CE192" s="153" t="str">
        <f t="shared" si="41"/>
        <v>#N/A</v>
      </c>
      <c r="CF192" s="154">
        <f>IF(ISNA(VLOOKUP(A192,'Données projet'!$A$113:$I$133,3,0)),0,VLOOKUP(A192,'Données projet'!$A$113:$I$133,3,0))</f>
        <v>0</v>
      </c>
      <c r="CG192" s="154">
        <f>IF(ISNA(VLOOKUP(A192,'Données projet'!$A$113:$I$133,4,0)),0,VLOOKUP(A192,'Données projet'!$A$113:$I$133,4,0))</f>
        <v>0</v>
      </c>
      <c r="CH192" s="155">
        <f>IF(ISNA(VLOOKUP(A192,'Données projet'!$A$113:$I$133,5,0)),0%,VLOOKUP(A192,'Données projet'!$A$113:$I$133,5,0)*VLOOKUP('Données projet'!$B$12,'Paramètres'!$A$1:$I$88,7,0))</f>
        <v>0</v>
      </c>
      <c r="CI192" s="155">
        <f>IF(ISNA(VLOOKUP(A192,'Données projet'!$A$113:$I$133,6,0)),0%,VLOOKUP(A192,'Données projet'!$A$113:$I$133,6,0)*VLOOKUP('Données projet'!$B$12,'Paramètres'!$A$1:$I$88,7,0))</f>
        <v>0</v>
      </c>
      <c r="CJ192" s="155">
        <f>IF(ISNA(VLOOKUP(A192,'Données projet'!$A$113:$I$133,7,0)),0%,VLOOKUP(A192,'Données projet'!$A$113:$I$133,7,0))</f>
        <v>0</v>
      </c>
      <c r="CK192" s="162" t="str">
        <f>EXP(-LN(2)/35)*CK191+(1-EXP(-LN(2)/35))/(LN(2)/35)*CG192*CH192*VLOOKUP('Données projet'!$B$12,'Paramètres'!$A$1:$I$88,3,0)*0.475*44/12</f>
        <v>#N/A</v>
      </c>
      <c r="CL192" s="162" t="str">
        <f>EXP(-LN(2)/25)*CL191+(1-EXP(-LN(2)/25))/(LN(2)/25)*Calculateur!CG192*Calculateur!CI192*VLOOKUP('Données projet'!$B$12,'Paramètres'!$A$1:$I$88,3,0)*0.475*44/12</f>
        <v>#N/A</v>
      </c>
      <c r="CM192" s="162" t="str">
        <f>EXP(-LN(2)/2)*CM191+(1-EXP(-LN(2)/2))/(LN(2)/2)*CG192*CJ192*VLOOKUP('Données projet'!$B$12,'Paramètres'!$A$1:$I$88,3,0)*0.475*44/12</f>
        <v>#N/A</v>
      </c>
      <c r="CN192" s="163" t="str">
        <f t="shared" si="13"/>
        <v>#N/A</v>
      </c>
      <c r="CO192" s="159">
        <f>('Scénario référence'!$F$8+'Scénario référence'!$F$9+'Scénario référence'!$B$17+'Scénario référence'!$B$9+'Scénario référence'!$B$10)*70+IF((45+25*(1-EXP(-0.0175*A192)))&lt;70,'Scénario référence'!$B$16*(45+25*(1-EXP(-0.0175*A192))),70*'Scénario référence'!$B$16)+IF((32+38*(1-EXP(-0.0175*A192)))&lt;70,'Scénario référence'!$B$18*(32+38*(1-EXP(-0.0175*A192))),70*'Scénario référence'!$B$18)</f>
        <v>70</v>
      </c>
      <c r="CP192" s="151">
        <f>IF(A192&gt;30,10,('Scénario référence'!$B$16+'Scénario référence'!$B$17+'Scénario référence'!$B$18+'Scénario référence'!$B$9+'Scénario référence'!$B$10)*A192*10/30+('Scénario référence'!$F$8+'Scénario référence'!$F$9)*10)</f>
        <v>10</v>
      </c>
      <c r="CQ192" s="151" t="str">
        <f>VLOOKUP(A192,'Données projet'!$A$139:$I$159,2,0)</f>
        <v>#N/A</v>
      </c>
      <c r="CR192" s="151" t="str">
        <f>VLOOKUP(A192,'Données projet'!$A$139:$I$159,9,0)</f>
        <v>#N/A</v>
      </c>
      <c r="CS192" s="151" t="str">
        <f t="array" ref="CS192">INDEX(CR:CR,MIN(IF(ISNUMBER(CR192:CR388),ROW(CR192:CR388),"")))</f>
        <v/>
      </c>
      <c r="CT192" s="151">
        <f>IF('Données projet'!$A$140&gt;35,CT191+CS192-DB191,IF(A192&lt;'Données projet'!$A$140,$CQ$205^A192,IF(A192='Données projet'!$A$140,'Données projet'!$B$140,CT191+CS192-DB191)))</f>
        <v>0</v>
      </c>
      <c r="CU192" s="158" t="str">
        <f>CT192*VLOOKUP('Données projet'!$B$13,'Paramètres'!$A$1:$I$88,3,0)*VLOOKUP('Données projet'!$B$13,'Paramètres'!$A$1:$I$88,5,0)</f>
        <v>#N/A</v>
      </c>
      <c r="CV192" s="150" t="str">
        <f t="shared" si="42"/>
        <v>#N/A</v>
      </c>
      <c r="CW192" s="161" t="str">
        <f t="shared" si="14"/>
        <v>#N/A</v>
      </c>
      <c r="CX192" s="153" t="str">
        <f t="shared" si="15"/>
        <v>#N/A</v>
      </c>
      <c r="CY192" s="153" t="str">
        <f>AVERAGE(OFFSET($CX$3,0,0,'Données projet'!$E$13+1,1))-AVERAGE(OFFSET($H$3,0,0,'Données projet'!$E$13+1,1))</f>
        <v>#N/A</v>
      </c>
      <c r="CZ192" s="153" t="str">
        <f t="shared" si="43"/>
        <v>#N/A</v>
      </c>
      <c r="DA192" s="154">
        <f>IF(ISNA(VLOOKUP(A192,'Données projet'!$A$139:$I$159,3,0)),0,VLOOKUP(A192,'Données projet'!$A$139:$I$159,3,0))</f>
        <v>0</v>
      </c>
      <c r="DB192" s="154">
        <f>IF(ISNA(VLOOKUP(A192,'Données projet'!$A$139:$I$159,4,0)),0,VLOOKUP(A192,'Données projet'!$A$139:$I$159,4,0))</f>
        <v>0</v>
      </c>
      <c r="DC192" s="155">
        <f>IF(ISNA(VLOOKUP(A192,'Données projet'!$A$139:$I$159,5,0)),0%,VLOOKUP(A192,'Données projet'!$A$139:$I$159,5,0)*VLOOKUP('Données projet'!$B$13,'Paramètres'!$A$1:$I$88,7,0))</f>
        <v>0</v>
      </c>
      <c r="DD192" s="155">
        <f>IF(ISNA(VLOOKUP(A192,'Données projet'!$A$139:$I$159,6,0)),0%,VLOOKUP(A192,'Données projet'!$A$139:$I$159,6,0)*VLOOKUP('Données projet'!$B$13,'Paramètres'!$A$1:$I$88,7,0))</f>
        <v>0</v>
      </c>
      <c r="DE192" s="155">
        <f>IF(ISNA(VLOOKUP(A192,'Données projet'!$A$139:$I$159,7,0)),0%,VLOOKUP(A192,'Données projet'!$A$139:$I$159,7,0))</f>
        <v>0</v>
      </c>
      <c r="DF192" s="162" t="str">
        <f>EXP(-LN(2)/35)*DF191+(1-EXP(-LN(2)/35))/(LN(2)/35)*DB192*DC192*VLOOKUP('Données projet'!$B$13,'Paramètres'!$A$1:$I$88,3,0)*0.475*44/12</f>
        <v>#N/A</v>
      </c>
      <c r="DG192" s="162" t="str">
        <f>EXP(-LN(2)/25)*DG191+(1-EXP(-LN(2)/25))/(LN(2)/25)*Calculateur!DB192*Calculateur!DD192*VLOOKUP('Données projet'!$B$13,'Paramètres'!$A$1:$I$88,3,0)*0.475*44/12</f>
        <v>#N/A</v>
      </c>
      <c r="DH192" s="162" t="str">
        <f>EXP(-LN(2)/2)*DH191+(1-EXP(-LN(2)/2))/(LN(2)/2)*DB192*DE192*VLOOKUP('Données projet'!$B$13,'Paramètres'!$A$1:$I$88,3,0)*0.475*44/12</f>
        <v>#N/A</v>
      </c>
      <c r="DI192" s="163" t="str">
        <f t="shared" si="16"/>
        <v>#N/A</v>
      </c>
      <c r="DJ192" s="159">
        <f>('Scénario référence'!$F$8+'Scénario référence'!$F$9+'Scénario référence'!$B$17+'Scénario référence'!$B$9+'Scénario référence'!$B$10)*70+IF((45+25*(1-EXP(-0.0175*A192)))&lt;70,'Scénario référence'!$B$16*(45+25*(1-EXP(-0.0175*A192))),70*'Scénario référence'!$B$16)+IF((32+38*(1-EXP(-0.0175*A192)))&lt;70,'Scénario référence'!$B$18*(32+38*(1-EXP(-0.0175*A192))),70*'Scénario référence'!$B$18)</f>
        <v>70</v>
      </c>
      <c r="DK192" s="151">
        <f>IF(A192&gt;30,10,('Scénario référence'!$B$16+'Scénario référence'!$B$17+'Scénario référence'!$B$18+'Scénario référence'!$B$9+'Scénario référence'!$B$10)*A192*10/30+('Scénario référence'!$F$8+'Scénario référence'!$F$9)*10)</f>
        <v>10</v>
      </c>
      <c r="DL192" s="151" t="str">
        <f>VLOOKUP(A192,'Données projet'!$A$165:$I$185,2,0)</f>
        <v>#N/A</v>
      </c>
      <c r="DM192" s="151" t="str">
        <f>VLOOKUP(A192,'Données projet'!$A$165:$I$185,9,0)</f>
        <v>#N/A</v>
      </c>
      <c r="DN192" s="151" t="str">
        <f t="array" ref="DN192">INDEX(DM:DM,MIN(IF(ISNUMBER(DM192:DM388),ROW(DM192:DM388),"")))</f>
        <v/>
      </c>
      <c r="DO192" s="151">
        <f>IF('Données projet'!$A$166&gt;35,DO191+DN192-DW191,IF(A192&lt;'Données projet'!$A$166,$DL$205^A192,IF(A192='Données projet'!$A$166,'Données projet'!$B$166,DO191+DN192-DW191)))</f>
        <v>0</v>
      </c>
      <c r="DP192" s="158" t="str">
        <f>DO192*VLOOKUP('Données projet'!$B$14,'Paramètres'!$A$1:$I$88,3,0)*VLOOKUP('Données projet'!$B$14,'Paramètres'!$A$1:$I$88,5,0)</f>
        <v>#N/A</v>
      </c>
      <c r="DQ192" s="150" t="str">
        <f t="shared" si="44"/>
        <v>#N/A</v>
      </c>
      <c r="DR192" s="161" t="str">
        <f t="shared" si="17"/>
        <v>#N/A</v>
      </c>
      <c r="DS192" s="153" t="str">
        <f t="shared" si="18"/>
        <v>#N/A</v>
      </c>
      <c r="DT192" s="153" t="str">
        <f>AVERAGE(OFFSET($DS$3,0,0,'Données projet'!$E$14+1,1))-AVERAGE(OFFSET($H$3,0,0,'Données projet'!$E$14+1,1))</f>
        <v>#N/A</v>
      </c>
      <c r="DU192" s="153" t="str">
        <f t="shared" si="45"/>
        <v>#N/A</v>
      </c>
      <c r="DV192" s="154">
        <f>IF(ISNA(VLOOKUP(A192,'Données projet'!$A$165:$I$185,3,0)),0,VLOOKUP(A192,'Données projet'!$A$165:$I$185,3,0))</f>
        <v>0</v>
      </c>
      <c r="DW192" s="154">
        <f>IF(ISNA(VLOOKUP(A192,'Données projet'!$A$165:$I$185,4,0)),0,VLOOKUP(A192,'Données projet'!$A$165:$I$185,4,0))</f>
        <v>0</v>
      </c>
      <c r="DX192" s="155">
        <f>IF(ISNA(VLOOKUP(A192,'Données projet'!$A$165:$I$185,5,0)),0%,VLOOKUP(A192,'Données projet'!$A$165:$I$185,5,0)*VLOOKUP('Données projet'!$B$14,'Paramètres'!$A$1:$I$88,7,0))</f>
        <v>0</v>
      </c>
      <c r="DY192" s="155">
        <f>IF(ISNA(VLOOKUP(A192,'Données projet'!$A$165:$I$185,6,0)),0%,VLOOKUP(A192,'Données projet'!$A$165:$I$185,6,0)*VLOOKUP('Données projet'!$B$14,'Paramètres'!$A$1:$I$88,7,0))</f>
        <v>0</v>
      </c>
      <c r="DZ192" s="155">
        <f>IF(ISNA(VLOOKUP(A192,'Données projet'!$A$165:$I$185,7,0)),0%,VLOOKUP(A192,'Données projet'!$A$165:$I$185,7,0))</f>
        <v>0</v>
      </c>
      <c r="EA192" s="162" t="str">
        <f>EXP(-LN(2)/35)*EA191+(1-EXP(-LN(2)/35))/(LN(2)/35)*DW192*DX192*VLOOKUP('Données projet'!$B$14,'Paramètres'!$A$1:$I$88,3,0)*0.475*44/12</f>
        <v>#N/A</v>
      </c>
      <c r="EB192" s="162" t="str">
        <f>EXP(-LN(2)/25)*EB191+(1-EXP(-LN(2)/25))/(LN(2)/25)*Calculateur!DW192*Calculateur!DY192*VLOOKUP('Données projet'!$B$14,'Paramètres'!$A$1:$I$88,3,0)*0.475*44/12</f>
        <v>#N/A</v>
      </c>
      <c r="EC192" s="162" t="str">
        <f>EXP(-LN(2)/2)*EC191+(1-EXP(-LN(2)/2))/(LN(2)/2)*DW192*DZ192*VLOOKUP('Données projet'!$B$14,'Paramètres'!$A$1:$I$88,3,0)*0.475*44/12</f>
        <v>#N/A</v>
      </c>
      <c r="ED192" s="163" t="str">
        <f t="shared" si="19"/>
        <v>#N/A</v>
      </c>
      <c r="EE192" s="159">
        <f>('Scénario référence'!$F$8+'Scénario référence'!$F$9+'Scénario référence'!$B$17+'Scénario référence'!$B$9+'Scénario référence'!$B$10)*70+IF((45+25*(1-EXP(-0.0175*A192)))&lt;70,'Scénario référence'!$B$16*(45+25*(1-EXP(-0.0175*A192))),70*'Scénario référence'!$B$16)+IF((32+38*(1-EXP(-0.0175*A192)))&lt;70,'Scénario référence'!$B$18*(32+38*(1-EXP(-0.0175*A192))),70*'Scénario référence'!$B$18)</f>
        <v>70</v>
      </c>
      <c r="EF192" s="151">
        <f>IF(A192&gt;30,10,('Scénario référence'!$B$16+'Scénario référence'!$B$17+'Scénario référence'!$B$18+'Scénario référence'!$B$9+'Scénario référence'!$B$10)*A192*10/30+('Scénario référence'!$F$8+'Scénario référence'!$F$9)*10)</f>
        <v>10</v>
      </c>
      <c r="EG192" s="151" t="str">
        <f>VLOOKUP(A192,'Données projet'!$A$191:$I$211,2,0)</f>
        <v>#N/A</v>
      </c>
      <c r="EH192" s="151" t="str">
        <f>VLOOKUP(A192,'Données projet'!$A$191:$I$211,9,0)</f>
        <v>#N/A</v>
      </c>
      <c r="EI192" s="151" t="str">
        <f t="array" ref="EI192">INDEX(EH:EH,MIN(IF(ISNUMBER(EH192:EH388),ROW(EH192:EH388),"")))</f>
        <v/>
      </c>
      <c r="EJ192" s="151">
        <f>IF('Données projet'!$A$192&gt;35,EJ191+EI192-ER191,IF(A192&lt;'Données projet'!$A$192,$EG$205^A192,IF(A192='Données projet'!$A$192,'Données projet'!$B$192,EJ191+EI192-ER191)))</f>
        <v>0</v>
      </c>
      <c r="EK192" s="158" t="str">
        <f>EJ192*VLOOKUP('Données projet'!$B$15,'Paramètres'!$A$1:$I$88,3,0)*VLOOKUP('Données projet'!$B$15,'Paramètres'!$A$1:$I$88,5,0)</f>
        <v>#N/A</v>
      </c>
      <c r="EL192" s="150" t="str">
        <f t="shared" si="46"/>
        <v>#N/A</v>
      </c>
      <c r="EM192" s="161" t="str">
        <f t="shared" si="20"/>
        <v>#N/A</v>
      </c>
      <c r="EN192" s="153" t="str">
        <f t="shared" si="21"/>
        <v>#N/A</v>
      </c>
      <c r="EO192" s="153" t="str">
        <f>AVERAGE(OFFSET($EN$3,0,0,'Données projet'!$E$15+1,1))-AVERAGE(OFFSET($H$3,0,0,'Données projet'!$E$15+1,1))</f>
        <v>#N/A</v>
      </c>
      <c r="EP192" s="153" t="str">
        <f t="shared" si="47"/>
        <v>#N/A</v>
      </c>
      <c r="EQ192" s="154">
        <f>IF(ISNA(VLOOKUP(A192,'Données projet'!$A$191:$I$211,3,0)),0,VLOOKUP(A192,'Données projet'!$A$191:$I$211,3,0))</f>
        <v>0</v>
      </c>
      <c r="ER192" s="154">
        <f>IF(ISNA(VLOOKUP(A192,'Données projet'!$A$191:$I$211,4,0)),0,VLOOKUP(A192,'Données projet'!$A$191:$I$211,4,0))</f>
        <v>0</v>
      </c>
      <c r="ES192" s="155">
        <f>IF(ISNA(VLOOKUP(A192,'Données projet'!$A$191:$I$211,5,0)),0%,VLOOKUP(A192,'Données projet'!$A$191:$I$211,5,0)*VLOOKUP('Données projet'!$B$15,'Paramètres'!$A$1:$I$88,7,0))</f>
        <v>0</v>
      </c>
      <c r="ET192" s="155">
        <f>IF(ISNA(VLOOKUP(A192,'Données projet'!$A$191:$I$211,6,0)),0%,VLOOKUP(A192,'Données projet'!$A$191:$I$211,6,0)*VLOOKUP('Données projet'!$B$15,'Paramètres'!$A$1:$I$88,7,0))</f>
        <v>0</v>
      </c>
      <c r="EU192" s="155">
        <f>IF(ISNA(VLOOKUP(A192,'Données projet'!$A$191:$I$211,7,0)),0%,VLOOKUP(A192,'Données projet'!$A$191:$I$211,7,0))</f>
        <v>0</v>
      </c>
      <c r="EV192" s="162" t="str">
        <f>EXP(-LN(2)/35)*EV191+(1-EXP(-LN(2)/35))/(LN(2)/35)*ER192*ES192*VLOOKUP('Données projet'!$B$15,'Paramètres'!$A$1:$I$88,3,0)*0.475*44/12</f>
        <v>#N/A</v>
      </c>
      <c r="EW192" s="162" t="str">
        <f>EXP(-LN(2)/25)*EW191+(1-EXP(-LN(2)/25))/(LN(2)/25)*Calculateur!ER192*Calculateur!ET192*VLOOKUP('Données projet'!$B$15,'Paramètres'!$A$1:$I$88,3,0)*0.475*44/12</f>
        <v>#N/A</v>
      </c>
      <c r="EX192" s="162" t="str">
        <f>EXP(-LN(2)/2)*EX191+(1-EXP(-LN(2)/2))/(LN(2)/2)*ER192*EU192*VLOOKUP('Données projet'!$B$15,'Paramètres'!$A$1:$I$88,3,0)*0.475*44/12</f>
        <v>#N/A</v>
      </c>
      <c r="EY192" s="163" t="str">
        <f t="shared" si="22"/>
        <v>#N/A</v>
      </c>
      <c r="EZ192" s="159">
        <f>('Scénario référence'!$F$8+'Scénario référence'!$F$9+'Scénario référence'!$B$17+'Scénario référence'!$B$9+'Scénario référence'!$B$10)*70+IF((45+25*(1-EXP(-0.0175*A192)))&lt;70,'Scénario référence'!$B$16*(45+25*(1-EXP(-0.0175*A192))),70*'Scénario référence'!$B$16)+IF((32+38*(1-EXP(-0.0175*A192)))&lt;70,'Scénario référence'!$B$18*(32+38*(1-EXP(-0.0175*A192))),70*'Scénario référence'!$B$18)</f>
        <v>70</v>
      </c>
      <c r="FA192" s="151">
        <f>IF(A192&gt;30,10,('Scénario référence'!$B$16+'Scénario référence'!$B$17+'Scénario référence'!$B$18+'Scénario référence'!$B$9+'Scénario référence'!$B$10)*A192*10/30+('Scénario référence'!$F$8+'Scénario référence'!$F$9)*10)</f>
        <v>10</v>
      </c>
      <c r="FB192" s="151" t="str">
        <f>VLOOKUP(A192,'Données projet'!$A$217:$I$237,2,0)</f>
        <v>#N/A</v>
      </c>
      <c r="FC192" s="151" t="str">
        <f>VLOOKUP(A192,'Données projet'!$A$217:$I$237,9,0)</f>
        <v>#N/A</v>
      </c>
      <c r="FD192" s="151" t="str">
        <f t="array" ref="FD192">INDEX(FC:FC,MIN(IF(ISNUMBER(FC192:FC388),ROW(FC192:FC388),"")))</f>
        <v/>
      </c>
      <c r="FE192" s="151">
        <f>IF('Données projet'!$A$218&gt;35,FE191+FD192-FM191,IF(A192&lt;'Données projet'!$A$218,$FB$205^A192,IF(A192='Données projet'!$A$218,'Données projet'!$B$218,FE191+FD192-FM191)))</f>
        <v>0</v>
      </c>
      <c r="FF192" s="158" t="str">
        <f>FE192*VLOOKUP('Données projet'!$B$16,'Paramètres'!$A$1:$I$88,3,0)*VLOOKUP('Données projet'!$B$16,'Paramètres'!$A$1:$I$88,5,0)</f>
        <v>#N/A</v>
      </c>
      <c r="FG192" s="150" t="str">
        <f t="shared" si="48"/>
        <v>#N/A</v>
      </c>
      <c r="FH192" s="161" t="str">
        <f t="shared" si="23"/>
        <v>#N/A</v>
      </c>
      <c r="FI192" s="153" t="str">
        <f t="shared" si="24"/>
        <v>#N/A</v>
      </c>
      <c r="FJ192" s="153" t="str">
        <f>AVERAGE(OFFSET($FI$3,0,0,'Données projet'!$E$16+1,1))-AVERAGE(OFFSET($H$3,0,0,'Données projet'!$E$16+1,1))</f>
        <v>#N/A</v>
      </c>
      <c r="FK192" s="153" t="str">
        <f t="shared" si="49"/>
        <v>#N/A</v>
      </c>
      <c r="FL192" s="154">
        <f>IF(ISNA(VLOOKUP(A192,'Données projet'!$A$217:$I$237,3,0)),0,VLOOKUP(A192,'Données projet'!$A$217:$I$237,3,0))</f>
        <v>0</v>
      </c>
      <c r="FM192" s="154">
        <f>IF(ISNA(VLOOKUP(A192,'Données projet'!$A$217:$I$237,4,0)),0,VLOOKUP(A192,'Données projet'!$A$217:$I$237,4,0))</f>
        <v>0</v>
      </c>
      <c r="FN192" s="155">
        <f>IF(ISNA(VLOOKUP(A192,'Données projet'!$A$217:$I$237,5,0)),0%,VLOOKUP(A192,'Données projet'!$A$217:$I$237,5,0)*VLOOKUP('Données projet'!$B$16,'Paramètres'!$A$1:$I$88,7,0))</f>
        <v>0</v>
      </c>
      <c r="FO192" s="155">
        <f>IF(ISNA(VLOOKUP(A192,'Données projet'!$A$217:$I$237,6,0)),0%,VLOOKUP(A192,'Données projet'!$A$217:$I$237,6,0)*VLOOKUP('Données projet'!$B$16,'Paramètres'!$A$1:$I$88,7,0))</f>
        <v>0</v>
      </c>
      <c r="FP192" s="155">
        <f>IF(ISNA(VLOOKUP(A192,'Données projet'!$A$217:$I$237,7,0)),0%,VLOOKUP(A192,'Données projet'!$A$217:$I$237,7,0))</f>
        <v>0</v>
      </c>
      <c r="FQ192" s="162" t="str">
        <f>EXP(-LN(2)/35)*FQ191+(1-EXP(-LN(2)/35))/(LN(2)/35)*FM192*FN192*VLOOKUP('Données projet'!$B$16,'Paramètres'!$A$1:$I$88,3,0)*0.475*44/12</f>
        <v>#N/A</v>
      </c>
      <c r="FR192" s="162" t="str">
        <f>EXP(-LN(2)/25)*FR191+(1-EXP(-LN(2)/25))/(LN(2)/25)*Calculateur!FM192*Calculateur!FO192*VLOOKUP('Données projet'!$B$16,'Paramètres'!$A$1:$I$88,3,0)*0.475*44/12</f>
        <v>#N/A</v>
      </c>
      <c r="FS192" s="162" t="str">
        <f>EXP(-LN(2)/2)*FS191+(1-EXP(-LN(2)/2))/(LN(2)/2)*FM192*FP192*VLOOKUP('Données projet'!$B$16,'Paramètres'!$A$1:$I$88,3,0)*0.475*44/12</f>
        <v>#N/A</v>
      </c>
      <c r="FT192" s="163" t="str">
        <f t="shared" si="25"/>
        <v>#N/A</v>
      </c>
      <c r="FU192" s="159">
        <f>('Scénario référence'!$F$8+'Scénario référence'!$F$9+'Scénario référence'!$B$17+'Scénario référence'!$B$9+'Scénario référence'!$B$10)*70+IF((45+25*(1-EXP(-0.0175*A192)))&lt;70,'Scénario référence'!$B$16*(45+25*(1-EXP(-0.0175*A192))),70*'Scénario référence'!$B$16)+IF((32+38*(1-EXP(-0.0175*A192)))&lt;70,'Scénario référence'!$B$18*(32+38*(1-EXP(-0.0175*A192))),70*'Scénario référence'!$B$18)</f>
        <v>70</v>
      </c>
      <c r="FV192" s="151">
        <f>IF(A192&gt;30,10,('Scénario référence'!$B$16+'Scénario référence'!$B$17+'Scénario référence'!$B$18+'Scénario référence'!$B$9+'Scénario référence'!$B$10)*A192*10/30+('Scénario référence'!$F$8+'Scénario référence'!$F$9)*10)</f>
        <v>10</v>
      </c>
      <c r="FW192" s="151" t="str">
        <f>VLOOKUP(A192,'Données projet'!$A$243:$I$263,2,0)</f>
        <v>#N/A</v>
      </c>
      <c r="FX192" s="151" t="str">
        <f>VLOOKUP(A192,'Données projet'!$A$243:$I$263,9,0)</f>
        <v>#N/A</v>
      </c>
      <c r="FY192" s="151" t="str">
        <f t="array" ref="FY192">INDEX(FX:FX,MIN(IF(ISNUMBER(FX192:FX388),ROW(FX192:FX388),"")))</f>
        <v/>
      </c>
      <c r="FZ192" s="151">
        <f>IF('Données projet'!$A$244&gt;35,FZ191+FY192-GH191,IF(A192&lt;'Données projet'!$A$244,$FW$205^A192,IF(A192='Données projet'!$A$244,'Données projet'!$B$244,FZ191+FY192-GH191)))</f>
        <v>0</v>
      </c>
      <c r="GA192" s="158" t="str">
        <f>FZ192*VLOOKUP('Données projet'!$B$17,'Paramètres'!$A$1:$I$88,3,0)*VLOOKUP('Données projet'!$B$17,'Paramètres'!$A$1:$I$88,5,0)</f>
        <v>#N/A</v>
      </c>
      <c r="GB192" s="150" t="str">
        <f t="shared" si="50"/>
        <v>#N/A</v>
      </c>
      <c r="GC192" s="161" t="str">
        <f t="shared" si="26"/>
        <v>#N/A</v>
      </c>
      <c r="GD192" s="153" t="str">
        <f t="shared" si="27"/>
        <v>#N/A</v>
      </c>
      <c r="GE192" s="153" t="str">
        <f>AVERAGE(OFFSET($GD$3,0,0,'Données projet'!$E$17+1,1))-AVERAGE(OFFSET($H$3,0,0,'Données projet'!$E$17+1,1))</f>
        <v>#N/A</v>
      </c>
      <c r="GF192" s="153" t="str">
        <f t="shared" si="51"/>
        <v>#N/A</v>
      </c>
      <c r="GG192" s="154">
        <f>IF(ISNA(VLOOKUP(A192,'Données projet'!$A$243:$I$263,3,0)),0,VLOOKUP(A192,'Données projet'!$A$243:$I$263,3,0))</f>
        <v>0</v>
      </c>
      <c r="GH192" s="154">
        <f>IF(ISNA(VLOOKUP(A192,'Données projet'!$A$243:$I$263,4,0)),0,VLOOKUP(A192,'Données projet'!$A$243:$I$263,4,0))</f>
        <v>0</v>
      </c>
      <c r="GI192" s="155">
        <f>IF(ISNA(VLOOKUP(A192,'Données projet'!$A$243:$I$263,5,0)),0%,VLOOKUP(A192,'Données projet'!$A$243:$I$263,5,0)*VLOOKUP('Données projet'!$B$17,'Paramètres'!$A$1:$I$88,7,0))</f>
        <v>0</v>
      </c>
      <c r="GJ192" s="155">
        <f>IF(ISNA(VLOOKUP(A192,'Données projet'!$A$243:$I$263,6,0)),0%,VLOOKUP(A192,'Données projet'!$A$243:$I$263,6,0)*VLOOKUP('Données projet'!$B$17,'Paramètres'!$A$1:$I$88,7,0))</f>
        <v>0</v>
      </c>
      <c r="GK192" s="155">
        <f>IF(ISNA(VLOOKUP(A192,'Données projet'!$A$243:$I$263,7,0)),0%,VLOOKUP(A192,'Données projet'!$A$243:$I$263,7,0))</f>
        <v>0</v>
      </c>
      <c r="GL192" s="162" t="str">
        <f>EXP(-LN(2)/35)*GL191+(1-EXP(-LN(2)/35))/(LN(2)/35)*GH192*GI192*VLOOKUP('Données projet'!$B$17,'Paramètres'!$A$1:$I$88,3,0)*0.475*44/12</f>
        <v>#N/A</v>
      </c>
      <c r="GM192" s="162" t="str">
        <f>EXP(-LN(2)/25)*GM191+(1-EXP(-LN(2)/25))/(LN(2)/25)*Calculateur!GH192*Calculateur!GJ192*VLOOKUP('Données projet'!$B$17,'Paramètres'!$A$1:$I$88,3,0)*0.475*44/12</f>
        <v>#N/A</v>
      </c>
      <c r="GN192" s="162" t="str">
        <f>EXP(-LN(2)/2)*GN191+(1-EXP(-LN(2)/2))/(LN(2)/2)*GH192*GK192*VLOOKUP('Données projet'!$B$17,'Paramètres'!$A$1:$I$88,3,0)*0.475*44/12</f>
        <v>#N/A</v>
      </c>
      <c r="GO192" s="162" t="str">
        <f t="shared" si="28"/>
        <v>#N/A</v>
      </c>
      <c r="GP192" s="159">
        <f>('Scénario référence'!$F$8+'Scénario référence'!$F$9+'Scénario référence'!$B$17+'Scénario référence'!$B$9+'Scénario référence'!$B$10)*70+IF((45+25*(1-EXP(-0.0175*A192)))&lt;70,'Scénario référence'!$B$16*(45+25*(1-EXP(-0.0175*A192))),70*'Scénario référence'!$B$16)+IF((32+38*(1-EXP(-0.0175*A192)))&lt;70,'Scénario référence'!$B$18*(32+38*(1-EXP(-0.0175*A192))),70*'Scénario référence'!$B$18)</f>
        <v>70</v>
      </c>
      <c r="GQ192" s="151">
        <f>IF(A192&gt;30,10,('Scénario référence'!$B$16+'Scénario référence'!$B$17+'Scénario référence'!$B$18+'Scénario référence'!$B$9+'Scénario référence'!$B$10)*A192*10/30+('Scénario référence'!$F$8+'Scénario référence'!$F$9)*10)</f>
        <v>10</v>
      </c>
      <c r="GR192" s="151" t="str">
        <f>VLOOKUP(A192,'Données projet'!$A$269:$I$289,2,0)</f>
        <v>#N/A</v>
      </c>
      <c r="GS192" s="151" t="str">
        <f>VLOOKUP(A192,'Données projet'!$A$269:$I$289,9,0)</f>
        <v>#N/A</v>
      </c>
      <c r="GT192" s="151" t="str">
        <f t="array" ref="GT192">INDEX(GS:GS,MIN(IF(ISNUMBER(GS192:GS388),ROW(GS192:GS388),"")))</f>
        <v/>
      </c>
      <c r="GU192" s="151">
        <f>IF('Données projet'!$A$270&gt;35,GU191+GT192-HC191,IF(A192&lt;'Données projet'!$A$270,$GR$205^A192,IF(A192='Données projet'!$A$270,'Données projet'!$B$270,GU191+GT192-HC191)))</f>
        <v>0</v>
      </c>
      <c r="GV192" s="158" t="str">
        <f>GU192*VLOOKUP('Données projet'!$B$18,'Paramètres'!$A$1:$I$88,3,0)*VLOOKUP('Données projet'!$B$18,'Paramètres'!$A$1:$I$88,5,0)</f>
        <v>#N/A</v>
      </c>
      <c r="GW192" s="150" t="str">
        <f t="shared" si="52"/>
        <v>#N/A</v>
      </c>
      <c r="GX192" s="161" t="str">
        <f t="shared" si="29"/>
        <v>#N/A</v>
      </c>
      <c r="GY192" s="153" t="str">
        <f t="shared" si="30"/>
        <v>#N/A</v>
      </c>
      <c r="GZ192" s="153" t="str">
        <f>AVERAGE(OFFSET($GY$3,0,0,'Données projet'!$E$18+1,1))-AVERAGE(OFFSET($H$3,0,0,'Données projet'!$E$18+1,1))</f>
        <v>#N/A</v>
      </c>
      <c r="HA192" s="153" t="str">
        <f t="shared" si="53"/>
        <v>#N/A</v>
      </c>
      <c r="HB192" s="154">
        <f>IF(ISNA(VLOOKUP(A192,'Données projet'!$A$269:$I$289,3,0)),0,VLOOKUP(A192,'Données projet'!$A$269:$I$289,3,0))</f>
        <v>0</v>
      </c>
      <c r="HC192" s="154">
        <f>IF(ISNA(VLOOKUP(A192,'Données projet'!$A$269:$I$289,4,0)),0,VLOOKUP(A192,'Données projet'!$A$269:$I$289,4,0))</f>
        <v>0</v>
      </c>
      <c r="HD192" s="155">
        <f>IF(ISNA(VLOOKUP(A192,'Données projet'!$A$269:$I$289,5,0)),0%,VLOOKUP(A192,'Données projet'!$A$269:$I$289,5,0)*VLOOKUP('Données projet'!$B$18,'Paramètres'!$A$1:$I$88,7,0))</f>
        <v>0</v>
      </c>
      <c r="HE192" s="155">
        <f>IF(ISNA(VLOOKUP(A192,'Données projet'!$A$269:$I$289,6,0)),0%,VLOOKUP(A192,'Données projet'!$A$269:$I$289,6,0)*VLOOKUP('Données projet'!$B$18,'Paramètres'!$A$1:$I$88,7,0))</f>
        <v>0</v>
      </c>
      <c r="HF192" s="155">
        <f>IF(ISNA(VLOOKUP(A192,'Données projet'!$A$269:$I$289,7,0)),0%,VLOOKUP(A192,'Données projet'!$A$269:$I$289,7,0))</f>
        <v>0</v>
      </c>
      <c r="HG192" s="162" t="str">
        <f>EXP(-LN(2)/35)*HG191+(1-EXP(-LN(2)/35))/(LN(2)/35)*HC192*HD192*VLOOKUP('Données projet'!$B$18,'Paramètres'!$A$1:$I$88,3,0)*0.475*44/12</f>
        <v>#N/A</v>
      </c>
      <c r="HH192" s="162" t="str">
        <f>EXP(-LN(2)/25)*HH191+(1-EXP(-LN(2)/25))/(LN(2)/25)*Calculateur!HC192*Calculateur!HE192*VLOOKUP('Données projet'!$B$18,'Paramètres'!$A$1:$I$88,3,0)*0.475*44/12</f>
        <v>#N/A</v>
      </c>
      <c r="HI192" s="162" t="str">
        <f>EXP(-LN(2)/2)*HI191+(1-EXP(-LN(2)/2))/(LN(2)/2)*HC192*HF192*VLOOKUP('Données projet'!$B$18,'Paramètres'!$A$1:$I$88,3,0)*0.475*44/12</f>
        <v>#N/A</v>
      </c>
      <c r="HJ192" s="163" t="str">
        <f t="shared" si="31"/>
        <v>#N/A</v>
      </c>
    </row>
    <row r="193" ht="15.75" customHeight="1">
      <c r="A193" s="145">
        <f t="shared" si="32"/>
        <v>190</v>
      </c>
      <c r="B193" s="146">
        <f>'Scénario référence'!$B$16*5+'Scénario référence'!$B$17*0+'Scénario référence'!$B$18*5</f>
        <v>0</v>
      </c>
      <c r="C193" s="160">
        <f>Calculateur!C192+'Scénario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93" s="147">
        <f t="shared" si="33"/>
        <v>0</v>
      </c>
      <c r="E193" s="147">
        <f>'Scénario référence'!$B$16*45+('Scénario référence'!$B$17+'Scénario référence'!$F$8+'Scénario référence'!$F$9+'Scénario référence'!$B$10+'Scénario référence'!$B$9)*70+'Scénario référence'!$B$18*32</f>
        <v>70</v>
      </c>
      <c r="F193" s="147">
        <f>IF(OR('Scénario référence'!$F$8&gt;0,'Scénario référence'!$F$9&gt;0),('Scénario référence'!$F$8+'Scénario référence'!$F$9)*10,0)</f>
        <v>0</v>
      </c>
      <c r="G193" s="147">
        <f>'Scénario référence'!$B$8*B193*44/12+'Scénario référence'!$B$9*(C193+D193)/0.475*44/12+'Scénario référence'!$B$10*(C193+D193)/0.475*44/12+'Scénario référence'!$F$8*(C193+D193)/0.475*44/12+'Scénario référence'!$F$9*(C193+D193)/0.475*44/12</f>
        <v>0</v>
      </c>
      <c r="H193" s="148">
        <f t="shared" si="1"/>
        <v>256.6666667</v>
      </c>
      <c r="I193" s="149">
        <f>('Scénario référence'!$F$8+'Scénario référence'!$F$9+'Scénario référence'!$B$17+'Scénario référence'!$B$9+'Scénario référence'!$B$10)*70+IF((45+25*(1-EXP(-0.0175*A193)))&lt;70,'Scénario référence'!$B$16*(45+25*(1-EXP(-0.0175*A193))),70*'Scénario référence'!$B$16)+IF((32+38*(1-EXP(-0.0175*A193)))&lt;70,'Scénario référence'!$B$18*(32+38*(1-EXP(-0.0175*A193))),70*'Scénario référence'!$B$18)</f>
        <v>70</v>
      </c>
      <c r="J193" s="150">
        <f>IF(A193&gt;30,10,('Scénario référence'!$B$16+'Scénario référence'!$B$17+'Scénario référence'!$B$18+'Scénario référence'!$B$9+'Scénario référence'!$B$10)*A193*10/30+('Scénario référence'!$F$8+'Scénario référence'!$F$9)*10)</f>
        <v>10</v>
      </c>
      <c r="K193" s="151" t="str">
        <f>VLOOKUP(A193,'Données projet'!$A$35:$I$55,2,0)</f>
        <v>#N/A</v>
      </c>
      <c r="L193" s="151" t="str">
        <f>VLOOKUP(A193,'Données projet'!$A$35:$I$55,9,0)</f>
        <v>#N/A</v>
      </c>
      <c r="M193" s="151" t="str">
        <f t="array" ref="M193">INDEX(L:L,MIN(IF(ISNUMBER(L193:L389),ROW(L193:L389),"")))</f>
        <v/>
      </c>
      <c r="N193" s="150">
        <f>IF('Données projet'!$A$36&gt;35,N192+M193-V192,IF(A193&lt;'Données projet'!$A$36,$K$205^A193,IF(A193='Données projet'!$A$36,'Données projet'!$B$36,N192+M193-V192)))</f>
        <v>307</v>
      </c>
      <c r="O193" s="150">
        <f>N193*VLOOKUP('Données projet'!$B$9,'Paramètres'!$A$1:$I$88,3,0)*VLOOKUP('Données projet'!$B$9,'Paramètres'!$A$1:$I$88,5,0)</f>
        <v>277.7736</v>
      </c>
      <c r="P193" s="150">
        <f t="shared" si="34"/>
        <v>66.49628818</v>
      </c>
      <c r="Q193" s="161">
        <f t="shared" si="2"/>
        <v>599.6033886</v>
      </c>
      <c r="R193" s="153">
        <f t="shared" si="3"/>
        <v>892.9367219</v>
      </c>
      <c r="S193" s="153">
        <f>AVERAGE(OFFSET($R$3,0,0,'Données projet'!$E$9+1,1))-AVERAGE(OFFSET($H$3,0,0,'Données projet'!$E$9+1,1))</f>
        <v>439.1985427</v>
      </c>
      <c r="T193" s="153">
        <f t="shared" si="35"/>
        <v>278.2174123</v>
      </c>
      <c r="U193" s="154">
        <f>IF(ISNA(VLOOKUP(A193,'Données projet'!$A$35:$I$55,3,0)),0,VLOOKUP(A193,'Données projet'!$A$35:$I$55,3,0))</f>
        <v>0</v>
      </c>
      <c r="V193" s="154">
        <f>IF(ISNA(VLOOKUP(A193,'Données projet'!$A$35:$I$55,4,0)),0,VLOOKUP(A193,'Données projet'!$A$35:$I$55,4,0))</f>
        <v>0</v>
      </c>
      <c r="W193" s="155">
        <f>IF(ISNA(VLOOKUP(A193,'Données projet'!$A$35:$I$55,5,0)),0%,VLOOKUP(A193,'Données projet'!$A$35:$I$55,5,0)*VLOOKUP('Données projet'!$B$9,'Paramètres'!$A$1:$I$88,7,0))</f>
        <v>0</v>
      </c>
      <c r="X193" s="155">
        <f>IF(ISNA(VLOOKUP(A193,'Données projet'!$A$35:$I$55,6,0)),0%,VLOOKUP(A193,'Données projet'!$A$35:$I$55,6,0)*VLOOKUP('Données projet'!$B$9,'Paramètres'!$A$1:$I$88,7,0))</f>
        <v>0</v>
      </c>
      <c r="Y193" s="155">
        <f>IF(ISNA(VLOOKUP(A193,'Données projet'!$A$35:$I$55,7,0)),0%,VLOOKUP(A193,'Données projet'!$A$35:$I$55,7,0))</f>
        <v>0</v>
      </c>
      <c r="Z193" s="162">
        <f>EXP(-LN(2)/35)*Z192+(1-EXP(-LN(2)/35))/(LN(2)/35)*V193*W193*VLOOKUP('Données projet'!$B$9,'Paramètres'!$A$1:$I$88,3,0)*0.475*44/12</f>
        <v>0</v>
      </c>
      <c r="AA193" s="162">
        <f>EXP(-LN(2)/25)*AA192+(1-EXP(-LN(2)/25))/(LN(2)/25)*Calculateur!V193*Calculateur!X193*VLOOKUP('Données projet'!$B$9,'Paramètres'!$A$1:$I$88,3,0)*0.475*44/12</f>
        <v>0.05313984786</v>
      </c>
      <c r="AB193" s="162">
        <f>EXP(-LN(2)/2)*AB192+(1-EXP(-LN(2)/2))/(LN(2)/2)*V193*Y193*VLOOKUP('Données projet'!$B$9,'Paramètres'!$A$1:$I$88,3,0)*0.475*44/12</f>
        <v>0</v>
      </c>
      <c r="AC193" s="163">
        <f t="shared" si="4"/>
        <v>0.05313984786</v>
      </c>
      <c r="AD193" s="150">
        <f>('Scénario référence'!$F$8+'Scénario référence'!$F$9+'Scénario référence'!$B$17+'Scénario référence'!$B$9+'Scénario référence'!$B$10)*70+IF((45+25*(1-EXP(-0.0175*A193)))&lt;70,'Scénario référence'!$B$16*(45+25*(1-EXP(-0.0175*A193))),70*'Scénario référence'!$B$16)+IF((32+38*(1-EXP(-0.0175*A193)))&lt;70,'Scénario référence'!$B$18*(32+38*(1-EXP(-0.0175*A193))),70*'Scénario référence'!$B$18)</f>
        <v>70</v>
      </c>
      <c r="AE193" s="150">
        <f>IF(A193&gt;30,10,('Scénario référence'!$B$16+'Scénario référence'!$B$17+'Scénario référence'!$B$18+'Scénario référence'!$B$9+'Scénario référence'!$B$10)*A193*10/30+('Scénario référence'!$F$8+'Scénario référence'!$F$9)*10)</f>
        <v>10</v>
      </c>
      <c r="AF193" s="151" t="str">
        <f>VLOOKUP(A193,'Données projet'!$A$61:$I$81,2,0)</f>
        <v>#N/A</v>
      </c>
      <c r="AG193" s="151" t="str">
        <f>VLOOKUP(A193,'Données projet'!$A$61:$I$81,9,0)</f>
        <v>#N/A</v>
      </c>
      <c r="AH193" s="151" t="str">
        <f t="array" ref="AH193">INDEX(AG:AG,MIN(IF(ISNUMBER(AG193:AG389),ROW(AG193:AG389),"")))</f>
        <v/>
      </c>
      <c r="AI193" s="150">
        <f>IF('Données projet'!$A$62&gt;35,AI192+AH193-AQ192,IF(A193&lt;'Données projet'!$A$62,$AF$205^A193,IF(A193='Données projet'!$A$62,'Données projet'!$B$62,AI192+AH193-AQ192)))</f>
        <v>369</v>
      </c>
      <c r="AJ193" s="150">
        <f>AI193*VLOOKUP('Données projet'!$B$10,'Paramètres'!$A$1:$I$88,3,0)*VLOOKUP('Données projet'!$B$10,'Paramètres'!$A$1:$I$88,5,0)</f>
        <v>293.5764</v>
      </c>
      <c r="AK193" s="150">
        <f t="shared" si="36"/>
        <v>69.82813851</v>
      </c>
      <c r="AL193" s="161">
        <f t="shared" si="5"/>
        <v>632.9295712</v>
      </c>
      <c r="AM193" s="153">
        <f t="shared" si="6"/>
        <v>926.2629046</v>
      </c>
      <c r="AN193" s="153">
        <f>AVERAGE(OFFSET($AM$3,0,0,'Données projet'!$E$10+1,1))-AVERAGE(OFFSET($H$3,0,0,'Données projet'!$E$10+1,1))</f>
        <v>405.6113614</v>
      </c>
      <c r="AO193" s="153">
        <f t="shared" si="37"/>
        <v>393.0787141</v>
      </c>
      <c r="AP193" s="154">
        <f>IF(ISNA(VLOOKUP(A193,'Données projet'!$A$61:$I$81,3,0)),0,VLOOKUP(A193,'Données projet'!$A$61:$I$81,3,0))</f>
        <v>0</v>
      </c>
      <c r="AQ193" s="154">
        <f>IF(ISNA(VLOOKUP(A193,'Données projet'!$A$61:$I$81,4,0)),0,VLOOKUP(A193,'Données projet'!$A$61:$I$81,4,0))</f>
        <v>0</v>
      </c>
      <c r="AR193" s="155">
        <f>IF(ISNA(VLOOKUP(A193,'Données projet'!$A$61:$I$81,5,0)),0%,VLOOKUP(A193,'Données projet'!$A$61:$I$81,5,0)*VLOOKUP('Données projet'!$B$10,'Paramètres'!$A$1:$I$88,7,0))</f>
        <v>0</v>
      </c>
      <c r="AS193" s="155">
        <f>IF(ISNA(VLOOKUP(A193,'Données projet'!$A$61:$I$81,6,0)),0%,VLOOKUP(A193,'Données projet'!$A$61:$I$81,6,0)*VLOOKUP('Données projet'!$B$10,'Paramètres'!$A$1:$I$88,7,0))</f>
        <v>0</v>
      </c>
      <c r="AT193" s="155">
        <f>IF(ISNA(VLOOKUP(A193,'Données projet'!$A$61:$I$81,7,0)),0%,VLOOKUP(A193,'Données projet'!$A$61:$I$81,7,0))</f>
        <v>0</v>
      </c>
      <c r="AU193" s="162">
        <f>EXP(-LN(2)/35)*AU192+(1-EXP(-LN(2)/35))/(LN(2)/35)*AQ193*AR193*VLOOKUP('Données projet'!$B$10,'Paramètres'!$A$1:$I$88,3,0)*0.475*44/12</f>
        <v>0</v>
      </c>
      <c r="AV193" s="162">
        <f>EXP(-LN(2)/25)*AV192+(1-EXP(-LN(2)/25))/(LN(2)/25)*Calculateur!AQ193*Calculateur!AS193*VLOOKUP('Données projet'!$B$10,'Paramètres'!$A$1:$I$88,3,0)*0.475*44/12</f>
        <v>0.2159738504</v>
      </c>
      <c r="AW193" s="162">
        <f>EXP(-LN(2)/2)*AW192+(1-EXP(-LN(2)/2))/(LN(2)/2)*AQ193*AT193*VLOOKUP('Données projet'!$B$10,'Paramètres'!$A$1:$I$88,3,0)*0.475*44/12</f>
        <v>0</v>
      </c>
      <c r="AX193" s="162">
        <f t="shared" si="7"/>
        <v>0.2159738504</v>
      </c>
      <c r="AY193" s="157">
        <f>('Scénario référence'!$F$8+'Scénario référence'!$F$9+'Scénario référence'!$B$17+'Scénario référence'!$B$9+'Scénario référence'!$B$10)*70+IF((45+25*(1-EXP(-0.0175*A193)))&lt;70,'Scénario référence'!$B$16*(45+25*(1-EXP(-0.0175*A193))),70*'Scénario référence'!$B$16)+IF((32+38*(1-EXP(-0.0175*A193)))&lt;70,'Scénario référence'!$B$18*(32+38*(1-EXP(-0.0175*A193))),70*'Scénario référence'!$B$18)</f>
        <v>70</v>
      </c>
      <c r="AZ193" s="151">
        <f>IF(A193&gt;30,10,('Scénario référence'!$B$16+'Scénario référence'!$B$17+'Scénario référence'!$B$18+'Scénario référence'!$B$9+'Scénario référence'!$B$10)*A193*10/30+('Scénario référence'!$F$8+'Scénario référence'!$F$9)*10)</f>
        <v>10</v>
      </c>
      <c r="BA193" s="151" t="str">
        <f>VLOOKUP(A193,'Données projet'!$A$87:$I$107,2,0)</f>
        <v>#N/A</v>
      </c>
      <c r="BB193" s="151" t="str">
        <f>VLOOKUP(A193,'Données projet'!$A$87:$I$107,9,0)</f>
        <v>#N/A</v>
      </c>
      <c r="BC193" s="151" t="str">
        <f t="array" ref="BC193">INDEX(BB:BB,MIN(IF(ISNUMBER(BB193:BB389),ROW(BB193:BB389),"")))</f>
        <v/>
      </c>
      <c r="BD193" s="150">
        <f>IF('Données projet'!$A$88&gt;35,BD192+BC193-BL192,IF(A193&lt;'Données projet'!$A$88,$BA$205^A193,IF(A193='Données projet'!$A$88,'Données projet'!$B$88,BD192+BC193-BL192)))</f>
        <v>0</v>
      </c>
      <c r="BE193" s="150">
        <f>BD193*VLOOKUP('Données projet'!$B$11,'Paramètres'!$A$1:$I$88,3,0)*VLOOKUP('Données projet'!$B$11,'Paramètres'!$A$1:$I$88,5,0)</f>
        <v>0</v>
      </c>
      <c r="BF193" s="150" t="str">
        <f t="shared" si="38"/>
        <v>#NUM!</v>
      </c>
      <c r="BG193" s="161" t="str">
        <f t="shared" si="8"/>
        <v>#NUM!</v>
      </c>
      <c r="BH193" s="153" t="str">
        <f t="shared" si="9"/>
        <v>#NUM!</v>
      </c>
      <c r="BI193" s="153">
        <f>AVERAGE(OFFSET($BH$3,0,0,'Données projet'!$E$11+1,1))-AVERAGE(OFFSET($H$3,0,0,'Données projet'!$E$11+1,1))</f>
        <v>0</v>
      </c>
      <c r="BJ193" s="153">
        <f t="shared" si="39"/>
        <v>0</v>
      </c>
      <c r="BK193" s="154">
        <f>IF(ISNA(VLOOKUP(A193,'Données projet'!$A$87:$I$107,3,0)),0,VLOOKUP(A193,'Données projet'!$A$87:$I$107,3,0))</f>
        <v>0</v>
      </c>
      <c r="BL193" s="154">
        <f>IF(ISNA(VLOOKUP(A193,'Données projet'!$A$87:$I$107,4,0)),0,VLOOKUP(A193,'Données projet'!$A$87:$I$107,4,0))</f>
        <v>0</v>
      </c>
      <c r="BM193" s="155">
        <f>IF(ISNA(VLOOKUP(A193,'Données projet'!$A$87:$I$107,5,0)),0%,VLOOKUP(A193,'Données projet'!$A$87:$I$107,5,0)*VLOOKUP('Données projet'!$B$11,'Paramètres'!$A$1:$I$88,7,0))</f>
        <v>0</v>
      </c>
      <c r="BN193" s="155">
        <f>IF(ISNA(VLOOKUP(A193,'Données projet'!$A$87:$I$107,6,0)),0%,VLOOKUP(A193,'Données projet'!$A$87:$I$107,6,0)*VLOOKUP('Données projet'!$B$11,'Paramètres'!$A$1:$I$88,7,0))</f>
        <v>0</v>
      </c>
      <c r="BO193" s="155">
        <f>IF(ISNA(VLOOKUP(A193,'Données projet'!$A$87:$I$107,7,0)),0%,VLOOKUP(A193,'Données projet'!$A$87:$I$107,7,0))</f>
        <v>0</v>
      </c>
      <c r="BP193" s="162">
        <f>EXP(-LN(2)/35)*BP192+(1-EXP(-LN(2)/35))/(LN(2)/35)*BL193*BM193*VLOOKUP('Données projet'!$B$11,'Paramètres'!$A$1:$I$88,3,0)*0.475*44/12</f>
        <v>0</v>
      </c>
      <c r="BQ193" s="162">
        <f>EXP(-LN(2)/25)*BQ192+(1-EXP(-LN(2)/25))/(LN(2)/25)*Calculateur!BL193*Calculateur!BN193*VLOOKUP('Données projet'!$B$11,'Paramètres'!$A$1:$I$88,3,0)*0.475*44/12</f>
        <v>0</v>
      </c>
      <c r="BR193" s="162">
        <f>EXP(-LN(2)/2)*BR192+(1-EXP(-LN(2)/2))/(LN(2)/2)*BL193*BO193*VLOOKUP('Données projet'!$B$11,'Paramètres'!$A$1:$I$88,3,0)*0.475*44/12</f>
        <v>0</v>
      </c>
      <c r="BS193" s="163">
        <f t="shared" si="10"/>
        <v>0</v>
      </c>
      <c r="BT193" s="159">
        <f>('Scénario référence'!$F$8+'Scénario référence'!$F$9+'Scénario référence'!$B$17+'Scénario référence'!$B$9+'Scénario référence'!$B$10)*70+IF((45+25*(1-EXP(-0.0175*A193)))&lt;70,'Scénario référence'!$B$16*(45+25*(1-EXP(-0.0175*A193))),70*'Scénario référence'!$B$16)+IF((32+38*(1-EXP(-0.0175*A193)))&lt;70,'Scénario référence'!$B$18*(32+38*(1-EXP(-0.0175*A193))),70*'Scénario référence'!$B$18)</f>
        <v>70</v>
      </c>
      <c r="BU193" s="151">
        <f>IF(A193&gt;30,10,('Scénario référence'!$B$16+'Scénario référence'!$B$17+'Scénario référence'!$B$18+'Scénario référence'!$B$9+'Scénario référence'!$B$10)*A193*10/30+('Scénario référence'!$F$8+'Scénario référence'!$F$9)*10)</f>
        <v>10</v>
      </c>
      <c r="BV193" s="151" t="str">
        <f>VLOOKUP(A193,'Données projet'!$A$113:$I$133,2,0)</f>
        <v>#N/A</v>
      </c>
      <c r="BW193" s="151" t="str">
        <f>VLOOKUP(A193,'Données projet'!$A$113:$I$133,9,0)</f>
        <v>#N/A</v>
      </c>
      <c r="BX193" s="151" t="str">
        <f t="array" ref="BX193">INDEX(BW:BW,MIN(IF(ISNUMBER(BW193:BW389),ROW(BW193:BW389),"")))</f>
        <v/>
      </c>
      <c r="BY193" s="150">
        <f>IF('Données projet'!$A$114&gt;35,BY192+BX193-CG192,IF(A193&lt;'Données projet'!$A$114,$BV$205^A193,IF(A193='Données projet'!$A$114,'Données projet'!$B$114,BY192+BX193-CG192)))</f>
        <v>0</v>
      </c>
      <c r="BZ193" s="150" t="str">
        <f>BY193*VLOOKUP('Données projet'!$B$12,'Paramètres'!$A$1:$I$88,3,0)*VLOOKUP('Données projet'!$B$12,'Paramètres'!$A$1:$I$88,5,0)</f>
        <v>#N/A</v>
      </c>
      <c r="CA193" s="150" t="str">
        <f t="shared" si="40"/>
        <v>#N/A</v>
      </c>
      <c r="CB193" s="161" t="str">
        <f t="shared" si="11"/>
        <v>#N/A</v>
      </c>
      <c r="CC193" s="153" t="str">
        <f t="shared" si="12"/>
        <v>#N/A</v>
      </c>
      <c r="CD193" s="153" t="str">
        <f>AVERAGE(OFFSET($CC$3,0,0,'Données projet'!$E$12+1,1))-AVERAGE(OFFSET($H$3,0,0,'Données projet'!$E$12+1,1))</f>
        <v>#N/A</v>
      </c>
      <c r="CE193" s="153" t="str">
        <f t="shared" si="41"/>
        <v>#N/A</v>
      </c>
      <c r="CF193" s="154">
        <f>IF(ISNA(VLOOKUP(A193,'Données projet'!$A$113:$I$133,3,0)),0,VLOOKUP(A193,'Données projet'!$A$113:$I$133,3,0))</f>
        <v>0</v>
      </c>
      <c r="CG193" s="154">
        <f>IF(ISNA(VLOOKUP(A193,'Données projet'!$A$113:$I$133,4,0)),0,VLOOKUP(A193,'Données projet'!$A$113:$I$133,4,0))</f>
        <v>0</v>
      </c>
      <c r="CH193" s="155">
        <f>IF(ISNA(VLOOKUP(A193,'Données projet'!$A$113:$I$133,5,0)),0%,VLOOKUP(A193,'Données projet'!$A$113:$I$133,5,0)*VLOOKUP('Données projet'!$B$12,'Paramètres'!$A$1:$I$88,7,0))</f>
        <v>0</v>
      </c>
      <c r="CI193" s="155">
        <f>IF(ISNA(VLOOKUP(A193,'Données projet'!$A$113:$I$133,6,0)),0%,VLOOKUP(A193,'Données projet'!$A$113:$I$133,6,0)*VLOOKUP('Données projet'!$B$12,'Paramètres'!$A$1:$I$88,7,0))</f>
        <v>0</v>
      </c>
      <c r="CJ193" s="155">
        <f>IF(ISNA(VLOOKUP(A193,'Données projet'!$A$113:$I$133,7,0)),0%,VLOOKUP(A193,'Données projet'!$A$113:$I$133,7,0))</f>
        <v>0</v>
      </c>
      <c r="CK193" s="162" t="str">
        <f>EXP(-LN(2)/35)*CK192+(1-EXP(-LN(2)/35))/(LN(2)/35)*CG193*CH193*VLOOKUP('Données projet'!$B$12,'Paramètres'!$A$1:$I$88,3,0)*0.475*44/12</f>
        <v>#N/A</v>
      </c>
      <c r="CL193" s="162" t="str">
        <f>EXP(-LN(2)/25)*CL192+(1-EXP(-LN(2)/25))/(LN(2)/25)*Calculateur!CG193*Calculateur!CI193*VLOOKUP('Données projet'!$B$12,'Paramètres'!$A$1:$I$88,3,0)*0.475*44/12</f>
        <v>#N/A</v>
      </c>
      <c r="CM193" s="162" t="str">
        <f>EXP(-LN(2)/2)*CM192+(1-EXP(-LN(2)/2))/(LN(2)/2)*CG193*CJ193*VLOOKUP('Données projet'!$B$12,'Paramètres'!$A$1:$I$88,3,0)*0.475*44/12</f>
        <v>#N/A</v>
      </c>
      <c r="CN193" s="163" t="str">
        <f t="shared" si="13"/>
        <v>#N/A</v>
      </c>
      <c r="CO193" s="159">
        <f>('Scénario référence'!$F$8+'Scénario référence'!$F$9+'Scénario référence'!$B$17+'Scénario référence'!$B$9+'Scénario référence'!$B$10)*70+IF((45+25*(1-EXP(-0.0175*A193)))&lt;70,'Scénario référence'!$B$16*(45+25*(1-EXP(-0.0175*A193))),70*'Scénario référence'!$B$16)+IF((32+38*(1-EXP(-0.0175*A193)))&lt;70,'Scénario référence'!$B$18*(32+38*(1-EXP(-0.0175*A193))),70*'Scénario référence'!$B$18)</f>
        <v>70</v>
      </c>
      <c r="CP193" s="151">
        <f>IF(A193&gt;30,10,('Scénario référence'!$B$16+'Scénario référence'!$B$17+'Scénario référence'!$B$18+'Scénario référence'!$B$9+'Scénario référence'!$B$10)*A193*10/30+('Scénario référence'!$F$8+'Scénario référence'!$F$9)*10)</f>
        <v>10</v>
      </c>
      <c r="CQ193" s="151" t="str">
        <f>VLOOKUP(A193,'Données projet'!$A$139:$I$159,2,0)</f>
        <v>#N/A</v>
      </c>
      <c r="CR193" s="151" t="str">
        <f>VLOOKUP(A193,'Données projet'!$A$139:$I$159,9,0)</f>
        <v>#N/A</v>
      </c>
      <c r="CS193" s="151" t="str">
        <f t="array" ref="CS193">INDEX(CR:CR,MIN(IF(ISNUMBER(CR193:CR389),ROW(CR193:CR389),"")))</f>
        <v/>
      </c>
      <c r="CT193" s="151">
        <f>IF('Données projet'!$A$140&gt;35,CT192+CS193-DB192,IF(A193&lt;'Données projet'!$A$140,$CQ$205^A193,IF(A193='Données projet'!$A$140,'Données projet'!$B$140,CT192+CS193-DB192)))</f>
        <v>0</v>
      </c>
      <c r="CU193" s="158" t="str">
        <f>CT193*VLOOKUP('Données projet'!$B$13,'Paramètres'!$A$1:$I$88,3,0)*VLOOKUP('Données projet'!$B$13,'Paramètres'!$A$1:$I$88,5,0)</f>
        <v>#N/A</v>
      </c>
      <c r="CV193" s="150" t="str">
        <f t="shared" si="42"/>
        <v>#N/A</v>
      </c>
      <c r="CW193" s="161" t="str">
        <f t="shared" si="14"/>
        <v>#N/A</v>
      </c>
      <c r="CX193" s="153" t="str">
        <f t="shared" si="15"/>
        <v>#N/A</v>
      </c>
      <c r="CY193" s="153" t="str">
        <f>AVERAGE(OFFSET($CX$3,0,0,'Données projet'!$E$13+1,1))-AVERAGE(OFFSET($H$3,0,0,'Données projet'!$E$13+1,1))</f>
        <v>#N/A</v>
      </c>
      <c r="CZ193" s="153" t="str">
        <f t="shared" si="43"/>
        <v>#N/A</v>
      </c>
      <c r="DA193" s="154">
        <f>IF(ISNA(VLOOKUP(A193,'Données projet'!$A$139:$I$159,3,0)),0,VLOOKUP(A193,'Données projet'!$A$139:$I$159,3,0))</f>
        <v>0</v>
      </c>
      <c r="DB193" s="154">
        <f>IF(ISNA(VLOOKUP(A193,'Données projet'!$A$139:$I$159,4,0)),0,VLOOKUP(A193,'Données projet'!$A$139:$I$159,4,0))</f>
        <v>0</v>
      </c>
      <c r="DC193" s="155">
        <f>IF(ISNA(VLOOKUP(A193,'Données projet'!$A$139:$I$159,5,0)),0%,VLOOKUP(A193,'Données projet'!$A$139:$I$159,5,0)*VLOOKUP('Données projet'!$B$13,'Paramètres'!$A$1:$I$88,7,0))</f>
        <v>0</v>
      </c>
      <c r="DD193" s="155">
        <f>IF(ISNA(VLOOKUP(A193,'Données projet'!$A$139:$I$159,6,0)),0%,VLOOKUP(A193,'Données projet'!$A$139:$I$159,6,0)*VLOOKUP('Données projet'!$B$13,'Paramètres'!$A$1:$I$88,7,0))</f>
        <v>0</v>
      </c>
      <c r="DE193" s="155">
        <f>IF(ISNA(VLOOKUP(A193,'Données projet'!$A$139:$I$159,7,0)),0%,VLOOKUP(A193,'Données projet'!$A$139:$I$159,7,0))</f>
        <v>0</v>
      </c>
      <c r="DF193" s="162" t="str">
        <f>EXP(-LN(2)/35)*DF192+(1-EXP(-LN(2)/35))/(LN(2)/35)*DB193*DC193*VLOOKUP('Données projet'!$B$13,'Paramètres'!$A$1:$I$88,3,0)*0.475*44/12</f>
        <v>#N/A</v>
      </c>
      <c r="DG193" s="162" t="str">
        <f>EXP(-LN(2)/25)*DG192+(1-EXP(-LN(2)/25))/(LN(2)/25)*Calculateur!DB193*Calculateur!DD193*VLOOKUP('Données projet'!$B$13,'Paramètres'!$A$1:$I$88,3,0)*0.475*44/12</f>
        <v>#N/A</v>
      </c>
      <c r="DH193" s="162" t="str">
        <f>EXP(-LN(2)/2)*DH192+(1-EXP(-LN(2)/2))/(LN(2)/2)*DB193*DE193*VLOOKUP('Données projet'!$B$13,'Paramètres'!$A$1:$I$88,3,0)*0.475*44/12</f>
        <v>#N/A</v>
      </c>
      <c r="DI193" s="163" t="str">
        <f t="shared" si="16"/>
        <v>#N/A</v>
      </c>
      <c r="DJ193" s="159">
        <f>('Scénario référence'!$F$8+'Scénario référence'!$F$9+'Scénario référence'!$B$17+'Scénario référence'!$B$9+'Scénario référence'!$B$10)*70+IF((45+25*(1-EXP(-0.0175*A193)))&lt;70,'Scénario référence'!$B$16*(45+25*(1-EXP(-0.0175*A193))),70*'Scénario référence'!$B$16)+IF((32+38*(1-EXP(-0.0175*A193)))&lt;70,'Scénario référence'!$B$18*(32+38*(1-EXP(-0.0175*A193))),70*'Scénario référence'!$B$18)</f>
        <v>70</v>
      </c>
      <c r="DK193" s="151">
        <f>IF(A193&gt;30,10,('Scénario référence'!$B$16+'Scénario référence'!$B$17+'Scénario référence'!$B$18+'Scénario référence'!$B$9+'Scénario référence'!$B$10)*A193*10/30+('Scénario référence'!$F$8+'Scénario référence'!$F$9)*10)</f>
        <v>10</v>
      </c>
      <c r="DL193" s="151" t="str">
        <f>VLOOKUP(A193,'Données projet'!$A$165:$I$185,2,0)</f>
        <v>#N/A</v>
      </c>
      <c r="DM193" s="151" t="str">
        <f>VLOOKUP(A193,'Données projet'!$A$165:$I$185,9,0)</f>
        <v>#N/A</v>
      </c>
      <c r="DN193" s="151" t="str">
        <f t="array" ref="DN193">INDEX(DM:DM,MIN(IF(ISNUMBER(DM193:DM389),ROW(DM193:DM389),"")))</f>
        <v/>
      </c>
      <c r="DO193" s="151">
        <f>IF('Données projet'!$A$166&gt;35,DO192+DN193-DW192,IF(A193&lt;'Données projet'!$A$166,$DL$205^A193,IF(A193='Données projet'!$A$166,'Données projet'!$B$166,DO192+DN193-DW192)))</f>
        <v>0</v>
      </c>
      <c r="DP193" s="158" t="str">
        <f>DO193*VLOOKUP('Données projet'!$B$14,'Paramètres'!$A$1:$I$88,3,0)*VLOOKUP('Données projet'!$B$14,'Paramètres'!$A$1:$I$88,5,0)</f>
        <v>#N/A</v>
      </c>
      <c r="DQ193" s="150" t="str">
        <f t="shared" si="44"/>
        <v>#N/A</v>
      </c>
      <c r="DR193" s="161" t="str">
        <f t="shared" si="17"/>
        <v>#N/A</v>
      </c>
      <c r="DS193" s="153" t="str">
        <f t="shared" si="18"/>
        <v>#N/A</v>
      </c>
      <c r="DT193" s="153" t="str">
        <f>AVERAGE(OFFSET($DS$3,0,0,'Données projet'!$E$14+1,1))-AVERAGE(OFFSET($H$3,0,0,'Données projet'!$E$14+1,1))</f>
        <v>#N/A</v>
      </c>
      <c r="DU193" s="153" t="str">
        <f t="shared" si="45"/>
        <v>#N/A</v>
      </c>
      <c r="DV193" s="154">
        <f>IF(ISNA(VLOOKUP(A193,'Données projet'!$A$165:$I$185,3,0)),0,VLOOKUP(A193,'Données projet'!$A$165:$I$185,3,0))</f>
        <v>0</v>
      </c>
      <c r="DW193" s="154">
        <f>IF(ISNA(VLOOKUP(A193,'Données projet'!$A$165:$I$185,4,0)),0,VLOOKUP(A193,'Données projet'!$A$165:$I$185,4,0))</f>
        <v>0</v>
      </c>
      <c r="DX193" s="155">
        <f>IF(ISNA(VLOOKUP(A193,'Données projet'!$A$165:$I$185,5,0)),0%,VLOOKUP(A193,'Données projet'!$A$165:$I$185,5,0)*VLOOKUP('Données projet'!$B$14,'Paramètres'!$A$1:$I$88,7,0))</f>
        <v>0</v>
      </c>
      <c r="DY193" s="155">
        <f>IF(ISNA(VLOOKUP(A193,'Données projet'!$A$165:$I$185,6,0)),0%,VLOOKUP(A193,'Données projet'!$A$165:$I$185,6,0)*VLOOKUP('Données projet'!$B$14,'Paramètres'!$A$1:$I$88,7,0))</f>
        <v>0</v>
      </c>
      <c r="DZ193" s="155">
        <f>IF(ISNA(VLOOKUP(A193,'Données projet'!$A$165:$I$185,7,0)),0%,VLOOKUP(A193,'Données projet'!$A$165:$I$185,7,0))</f>
        <v>0</v>
      </c>
      <c r="EA193" s="162" t="str">
        <f>EXP(-LN(2)/35)*EA192+(1-EXP(-LN(2)/35))/(LN(2)/35)*DW193*DX193*VLOOKUP('Données projet'!$B$14,'Paramètres'!$A$1:$I$88,3,0)*0.475*44/12</f>
        <v>#N/A</v>
      </c>
      <c r="EB193" s="162" t="str">
        <f>EXP(-LN(2)/25)*EB192+(1-EXP(-LN(2)/25))/(LN(2)/25)*Calculateur!DW193*Calculateur!DY193*VLOOKUP('Données projet'!$B$14,'Paramètres'!$A$1:$I$88,3,0)*0.475*44/12</f>
        <v>#N/A</v>
      </c>
      <c r="EC193" s="162" t="str">
        <f>EXP(-LN(2)/2)*EC192+(1-EXP(-LN(2)/2))/(LN(2)/2)*DW193*DZ193*VLOOKUP('Données projet'!$B$14,'Paramètres'!$A$1:$I$88,3,0)*0.475*44/12</f>
        <v>#N/A</v>
      </c>
      <c r="ED193" s="163" t="str">
        <f t="shared" si="19"/>
        <v>#N/A</v>
      </c>
      <c r="EE193" s="159">
        <f>('Scénario référence'!$F$8+'Scénario référence'!$F$9+'Scénario référence'!$B$17+'Scénario référence'!$B$9+'Scénario référence'!$B$10)*70+IF((45+25*(1-EXP(-0.0175*A193)))&lt;70,'Scénario référence'!$B$16*(45+25*(1-EXP(-0.0175*A193))),70*'Scénario référence'!$B$16)+IF((32+38*(1-EXP(-0.0175*A193)))&lt;70,'Scénario référence'!$B$18*(32+38*(1-EXP(-0.0175*A193))),70*'Scénario référence'!$B$18)</f>
        <v>70</v>
      </c>
      <c r="EF193" s="151">
        <f>IF(A193&gt;30,10,('Scénario référence'!$B$16+'Scénario référence'!$B$17+'Scénario référence'!$B$18+'Scénario référence'!$B$9+'Scénario référence'!$B$10)*A193*10/30+('Scénario référence'!$F$8+'Scénario référence'!$F$9)*10)</f>
        <v>10</v>
      </c>
      <c r="EG193" s="151" t="str">
        <f>VLOOKUP(A193,'Données projet'!$A$191:$I$211,2,0)</f>
        <v>#N/A</v>
      </c>
      <c r="EH193" s="151" t="str">
        <f>VLOOKUP(A193,'Données projet'!$A$191:$I$211,9,0)</f>
        <v>#N/A</v>
      </c>
      <c r="EI193" s="151" t="str">
        <f t="array" ref="EI193">INDEX(EH:EH,MIN(IF(ISNUMBER(EH193:EH389),ROW(EH193:EH389),"")))</f>
        <v/>
      </c>
      <c r="EJ193" s="151">
        <f>IF('Données projet'!$A$192&gt;35,EJ192+EI193-ER192,IF(A193&lt;'Données projet'!$A$192,$EG$205^A193,IF(A193='Données projet'!$A$192,'Données projet'!$B$192,EJ192+EI193-ER192)))</f>
        <v>0</v>
      </c>
      <c r="EK193" s="158" t="str">
        <f>EJ193*VLOOKUP('Données projet'!$B$15,'Paramètres'!$A$1:$I$88,3,0)*VLOOKUP('Données projet'!$B$15,'Paramètres'!$A$1:$I$88,5,0)</f>
        <v>#N/A</v>
      </c>
      <c r="EL193" s="150" t="str">
        <f t="shared" si="46"/>
        <v>#N/A</v>
      </c>
      <c r="EM193" s="161" t="str">
        <f t="shared" si="20"/>
        <v>#N/A</v>
      </c>
      <c r="EN193" s="153" t="str">
        <f t="shared" si="21"/>
        <v>#N/A</v>
      </c>
      <c r="EO193" s="153" t="str">
        <f>AVERAGE(OFFSET($EN$3,0,0,'Données projet'!$E$15+1,1))-AVERAGE(OFFSET($H$3,0,0,'Données projet'!$E$15+1,1))</f>
        <v>#N/A</v>
      </c>
      <c r="EP193" s="153" t="str">
        <f t="shared" si="47"/>
        <v>#N/A</v>
      </c>
      <c r="EQ193" s="154">
        <f>IF(ISNA(VLOOKUP(A193,'Données projet'!$A$191:$I$211,3,0)),0,VLOOKUP(A193,'Données projet'!$A$191:$I$211,3,0))</f>
        <v>0</v>
      </c>
      <c r="ER193" s="154">
        <f>IF(ISNA(VLOOKUP(A193,'Données projet'!$A$191:$I$211,4,0)),0,VLOOKUP(A193,'Données projet'!$A$191:$I$211,4,0))</f>
        <v>0</v>
      </c>
      <c r="ES193" s="155">
        <f>IF(ISNA(VLOOKUP(A193,'Données projet'!$A$191:$I$211,5,0)),0%,VLOOKUP(A193,'Données projet'!$A$191:$I$211,5,0)*VLOOKUP('Données projet'!$B$15,'Paramètres'!$A$1:$I$88,7,0))</f>
        <v>0</v>
      </c>
      <c r="ET193" s="155">
        <f>IF(ISNA(VLOOKUP(A193,'Données projet'!$A$191:$I$211,6,0)),0%,VLOOKUP(A193,'Données projet'!$A$191:$I$211,6,0)*VLOOKUP('Données projet'!$B$15,'Paramètres'!$A$1:$I$88,7,0))</f>
        <v>0</v>
      </c>
      <c r="EU193" s="155">
        <f>IF(ISNA(VLOOKUP(A193,'Données projet'!$A$191:$I$211,7,0)),0%,VLOOKUP(A193,'Données projet'!$A$191:$I$211,7,0))</f>
        <v>0</v>
      </c>
      <c r="EV193" s="162" t="str">
        <f>EXP(-LN(2)/35)*EV192+(1-EXP(-LN(2)/35))/(LN(2)/35)*ER193*ES193*VLOOKUP('Données projet'!$B$15,'Paramètres'!$A$1:$I$88,3,0)*0.475*44/12</f>
        <v>#N/A</v>
      </c>
      <c r="EW193" s="162" t="str">
        <f>EXP(-LN(2)/25)*EW192+(1-EXP(-LN(2)/25))/(LN(2)/25)*Calculateur!ER193*Calculateur!ET193*VLOOKUP('Données projet'!$B$15,'Paramètres'!$A$1:$I$88,3,0)*0.475*44/12</f>
        <v>#N/A</v>
      </c>
      <c r="EX193" s="162" t="str">
        <f>EXP(-LN(2)/2)*EX192+(1-EXP(-LN(2)/2))/(LN(2)/2)*ER193*EU193*VLOOKUP('Données projet'!$B$15,'Paramètres'!$A$1:$I$88,3,0)*0.475*44/12</f>
        <v>#N/A</v>
      </c>
      <c r="EY193" s="163" t="str">
        <f t="shared" si="22"/>
        <v>#N/A</v>
      </c>
      <c r="EZ193" s="159">
        <f>('Scénario référence'!$F$8+'Scénario référence'!$F$9+'Scénario référence'!$B$17+'Scénario référence'!$B$9+'Scénario référence'!$B$10)*70+IF((45+25*(1-EXP(-0.0175*A193)))&lt;70,'Scénario référence'!$B$16*(45+25*(1-EXP(-0.0175*A193))),70*'Scénario référence'!$B$16)+IF((32+38*(1-EXP(-0.0175*A193)))&lt;70,'Scénario référence'!$B$18*(32+38*(1-EXP(-0.0175*A193))),70*'Scénario référence'!$B$18)</f>
        <v>70</v>
      </c>
      <c r="FA193" s="151">
        <f>IF(A193&gt;30,10,('Scénario référence'!$B$16+'Scénario référence'!$B$17+'Scénario référence'!$B$18+'Scénario référence'!$B$9+'Scénario référence'!$B$10)*A193*10/30+('Scénario référence'!$F$8+'Scénario référence'!$F$9)*10)</f>
        <v>10</v>
      </c>
      <c r="FB193" s="151" t="str">
        <f>VLOOKUP(A193,'Données projet'!$A$217:$I$237,2,0)</f>
        <v>#N/A</v>
      </c>
      <c r="FC193" s="151" t="str">
        <f>VLOOKUP(A193,'Données projet'!$A$217:$I$237,9,0)</f>
        <v>#N/A</v>
      </c>
      <c r="FD193" s="151" t="str">
        <f t="array" ref="FD193">INDEX(FC:FC,MIN(IF(ISNUMBER(FC193:FC389),ROW(FC193:FC389),"")))</f>
        <v/>
      </c>
      <c r="FE193" s="151">
        <f>IF('Données projet'!$A$218&gt;35,FE192+FD193-FM192,IF(A193&lt;'Données projet'!$A$218,$FB$205^A193,IF(A193='Données projet'!$A$218,'Données projet'!$B$218,FE192+FD193-FM192)))</f>
        <v>0</v>
      </c>
      <c r="FF193" s="158" t="str">
        <f>FE193*VLOOKUP('Données projet'!$B$16,'Paramètres'!$A$1:$I$88,3,0)*VLOOKUP('Données projet'!$B$16,'Paramètres'!$A$1:$I$88,5,0)</f>
        <v>#N/A</v>
      </c>
      <c r="FG193" s="150" t="str">
        <f t="shared" si="48"/>
        <v>#N/A</v>
      </c>
      <c r="FH193" s="161" t="str">
        <f t="shared" si="23"/>
        <v>#N/A</v>
      </c>
      <c r="FI193" s="153" t="str">
        <f t="shared" si="24"/>
        <v>#N/A</v>
      </c>
      <c r="FJ193" s="153" t="str">
        <f>AVERAGE(OFFSET($FI$3,0,0,'Données projet'!$E$16+1,1))-AVERAGE(OFFSET($H$3,0,0,'Données projet'!$E$16+1,1))</f>
        <v>#N/A</v>
      </c>
      <c r="FK193" s="153" t="str">
        <f t="shared" si="49"/>
        <v>#N/A</v>
      </c>
      <c r="FL193" s="154">
        <f>IF(ISNA(VLOOKUP(A193,'Données projet'!$A$217:$I$237,3,0)),0,VLOOKUP(A193,'Données projet'!$A$217:$I$237,3,0))</f>
        <v>0</v>
      </c>
      <c r="FM193" s="154">
        <f>IF(ISNA(VLOOKUP(A193,'Données projet'!$A$217:$I$237,4,0)),0,VLOOKUP(A193,'Données projet'!$A$217:$I$237,4,0))</f>
        <v>0</v>
      </c>
      <c r="FN193" s="155">
        <f>IF(ISNA(VLOOKUP(A193,'Données projet'!$A$217:$I$237,5,0)),0%,VLOOKUP(A193,'Données projet'!$A$217:$I$237,5,0)*VLOOKUP('Données projet'!$B$16,'Paramètres'!$A$1:$I$88,7,0))</f>
        <v>0</v>
      </c>
      <c r="FO193" s="155">
        <f>IF(ISNA(VLOOKUP(A193,'Données projet'!$A$217:$I$237,6,0)),0%,VLOOKUP(A193,'Données projet'!$A$217:$I$237,6,0)*VLOOKUP('Données projet'!$B$16,'Paramètres'!$A$1:$I$88,7,0))</f>
        <v>0</v>
      </c>
      <c r="FP193" s="155">
        <f>IF(ISNA(VLOOKUP(A193,'Données projet'!$A$217:$I$237,7,0)),0%,VLOOKUP(A193,'Données projet'!$A$217:$I$237,7,0))</f>
        <v>0</v>
      </c>
      <c r="FQ193" s="162" t="str">
        <f>EXP(-LN(2)/35)*FQ192+(1-EXP(-LN(2)/35))/(LN(2)/35)*FM193*FN193*VLOOKUP('Données projet'!$B$16,'Paramètres'!$A$1:$I$88,3,0)*0.475*44/12</f>
        <v>#N/A</v>
      </c>
      <c r="FR193" s="162" t="str">
        <f>EXP(-LN(2)/25)*FR192+(1-EXP(-LN(2)/25))/(LN(2)/25)*Calculateur!FM193*Calculateur!FO193*VLOOKUP('Données projet'!$B$16,'Paramètres'!$A$1:$I$88,3,0)*0.475*44/12</f>
        <v>#N/A</v>
      </c>
      <c r="FS193" s="162" t="str">
        <f>EXP(-LN(2)/2)*FS192+(1-EXP(-LN(2)/2))/(LN(2)/2)*FM193*FP193*VLOOKUP('Données projet'!$B$16,'Paramètres'!$A$1:$I$88,3,0)*0.475*44/12</f>
        <v>#N/A</v>
      </c>
      <c r="FT193" s="163" t="str">
        <f t="shared" si="25"/>
        <v>#N/A</v>
      </c>
      <c r="FU193" s="159">
        <f>('Scénario référence'!$F$8+'Scénario référence'!$F$9+'Scénario référence'!$B$17+'Scénario référence'!$B$9+'Scénario référence'!$B$10)*70+IF((45+25*(1-EXP(-0.0175*A193)))&lt;70,'Scénario référence'!$B$16*(45+25*(1-EXP(-0.0175*A193))),70*'Scénario référence'!$B$16)+IF((32+38*(1-EXP(-0.0175*A193)))&lt;70,'Scénario référence'!$B$18*(32+38*(1-EXP(-0.0175*A193))),70*'Scénario référence'!$B$18)</f>
        <v>70</v>
      </c>
      <c r="FV193" s="151">
        <f>IF(A193&gt;30,10,('Scénario référence'!$B$16+'Scénario référence'!$B$17+'Scénario référence'!$B$18+'Scénario référence'!$B$9+'Scénario référence'!$B$10)*A193*10/30+('Scénario référence'!$F$8+'Scénario référence'!$F$9)*10)</f>
        <v>10</v>
      </c>
      <c r="FW193" s="151" t="str">
        <f>VLOOKUP(A193,'Données projet'!$A$243:$I$263,2,0)</f>
        <v>#N/A</v>
      </c>
      <c r="FX193" s="151" t="str">
        <f>VLOOKUP(A193,'Données projet'!$A$243:$I$263,9,0)</f>
        <v>#N/A</v>
      </c>
      <c r="FY193" s="151" t="str">
        <f t="array" ref="FY193">INDEX(FX:FX,MIN(IF(ISNUMBER(FX193:FX389),ROW(FX193:FX389),"")))</f>
        <v/>
      </c>
      <c r="FZ193" s="151">
        <f>IF('Données projet'!$A$244&gt;35,FZ192+FY193-GH192,IF(A193&lt;'Données projet'!$A$244,$FW$205^A193,IF(A193='Données projet'!$A$244,'Données projet'!$B$244,FZ192+FY193-GH192)))</f>
        <v>0</v>
      </c>
      <c r="GA193" s="158" t="str">
        <f>FZ193*VLOOKUP('Données projet'!$B$17,'Paramètres'!$A$1:$I$88,3,0)*VLOOKUP('Données projet'!$B$17,'Paramètres'!$A$1:$I$88,5,0)</f>
        <v>#N/A</v>
      </c>
      <c r="GB193" s="150" t="str">
        <f t="shared" si="50"/>
        <v>#N/A</v>
      </c>
      <c r="GC193" s="161" t="str">
        <f t="shared" si="26"/>
        <v>#N/A</v>
      </c>
      <c r="GD193" s="153" t="str">
        <f t="shared" si="27"/>
        <v>#N/A</v>
      </c>
      <c r="GE193" s="153" t="str">
        <f>AVERAGE(OFFSET($GD$3,0,0,'Données projet'!$E$17+1,1))-AVERAGE(OFFSET($H$3,0,0,'Données projet'!$E$17+1,1))</f>
        <v>#N/A</v>
      </c>
      <c r="GF193" s="153" t="str">
        <f t="shared" si="51"/>
        <v>#N/A</v>
      </c>
      <c r="GG193" s="154">
        <f>IF(ISNA(VLOOKUP(A193,'Données projet'!$A$243:$I$263,3,0)),0,VLOOKUP(A193,'Données projet'!$A$243:$I$263,3,0))</f>
        <v>0</v>
      </c>
      <c r="GH193" s="154">
        <f>IF(ISNA(VLOOKUP(A193,'Données projet'!$A$243:$I$263,4,0)),0,VLOOKUP(A193,'Données projet'!$A$243:$I$263,4,0))</f>
        <v>0</v>
      </c>
      <c r="GI193" s="155">
        <f>IF(ISNA(VLOOKUP(A193,'Données projet'!$A$243:$I$263,5,0)),0%,VLOOKUP(A193,'Données projet'!$A$243:$I$263,5,0)*VLOOKUP('Données projet'!$B$17,'Paramètres'!$A$1:$I$88,7,0))</f>
        <v>0</v>
      </c>
      <c r="GJ193" s="155">
        <f>IF(ISNA(VLOOKUP(A193,'Données projet'!$A$243:$I$263,6,0)),0%,VLOOKUP(A193,'Données projet'!$A$243:$I$263,6,0)*VLOOKUP('Données projet'!$B$17,'Paramètres'!$A$1:$I$88,7,0))</f>
        <v>0</v>
      </c>
      <c r="GK193" s="155">
        <f>IF(ISNA(VLOOKUP(A193,'Données projet'!$A$243:$I$263,7,0)),0%,VLOOKUP(A193,'Données projet'!$A$243:$I$263,7,0))</f>
        <v>0</v>
      </c>
      <c r="GL193" s="162" t="str">
        <f>EXP(-LN(2)/35)*GL192+(1-EXP(-LN(2)/35))/(LN(2)/35)*GH193*GI193*VLOOKUP('Données projet'!$B$17,'Paramètres'!$A$1:$I$88,3,0)*0.475*44/12</f>
        <v>#N/A</v>
      </c>
      <c r="GM193" s="162" t="str">
        <f>EXP(-LN(2)/25)*GM192+(1-EXP(-LN(2)/25))/(LN(2)/25)*Calculateur!GH193*Calculateur!GJ193*VLOOKUP('Données projet'!$B$17,'Paramètres'!$A$1:$I$88,3,0)*0.475*44/12</f>
        <v>#N/A</v>
      </c>
      <c r="GN193" s="162" t="str">
        <f>EXP(-LN(2)/2)*GN192+(1-EXP(-LN(2)/2))/(LN(2)/2)*GH193*GK193*VLOOKUP('Données projet'!$B$17,'Paramètres'!$A$1:$I$88,3,0)*0.475*44/12</f>
        <v>#N/A</v>
      </c>
      <c r="GO193" s="162" t="str">
        <f t="shared" si="28"/>
        <v>#N/A</v>
      </c>
      <c r="GP193" s="159">
        <f>('Scénario référence'!$F$8+'Scénario référence'!$F$9+'Scénario référence'!$B$17+'Scénario référence'!$B$9+'Scénario référence'!$B$10)*70+IF((45+25*(1-EXP(-0.0175*A193)))&lt;70,'Scénario référence'!$B$16*(45+25*(1-EXP(-0.0175*A193))),70*'Scénario référence'!$B$16)+IF((32+38*(1-EXP(-0.0175*A193)))&lt;70,'Scénario référence'!$B$18*(32+38*(1-EXP(-0.0175*A193))),70*'Scénario référence'!$B$18)</f>
        <v>70</v>
      </c>
      <c r="GQ193" s="151">
        <f>IF(A193&gt;30,10,('Scénario référence'!$B$16+'Scénario référence'!$B$17+'Scénario référence'!$B$18+'Scénario référence'!$B$9+'Scénario référence'!$B$10)*A193*10/30+('Scénario référence'!$F$8+'Scénario référence'!$F$9)*10)</f>
        <v>10</v>
      </c>
      <c r="GR193" s="151" t="str">
        <f>VLOOKUP(A193,'Données projet'!$A$269:$I$289,2,0)</f>
        <v>#N/A</v>
      </c>
      <c r="GS193" s="151" t="str">
        <f>VLOOKUP(A193,'Données projet'!$A$269:$I$289,9,0)</f>
        <v>#N/A</v>
      </c>
      <c r="GT193" s="151" t="str">
        <f t="array" ref="GT193">INDEX(GS:GS,MIN(IF(ISNUMBER(GS193:GS389),ROW(GS193:GS389),"")))</f>
        <v/>
      </c>
      <c r="GU193" s="151">
        <f>IF('Données projet'!$A$270&gt;35,GU192+GT193-HC192,IF(A193&lt;'Données projet'!$A$270,$GR$205^A193,IF(A193='Données projet'!$A$270,'Données projet'!$B$270,GU192+GT193-HC192)))</f>
        <v>0</v>
      </c>
      <c r="GV193" s="158" t="str">
        <f>GU193*VLOOKUP('Données projet'!$B$18,'Paramètres'!$A$1:$I$88,3,0)*VLOOKUP('Données projet'!$B$18,'Paramètres'!$A$1:$I$88,5,0)</f>
        <v>#N/A</v>
      </c>
      <c r="GW193" s="150" t="str">
        <f t="shared" si="52"/>
        <v>#N/A</v>
      </c>
      <c r="GX193" s="161" t="str">
        <f t="shared" si="29"/>
        <v>#N/A</v>
      </c>
      <c r="GY193" s="153" t="str">
        <f t="shared" si="30"/>
        <v>#N/A</v>
      </c>
      <c r="GZ193" s="153" t="str">
        <f>AVERAGE(OFFSET($GY$3,0,0,'Données projet'!$E$18+1,1))-AVERAGE(OFFSET($H$3,0,0,'Données projet'!$E$18+1,1))</f>
        <v>#N/A</v>
      </c>
      <c r="HA193" s="153" t="str">
        <f t="shared" si="53"/>
        <v>#N/A</v>
      </c>
      <c r="HB193" s="154">
        <f>IF(ISNA(VLOOKUP(A193,'Données projet'!$A$269:$I$289,3,0)),0,VLOOKUP(A193,'Données projet'!$A$269:$I$289,3,0))</f>
        <v>0</v>
      </c>
      <c r="HC193" s="154">
        <f>IF(ISNA(VLOOKUP(A193,'Données projet'!$A$269:$I$289,4,0)),0,VLOOKUP(A193,'Données projet'!$A$269:$I$289,4,0))</f>
        <v>0</v>
      </c>
      <c r="HD193" s="155">
        <f>IF(ISNA(VLOOKUP(A193,'Données projet'!$A$269:$I$289,5,0)),0%,VLOOKUP(A193,'Données projet'!$A$269:$I$289,5,0)*VLOOKUP('Données projet'!$B$18,'Paramètres'!$A$1:$I$88,7,0))</f>
        <v>0</v>
      </c>
      <c r="HE193" s="155">
        <f>IF(ISNA(VLOOKUP(A193,'Données projet'!$A$269:$I$289,6,0)),0%,VLOOKUP(A193,'Données projet'!$A$269:$I$289,6,0)*VLOOKUP('Données projet'!$B$18,'Paramètres'!$A$1:$I$88,7,0))</f>
        <v>0</v>
      </c>
      <c r="HF193" s="155">
        <f>IF(ISNA(VLOOKUP(A193,'Données projet'!$A$269:$I$289,7,0)),0%,VLOOKUP(A193,'Données projet'!$A$269:$I$289,7,0))</f>
        <v>0</v>
      </c>
      <c r="HG193" s="162" t="str">
        <f>EXP(-LN(2)/35)*HG192+(1-EXP(-LN(2)/35))/(LN(2)/35)*HC193*HD193*VLOOKUP('Données projet'!$B$18,'Paramètres'!$A$1:$I$88,3,0)*0.475*44/12</f>
        <v>#N/A</v>
      </c>
      <c r="HH193" s="162" t="str">
        <f>EXP(-LN(2)/25)*HH192+(1-EXP(-LN(2)/25))/(LN(2)/25)*Calculateur!HC193*Calculateur!HE193*VLOOKUP('Données projet'!$B$18,'Paramètres'!$A$1:$I$88,3,0)*0.475*44/12</f>
        <v>#N/A</v>
      </c>
      <c r="HI193" s="162" t="str">
        <f>EXP(-LN(2)/2)*HI192+(1-EXP(-LN(2)/2))/(LN(2)/2)*HC193*HF193*VLOOKUP('Données projet'!$B$18,'Paramètres'!$A$1:$I$88,3,0)*0.475*44/12</f>
        <v>#N/A</v>
      </c>
      <c r="HJ193" s="163" t="str">
        <f t="shared" si="31"/>
        <v>#N/A</v>
      </c>
    </row>
    <row r="194" ht="15.75" customHeight="1">
      <c r="A194" s="145">
        <f t="shared" si="32"/>
        <v>191</v>
      </c>
      <c r="B194" s="146">
        <f>'Scénario référence'!$B$16*5+'Scénario référence'!$B$17*0+'Scénario référence'!$B$18*5</f>
        <v>0</v>
      </c>
      <c r="C194" s="160">
        <f>Calculateur!C193+'Scénario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94" s="147">
        <f t="shared" si="33"/>
        <v>0</v>
      </c>
      <c r="E194" s="147">
        <f>'Scénario référence'!$B$16*45+('Scénario référence'!$B$17+'Scénario référence'!$F$8+'Scénario référence'!$F$9+'Scénario référence'!$B$10+'Scénario référence'!$B$9)*70+'Scénario référence'!$B$18*32</f>
        <v>70</v>
      </c>
      <c r="F194" s="147">
        <f>IF(OR('Scénario référence'!$F$8&gt;0,'Scénario référence'!$F$9&gt;0),('Scénario référence'!$F$8+'Scénario référence'!$F$9)*10,0)</f>
        <v>0</v>
      </c>
      <c r="G194" s="147">
        <f>'Scénario référence'!$B$8*B194*44/12+'Scénario référence'!$B$9*(C194+D194)/0.475*44/12+'Scénario référence'!$B$10*(C194+D194)/0.475*44/12+'Scénario référence'!$F$8*(C194+D194)/0.475*44/12+'Scénario référence'!$F$9*(C194+D194)/0.475*44/12</f>
        <v>0</v>
      </c>
      <c r="H194" s="148">
        <f t="shared" si="1"/>
        <v>256.6666667</v>
      </c>
      <c r="I194" s="149">
        <f>('Scénario référence'!$F$8+'Scénario référence'!$F$9+'Scénario référence'!$B$17+'Scénario référence'!$B$9+'Scénario référence'!$B$10)*70+IF((45+25*(1-EXP(-0.0175*A194)))&lt;70,'Scénario référence'!$B$16*(45+25*(1-EXP(-0.0175*A194))),70*'Scénario référence'!$B$16)+IF((32+38*(1-EXP(-0.0175*A194)))&lt;70,'Scénario référence'!$B$18*(32+38*(1-EXP(-0.0175*A194))),70*'Scénario référence'!$B$18)</f>
        <v>70</v>
      </c>
      <c r="J194" s="150">
        <f>IF(A194&gt;30,10,('Scénario référence'!$B$16+'Scénario référence'!$B$17+'Scénario référence'!$B$18+'Scénario référence'!$B$9+'Scénario référence'!$B$10)*A194*10/30+('Scénario référence'!$F$8+'Scénario référence'!$F$9)*10)</f>
        <v>10</v>
      </c>
      <c r="K194" s="151" t="str">
        <f>VLOOKUP(A194,'Données projet'!$A$35:$I$55,2,0)</f>
        <v>#N/A</v>
      </c>
      <c r="L194" s="151" t="str">
        <f>VLOOKUP(A194,'Données projet'!$A$35:$I$55,9,0)</f>
        <v>#N/A</v>
      </c>
      <c r="M194" s="151" t="str">
        <f t="array" ref="M194">INDEX(L:L,MIN(IF(ISNUMBER(L194:L390),ROW(L194:L390),"")))</f>
        <v/>
      </c>
      <c r="N194" s="150">
        <f>IF('Données projet'!$A$36&gt;35,N193+M194-V193,IF(A194&lt;'Données projet'!$A$36,$K$205^A194,IF(A194='Données projet'!$A$36,'Données projet'!$B$36,N193+M194-V193)))</f>
        <v>307</v>
      </c>
      <c r="O194" s="150">
        <f>N194*VLOOKUP('Données projet'!$B$9,'Paramètres'!$A$1:$I$88,3,0)*VLOOKUP('Données projet'!$B$9,'Paramètres'!$A$1:$I$88,5,0)</f>
        <v>277.7736</v>
      </c>
      <c r="P194" s="150">
        <f t="shared" si="34"/>
        <v>66.49628818</v>
      </c>
      <c r="Q194" s="161">
        <f t="shared" si="2"/>
        <v>599.6033886</v>
      </c>
      <c r="R194" s="153">
        <f t="shared" si="3"/>
        <v>892.9367219</v>
      </c>
      <c r="S194" s="153">
        <f>AVERAGE(OFFSET($R$3,0,0,'Données projet'!$E$9+1,1))-AVERAGE(OFFSET($H$3,0,0,'Données projet'!$E$9+1,1))</f>
        <v>439.1985427</v>
      </c>
      <c r="T194" s="153">
        <f t="shared" si="35"/>
        <v>278.2174123</v>
      </c>
      <c r="U194" s="154">
        <f>IF(ISNA(VLOOKUP(A194,'Données projet'!$A$35:$I$55,3,0)),0,VLOOKUP(A194,'Données projet'!$A$35:$I$55,3,0))</f>
        <v>0</v>
      </c>
      <c r="V194" s="154">
        <f>IF(ISNA(VLOOKUP(A194,'Données projet'!$A$35:$I$55,4,0)),0,VLOOKUP(A194,'Données projet'!$A$35:$I$55,4,0))</f>
        <v>0</v>
      </c>
      <c r="W194" s="155">
        <f>IF(ISNA(VLOOKUP(A194,'Données projet'!$A$35:$I$55,5,0)),0%,VLOOKUP(A194,'Données projet'!$A$35:$I$55,5,0)*VLOOKUP('Données projet'!$B$9,'Paramètres'!$A$1:$I$88,7,0))</f>
        <v>0</v>
      </c>
      <c r="X194" s="155">
        <f>IF(ISNA(VLOOKUP(A194,'Données projet'!$A$35:$I$55,6,0)),0%,VLOOKUP(A194,'Données projet'!$A$35:$I$55,6,0)*VLOOKUP('Données projet'!$B$9,'Paramètres'!$A$1:$I$88,7,0))</f>
        <v>0</v>
      </c>
      <c r="Y194" s="155">
        <f>IF(ISNA(VLOOKUP(A194,'Données projet'!$A$35:$I$55,7,0)),0%,VLOOKUP(A194,'Données projet'!$A$35:$I$55,7,0))</f>
        <v>0</v>
      </c>
      <c r="Z194" s="162">
        <f>EXP(-LN(2)/35)*Z193+(1-EXP(-LN(2)/35))/(LN(2)/35)*V194*W194*VLOOKUP('Données projet'!$B$9,'Paramètres'!$A$1:$I$88,3,0)*0.475*44/12</f>
        <v>0</v>
      </c>
      <c r="AA194" s="162">
        <f>EXP(-LN(2)/25)*AA193+(1-EXP(-LN(2)/25))/(LN(2)/25)*Calculateur!V194*Calculateur!X194*VLOOKUP('Données projet'!$B$9,'Paramètres'!$A$1:$I$88,3,0)*0.475*44/12</f>
        <v>0.05168673593</v>
      </c>
      <c r="AB194" s="162">
        <f>EXP(-LN(2)/2)*AB193+(1-EXP(-LN(2)/2))/(LN(2)/2)*V194*Y194*VLOOKUP('Données projet'!$B$9,'Paramètres'!$A$1:$I$88,3,0)*0.475*44/12</f>
        <v>0</v>
      </c>
      <c r="AC194" s="163">
        <f t="shared" si="4"/>
        <v>0.05168673593</v>
      </c>
      <c r="AD194" s="150">
        <f>('Scénario référence'!$F$8+'Scénario référence'!$F$9+'Scénario référence'!$B$17+'Scénario référence'!$B$9+'Scénario référence'!$B$10)*70+IF((45+25*(1-EXP(-0.0175*A194)))&lt;70,'Scénario référence'!$B$16*(45+25*(1-EXP(-0.0175*A194))),70*'Scénario référence'!$B$16)+IF((32+38*(1-EXP(-0.0175*A194)))&lt;70,'Scénario référence'!$B$18*(32+38*(1-EXP(-0.0175*A194))),70*'Scénario référence'!$B$18)</f>
        <v>70</v>
      </c>
      <c r="AE194" s="150">
        <f>IF(A194&gt;30,10,('Scénario référence'!$B$16+'Scénario référence'!$B$17+'Scénario référence'!$B$18+'Scénario référence'!$B$9+'Scénario référence'!$B$10)*A194*10/30+('Scénario référence'!$F$8+'Scénario référence'!$F$9)*10)</f>
        <v>10</v>
      </c>
      <c r="AF194" s="151" t="str">
        <f>VLOOKUP(A194,'Données projet'!$A$61:$I$81,2,0)</f>
        <v>#N/A</v>
      </c>
      <c r="AG194" s="151" t="str">
        <f>VLOOKUP(A194,'Données projet'!$A$61:$I$81,9,0)</f>
        <v>#N/A</v>
      </c>
      <c r="AH194" s="151" t="str">
        <f t="array" ref="AH194">INDEX(AG:AG,MIN(IF(ISNUMBER(AG194:AG390),ROW(AG194:AG390),"")))</f>
        <v/>
      </c>
      <c r="AI194" s="150">
        <f>IF('Données projet'!$A$62&gt;35,AI193+AH194-AQ193,IF(A194&lt;'Données projet'!$A$62,$AF$205^A194,IF(A194='Données projet'!$A$62,'Données projet'!$B$62,AI193+AH194-AQ193)))</f>
        <v>369</v>
      </c>
      <c r="AJ194" s="150">
        <f>AI194*VLOOKUP('Données projet'!$B$10,'Paramètres'!$A$1:$I$88,3,0)*VLOOKUP('Données projet'!$B$10,'Paramètres'!$A$1:$I$88,5,0)</f>
        <v>293.5764</v>
      </c>
      <c r="AK194" s="150">
        <f t="shared" si="36"/>
        <v>69.82813851</v>
      </c>
      <c r="AL194" s="161">
        <f t="shared" si="5"/>
        <v>632.9295712</v>
      </c>
      <c r="AM194" s="153">
        <f t="shared" si="6"/>
        <v>926.2629046</v>
      </c>
      <c r="AN194" s="153">
        <f>AVERAGE(OFFSET($AM$3,0,0,'Données projet'!$E$10+1,1))-AVERAGE(OFFSET($H$3,0,0,'Données projet'!$E$10+1,1))</f>
        <v>405.6113614</v>
      </c>
      <c r="AO194" s="153">
        <f t="shared" si="37"/>
        <v>393.0787141</v>
      </c>
      <c r="AP194" s="154">
        <f>IF(ISNA(VLOOKUP(A194,'Données projet'!$A$61:$I$81,3,0)),0,VLOOKUP(A194,'Données projet'!$A$61:$I$81,3,0))</f>
        <v>0</v>
      </c>
      <c r="AQ194" s="154">
        <f>IF(ISNA(VLOOKUP(A194,'Données projet'!$A$61:$I$81,4,0)),0,VLOOKUP(A194,'Données projet'!$A$61:$I$81,4,0))</f>
        <v>0</v>
      </c>
      <c r="AR194" s="155">
        <f>IF(ISNA(VLOOKUP(A194,'Données projet'!$A$61:$I$81,5,0)),0%,VLOOKUP(A194,'Données projet'!$A$61:$I$81,5,0)*VLOOKUP('Données projet'!$B$10,'Paramètres'!$A$1:$I$88,7,0))</f>
        <v>0</v>
      </c>
      <c r="AS194" s="155">
        <f>IF(ISNA(VLOOKUP(A194,'Données projet'!$A$61:$I$81,6,0)),0%,VLOOKUP(A194,'Données projet'!$A$61:$I$81,6,0)*VLOOKUP('Données projet'!$B$10,'Paramètres'!$A$1:$I$88,7,0))</f>
        <v>0</v>
      </c>
      <c r="AT194" s="155">
        <f>IF(ISNA(VLOOKUP(A194,'Données projet'!$A$61:$I$81,7,0)),0%,VLOOKUP(A194,'Données projet'!$A$61:$I$81,7,0))</f>
        <v>0</v>
      </c>
      <c r="AU194" s="162">
        <f>EXP(-LN(2)/35)*AU193+(1-EXP(-LN(2)/35))/(LN(2)/35)*AQ194*AR194*VLOOKUP('Données projet'!$B$10,'Paramètres'!$A$1:$I$88,3,0)*0.475*44/12</f>
        <v>0</v>
      </c>
      <c r="AV194" s="162">
        <f>EXP(-LN(2)/25)*AV193+(1-EXP(-LN(2)/25))/(LN(2)/25)*Calculateur!AQ194*Calculateur!AS194*VLOOKUP('Données projet'!$B$10,'Paramètres'!$A$1:$I$88,3,0)*0.475*44/12</f>
        <v>0.2100680341</v>
      </c>
      <c r="AW194" s="162">
        <f>EXP(-LN(2)/2)*AW193+(1-EXP(-LN(2)/2))/(LN(2)/2)*AQ194*AT194*VLOOKUP('Données projet'!$B$10,'Paramètres'!$A$1:$I$88,3,0)*0.475*44/12</f>
        <v>0</v>
      </c>
      <c r="AX194" s="162">
        <f t="shared" si="7"/>
        <v>0.2100680341</v>
      </c>
      <c r="AY194" s="157">
        <f>('Scénario référence'!$F$8+'Scénario référence'!$F$9+'Scénario référence'!$B$17+'Scénario référence'!$B$9+'Scénario référence'!$B$10)*70+IF((45+25*(1-EXP(-0.0175*A194)))&lt;70,'Scénario référence'!$B$16*(45+25*(1-EXP(-0.0175*A194))),70*'Scénario référence'!$B$16)+IF((32+38*(1-EXP(-0.0175*A194)))&lt;70,'Scénario référence'!$B$18*(32+38*(1-EXP(-0.0175*A194))),70*'Scénario référence'!$B$18)</f>
        <v>70</v>
      </c>
      <c r="AZ194" s="151">
        <f>IF(A194&gt;30,10,('Scénario référence'!$B$16+'Scénario référence'!$B$17+'Scénario référence'!$B$18+'Scénario référence'!$B$9+'Scénario référence'!$B$10)*A194*10/30+('Scénario référence'!$F$8+'Scénario référence'!$F$9)*10)</f>
        <v>10</v>
      </c>
      <c r="BA194" s="151" t="str">
        <f>VLOOKUP(A194,'Données projet'!$A$87:$I$107,2,0)</f>
        <v>#N/A</v>
      </c>
      <c r="BB194" s="151" t="str">
        <f>VLOOKUP(A194,'Données projet'!$A$87:$I$107,9,0)</f>
        <v>#N/A</v>
      </c>
      <c r="BC194" s="151" t="str">
        <f t="array" ref="BC194">INDEX(BB:BB,MIN(IF(ISNUMBER(BB194:BB390),ROW(BB194:BB390),"")))</f>
        <v/>
      </c>
      <c r="BD194" s="150">
        <f>IF('Données projet'!$A$88&gt;35,BD193+BC194-BL193,IF(A194&lt;'Données projet'!$A$88,$BA$205^A194,IF(A194='Données projet'!$A$88,'Données projet'!$B$88,BD193+BC194-BL193)))</f>
        <v>0</v>
      </c>
      <c r="BE194" s="150">
        <f>BD194*VLOOKUP('Données projet'!$B$11,'Paramètres'!$A$1:$I$88,3,0)*VLOOKUP('Données projet'!$B$11,'Paramètres'!$A$1:$I$88,5,0)</f>
        <v>0</v>
      </c>
      <c r="BF194" s="150" t="str">
        <f t="shared" si="38"/>
        <v>#NUM!</v>
      </c>
      <c r="BG194" s="161" t="str">
        <f t="shared" si="8"/>
        <v>#NUM!</v>
      </c>
      <c r="BH194" s="153" t="str">
        <f t="shared" si="9"/>
        <v>#NUM!</v>
      </c>
      <c r="BI194" s="153">
        <f>AVERAGE(OFFSET($BH$3,0,0,'Données projet'!$E$11+1,1))-AVERAGE(OFFSET($H$3,0,0,'Données projet'!$E$11+1,1))</f>
        <v>0</v>
      </c>
      <c r="BJ194" s="153">
        <f t="shared" si="39"/>
        <v>0</v>
      </c>
      <c r="BK194" s="154">
        <f>IF(ISNA(VLOOKUP(A194,'Données projet'!$A$87:$I$107,3,0)),0,VLOOKUP(A194,'Données projet'!$A$87:$I$107,3,0))</f>
        <v>0</v>
      </c>
      <c r="BL194" s="154">
        <f>IF(ISNA(VLOOKUP(A194,'Données projet'!$A$87:$I$107,4,0)),0,VLOOKUP(A194,'Données projet'!$A$87:$I$107,4,0))</f>
        <v>0</v>
      </c>
      <c r="BM194" s="155">
        <f>IF(ISNA(VLOOKUP(A194,'Données projet'!$A$87:$I$107,5,0)),0%,VLOOKUP(A194,'Données projet'!$A$87:$I$107,5,0)*VLOOKUP('Données projet'!$B$11,'Paramètres'!$A$1:$I$88,7,0))</f>
        <v>0</v>
      </c>
      <c r="BN194" s="155">
        <f>IF(ISNA(VLOOKUP(A194,'Données projet'!$A$87:$I$107,6,0)),0%,VLOOKUP(A194,'Données projet'!$A$87:$I$107,6,0)*VLOOKUP('Données projet'!$B$11,'Paramètres'!$A$1:$I$88,7,0))</f>
        <v>0</v>
      </c>
      <c r="BO194" s="155">
        <f>IF(ISNA(VLOOKUP(A194,'Données projet'!$A$87:$I$107,7,0)),0%,VLOOKUP(A194,'Données projet'!$A$87:$I$107,7,0))</f>
        <v>0</v>
      </c>
      <c r="BP194" s="162">
        <f>EXP(-LN(2)/35)*BP193+(1-EXP(-LN(2)/35))/(LN(2)/35)*BL194*BM194*VLOOKUP('Données projet'!$B$11,'Paramètres'!$A$1:$I$88,3,0)*0.475*44/12</f>
        <v>0</v>
      </c>
      <c r="BQ194" s="162">
        <f>EXP(-LN(2)/25)*BQ193+(1-EXP(-LN(2)/25))/(LN(2)/25)*Calculateur!BL194*Calculateur!BN194*VLOOKUP('Données projet'!$B$11,'Paramètres'!$A$1:$I$88,3,0)*0.475*44/12</f>
        <v>0</v>
      </c>
      <c r="BR194" s="162">
        <f>EXP(-LN(2)/2)*BR193+(1-EXP(-LN(2)/2))/(LN(2)/2)*BL194*BO194*VLOOKUP('Données projet'!$B$11,'Paramètres'!$A$1:$I$88,3,0)*0.475*44/12</f>
        <v>0</v>
      </c>
      <c r="BS194" s="163">
        <f t="shared" si="10"/>
        <v>0</v>
      </c>
      <c r="BT194" s="159">
        <f>('Scénario référence'!$F$8+'Scénario référence'!$F$9+'Scénario référence'!$B$17+'Scénario référence'!$B$9+'Scénario référence'!$B$10)*70+IF((45+25*(1-EXP(-0.0175*A194)))&lt;70,'Scénario référence'!$B$16*(45+25*(1-EXP(-0.0175*A194))),70*'Scénario référence'!$B$16)+IF((32+38*(1-EXP(-0.0175*A194)))&lt;70,'Scénario référence'!$B$18*(32+38*(1-EXP(-0.0175*A194))),70*'Scénario référence'!$B$18)</f>
        <v>70</v>
      </c>
      <c r="BU194" s="151">
        <f>IF(A194&gt;30,10,('Scénario référence'!$B$16+'Scénario référence'!$B$17+'Scénario référence'!$B$18+'Scénario référence'!$B$9+'Scénario référence'!$B$10)*A194*10/30+('Scénario référence'!$F$8+'Scénario référence'!$F$9)*10)</f>
        <v>10</v>
      </c>
      <c r="BV194" s="151" t="str">
        <f>VLOOKUP(A194,'Données projet'!$A$113:$I$133,2,0)</f>
        <v>#N/A</v>
      </c>
      <c r="BW194" s="151" t="str">
        <f>VLOOKUP(A194,'Données projet'!$A$113:$I$133,9,0)</f>
        <v>#N/A</v>
      </c>
      <c r="BX194" s="151" t="str">
        <f t="array" ref="BX194">INDEX(BW:BW,MIN(IF(ISNUMBER(BW194:BW390),ROW(BW194:BW390),"")))</f>
        <v/>
      </c>
      <c r="BY194" s="150">
        <f>IF('Données projet'!$A$114&gt;35,BY193+BX194-CG193,IF(A194&lt;'Données projet'!$A$114,$BV$205^A194,IF(A194='Données projet'!$A$114,'Données projet'!$B$114,BY193+BX194-CG193)))</f>
        <v>0</v>
      </c>
      <c r="BZ194" s="150" t="str">
        <f>BY194*VLOOKUP('Données projet'!$B$12,'Paramètres'!$A$1:$I$88,3,0)*VLOOKUP('Données projet'!$B$12,'Paramètres'!$A$1:$I$88,5,0)</f>
        <v>#N/A</v>
      </c>
      <c r="CA194" s="150" t="str">
        <f t="shared" si="40"/>
        <v>#N/A</v>
      </c>
      <c r="CB194" s="161" t="str">
        <f t="shared" si="11"/>
        <v>#N/A</v>
      </c>
      <c r="CC194" s="153" t="str">
        <f t="shared" si="12"/>
        <v>#N/A</v>
      </c>
      <c r="CD194" s="153" t="str">
        <f>AVERAGE(OFFSET($CC$3,0,0,'Données projet'!$E$12+1,1))-AVERAGE(OFFSET($H$3,0,0,'Données projet'!$E$12+1,1))</f>
        <v>#N/A</v>
      </c>
      <c r="CE194" s="153" t="str">
        <f t="shared" si="41"/>
        <v>#N/A</v>
      </c>
      <c r="CF194" s="154">
        <f>IF(ISNA(VLOOKUP(A194,'Données projet'!$A$113:$I$133,3,0)),0,VLOOKUP(A194,'Données projet'!$A$113:$I$133,3,0))</f>
        <v>0</v>
      </c>
      <c r="CG194" s="154">
        <f>IF(ISNA(VLOOKUP(A194,'Données projet'!$A$113:$I$133,4,0)),0,VLOOKUP(A194,'Données projet'!$A$113:$I$133,4,0))</f>
        <v>0</v>
      </c>
      <c r="CH194" s="155">
        <f>IF(ISNA(VLOOKUP(A194,'Données projet'!$A$113:$I$133,5,0)),0%,VLOOKUP(A194,'Données projet'!$A$113:$I$133,5,0)*VLOOKUP('Données projet'!$B$12,'Paramètres'!$A$1:$I$88,7,0))</f>
        <v>0</v>
      </c>
      <c r="CI194" s="155">
        <f>IF(ISNA(VLOOKUP(A194,'Données projet'!$A$113:$I$133,6,0)),0%,VLOOKUP(A194,'Données projet'!$A$113:$I$133,6,0)*VLOOKUP('Données projet'!$B$12,'Paramètres'!$A$1:$I$88,7,0))</f>
        <v>0</v>
      </c>
      <c r="CJ194" s="155">
        <f>IF(ISNA(VLOOKUP(A194,'Données projet'!$A$113:$I$133,7,0)),0%,VLOOKUP(A194,'Données projet'!$A$113:$I$133,7,0))</f>
        <v>0</v>
      </c>
      <c r="CK194" s="162" t="str">
        <f>EXP(-LN(2)/35)*CK193+(1-EXP(-LN(2)/35))/(LN(2)/35)*CG194*CH194*VLOOKUP('Données projet'!$B$12,'Paramètres'!$A$1:$I$88,3,0)*0.475*44/12</f>
        <v>#N/A</v>
      </c>
      <c r="CL194" s="162" t="str">
        <f>EXP(-LN(2)/25)*CL193+(1-EXP(-LN(2)/25))/(LN(2)/25)*Calculateur!CG194*Calculateur!CI194*VLOOKUP('Données projet'!$B$12,'Paramètres'!$A$1:$I$88,3,0)*0.475*44/12</f>
        <v>#N/A</v>
      </c>
      <c r="CM194" s="162" t="str">
        <f>EXP(-LN(2)/2)*CM193+(1-EXP(-LN(2)/2))/(LN(2)/2)*CG194*CJ194*VLOOKUP('Données projet'!$B$12,'Paramètres'!$A$1:$I$88,3,0)*0.475*44/12</f>
        <v>#N/A</v>
      </c>
      <c r="CN194" s="163" t="str">
        <f t="shared" si="13"/>
        <v>#N/A</v>
      </c>
      <c r="CO194" s="159">
        <f>('Scénario référence'!$F$8+'Scénario référence'!$F$9+'Scénario référence'!$B$17+'Scénario référence'!$B$9+'Scénario référence'!$B$10)*70+IF((45+25*(1-EXP(-0.0175*A194)))&lt;70,'Scénario référence'!$B$16*(45+25*(1-EXP(-0.0175*A194))),70*'Scénario référence'!$B$16)+IF((32+38*(1-EXP(-0.0175*A194)))&lt;70,'Scénario référence'!$B$18*(32+38*(1-EXP(-0.0175*A194))),70*'Scénario référence'!$B$18)</f>
        <v>70</v>
      </c>
      <c r="CP194" s="151">
        <f>IF(A194&gt;30,10,('Scénario référence'!$B$16+'Scénario référence'!$B$17+'Scénario référence'!$B$18+'Scénario référence'!$B$9+'Scénario référence'!$B$10)*A194*10/30+('Scénario référence'!$F$8+'Scénario référence'!$F$9)*10)</f>
        <v>10</v>
      </c>
      <c r="CQ194" s="151" t="str">
        <f>VLOOKUP(A194,'Données projet'!$A$139:$I$159,2,0)</f>
        <v>#N/A</v>
      </c>
      <c r="CR194" s="151" t="str">
        <f>VLOOKUP(A194,'Données projet'!$A$139:$I$159,9,0)</f>
        <v>#N/A</v>
      </c>
      <c r="CS194" s="151" t="str">
        <f t="array" ref="CS194">INDEX(CR:CR,MIN(IF(ISNUMBER(CR194:CR390),ROW(CR194:CR390),"")))</f>
        <v/>
      </c>
      <c r="CT194" s="151">
        <f>IF('Données projet'!$A$140&gt;35,CT193+CS194-DB193,IF(A194&lt;'Données projet'!$A$140,$CQ$205^A194,IF(A194='Données projet'!$A$140,'Données projet'!$B$140,CT193+CS194-DB193)))</f>
        <v>0</v>
      </c>
      <c r="CU194" s="158" t="str">
        <f>CT194*VLOOKUP('Données projet'!$B$13,'Paramètres'!$A$1:$I$88,3,0)*VLOOKUP('Données projet'!$B$13,'Paramètres'!$A$1:$I$88,5,0)</f>
        <v>#N/A</v>
      </c>
      <c r="CV194" s="150" t="str">
        <f t="shared" si="42"/>
        <v>#N/A</v>
      </c>
      <c r="CW194" s="161" t="str">
        <f t="shared" si="14"/>
        <v>#N/A</v>
      </c>
      <c r="CX194" s="153" t="str">
        <f t="shared" si="15"/>
        <v>#N/A</v>
      </c>
      <c r="CY194" s="153" t="str">
        <f>AVERAGE(OFFSET($CX$3,0,0,'Données projet'!$E$13+1,1))-AVERAGE(OFFSET($H$3,0,0,'Données projet'!$E$13+1,1))</f>
        <v>#N/A</v>
      </c>
      <c r="CZ194" s="153" t="str">
        <f t="shared" si="43"/>
        <v>#N/A</v>
      </c>
      <c r="DA194" s="154">
        <f>IF(ISNA(VLOOKUP(A194,'Données projet'!$A$139:$I$159,3,0)),0,VLOOKUP(A194,'Données projet'!$A$139:$I$159,3,0))</f>
        <v>0</v>
      </c>
      <c r="DB194" s="154">
        <f>IF(ISNA(VLOOKUP(A194,'Données projet'!$A$139:$I$159,4,0)),0,VLOOKUP(A194,'Données projet'!$A$139:$I$159,4,0))</f>
        <v>0</v>
      </c>
      <c r="DC194" s="155">
        <f>IF(ISNA(VLOOKUP(A194,'Données projet'!$A$139:$I$159,5,0)),0%,VLOOKUP(A194,'Données projet'!$A$139:$I$159,5,0)*VLOOKUP('Données projet'!$B$13,'Paramètres'!$A$1:$I$88,7,0))</f>
        <v>0</v>
      </c>
      <c r="DD194" s="155">
        <f>IF(ISNA(VLOOKUP(A194,'Données projet'!$A$139:$I$159,6,0)),0%,VLOOKUP(A194,'Données projet'!$A$139:$I$159,6,0)*VLOOKUP('Données projet'!$B$13,'Paramètres'!$A$1:$I$88,7,0))</f>
        <v>0</v>
      </c>
      <c r="DE194" s="155">
        <f>IF(ISNA(VLOOKUP(A194,'Données projet'!$A$139:$I$159,7,0)),0%,VLOOKUP(A194,'Données projet'!$A$139:$I$159,7,0))</f>
        <v>0</v>
      </c>
      <c r="DF194" s="162" t="str">
        <f>EXP(-LN(2)/35)*DF193+(1-EXP(-LN(2)/35))/(LN(2)/35)*DB194*DC194*VLOOKUP('Données projet'!$B$13,'Paramètres'!$A$1:$I$88,3,0)*0.475*44/12</f>
        <v>#N/A</v>
      </c>
      <c r="DG194" s="162" t="str">
        <f>EXP(-LN(2)/25)*DG193+(1-EXP(-LN(2)/25))/(LN(2)/25)*Calculateur!DB194*Calculateur!DD194*VLOOKUP('Données projet'!$B$13,'Paramètres'!$A$1:$I$88,3,0)*0.475*44/12</f>
        <v>#N/A</v>
      </c>
      <c r="DH194" s="162" t="str">
        <f>EXP(-LN(2)/2)*DH193+(1-EXP(-LN(2)/2))/(LN(2)/2)*DB194*DE194*VLOOKUP('Données projet'!$B$13,'Paramètres'!$A$1:$I$88,3,0)*0.475*44/12</f>
        <v>#N/A</v>
      </c>
      <c r="DI194" s="163" t="str">
        <f t="shared" si="16"/>
        <v>#N/A</v>
      </c>
      <c r="DJ194" s="159">
        <f>('Scénario référence'!$F$8+'Scénario référence'!$F$9+'Scénario référence'!$B$17+'Scénario référence'!$B$9+'Scénario référence'!$B$10)*70+IF((45+25*(1-EXP(-0.0175*A194)))&lt;70,'Scénario référence'!$B$16*(45+25*(1-EXP(-0.0175*A194))),70*'Scénario référence'!$B$16)+IF((32+38*(1-EXP(-0.0175*A194)))&lt;70,'Scénario référence'!$B$18*(32+38*(1-EXP(-0.0175*A194))),70*'Scénario référence'!$B$18)</f>
        <v>70</v>
      </c>
      <c r="DK194" s="151">
        <f>IF(A194&gt;30,10,('Scénario référence'!$B$16+'Scénario référence'!$B$17+'Scénario référence'!$B$18+'Scénario référence'!$B$9+'Scénario référence'!$B$10)*A194*10/30+('Scénario référence'!$F$8+'Scénario référence'!$F$9)*10)</f>
        <v>10</v>
      </c>
      <c r="DL194" s="151" t="str">
        <f>VLOOKUP(A194,'Données projet'!$A$165:$I$185,2,0)</f>
        <v>#N/A</v>
      </c>
      <c r="DM194" s="151" t="str">
        <f>VLOOKUP(A194,'Données projet'!$A$165:$I$185,9,0)</f>
        <v>#N/A</v>
      </c>
      <c r="DN194" s="151" t="str">
        <f t="array" ref="DN194">INDEX(DM:DM,MIN(IF(ISNUMBER(DM194:DM390),ROW(DM194:DM390),"")))</f>
        <v/>
      </c>
      <c r="DO194" s="151">
        <f>IF('Données projet'!$A$166&gt;35,DO193+DN194-DW193,IF(A194&lt;'Données projet'!$A$166,$DL$205^A194,IF(A194='Données projet'!$A$166,'Données projet'!$B$166,DO193+DN194-DW193)))</f>
        <v>0</v>
      </c>
      <c r="DP194" s="158" t="str">
        <f>DO194*VLOOKUP('Données projet'!$B$14,'Paramètres'!$A$1:$I$88,3,0)*VLOOKUP('Données projet'!$B$14,'Paramètres'!$A$1:$I$88,5,0)</f>
        <v>#N/A</v>
      </c>
      <c r="DQ194" s="150" t="str">
        <f t="shared" si="44"/>
        <v>#N/A</v>
      </c>
      <c r="DR194" s="161" t="str">
        <f t="shared" si="17"/>
        <v>#N/A</v>
      </c>
      <c r="DS194" s="153" t="str">
        <f t="shared" si="18"/>
        <v>#N/A</v>
      </c>
      <c r="DT194" s="153" t="str">
        <f>AVERAGE(OFFSET($DS$3,0,0,'Données projet'!$E$14+1,1))-AVERAGE(OFFSET($H$3,0,0,'Données projet'!$E$14+1,1))</f>
        <v>#N/A</v>
      </c>
      <c r="DU194" s="153" t="str">
        <f t="shared" si="45"/>
        <v>#N/A</v>
      </c>
      <c r="DV194" s="154">
        <f>IF(ISNA(VLOOKUP(A194,'Données projet'!$A$165:$I$185,3,0)),0,VLOOKUP(A194,'Données projet'!$A$165:$I$185,3,0))</f>
        <v>0</v>
      </c>
      <c r="DW194" s="154">
        <f>IF(ISNA(VLOOKUP(A194,'Données projet'!$A$165:$I$185,4,0)),0,VLOOKUP(A194,'Données projet'!$A$165:$I$185,4,0))</f>
        <v>0</v>
      </c>
      <c r="DX194" s="155">
        <f>IF(ISNA(VLOOKUP(A194,'Données projet'!$A$165:$I$185,5,0)),0%,VLOOKUP(A194,'Données projet'!$A$165:$I$185,5,0)*VLOOKUP('Données projet'!$B$14,'Paramètres'!$A$1:$I$88,7,0))</f>
        <v>0</v>
      </c>
      <c r="DY194" s="155">
        <f>IF(ISNA(VLOOKUP(A194,'Données projet'!$A$165:$I$185,6,0)),0%,VLOOKUP(A194,'Données projet'!$A$165:$I$185,6,0)*VLOOKUP('Données projet'!$B$14,'Paramètres'!$A$1:$I$88,7,0))</f>
        <v>0</v>
      </c>
      <c r="DZ194" s="155">
        <f>IF(ISNA(VLOOKUP(A194,'Données projet'!$A$165:$I$185,7,0)),0%,VLOOKUP(A194,'Données projet'!$A$165:$I$185,7,0))</f>
        <v>0</v>
      </c>
      <c r="EA194" s="162" t="str">
        <f>EXP(-LN(2)/35)*EA193+(1-EXP(-LN(2)/35))/(LN(2)/35)*DW194*DX194*VLOOKUP('Données projet'!$B$14,'Paramètres'!$A$1:$I$88,3,0)*0.475*44/12</f>
        <v>#N/A</v>
      </c>
      <c r="EB194" s="162" t="str">
        <f>EXP(-LN(2)/25)*EB193+(1-EXP(-LN(2)/25))/(LN(2)/25)*Calculateur!DW194*Calculateur!DY194*VLOOKUP('Données projet'!$B$14,'Paramètres'!$A$1:$I$88,3,0)*0.475*44/12</f>
        <v>#N/A</v>
      </c>
      <c r="EC194" s="162" t="str">
        <f>EXP(-LN(2)/2)*EC193+(1-EXP(-LN(2)/2))/(LN(2)/2)*DW194*DZ194*VLOOKUP('Données projet'!$B$14,'Paramètres'!$A$1:$I$88,3,0)*0.475*44/12</f>
        <v>#N/A</v>
      </c>
      <c r="ED194" s="163" t="str">
        <f t="shared" si="19"/>
        <v>#N/A</v>
      </c>
      <c r="EE194" s="159">
        <f>('Scénario référence'!$F$8+'Scénario référence'!$F$9+'Scénario référence'!$B$17+'Scénario référence'!$B$9+'Scénario référence'!$B$10)*70+IF((45+25*(1-EXP(-0.0175*A194)))&lt;70,'Scénario référence'!$B$16*(45+25*(1-EXP(-0.0175*A194))),70*'Scénario référence'!$B$16)+IF((32+38*(1-EXP(-0.0175*A194)))&lt;70,'Scénario référence'!$B$18*(32+38*(1-EXP(-0.0175*A194))),70*'Scénario référence'!$B$18)</f>
        <v>70</v>
      </c>
      <c r="EF194" s="151">
        <f>IF(A194&gt;30,10,('Scénario référence'!$B$16+'Scénario référence'!$B$17+'Scénario référence'!$B$18+'Scénario référence'!$B$9+'Scénario référence'!$B$10)*A194*10/30+('Scénario référence'!$F$8+'Scénario référence'!$F$9)*10)</f>
        <v>10</v>
      </c>
      <c r="EG194" s="151" t="str">
        <f>VLOOKUP(A194,'Données projet'!$A$191:$I$211,2,0)</f>
        <v>#N/A</v>
      </c>
      <c r="EH194" s="151" t="str">
        <f>VLOOKUP(A194,'Données projet'!$A$191:$I$211,9,0)</f>
        <v>#N/A</v>
      </c>
      <c r="EI194" s="151" t="str">
        <f t="array" ref="EI194">INDEX(EH:EH,MIN(IF(ISNUMBER(EH194:EH390),ROW(EH194:EH390),"")))</f>
        <v/>
      </c>
      <c r="EJ194" s="151">
        <f>IF('Données projet'!$A$192&gt;35,EJ193+EI194-ER193,IF(A194&lt;'Données projet'!$A$192,$EG$205^A194,IF(A194='Données projet'!$A$192,'Données projet'!$B$192,EJ193+EI194-ER193)))</f>
        <v>0</v>
      </c>
      <c r="EK194" s="158" t="str">
        <f>EJ194*VLOOKUP('Données projet'!$B$15,'Paramètres'!$A$1:$I$88,3,0)*VLOOKUP('Données projet'!$B$15,'Paramètres'!$A$1:$I$88,5,0)</f>
        <v>#N/A</v>
      </c>
      <c r="EL194" s="150" t="str">
        <f t="shared" si="46"/>
        <v>#N/A</v>
      </c>
      <c r="EM194" s="161" t="str">
        <f t="shared" si="20"/>
        <v>#N/A</v>
      </c>
      <c r="EN194" s="153" t="str">
        <f t="shared" si="21"/>
        <v>#N/A</v>
      </c>
      <c r="EO194" s="153" t="str">
        <f>AVERAGE(OFFSET($EN$3,0,0,'Données projet'!$E$15+1,1))-AVERAGE(OFFSET($H$3,0,0,'Données projet'!$E$15+1,1))</f>
        <v>#N/A</v>
      </c>
      <c r="EP194" s="153" t="str">
        <f t="shared" si="47"/>
        <v>#N/A</v>
      </c>
      <c r="EQ194" s="154">
        <f>IF(ISNA(VLOOKUP(A194,'Données projet'!$A$191:$I$211,3,0)),0,VLOOKUP(A194,'Données projet'!$A$191:$I$211,3,0))</f>
        <v>0</v>
      </c>
      <c r="ER194" s="154">
        <f>IF(ISNA(VLOOKUP(A194,'Données projet'!$A$191:$I$211,4,0)),0,VLOOKUP(A194,'Données projet'!$A$191:$I$211,4,0))</f>
        <v>0</v>
      </c>
      <c r="ES194" s="155">
        <f>IF(ISNA(VLOOKUP(A194,'Données projet'!$A$191:$I$211,5,0)),0%,VLOOKUP(A194,'Données projet'!$A$191:$I$211,5,0)*VLOOKUP('Données projet'!$B$15,'Paramètres'!$A$1:$I$88,7,0))</f>
        <v>0</v>
      </c>
      <c r="ET194" s="155">
        <f>IF(ISNA(VLOOKUP(A194,'Données projet'!$A$191:$I$211,6,0)),0%,VLOOKUP(A194,'Données projet'!$A$191:$I$211,6,0)*VLOOKUP('Données projet'!$B$15,'Paramètres'!$A$1:$I$88,7,0))</f>
        <v>0</v>
      </c>
      <c r="EU194" s="155">
        <f>IF(ISNA(VLOOKUP(A194,'Données projet'!$A$191:$I$211,7,0)),0%,VLOOKUP(A194,'Données projet'!$A$191:$I$211,7,0))</f>
        <v>0</v>
      </c>
      <c r="EV194" s="162" t="str">
        <f>EXP(-LN(2)/35)*EV193+(1-EXP(-LN(2)/35))/(LN(2)/35)*ER194*ES194*VLOOKUP('Données projet'!$B$15,'Paramètres'!$A$1:$I$88,3,0)*0.475*44/12</f>
        <v>#N/A</v>
      </c>
      <c r="EW194" s="162" t="str">
        <f>EXP(-LN(2)/25)*EW193+(1-EXP(-LN(2)/25))/(LN(2)/25)*Calculateur!ER194*Calculateur!ET194*VLOOKUP('Données projet'!$B$15,'Paramètres'!$A$1:$I$88,3,0)*0.475*44/12</f>
        <v>#N/A</v>
      </c>
      <c r="EX194" s="162" t="str">
        <f>EXP(-LN(2)/2)*EX193+(1-EXP(-LN(2)/2))/(LN(2)/2)*ER194*EU194*VLOOKUP('Données projet'!$B$15,'Paramètres'!$A$1:$I$88,3,0)*0.475*44/12</f>
        <v>#N/A</v>
      </c>
      <c r="EY194" s="163" t="str">
        <f t="shared" si="22"/>
        <v>#N/A</v>
      </c>
      <c r="EZ194" s="159">
        <f>('Scénario référence'!$F$8+'Scénario référence'!$F$9+'Scénario référence'!$B$17+'Scénario référence'!$B$9+'Scénario référence'!$B$10)*70+IF((45+25*(1-EXP(-0.0175*A194)))&lt;70,'Scénario référence'!$B$16*(45+25*(1-EXP(-0.0175*A194))),70*'Scénario référence'!$B$16)+IF((32+38*(1-EXP(-0.0175*A194)))&lt;70,'Scénario référence'!$B$18*(32+38*(1-EXP(-0.0175*A194))),70*'Scénario référence'!$B$18)</f>
        <v>70</v>
      </c>
      <c r="FA194" s="151">
        <f>IF(A194&gt;30,10,('Scénario référence'!$B$16+'Scénario référence'!$B$17+'Scénario référence'!$B$18+'Scénario référence'!$B$9+'Scénario référence'!$B$10)*A194*10/30+('Scénario référence'!$F$8+'Scénario référence'!$F$9)*10)</f>
        <v>10</v>
      </c>
      <c r="FB194" s="151" t="str">
        <f>VLOOKUP(A194,'Données projet'!$A$217:$I$237,2,0)</f>
        <v>#N/A</v>
      </c>
      <c r="FC194" s="151" t="str">
        <f>VLOOKUP(A194,'Données projet'!$A$217:$I$237,9,0)</f>
        <v>#N/A</v>
      </c>
      <c r="FD194" s="151" t="str">
        <f t="array" ref="FD194">INDEX(FC:FC,MIN(IF(ISNUMBER(FC194:FC390),ROW(FC194:FC390),"")))</f>
        <v/>
      </c>
      <c r="FE194" s="151">
        <f>IF('Données projet'!$A$218&gt;35,FE193+FD194-FM193,IF(A194&lt;'Données projet'!$A$218,$FB$205^A194,IF(A194='Données projet'!$A$218,'Données projet'!$B$218,FE193+FD194-FM193)))</f>
        <v>0</v>
      </c>
      <c r="FF194" s="158" t="str">
        <f>FE194*VLOOKUP('Données projet'!$B$16,'Paramètres'!$A$1:$I$88,3,0)*VLOOKUP('Données projet'!$B$16,'Paramètres'!$A$1:$I$88,5,0)</f>
        <v>#N/A</v>
      </c>
      <c r="FG194" s="150" t="str">
        <f t="shared" si="48"/>
        <v>#N/A</v>
      </c>
      <c r="FH194" s="161" t="str">
        <f t="shared" si="23"/>
        <v>#N/A</v>
      </c>
      <c r="FI194" s="153" t="str">
        <f t="shared" si="24"/>
        <v>#N/A</v>
      </c>
      <c r="FJ194" s="153" t="str">
        <f>AVERAGE(OFFSET($FI$3,0,0,'Données projet'!$E$16+1,1))-AVERAGE(OFFSET($H$3,0,0,'Données projet'!$E$16+1,1))</f>
        <v>#N/A</v>
      </c>
      <c r="FK194" s="153" t="str">
        <f t="shared" si="49"/>
        <v>#N/A</v>
      </c>
      <c r="FL194" s="154">
        <f>IF(ISNA(VLOOKUP(A194,'Données projet'!$A$217:$I$237,3,0)),0,VLOOKUP(A194,'Données projet'!$A$217:$I$237,3,0))</f>
        <v>0</v>
      </c>
      <c r="FM194" s="154">
        <f>IF(ISNA(VLOOKUP(A194,'Données projet'!$A$217:$I$237,4,0)),0,VLOOKUP(A194,'Données projet'!$A$217:$I$237,4,0))</f>
        <v>0</v>
      </c>
      <c r="FN194" s="155">
        <f>IF(ISNA(VLOOKUP(A194,'Données projet'!$A$217:$I$237,5,0)),0%,VLOOKUP(A194,'Données projet'!$A$217:$I$237,5,0)*VLOOKUP('Données projet'!$B$16,'Paramètres'!$A$1:$I$88,7,0))</f>
        <v>0</v>
      </c>
      <c r="FO194" s="155">
        <f>IF(ISNA(VLOOKUP(A194,'Données projet'!$A$217:$I$237,6,0)),0%,VLOOKUP(A194,'Données projet'!$A$217:$I$237,6,0)*VLOOKUP('Données projet'!$B$16,'Paramètres'!$A$1:$I$88,7,0))</f>
        <v>0</v>
      </c>
      <c r="FP194" s="155">
        <f>IF(ISNA(VLOOKUP(A194,'Données projet'!$A$217:$I$237,7,0)),0%,VLOOKUP(A194,'Données projet'!$A$217:$I$237,7,0))</f>
        <v>0</v>
      </c>
      <c r="FQ194" s="162" t="str">
        <f>EXP(-LN(2)/35)*FQ193+(1-EXP(-LN(2)/35))/(LN(2)/35)*FM194*FN194*VLOOKUP('Données projet'!$B$16,'Paramètres'!$A$1:$I$88,3,0)*0.475*44/12</f>
        <v>#N/A</v>
      </c>
      <c r="FR194" s="162" t="str">
        <f>EXP(-LN(2)/25)*FR193+(1-EXP(-LN(2)/25))/(LN(2)/25)*Calculateur!FM194*Calculateur!FO194*VLOOKUP('Données projet'!$B$16,'Paramètres'!$A$1:$I$88,3,0)*0.475*44/12</f>
        <v>#N/A</v>
      </c>
      <c r="FS194" s="162" t="str">
        <f>EXP(-LN(2)/2)*FS193+(1-EXP(-LN(2)/2))/(LN(2)/2)*FM194*FP194*VLOOKUP('Données projet'!$B$16,'Paramètres'!$A$1:$I$88,3,0)*0.475*44/12</f>
        <v>#N/A</v>
      </c>
      <c r="FT194" s="163" t="str">
        <f t="shared" si="25"/>
        <v>#N/A</v>
      </c>
      <c r="FU194" s="159">
        <f>('Scénario référence'!$F$8+'Scénario référence'!$F$9+'Scénario référence'!$B$17+'Scénario référence'!$B$9+'Scénario référence'!$B$10)*70+IF((45+25*(1-EXP(-0.0175*A194)))&lt;70,'Scénario référence'!$B$16*(45+25*(1-EXP(-0.0175*A194))),70*'Scénario référence'!$B$16)+IF((32+38*(1-EXP(-0.0175*A194)))&lt;70,'Scénario référence'!$B$18*(32+38*(1-EXP(-0.0175*A194))),70*'Scénario référence'!$B$18)</f>
        <v>70</v>
      </c>
      <c r="FV194" s="151">
        <f>IF(A194&gt;30,10,('Scénario référence'!$B$16+'Scénario référence'!$B$17+'Scénario référence'!$B$18+'Scénario référence'!$B$9+'Scénario référence'!$B$10)*A194*10/30+('Scénario référence'!$F$8+'Scénario référence'!$F$9)*10)</f>
        <v>10</v>
      </c>
      <c r="FW194" s="151" t="str">
        <f>VLOOKUP(A194,'Données projet'!$A$243:$I$263,2,0)</f>
        <v>#N/A</v>
      </c>
      <c r="FX194" s="151" t="str">
        <f>VLOOKUP(A194,'Données projet'!$A$243:$I$263,9,0)</f>
        <v>#N/A</v>
      </c>
      <c r="FY194" s="151" t="str">
        <f t="array" ref="FY194">INDEX(FX:FX,MIN(IF(ISNUMBER(FX194:FX390),ROW(FX194:FX390),"")))</f>
        <v/>
      </c>
      <c r="FZ194" s="151">
        <f>IF('Données projet'!$A$244&gt;35,FZ193+FY194-GH193,IF(A194&lt;'Données projet'!$A$244,$FW$205^A194,IF(A194='Données projet'!$A$244,'Données projet'!$B$244,FZ193+FY194-GH193)))</f>
        <v>0</v>
      </c>
      <c r="GA194" s="158" t="str">
        <f>FZ194*VLOOKUP('Données projet'!$B$17,'Paramètres'!$A$1:$I$88,3,0)*VLOOKUP('Données projet'!$B$17,'Paramètres'!$A$1:$I$88,5,0)</f>
        <v>#N/A</v>
      </c>
      <c r="GB194" s="150" t="str">
        <f t="shared" si="50"/>
        <v>#N/A</v>
      </c>
      <c r="GC194" s="161" t="str">
        <f t="shared" si="26"/>
        <v>#N/A</v>
      </c>
      <c r="GD194" s="153" t="str">
        <f t="shared" si="27"/>
        <v>#N/A</v>
      </c>
      <c r="GE194" s="153" t="str">
        <f>AVERAGE(OFFSET($GD$3,0,0,'Données projet'!$E$17+1,1))-AVERAGE(OFFSET($H$3,0,0,'Données projet'!$E$17+1,1))</f>
        <v>#N/A</v>
      </c>
      <c r="GF194" s="153" t="str">
        <f t="shared" si="51"/>
        <v>#N/A</v>
      </c>
      <c r="GG194" s="154">
        <f>IF(ISNA(VLOOKUP(A194,'Données projet'!$A$243:$I$263,3,0)),0,VLOOKUP(A194,'Données projet'!$A$243:$I$263,3,0))</f>
        <v>0</v>
      </c>
      <c r="GH194" s="154">
        <f>IF(ISNA(VLOOKUP(A194,'Données projet'!$A$243:$I$263,4,0)),0,VLOOKUP(A194,'Données projet'!$A$243:$I$263,4,0))</f>
        <v>0</v>
      </c>
      <c r="GI194" s="155">
        <f>IF(ISNA(VLOOKUP(A194,'Données projet'!$A$243:$I$263,5,0)),0%,VLOOKUP(A194,'Données projet'!$A$243:$I$263,5,0)*VLOOKUP('Données projet'!$B$17,'Paramètres'!$A$1:$I$88,7,0))</f>
        <v>0</v>
      </c>
      <c r="GJ194" s="155">
        <f>IF(ISNA(VLOOKUP(A194,'Données projet'!$A$243:$I$263,6,0)),0%,VLOOKUP(A194,'Données projet'!$A$243:$I$263,6,0)*VLOOKUP('Données projet'!$B$17,'Paramètres'!$A$1:$I$88,7,0))</f>
        <v>0</v>
      </c>
      <c r="GK194" s="155">
        <f>IF(ISNA(VLOOKUP(A194,'Données projet'!$A$243:$I$263,7,0)),0%,VLOOKUP(A194,'Données projet'!$A$243:$I$263,7,0))</f>
        <v>0</v>
      </c>
      <c r="GL194" s="162" t="str">
        <f>EXP(-LN(2)/35)*GL193+(1-EXP(-LN(2)/35))/(LN(2)/35)*GH194*GI194*VLOOKUP('Données projet'!$B$17,'Paramètres'!$A$1:$I$88,3,0)*0.475*44/12</f>
        <v>#N/A</v>
      </c>
      <c r="GM194" s="162" t="str">
        <f>EXP(-LN(2)/25)*GM193+(1-EXP(-LN(2)/25))/(LN(2)/25)*Calculateur!GH194*Calculateur!GJ194*VLOOKUP('Données projet'!$B$17,'Paramètres'!$A$1:$I$88,3,0)*0.475*44/12</f>
        <v>#N/A</v>
      </c>
      <c r="GN194" s="162" t="str">
        <f>EXP(-LN(2)/2)*GN193+(1-EXP(-LN(2)/2))/(LN(2)/2)*GH194*GK194*VLOOKUP('Données projet'!$B$17,'Paramètres'!$A$1:$I$88,3,0)*0.475*44/12</f>
        <v>#N/A</v>
      </c>
      <c r="GO194" s="162" t="str">
        <f t="shared" si="28"/>
        <v>#N/A</v>
      </c>
      <c r="GP194" s="159">
        <f>('Scénario référence'!$F$8+'Scénario référence'!$F$9+'Scénario référence'!$B$17+'Scénario référence'!$B$9+'Scénario référence'!$B$10)*70+IF((45+25*(1-EXP(-0.0175*A194)))&lt;70,'Scénario référence'!$B$16*(45+25*(1-EXP(-0.0175*A194))),70*'Scénario référence'!$B$16)+IF((32+38*(1-EXP(-0.0175*A194)))&lt;70,'Scénario référence'!$B$18*(32+38*(1-EXP(-0.0175*A194))),70*'Scénario référence'!$B$18)</f>
        <v>70</v>
      </c>
      <c r="GQ194" s="151">
        <f>IF(A194&gt;30,10,('Scénario référence'!$B$16+'Scénario référence'!$B$17+'Scénario référence'!$B$18+'Scénario référence'!$B$9+'Scénario référence'!$B$10)*A194*10/30+('Scénario référence'!$F$8+'Scénario référence'!$F$9)*10)</f>
        <v>10</v>
      </c>
      <c r="GR194" s="151" t="str">
        <f>VLOOKUP(A194,'Données projet'!$A$269:$I$289,2,0)</f>
        <v>#N/A</v>
      </c>
      <c r="GS194" s="151" t="str">
        <f>VLOOKUP(A194,'Données projet'!$A$269:$I$289,9,0)</f>
        <v>#N/A</v>
      </c>
      <c r="GT194" s="151" t="str">
        <f t="array" ref="GT194">INDEX(GS:GS,MIN(IF(ISNUMBER(GS194:GS390),ROW(GS194:GS390),"")))</f>
        <v/>
      </c>
      <c r="GU194" s="151">
        <f>IF('Données projet'!$A$270&gt;35,GU193+GT194-HC193,IF(A194&lt;'Données projet'!$A$270,$GR$205^A194,IF(A194='Données projet'!$A$270,'Données projet'!$B$270,GU193+GT194-HC193)))</f>
        <v>0</v>
      </c>
      <c r="GV194" s="158" t="str">
        <f>GU194*VLOOKUP('Données projet'!$B$18,'Paramètres'!$A$1:$I$88,3,0)*VLOOKUP('Données projet'!$B$18,'Paramètres'!$A$1:$I$88,5,0)</f>
        <v>#N/A</v>
      </c>
      <c r="GW194" s="150" t="str">
        <f t="shared" si="52"/>
        <v>#N/A</v>
      </c>
      <c r="GX194" s="161" t="str">
        <f t="shared" si="29"/>
        <v>#N/A</v>
      </c>
      <c r="GY194" s="153" t="str">
        <f t="shared" si="30"/>
        <v>#N/A</v>
      </c>
      <c r="GZ194" s="153" t="str">
        <f>AVERAGE(OFFSET($GY$3,0,0,'Données projet'!$E$18+1,1))-AVERAGE(OFFSET($H$3,0,0,'Données projet'!$E$18+1,1))</f>
        <v>#N/A</v>
      </c>
      <c r="HA194" s="153" t="str">
        <f t="shared" si="53"/>
        <v>#N/A</v>
      </c>
      <c r="HB194" s="154">
        <f>IF(ISNA(VLOOKUP(A194,'Données projet'!$A$269:$I$289,3,0)),0,VLOOKUP(A194,'Données projet'!$A$269:$I$289,3,0))</f>
        <v>0</v>
      </c>
      <c r="HC194" s="154">
        <f>IF(ISNA(VLOOKUP(A194,'Données projet'!$A$269:$I$289,4,0)),0,VLOOKUP(A194,'Données projet'!$A$269:$I$289,4,0))</f>
        <v>0</v>
      </c>
      <c r="HD194" s="155">
        <f>IF(ISNA(VLOOKUP(A194,'Données projet'!$A$269:$I$289,5,0)),0%,VLOOKUP(A194,'Données projet'!$A$269:$I$289,5,0)*VLOOKUP('Données projet'!$B$18,'Paramètres'!$A$1:$I$88,7,0))</f>
        <v>0</v>
      </c>
      <c r="HE194" s="155">
        <f>IF(ISNA(VLOOKUP(A194,'Données projet'!$A$269:$I$289,6,0)),0%,VLOOKUP(A194,'Données projet'!$A$269:$I$289,6,0)*VLOOKUP('Données projet'!$B$18,'Paramètres'!$A$1:$I$88,7,0))</f>
        <v>0</v>
      </c>
      <c r="HF194" s="155">
        <f>IF(ISNA(VLOOKUP(A194,'Données projet'!$A$269:$I$289,7,0)),0%,VLOOKUP(A194,'Données projet'!$A$269:$I$289,7,0))</f>
        <v>0</v>
      </c>
      <c r="HG194" s="162" t="str">
        <f>EXP(-LN(2)/35)*HG193+(1-EXP(-LN(2)/35))/(LN(2)/35)*HC194*HD194*VLOOKUP('Données projet'!$B$18,'Paramètres'!$A$1:$I$88,3,0)*0.475*44/12</f>
        <v>#N/A</v>
      </c>
      <c r="HH194" s="162" t="str">
        <f>EXP(-LN(2)/25)*HH193+(1-EXP(-LN(2)/25))/(LN(2)/25)*Calculateur!HC194*Calculateur!HE194*VLOOKUP('Données projet'!$B$18,'Paramètres'!$A$1:$I$88,3,0)*0.475*44/12</f>
        <v>#N/A</v>
      </c>
      <c r="HI194" s="162" t="str">
        <f>EXP(-LN(2)/2)*HI193+(1-EXP(-LN(2)/2))/(LN(2)/2)*HC194*HF194*VLOOKUP('Données projet'!$B$18,'Paramètres'!$A$1:$I$88,3,0)*0.475*44/12</f>
        <v>#N/A</v>
      </c>
      <c r="HJ194" s="163" t="str">
        <f t="shared" si="31"/>
        <v>#N/A</v>
      </c>
    </row>
    <row r="195" ht="15.75" customHeight="1">
      <c r="A195" s="145">
        <f t="shared" si="32"/>
        <v>192</v>
      </c>
      <c r="B195" s="146">
        <f>'Scénario référence'!$B$16*5+'Scénario référence'!$B$17*0+'Scénario référence'!$B$18*5</f>
        <v>0</v>
      </c>
      <c r="C195" s="160">
        <f>Calculateur!C194+'Scénario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95" s="147">
        <f t="shared" si="33"/>
        <v>0</v>
      </c>
      <c r="E195" s="147">
        <f>'Scénario référence'!$B$16*45+('Scénario référence'!$B$17+'Scénario référence'!$F$8+'Scénario référence'!$F$9+'Scénario référence'!$B$10+'Scénario référence'!$B$9)*70+'Scénario référence'!$B$18*32</f>
        <v>70</v>
      </c>
      <c r="F195" s="147">
        <f>IF(OR('Scénario référence'!$F$8&gt;0,'Scénario référence'!$F$9&gt;0),('Scénario référence'!$F$8+'Scénario référence'!$F$9)*10,0)</f>
        <v>0</v>
      </c>
      <c r="G195" s="147">
        <f>'Scénario référence'!$B$8*B195*44/12+'Scénario référence'!$B$9*(C195+D195)/0.475*44/12+'Scénario référence'!$B$10*(C195+D195)/0.475*44/12+'Scénario référence'!$F$8*(C195+D195)/0.475*44/12+'Scénario référence'!$F$9*(C195+D195)/0.475*44/12</f>
        <v>0</v>
      </c>
      <c r="H195" s="148">
        <f t="shared" si="1"/>
        <v>256.6666667</v>
      </c>
      <c r="I195" s="149">
        <f>('Scénario référence'!$F$8+'Scénario référence'!$F$9+'Scénario référence'!$B$17+'Scénario référence'!$B$9+'Scénario référence'!$B$10)*70+IF((45+25*(1-EXP(-0.0175*A195)))&lt;70,'Scénario référence'!$B$16*(45+25*(1-EXP(-0.0175*A195))),70*'Scénario référence'!$B$16)+IF((32+38*(1-EXP(-0.0175*A195)))&lt;70,'Scénario référence'!$B$18*(32+38*(1-EXP(-0.0175*A195))),70*'Scénario référence'!$B$18)</f>
        <v>70</v>
      </c>
      <c r="J195" s="150">
        <f>IF(A195&gt;30,10,('Scénario référence'!$B$16+'Scénario référence'!$B$17+'Scénario référence'!$B$18+'Scénario référence'!$B$9+'Scénario référence'!$B$10)*A195*10/30+('Scénario référence'!$F$8+'Scénario référence'!$F$9)*10)</f>
        <v>10</v>
      </c>
      <c r="K195" s="151" t="str">
        <f>VLOOKUP(A195,'Données projet'!$A$35:$I$55,2,0)</f>
        <v>#N/A</v>
      </c>
      <c r="L195" s="151" t="str">
        <f>VLOOKUP(A195,'Données projet'!$A$35:$I$55,9,0)</f>
        <v>#N/A</v>
      </c>
      <c r="M195" s="151" t="str">
        <f t="array" ref="M195">INDEX(L:L,MIN(IF(ISNUMBER(L195:L391),ROW(L195:L391),"")))</f>
        <v/>
      </c>
      <c r="N195" s="150">
        <f>IF('Données projet'!$A$36&gt;35,N194+M195-V194,IF(A195&lt;'Données projet'!$A$36,$K$205^A195,IF(A195='Données projet'!$A$36,'Données projet'!$B$36,N194+M195-V194)))</f>
        <v>307</v>
      </c>
      <c r="O195" s="150">
        <f>N195*VLOOKUP('Données projet'!$B$9,'Paramètres'!$A$1:$I$88,3,0)*VLOOKUP('Données projet'!$B$9,'Paramètres'!$A$1:$I$88,5,0)</f>
        <v>277.7736</v>
      </c>
      <c r="P195" s="150">
        <f t="shared" si="34"/>
        <v>66.49628818</v>
      </c>
      <c r="Q195" s="161">
        <f t="shared" si="2"/>
        <v>599.6033886</v>
      </c>
      <c r="R195" s="153">
        <f t="shared" si="3"/>
        <v>892.9367219</v>
      </c>
      <c r="S195" s="153">
        <f>AVERAGE(OFFSET($R$3,0,0,'Données projet'!$E$9+1,1))-AVERAGE(OFFSET($H$3,0,0,'Données projet'!$E$9+1,1))</f>
        <v>439.1985427</v>
      </c>
      <c r="T195" s="153">
        <f t="shared" si="35"/>
        <v>278.2174123</v>
      </c>
      <c r="U195" s="154">
        <f>IF(ISNA(VLOOKUP(A195,'Données projet'!$A$35:$I$55,3,0)),0,VLOOKUP(A195,'Données projet'!$A$35:$I$55,3,0))</f>
        <v>0</v>
      </c>
      <c r="V195" s="154">
        <f>IF(ISNA(VLOOKUP(A195,'Données projet'!$A$35:$I$55,4,0)),0,VLOOKUP(A195,'Données projet'!$A$35:$I$55,4,0))</f>
        <v>0</v>
      </c>
      <c r="W195" s="155">
        <f>IF(ISNA(VLOOKUP(A195,'Données projet'!$A$35:$I$55,5,0)),0%,VLOOKUP(A195,'Données projet'!$A$35:$I$55,5,0)*VLOOKUP('Données projet'!$B$9,'Paramètres'!$A$1:$I$88,7,0))</f>
        <v>0</v>
      </c>
      <c r="X195" s="155">
        <f>IF(ISNA(VLOOKUP(A195,'Données projet'!$A$35:$I$55,6,0)),0%,VLOOKUP(A195,'Données projet'!$A$35:$I$55,6,0)*VLOOKUP('Données projet'!$B$9,'Paramètres'!$A$1:$I$88,7,0))</f>
        <v>0</v>
      </c>
      <c r="Y195" s="155">
        <f>IF(ISNA(VLOOKUP(A195,'Données projet'!$A$35:$I$55,7,0)),0%,VLOOKUP(A195,'Données projet'!$A$35:$I$55,7,0))</f>
        <v>0</v>
      </c>
      <c r="Z195" s="162">
        <f>EXP(-LN(2)/35)*Z194+(1-EXP(-LN(2)/35))/(LN(2)/35)*V195*W195*VLOOKUP('Données projet'!$B$9,'Paramètres'!$A$1:$I$88,3,0)*0.475*44/12</f>
        <v>0</v>
      </c>
      <c r="AA195" s="162">
        <f>EXP(-LN(2)/25)*AA194+(1-EXP(-LN(2)/25))/(LN(2)/25)*Calculateur!V195*Calculateur!X195*VLOOKUP('Données projet'!$B$9,'Paramètres'!$A$1:$I$88,3,0)*0.475*44/12</f>
        <v>0.05027335942</v>
      </c>
      <c r="AB195" s="162">
        <f>EXP(-LN(2)/2)*AB194+(1-EXP(-LN(2)/2))/(LN(2)/2)*V195*Y195*VLOOKUP('Données projet'!$B$9,'Paramètres'!$A$1:$I$88,3,0)*0.475*44/12</f>
        <v>0</v>
      </c>
      <c r="AC195" s="163">
        <f t="shared" si="4"/>
        <v>0.05027335942</v>
      </c>
      <c r="AD195" s="150">
        <f>('Scénario référence'!$F$8+'Scénario référence'!$F$9+'Scénario référence'!$B$17+'Scénario référence'!$B$9+'Scénario référence'!$B$10)*70+IF((45+25*(1-EXP(-0.0175*A195)))&lt;70,'Scénario référence'!$B$16*(45+25*(1-EXP(-0.0175*A195))),70*'Scénario référence'!$B$16)+IF((32+38*(1-EXP(-0.0175*A195)))&lt;70,'Scénario référence'!$B$18*(32+38*(1-EXP(-0.0175*A195))),70*'Scénario référence'!$B$18)</f>
        <v>70</v>
      </c>
      <c r="AE195" s="150">
        <f>IF(A195&gt;30,10,('Scénario référence'!$B$16+'Scénario référence'!$B$17+'Scénario référence'!$B$18+'Scénario référence'!$B$9+'Scénario référence'!$B$10)*A195*10/30+('Scénario référence'!$F$8+'Scénario référence'!$F$9)*10)</f>
        <v>10</v>
      </c>
      <c r="AF195" s="151" t="str">
        <f>VLOOKUP(A195,'Données projet'!$A$61:$I$81,2,0)</f>
        <v>#N/A</v>
      </c>
      <c r="AG195" s="151" t="str">
        <f>VLOOKUP(A195,'Données projet'!$A$61:$I$81,9,0)</f>
        <v>#N/A</v>
      </c>
      <c r="AH195" s="151" t="str">
        <f t="array" ref="AH195">INDEX(AG:AG,MIN(IF(ISNUMBER(AG195:AG391),ROW(AG195:AG391),"")))</f>
        <v/>
      </c>
      <c r="AI195" s="150">
        <f>IF('Données projet'!$A$62&gt;35,AI194+AH195-AQ194,IF(A195&lt;'Données projet'!$A$62,$AF$205^A195,IF(A195='Données projet'!$A$62,'Données projet'!$B$62,AI194+AH195-AQ194)))</f>
        <v>369</v>
      </c>
      <c r="AJ195" s="150">
        <f>AI195*VLOOKUP('Données projet'!$B$10,'Paramètres'!$A$1:$I$88,3,0)*VLOOKUP('Données projet'!$B$10,'Paramètres'!$A$1:$I$88,5,0)</f>
        <v>293.5764</v>
      </c>
      <c r="AK195" s="150">
        <f t="shared" si="36"/>
        <v>69.82813851</v>
      </c>
      <c r="AL195" s="161">
        <f t="shared" si="5"/>
        <v>632.9295712</v>
      </c>
      <c r="AM195" s="153">
        <f t="shared" si="6"/>
        <v>926.2629046</v>
      </c>
      <c r="AN195" s="153">
        <f>AVERAGE(OFFSET($AM$3,0,0,'Données projet'!$E$10+1,1))-AVERAGE(OFFSET($H$3,0,0,'Données projet'!$E$10+1,1))</f>
        <v>405.6113614</v>
      </c>
      <c r="AO195" s="153">
        <f t="shared" si="37"/>
        <v>393.0787141</v>
      </c>
      <c r="AP195" s="154">
        <f>IF(ISNA(VLOOKUP(A195,'Données projet'!$A$61:$I$81,3,0)),0,VLOOKUP(A195,'Données projet'!$A$61:$I$81,3,0))</f>
        <v>0</v>
      </c>
      <c r="AQ195" s="154">
        <f>IF(ISNA(VLOOKUP(A195,'Données projet'!$A$61:$I$81,4,0)),0,VLOOKUP(A195,'Données projet'!$A$61:$I$81,4,0))</f>
        <v>0</v>
      </c>
      <c r="AR195" s="155">
        <f>IF(ISNA(VLOOKUP(A195,'Données projet'!$A$61:$I$81,5,0)),0%,VLOOKUP(A195,'Données projet'!$A$61:$I$81,5,0)*VLOOKUP('Données projet'!$B$10,'Paramètres'!$A$1:$I$88,7,0))</f>
        <v>0</v>
      </c>
      <c r="AS195" s="155">
        <f>IF(ISNA(VLOOKUP(A195,'Données projet'!$A$61:$I$81,6,0)),0%,VLOOKUP(A195,'Données projet'!$A$61:$I$81,6,0)*VLOOKUP('Données projet'!$B$10,'Paramètres'!$A$1:$I$88,7,0))</f>
        <v>0</v>
      </c>
      <c r="AT195" s="155">
        <f>IF(ISNA(VLOOKUP(A195,'Données projet'!$A$61:$I$81,7,0)),0%,VLOOKUP(A195,'Données projet'!$A$61:$I$81,7,0))</f>
        <v>0</v>
      </c>
      <c r="AU195" s="162">
        <f>EXP(-LN(2)/35)*AU194+(1-EXP(-LN(2)/35))/(LN(2)/35)*AQ195*AR195*VLOOKUP('Données projet'!$B$10,'Paramètres'!$A$1:$I$88,3,0)*0.475*44/12</f>
        <v>0</v>
      </c>
      <c r="AV195" s="162">
        <f>EXP(-LN(2)/25)*AV194+(1-EXP(-LN(2)/25))/(LN(2)/25)*Calculateur!AQ195*Calculateur!AS195*VLOOKUP('Données projet'!$B$10,'Paramètres'!$A$1:$I$88,3,0)*0.475*44/12</f>
        <v>0.2043237127</v>
      </c>
      <c r="AW195" s="162">
        <f>EXP(-LN(2)/2)*AW194+(1-EXP(-LN(2)/2))/(LN(2)/2)*AQ195*AT195*VLOOKUP('Données projet'!$B$10,'Paramètres'!$A$1:$I$88,3,0)*0.475*44/12</f>
        <v>0</v>
      </c>
      <c r="AX195" s="162">
        <f t="shared" si="7"/>
        <v>0.2043237127</v>
      </c>
      <c r="AY195" s="157">
        <f>('Scénario référence'!$F$8+'Scénario référence'!$F$9+'Scénario référence'!$B$17+'Scénario référence'!$B$9+'Scénario référence'!$B$10)*70+IF((45+25*(1-EXP(-0.0175*A195)))&lt;70,'Scénario référence'!$B$16*(45+25*(1-EXP(-0.0175*A195))),70*'Scénario référence'!$B$16)+IF((32+38*(1-EXP(-0.0175*A195)))&lt;70,'Scénario référence'!$B$18*(32+38*(1-EXP(-0.0175*A195))),70*'Scénario référence'!$B$18)</f>
        <v>70</v>
      </c>
      <c r="AZ195" s="151">
        <f>IF(A195&gt;30,10,('Scénario référence'!$B$16+'Scénario référence'!$B$17+'Scénario référence'!$B$18+'Scénario référence'!$B$9+'Scénario référence'!$B$10)*A195*10/30+('Scénario référence'!$F$8+'Scénario référence'!$F$9)*10)</f>
        <v>10</v>
      </c>
      <c r="BA195" s="151" t="str">
        <f>VLOOKUP(A195,'Données projet'!$A$87:$I$107,2,0)</f>
        <v>#N/A</v>
      </c>
      <c r="BB195" s="151" t="str">
        <f>VLOOKUP(A195,'Données projet'!$A$87:$I$107,9,0)</f>
        <v>#N/A</v>
      </c>
      <c r="BC195" s="151" t="str">
        <f t="array" ref="BC195">INDEX(BB:BB,MIN(IF(ISNUMBER(BB195:BB391),ROW(BB195:BB391),"")))</f>
        <v/>
      </c>
      <c r="BD195" s="150">
        <f>IF('Données projet'!$A$88&gt;35,BD194+BC195-BL194,IF(A195&lt;'Données projet'!$A$88,$BA$205^A195,IF(A195='Données projet'!$A$88,'Données projet'!$B$88,BD194+BC195-BL194)))</f>
        <v>0</v>
      </c>
      <c r="BE195" s="150">
        <f>BD195*VLOOKUP('Données projet'!$B$11,'Paramètres'!$A$1:$I$88,3,0)*VLOOKUP('Données projet'!$B$11,'Paramètres'!$A$1:$I$88,5,0)</f>
        <v>0</v>
      </c>
      <c r="BF195" s="150" t="str">
        <f t="shared" si="38"/>
        <v>#NUM!</v>
      </c>
      <c r="BG195" s="161" t="str">
        <f t="shared" si="8"/>
        <v>#NUM!</v>
      </c>
      <c r="BH195" s="153" t="str">
        <f t="shared" si="9"/>
        <v>#NUM!</v>
      </c>
      <c r="BI195" s="153">
        <f>AVERAGE(OFFSET($BH$3,0,0,'Données projet'!$E$11+1,1))-AVERAGE(OFFSET($H$3,0,0,'Données projet'!$E$11+1,1))</f>
        <v>0</v>
      </c>
      <c r="BJ195" s="153">
        <f t="shared" si="39"/>
        <v>0</v>
      </c>
      <c r="BK195" s="154">
        <f>IF(ISNA(VLOOKUP(A195,'Données projet'!$A$87:$I$107,3,0)),0,VLOOKUP(A195,'Données projet'!$A$87:$I$107,3,0))</f>
        <v>0</v>
      </c>
      <c r="BL195" s="154">
        <f>IF(ISNA(VLOOKUP(A195,'Données projet'!$A$87:$I$107,4,0)),0,VLOOKUP(A195,'Données projet'!$A$87:$I$107,4,0))</f>
        <v>0</v>
      </c>
      <c r="BM195" s="155">
        <f>IF(ISNA(VLOOKUP(A195,'Données projet'!$A$87:$I$107,5,0)),0%,VLOOKUP(A195,'Données projet'!$A$87:$I$107,5,0)*VLOOKUP('Données projet'!$B$11,'Paramètres'!$A$1:$I$88,7,0))</f>
        <v>0</v>
      </c>
      <c r="BN195" s="155">
        <f>IF(ISNA(VLOOKUP(A195,'Données projet'!$A$87:$I$107,6,0)),0%,VLOOKUP(A195,'Données projet'!$A$87:$I$107,6,0)*VLOOKUP('Données projet'!$B$11,'Paramètres'!$A$1:$I$88,7,0))</f>
        <v>0</v>
      </c>
      <c r="BO195" s="155">
        <f>IF(ISNA(VLOOKUP(A195,'Données projet'!$A$87:$I$107,7,0)),0%,VLOOKUP(A195,'Données projet'!$A$87:$I$107,7,0))</f>
        <v>0</v>
      </c>
      <c r="BP195" s="162">
        <f>EXP(-LN(2)/35)*BP194+(1-EXP(-LN(2)/35))/(LN(2)/35)*BL195*BM195*VLOOKUP('Données projet'!$B$11,'Paramètres'!$A$1:$I$88,3,0)*0.475*44/12</f>
        <v>0</v>
      </c>
      <c r="BQ195" s="162">
        <f>EXP(-LN(2)/25)*BQ194+(1-EXP(-LN(2)/25))/(LN(2)/25)*Calculateur!BL195*Calculateur!BN195*VLOOKUP('Données projet'!$B$11,'Paramètres'!$A$1:$I$88,3,0)*0.475*44/12</f>
        <v>0</v>
      </c>
      <c r="BR195" s="162">
        <f>EXP(-LN(2)/2)*BR194+(1-EXP(-LN(2)/2))/(LN(2)/2)*BL195*BO195*VLOOKUP('Données projet'!$B$11,'Paramètres'!$A$1:$I$88,3,0)*0.475*44/12</f>
        <v>0</v>
      </c>
      <c r="BS195" s="163">
        <f t="shared" si="10"/>
        <v>0</v>
      </c>
      <c r="BT195" s="159">
        <f>('Scénario référence'!$F$8+'Scénario référence'!$F$9+'Scénario référence'!$B$17+'Scénario référence'!$B$9+'Scénario référence'!$B$10)*70+IF((45+25*(1-EXP(-0.0175*A195)))&lt;70,'Scénario référence'!$B$16*(45+25*(1-EXP(-0.0175*A195))),70*'Scénario référence'!$B$16)+IF((32+38*(1-EXP(-0.0175*A195)))&lt;70,'Scénario référence'!$B$18*(32+38*(1-EXP(-0.0175*A195))),70*'Scénario référence'!$B$18)</f>
        <v>70</v>
      </c>
      <c r="BU195" s="151">
        <f>IF(A195&gt;30,10,('Scénario référence'!$B$16+'Scénario référence'!$B$17+'Scénario référence'!$B$18+'Scénario référence'!$B$9+'Scénario référence'!$B$10)*A195*10/30+('Scénario référence'!$F$8+'Scénario référence'!$F$9)*10)</f>
        <v>10</v>
      </c>
      <c r="BV195" s="151" t="str">
        <f>VLOOKUP(A195,'Données projet'!$A$113:$I$133,2,0)</f>
        <v>#N/A</v>
      </c>
      <c r="BW195" s="151" t="str">
        <f>VLOOKUP(A195,'Données projet'!$A$113:$I$133,9,0)</f>
        <v>#N/A</v>
      </c>
      <c r="BX195" s="151" t="str">
        <f t="array" ref="BX195">INDEX(BW:BW,MIN(IF(ISNUMBER(BW195:BW391),ROW(BW195:BW391),"")))</f>
        <v/>
      </c>
      <c r="BY195" s="150">
        <f>IF('Données projet'!$A$114&gt;35,BY194+BX195-CG194,IF(A195&lt;'Données projet'!$A$114,$BV$205^A195,IF(A195='Données projet'!$A$114,'Données projet'!$B$114,BY194+BX195-CG194)))</f>
        <v>0</v>
      </c>
      <c r="BZ195" s="150" t="str">
        <f>BY195*VLOOKUP('Données projet'!$B$12,'Paramètres'!$A$1:$I$88,3,0)*VLOOKUP('Données projet'!$B$12,'Paramètres'!$A$1:$I$88,5,0)</f>
        <v>#N/A</v>
      </c>
      <c r="CA195" s="150" t="str">
        <f t="shared" si="40"/>
        <v>#N/A</v>
      </c>
      <c r="CB195" s="161" t="str">
        <f t="shared" si="11"/>
        <v>#N/A</v>
      </c>
      <c r="CC195" s="153" t="str">
        <f t="shared" si="12"/>
        <v>#N/A</v>
      </c>
      <c r="CD195" s="153" t="str">
        <f>AVERAGE(OFFSET($CC$3,0,0,'Données projet'!$E$12+1,1))-AVERAGE(OFFSET($H$3,0,0,'Données projet'!$E$12+1,1))</f>
        <v>#N/A</v>
      </c>
      <c r="CE195" s="153" t="str">
        <f t="shared" si="41"/>
        <v>#N/A</v>
      </c>
      <c r="CF195" s="154">
        <f>IF(ISNA(VLOOKUP(A195,'Données projet'!$A$113:$I$133,3,0)),0,VLOOKUP(A195,'Données projet'!$A$113:$I$133,3,0))</f>
        <v>0</v>
      </c>
      <c r="CG195" s="154">
        <f>IF(ISNA(VLOOKUP(A195,'Données projet'!$A$113:$I$133,4,0)),0,VLOOKUP(A195,'Données projet'!$A$113:$I$133,4,0))</f>
        <v>0</v>
      </c>
      <c r="CH195" s="155">
        <f>IF(ISNA(VLOOKUP(A195,'Données projet'!$A$113:$I$133,5,0)),0%,VLOOKUP(A195,'Données projet'!$A$113:$I$133,5,0)*VLOOKUP('Données projet'!$B$12,'Paramètres'!$A$1:$I$88,7,0))</f>
        <v>0</v>
      </c>
      <c r="CI195" s="155">
        <f>IF(ISNA(VLOOKUP(A195,'Données projet'!$A$113:$I$133,6,0)),0%,VLOOKUP(A195,'Données projet'!$A$113:$I$133,6,0)*VLOOKUP('Données projet'!$B$12,'Paramètres'!$A$1:$I$88,7,0))</f>
        <v>0</v>
      </c>
      <c r="CJ195" s="155">
        <f>IF(ISNA(VLOOKUP(A195,'Données projet'!$A$113:$I$133,7,0)),0%,VLOOKUP(A195,'Données projet'!$A$113:$I$133,7,0))</f>
        <v>0</v>
      </c>
      <c r="CK195" s="162" t="str">
        <f>EXP(-LN(2)/35)*CK194+(1-EXP(-LN(2)/35))/(LN(2)/35)*CG195*CH195*VLOOKUP('Données projet'!$B$12,'Paramètres'!$A$1:$I$88,3,0)*0.475*44/12</f>
        <v>#N/A</v>
      </c>
      <c r="CL195" s="162" t="str">
        <f>EXP(-LN(2)/25)*CL194+(1-EXP(-LN(2)/25))/(LN(2)/25)*Calculateur!CG195*Calculateur!CI195*VLOOKUP('Données projet'!$B$12,'Paramètres'!$A$1:$I$88,3,0)*0.475*44/12</f>
        <v>#N/A</v>
      </c>
      <c r="CM195" s="162" t="str">
        <f>EXP(-LN(2)/2)*CM194+(1-EXP(-LN(2)/2))/(LN(2)/2)*CG195*CJ195*VLOOKUP('Données projet'!$B$12,'Paramètres'!$A$1:$I$88,3,0)*0.475*44/12</f>
        <v>#N/A</v>
      </c>
      <c r="CN195" s="163" t="str">
        <f t="shared" si="13"/>
        <v>#N/A</v>
      </c>
      <c r="CO195" s="159">
        <f>('Scénario référence'!$F$8+'Scénario référence'!$F$9+'Scénario référence'!$B$17+'Scénario référence'!$B$9+'Scénario référence'!$B$10)*70+IF((45+25*(1-EXP(-0.0175*A195)))&lt;70,'Scénario référence'!$B$16*(45+25*(1-EXP(-0.0175*A195))),70*'Scénario référence'!$B$16)+IF((32+38*(1-EXP(-0.0175*A195)))&lt;70,'Scénario référence'!$B$18*(32+38*(1-EXP(-0.0175*A195))),70*'Scénario référence'!$B$18)</f>
        <v>70</v>
      </c>
      <c r="CP195" s="151">
        <f>IF(A195&gt;30,10,('Scénario référence'!$B$16+'Scénario référence'!$B$17+'Scénario référence'!$B$18+'Scénario référence'!$B$9+'Scénario référence'!$B$10)*A195*10/30+('Scénario référence'!$F$8+'Scénario référence'!$F$9)*10)</f>
        <v>10</v>
      </c>
      <c r="CQ195" s="151" t="str">
        <f>VLOOKUP(A195,'Données projet'!$A$139:$I$159,2,0)</f>
        <v>#N/A</v>
      </c>
      <c r="CR195" s="151" t="str">
        <f>VLOOKUP(A195,'Données projet'!$A$139:$I$159,9,0)</f>
        <v>#N/A</v>
      </c>
      <c r="CS195" s="151" t="str">
        <f t="array" ref="CS195">INDEX(CR:CR,MIN(IF(ISNUMBER(CR195:CR391),ROW(CR195:CR391),"")))</f>
        <v/>
      </c>
      <c r="CT195" s="151">
        <f>IF('Données projet'!$A$140&gt;35,CT194+CS195-DB194,IF(A195&lt;'Données projet'!$A$140,$CQ$205^A195,IF(A195='Données projet'!$A$140,'Données projet'!$B$140,CT194+CS195-DB194)))</f>
        <v>0</v>
      </c>
      <c r="CU195" s="158" t="str">
        <f>CT195*VLOOKUP('Données projet'!$B$13,'Paramètres'!$A$1:$I$88,3,0)*VLOOKUP('Données projet'!$B$13,'Paramètres'!$A$1:$I$88,5,0)</f>
        <v>#N/A</v>
      </c>
      <c r="CV195" s="150" t="str">
        <f t="shared" si="42"/>
        <v>#N/A</v>
      </c>
      <c r="CW195" s="161" t="str">
        <f t="shared" si="14"/>
        <v>#N/A</v>
      </c>
      <c r="CX195" s="153" t="str">
        <f t="shared" si="15"/>
        <v>#N/A</v>
      </c>
      <c r="CY195" s="153" t="str">
        <f>AVERAGE(OFFSET($CX$3,0,0,'Données projet'!$E$13+1,1))-AVERAGE(OFFSET($H$3,0,0,'Données projet'!$E$13+1,1))</f>
        <v>#N/A</v>
      </c>
      <c r="CZ195" s="153" t="str">
        <f t="shared" si="43"/>
        <v>#N/A</v>
      </c>
      <c r="DA195" s="154">
        <f>IF(ISNA(VLOOKUP(A195,'Données projet'!$A$139:$I$159,3,0)),0,VLOOKUP(A195,'Données projet'!$A$139:$I$159,3,0))</f>
        <v>0</v>
      </c>
      <c r="DB195" s="154">
        <f>IF(ISNA(VLOOKUP(A195,'Données projet'!$A$139:$I$159,4,0)),0,VLOOKUP(A195,'Données projet'!$A$139:$I$159,4,0))</f>
        <v>0</v>
      </c>
      <c r="DC195" s="155">
        <f>IF(ISNA(VLOOKUP(A195,'Données projet'!$A$139:$I$159,5,0)),0%,VLOOKUP(A195,'Données projet'!$A$139:$I$159,5,0)*VLOOKUP('Données projet'!$B$13,'Paramètres'!$A$1:$I$88,7,0))</f>
        <v>0</v>
      </c>
      <c r="DD195" s="155">
        <f>IF(ISNA(VLOOKUP(A195,'Données projet'!$A$139:$I$159,6,0)),0%,VLOOKUP(A195,'Données projet'!$A$139:$I$159,6,0)*VLOOKUP('Données projet'!$B$13,'Paramètres'!$A$1:$I$88,7,0))</f>
        <v>0</v>
      </c>
      <c r="DE195" s="155">
        <f>IF(ISNA(VLOOKUP(A195,'Données projet'!$A$139:$I$159,7,0)),0%,VLOOKUP(A195,'Données projet'!$A$139:$I$159,7,0))</f>
        <v>0</v>
      </c>
      <c r="DF195" s="162" t="str">
        <f>EXP(-LN(2)/35)*DF194+(1-EXP(-LN(2)/35))/(LN(2)/35)*DB195*DC195*VLOOKUP('Données projet'!$B$13,'Paramètres'!$A$1:$I$88,3,0)*0.475*44/12</f>
        <v>#N/A</v>
      </c>
      <c r="DG195" s="162" t="str">
        <f>EXP(-LN(2)/25)*DG194+(1-EXP(-LN(2)/25))/(LN(2)/25)*Calculateur!DB195*Calculateur!DD195*VLOOKUP('Données projet'!$B$13,'Paramètres'!$A$1:$I$88,3,0)*0.475*44/12</f>
        <v>#N/A</v>
      </c>
      <c r="DH195" s="162" t="str">
        <f>EXP(-LN(2)/2)*DH194+(1-EXP(-LN(2)/2))/(LN(2)/2)*DB195*DE195*VLOOKUP('Données projet'!$B$13,'Paramètres'!$A$1:$I$88,3,0)*0.475*44/12</f>
        <v>#N/A</v>
      </c>
      <c r="DI195" s="163" t="str">
        <f t="shared" si="16"/>
        <v>#N/A</v>
      </c>
      <c r="DJ195" s="159">
        <f>('Scénario référence'!$F$8+'Scénario référence'!$F$9+'Scénario référence'!$B$17+'Scénario référence'!$B$9+'Scénario référence'!$B$10)*70+IF((45+25*(1-EXP(-0.0175*A195)))&lt;70,'Scénario référence'!$B$16*(45+25*(1-EXP(-0.0175*A195))),70*'Scénario référence'!$B$16)+IF((32+38*(1-EXP(-0.0175*A195)))&lt;70,'Scénario référence'!$B$18*(32+38*(1-EXP(-0.0175*A195))),70*'Scénario référence'!$B$18)</f>
        <v>70</v>
      </c>
      <c r="DK195" s="151">
        <f>IF(A195&gt;30,10,('Scénario référence'!$B$16+'Scénario référence'!$B$17+'Scénario référence'!$B$18+'Scénario référence'!$B$9+'Scénario référence'!$B$10)*A195*10/30+('Scénario référence'!$F$8+'Scénario référence'!$F$9)*10)</f>
        <v>10</v>
      </c>
      <c r="DL195" s="151" t="str">
        <f>VLOOKUP(A195,'Données projet'!$A$165:$I$185,2,0)</f>
        <v>#N/A</v>
      </c>
      <c r="DM195" s="151" t="str">
        <f>VLOOKUP(A195,'Données projet'!$A$165:$I$185,9,0)</f>
        <v>#N/A</v>
      </c>
      <c r="DN195" s="151" t="str">
        <f t="array" ref="DN195">INDEX(DM:DM,MIN(IF(ISNUMBER(DM195:DM391),ROW(DM195:DM391),"")))</f>
        <v/>
      </c>
      <c r="DO195" s="151">
        <f>IF('Données projet'!$A$166&gt;35,DO194+DN195-DW194,IF(A195&lt;'Données projet'!$A$166,$DL$205^A195,IF(A195='Données projet'!$A$166,'Données projet'!$B$166,DO194+DN195-DW194)))</f>
        <v>0</v>
      </c>
      <c r="DP195" s="158" t="str">
        <f>DO195*VLOOKUP('Données projet'!$B$14,'Paramètres'!$A$1:$I$88,3,0)*VLOOKUP('Données projet'!$B$14,'Paramètres'!$A$1:$I$88,5,0)</f>
        <v>#N/A</v>
      </c>
      <c r="DQ195" s="150" t="str">
        <f t="shared" si="44"/>
        <v>#N/A</v>
      </c>
      <c r="DR195" s="161" t="str">
        <f t="shared" si="17"/>
        <v>#N/A</v>
      </c>
      <c r="DS195" s="153" t="str">
        <f t="shared" si="18"/>
        <v>#N/A</v>
      </c>
      <c r="DT195" s="153" t="str">
        <f>AVERAGE(OFFSET($DS$3,0,0,'Données projet'!$E$14+1,1))-AVERAGE(OFFSET($H$3,0,0,'Données projet'!$E$14+1,1))</f>
        <v>#N/A</v>
      </c>
      <c r="DU195" s="153" t="str">
        <f t="shared" si="45"/>
        <v>#N/A</v>
      </c>
      <c r="DV195" s="154">
        <f>IF(ISNA(VLOOKUP(A195,'Données projet'!$A$165:$I$185,3,0)),0,VLOOKUP(A195,'Données projet'!$A$165:$I$185,3,0))</f>
        <v>0</v>
      </c>
      <c r="DW195" s="154">
        <f>IF(ISNA(VLOOKUP(A195,'Données projet'!$A$165:$I$185,4,0)),0,VLOOKUP(A195,'Données projet'!$A$165:$I$185,4,0))</f>
        <v>0</v>
      </c>
      <c r="DX195" s="155">
        <f>IF(ISNA(VLOOKUP(A195,'Données projet'!$A$165:$I$185,5,0)),0%,VLOOKUP(A195,'Données projet'!$A$165:$I$185,5,0)*VLOOKUP('Données projet'!$B$14,'Paramètres'!$A$1:$I$88,7,0))</f>
        <v>0</v>
      </c>
      <c r="DY195" s="155">
        <f>IF(ISNA(VLOOKUP(A195,'Données projet'!$A$165:$I$185,6,0)),0%,VLOOKUP(A195,'Données projet'!$A$165:$I$185,6,0)*VLOOKUP('Données projet'!$B$14,'Paramètres'!$A$1:$I$88,7,0))</f>
        <v>0</v>
      </c>
      <c r="DZ195" s="155">
        <f>IF(ISNA(VLOOKUP(A195,'Données projet'!$A$165:$I$185,7,0)),0%,VLOOKUP(A195,'Données projet'!$A$165:$I$185,7,0))</f>
        <v>0</v>
      </c>
      <c r="EA195" s="162" t="str">
        <f>EXP(-LN(2)/35)*EA194+(1-EXP(-LN(2)/35))/(LN(2)/35)*DW195*DX195*VLOOKUP('Données projet'!$B$14,'Paramètres'!$A$1:$I$88,3,0)*0.475*44/12</f>
        <v>#N/A</v>
      </c>
      <c r="EB195" s="162" t="str">
        <f>EXP(-LN(2)/25)*EB194+(1-EXP(-LN(2)/25))/(LN(2)/25)*Calculateur!DW195*Calculateur!DY195*VLOOKUP('Données projet'!$B$14,'Paramètres'!$A$1:$I$88,3,0)*0.475*44/12</f>
        <v>#N/A</v>
      </c>
      <c r="EC195" s="162" t="str">
        <f>EXP(-LN(2)/2)*EC194+(1-EXP(-LN(2)/2))/(LN(2)/2)*DW195*DZ195*VLOOKUP('Données projet'!$B$14,'Paramètres'!$A$1:$I$88,3,0)*0.475*44/12</f>
        <v>#N/A</v>
      </c>
      <c r="ED195" s="163" t="str">
        <f t="shared" si="19"/>
        <v>#N/A</v>
      </c>
      <c r="EE195" s="159">
        <f>('Scénario référence'!$F$8+'Scénario référence'!$F$9+'Scénario référence'!$B$17+'Scénario référence'!$B$9+'Scénario référence'!$B$10)*70+IF((45+25*(1-EXP(-0.0175*A195)))&lt;70,'Scénario référence'!$B$16*(45+25*(1-EXP(-0.0175*A195))),70*'Scénario référence'!$B$16)+IF((32+38*(1-EXP(-0.0175*A195)))&lt;70,'Scénario référence'!$B$18*(32+38*(1-EXP(-0.0175*A195))),70*'Scénario référence'!$B$18)</f>
        <v>70</v>
      </c>
      <c r="EF195" s="151">
        <f>IF(A195&gt;30,10,('Scénario référence'!$B$16+'Scénario référence'!$B$17+'Scénario référence'!$B$18+'Scénario référence'!$B$9+'Scénario référence'!$B$10)*A195*10/30+('Scénario référence'!$F$8+'Scénario référence'!$F$9)*10)</f>
        <v>10</v>
      </c>
      <c r="EG195" s="151" t="str">
        <f>VLOOKUP(A195,'Données projet'!$A$191:$I$211,2,0)</f>
        <v>#N/A</v>
      </c>
      <c r="EH195" s="151" t="str">
        <f>VLOOKUP(A195,'Données projet'!$A$191:$I$211,9,0)</f>
        <v>#N/A</v>
      </c>
      <c r="EI195" s="151" t="str">
        <f t="array" ref="EI195">INDEX(EH:EH,MIN(IF(ISNUMBER(EH195:EH391),ROW(EH195:EH391),"")))</f>
        <v/>
      </c>
      <c r="EJ195" s="151">
        <f>IF('Données projet'!$A$192&gt;35,EJ194+EI195-ER194,IF(A195&lt;'Données projet'!$A$192,$EG$205^A195,IF(A195='Données projet'!$A$192,'Données projet'!$B$192,EJ194+EI195-ER194)))</f>
        <v>0</v>
      </c>
      <c r="EK195" s="158" t="str">
        <f>EJ195*VLOOKUP('Données projet'!$B$15,'Paramètres'!$A$1:$I$88,3,0)*VLOOKUP('Données projet'!$B$15,'Paramètres'!$A$1:$I$88,5,0)</f>
        <v>#N/A</v>
      </c>
      <c r="EL195" s="150" t="str">
        <f t="shared" si="46"/>
        <v>#N/A</v>
      </c>
      <c r="EM195" s="161" t="str">
        <f t="shared" si="20"/>
        <v>#N/A</v>
      </c>
      <c r="EN195" s="153" t="str">
        <f t="shared" si="21"/>
        <v>#N/A</v>
      </c>
      <c r="EO195" s="153" t="str">
        <f>AVERAGE(OFFSET($EN$3,0,0,'Données projet'!$E$15+1,1))-AVERAGE(OFFSET($H$3,0,0,'Données projet'!$E$15+1,1))</f>
        <v>#N/A</v>
      </c>
      <c r="EP195" s="153" t="str">
        <f t="shared" si="47"/>
        <v>#N/A</v>
      </c>
      <c r="EQ195" s="154">
        <f>IF(ISNA(VLOOKUP(A195,'Données projet'!$A$191:$I$211,3,0)),0,VLOOKUP(A195,'Données projet'!$A$191:$I$211,3,0))</f>
        <v>0</v>
      </c>
      <c r="ER195" s="154">
        <f>IF(ISNA(VLOOKUP(A195,'Données projet'!$A$191:$I$211,4,0)),0,VLOOKUP(A195,'Données projet'!$A$191:$I$211,4,0))</f>
        <v>0</v>
      </c>
      <c r="ES195" s="155">
        <f>IF(ISNA(VLOOKUP(A195,'Données projet'!$A$191:$I$211,5,0)),0%,VLOOKUP(A195,'Données projet'!$A$191:$I$211,5,0)*VLOOKUP('Données projet'!$B$15,'Paramètres'!$A$1:$I$88,7,0))</f>
        <v>0</v>
      </c>
      <c r="ET195" s="155">
        <f>IF(ISNA(VLOOKUP(A195,'Données projet'!$A$191:$I$211,6,0)),0%,VLOOKUP(A195,'Données projet'!$A$191:$I$211,6,0)*VLOOKUP('Données projet'!$B$15,'Paramètres'!$A$1:$I$88,7,0))</f>
        <v>0</v>
      </c>
      <c r="EU195" s="155">
        <f>IF(ISNA(VLOOKUP(A195,'Données projet'!$A$191:$I$211,7,0)),0%,VLOOKUP(A195,'Données projet'!$A$191:$I$211,7,0))</f>
        <v>0</v>
      </c>
      <c r="EV195" s="162" t="str">
        <f>EXP(-LN(2)/35)*EV194+(1-EXP(-LN(2)/35))/(LN(2)/35)*ER195*ES195*VLOOKUP('Données projet'!$B$15,'Paramètres'!$A$1:$I$88,3,0)*0.475*44/12</f>
        <v>#N/A</v>
      </c>
      <c r="EW195" s="162" t="str">
        <f>EXP(-LN(2)/25)*EW194+(1-EXP(-LN(2)/25))/(LN(2)/25)*Calculateur!ER195*Calculateur!ET195*VLOOKUP('Données projet'!$B$15,'Paramètres'!$A$1:$I$88,3,0)*0.475*44/12</f>
        <v>#N/A</v>
      </c>
      <c r="EX195" s="162" t="str">
        <f>EXP(-LN(2)/2)*EX194+(1-EXP(-LN(2)/2))/(LN(2)/2)*ER195*EU195*VLOOKUP('Données projet'!$B$15,'Paramètres'!$A$1:$I$88,3,0)*0.475*44/12</f>
        <v>#N/A</v>
      </c>
      <c r="EY195" s="163" t="str">
        <f t="shared" si="22"/>
        <v>#N/A</v>
      </c>
      <c r="EZ195" s="159">
        <f>('Scénario référence'!$F$8+'Scénario référence'!$F$9+'Scénario référence'!$B$17+'Scénario référence'!$B$9+'Scénario référence'!$B$10)*70+IF((45+25*(1-EXP(-0.0175*A195)))&lt;70,'Scénario référence'!$B$16*(45+25*(1-EXP(-0.0175*A195))),70*'Scénario référence'!$B$16)+IF((32+38*(1-EXP(-0.0175*A195)))&lt;70,'Scénario référence'!$B$18*(32+38*(1-EXP(-0.0175*A195))),70*'Scénario référence'!$B$18)</f>
        <v>70</v>
      </c>
      <c r="FA195" s="151">
        <f>IF(A195&gt;30,10,('Scénario référence'!$B$16+'Scénario référence'!$B$17+'Scénario référence'!$B$18+'Scénario référence'!$B$9+'Scénario référence'!$B$10)*A195*10/30+('Scénario référence'!$F$8+'Scénario référence'!$F$9)*10)</f>
        <v>10</v>
      </c>
      <c r="FB195" s="151" t="str">
        <f>VLOOKUP(A195,'Données projet'!$A$217:$I$237,2,0)</f>
        <v>#N/A</v>
      </c>
      <c r="FC195" s="151" t="str">
        <f>VLOOKUP(A195,'Données projet'!$A$217:$I$237,9,0)</f>
        <v>#N/A</v>
      </c>
      <c r="FD195" s="151" t="str">
        <f t="array" ref="FD195">INDEX(FC:FC,MIN(IF(ISNUMBER(FC195:FC391),ROW(FC195:FC391),"")))</f>
        <v/>
      </c>
      <c r="FE195" s="151">
        <f>IF('Données projet'!$A$218&gt;35,FE194+FD195-FM194,IF(A195&lt;'Données projet'!$A$218,$FB$205^A195,IF(A195='Données projet'!$A$218,'Données projet'!$B$218,FE194+FD195-FM194)))</f>
        <v>0</v>
      </c>
      <c r="FF195" s="158" t="str">
        <f>FE195*VLOOKUP('Données projet'!$B$16,'Paramètres'!$A$1:$I$88,3,0)*VLOOKUP('Données projet'!$B$16,'Paramètres'!$A$1:$I$88,5,0)</f>
        <v>#N/A</v>
      </c>
      <c r="FG195" s="150" t="str">
        <f t="shared" si="48"/>
        <v>#N/A</v>
      </c>
      <c r="FH195" s="161" t="str">
        <f t="shared" si="23"/>
        <v>#N/A</v>
      </c>
      <c r="FI195" s="153" t="str">
        <f t="shared" si="24"/>
        <v>#N/A</v>
      </c>
      <c r="FJ195" s="153" t="str">
        <f>AVERAGE(OFFSET($FI$3,0,0,'Données projet'!$E$16+1,1))-AVERAGE(OFFSET($H$3,0,0,'Données projet'!$E$16+1,1))</f>
        <v>#N/A</v>
      </c>
      <c r="FK195" s="153" t="str">
        <f t="shared" si="49"/>
        <v>#N/A</v>
      </c>
      <c r="FL195" s="154">
        <f>IF(ISNA(VLOOKUP(A195,'Données projet'!$A$217:$I$237,3,0)),0,VLOOKUP(A195,'Données projet'!$A$217:$I$237,3,0))</f>
        <v>0</v>
      </c>
      <c r="FM195" s="154">
        <f>IF(ISNA(VLOOKUP(A195,'Données projet'!$A$217:$I$237,4,0)),0,VLOOKUP(A195,'Données projet'!$A$217:$I$237,4,0))</f>
        <v>0</v>
      </c>
      <c r="FN195" s="155">
        <f>IF(ISNA(VLOOKUP(A195,'Données projet'!$A$217:$I$237,5,0)),0%,VLOOKUP(A195,'Données projet'!$A$217:$I$237,5,0)*VLOOKUP('Données projet'!$B$16,'Paramètres'!$A$1:$I$88,7,0))</f>
        <v>0</v>
      </c>
      <c r="FO195" s="155">
        <f>IF(ISNA(VLOOKUP(A195,'Données projet'!$A$217:$I$237,6,0)),0%,VLOOKUP(A195,'Données projet'!$A$217:$I$237,6,0)*VLOOKUP('Données projet'!$B$16,'Paramètres'!$A$1:$I$88,7,0))</f>
        <v>0</v>
      </c>
      <c r="FP195" s="155">
        <f>IF(ISNA(VLOOKUP(A195,'Données projet'!$A$217:$I$237,7,0)),0%,VLOOKUP(A195,'Données projet'!$A$217:$I$237,7,0))</f>
        <v>0</v>
      </c>
      <c r="FQ195" s="162" t="str">
        <f>EXP(-LN(2)/35)*FQ194+(1-EXP(-LN(2)/35))/(LN(2)/35)*FM195*FN195*VLOOKUP('Données projet'!$B$16,'Paramètres'!$A$1:$I$88,3,0)*0.475*44/12</f>
        <v>#N/A</v>
      </c>
      <c r="FR195" s="162" t="str">
        <f>EXP(-LN(2)/25)*FR194+(1-EXP(-LN(2)/25))/(LN(2)/25)*Calculateur!FM195*Calculateur!FO195*VLOOKUP('Données projet'!$B$16,'Paramètres'!$A$1:$I$88,3,0)*0.475*44/12</f>
        <v>#N/A</v>
      </c>
      <c r="FS195" s="162" t="str">
        <f>EXP(-LN(2)/2)*FS194+(1-EXP(-LN(2)/2))/(LN(2)/2)*FM195*FP195*VLOOKUP('Données projet'!$B$16,'Paramètres'!$A$1:$I$88,3,0)*0.475*44/12</f>
        <v>#N/A</v>
      </c>
      <c r="FT195" s="163" t="str">
        <f t="shared" si="25"/>
        <v>#N/A</v>
      </c>
      <c r="FU195" s="159">
        <f>('Scénario référence'!$F$8+'Scénario référence'!$F$9+'Scénario référence'!$B$17+'Scénario référence'!$B$9+'Scénario référence'!$B$10)*70+IF((45+25*(1-EXP(-0.0175*A195)))&lt;70,'Scénario référence'!$B$16*(45+25*(1-EXP(-0.0175*A195))),70*'Scénario référence'!$B$16)+IF((32+38*(1-EXP(-0.0175*A195)))&lt;70,'Scénario référence'!$B$18*(32+38*(1-EXP(-0.0175*A195))),70*'Scénario référence'!$B$18)</f>
        <v>70</v>
      </c>
      <c r="FV195" s="151">
        <f>IF(A195&gt;30,10,('Scénario référence'!$B$16+'Scénario référence'!$B$17+'Scénario référence'!$B$18+'Scénario référence'!$B$9+'Scénario référence'!$B$10)*A195*10/30+('Scénario référence'!$F$8+'Scénario référence'!$F$9)*10)</f>
        <v>10</v>
      </c>
      <c r="FW195" s="151" t="str">
        <f>VLOOKUP(A195,'Données projet'!$A$243:$I$263,2,0)</f>
        <v>#N/A</v>
      </c>
      <c r="FX195" s="151" t="str">
        <f>VLOOKUP(A195,'Données projet'!$A$243:$I$263,9,0)</f>
        <v>#N/A</v>
      </c>
      <c r="FY195" s="151" t="str">
        <f t="array" ref="FY195">INDEX(FX:FX,MIN(IF(ISNUMBER(FX195:FX391),ROW(FX195:FX391),"")))</f>
        <v/>
      </c>
      <c r="FZ195" s="151">
        <f>IF('Données projet'!$A$244&gt;35,FZ194+FY195-GH194,IF(A195&lt;'Données projet'!$A$244,$FW$205^A195,IF(A195='Données projet'!$A$244,'Données projet'!$B$244,FZ194+FY195-GH194)))</f>
        <v>0</v>
      </c>
      <c r="GA195" s="158" t="str">
        <f>FZ195*VLOOKUP('Données projet'!$B$17,'Paramètres'!$A$1:$I$88,3,0)*VLOOKUP('Données projet'!$B$17,'Paramètres'!$A$1:$I$88,5,0)</f>
        <v>#N/A</v>
      </c>
      <c r="GB195" s="150" t="str">
        <f t="shared" si="50"/>
        <v>#N/A</v>
      </c>
      <c r="GC195" s="161" t="str">
        <f t="shared" si="26"/>
        <v>#N/A</v>
      </c>
      <c r="GD195" s="153" t="str">
        <f t="shared" si="27"/>
        <v>#N/A</v>
      </c>
      <c r="GE195" s="153" t="str">
        <f>AVERAGE(OFFSET($GD$3,0,0,'Données projet'!$E$17+1,1))-AVERAGE(OFFSET($H$3,0,0,'Données projet'!$E$17+1,1))</f>
        <v>#N/A</v>
      </c>
      <c r="GF195" s="153" t="str">
        <f t="shared" si="51"/>
        <v>#N/A</v>
      </c>
      <c r="GG195" s="154">
        <f>IF(ISNA(VLOOKUP(A195,'Données projet'!$A$243:$I$263,3,0)),0,VLOOKUP(A195,'Données projet'!$A$243:$I$263,3,0))</f>
        <v>0</v>
      </c>
      <c r="GH195" s="154">
        <f>IF(ISNA(VLOOKUP(A195,'Données projet'!$A$243:$I$263,4,0)),0,VLOOKUP(A195,'Données projet'!$A$243:$I$263,4,0))</f>
        <v>0</v>
      </c>
      <c r="GI195" s="155">
        <f>IF(ISNA(VLOOKUP(A195,'Données projet'!$A$243:$I$263,5,0)),0%,VLOOKUP(A195,'Données projet'!$A$243:$I$263,5,0)*VLOOKUP('Données projet'!$B$17,'Paramètres'!$A$1:$I$88,7,0))</f>
        <v>0</v>
      </c>
      <c r="GJ195" s="155">
        <f>IF(ISNA(VLOOKUP(A195,'Données projet'!$A$243:$I$263,6,0)),0%,VLOOKUP(A195,'Données projet'!$A$243:$I$263,6,0)*VLOOKUP('Données projet'!$B$17,'Paramètres'!$A$1:$I$88,7,0))</f>
        <v>0</v>
      </c>
      <c r="GK195" s="155">
        <f>IF(ISNA(VLOOKUP(A195,'Données projet'!$A$243:$I$263,7,0)),0%,VLOOKUP(A195,'Données projet'!$A$243:$I$263,7,0))</f>
        <v>0</v>
      </c>
      <c r="GL195" s="162" t="str">
        <f>EXP(-LN(2)/35)*GL194+(1-EXP(-LN(2)/35))/(LN(2)/35)*GH195*GI195*VLOOKUP('Données projet'!$B$17,'Paramètres'!$A$1:$I$88,3,0)*0.475*44/12</f>
        <v>#N/A</v>
      </c>
      <c r="GM195" s="162" t="str">
        <f>EXP(-LN(2)/25)*GM194+(1-EXP(-LN(2)/25))/(LN(2)/25)*Calculateur!GH195*Calculateur!GJ195*VLOOKUP('Données projet'!$B$17,'Paramètres'!$A$1:$I$88,3,0)*0.475*44/12</f>
        <v>#N/A</v>
      </c>
      <c r="GN195" s="162" t="str">
        <f>EXP(-LN(2)/2)*GN194+(1-EXP(-LN(2)/2))/(LN(2)/2)*GH195*GK195*VLOOKUP('Données projet'!$B$17,'Paramètres'!$A$1:$I$88,3,0)*0.475*44/12</f>
        <v>#N/A</v>
      </c>
      <c r="GO195" s="162" t="str">
        <f t="shared" si="28"/>
        <v>#N/A</v>
      </c>
      <c r="GP195" s="159">
        <f>('Scénario référence'!$F$8+'Scénario référence'!$F$9+'Scénario référence'!$B$17+'Scénario référence'!$B$9+'Scénario référence'!$B$10)*70+IF((45+25*(1-EXP(-0.0175*A195)))&lt;70,'Scénario référence'!$B$16*(45+25*(1-EXP(-0.0175*A195))),70*'Scénario référence'!$B$16)+IF((32+38*(1-EXP(-0.0175*A195)))&lt;70,'Scénario référence'!$B$18*(32+38*(1-EXP(-0.0175*A195))),70*'Scénario référence'!$B$18)</f>
        <v>70</v>
      </c>
      <c r="GQ195" s="151">
        <f>IF(A195&gt;30,10,('Scénario référence'!$B$16+'Scénario référence'!$B$17+'Scénario référence'!$B$18+'Scénario référence'!$B$9+'Scénario référence'!$B$10)*A195*10/30+('Scénario référence'!$F$8+'Scénario référence'!$F$9)*10)</f>
        <v>10</v>
      </c>
      <c r="GR195" s="151" t="str">
        <f>VLOOKUP(A195,'Données projet'!$A$269:$I$289,2,0)</f>
        <v>#N/A</v>
      </c>
      <c r="GS195" s="151" t="str">
        <f>VLOOKUP(A195,'Données projet'!$A$269:$I$289,9,0)</f>
        <v>#N/A</v>
      </c>
      <c r="GT195" s="151" t="str">
        <f t="array" ref="GT195">INDEX(GS:GS,MIN(IF(ISNUMBER(GS195:GS391),ROW(GS195:GS391),"")))</f>
        <v/>
      </c>
      <c r="GU195" s="151">
        <f>IF('Données projet'!$A$270&gt;35,GU194+GT195-HC194,IF(A195&lt;'Données projet'!$A$270,$GR$205^A195,IF(A195='Données projet'!$A$270,'Données projet'!$B$270,GU194+GT195-HC194)))</f>
        <v>0</v>
      </c>
      <c r="GV195" s="158" t="str">
        <f>GU195*VLOOKUP('Données projet'!$B$18,'Paramètres'!$A$1:$I$88,3,0)*VLOOKUP('Données projet'!$B$18,'Paramètres'!$A$1:$I$88,5,0)</f>
        <v>#N/A</v>
      </c>
      <c r="GW195" s="150" t="str">
        <f t="shared" si="52"/>
        <v>#N/A</v>
      </c>
      <c r="GX195" s="161" t="str">
        <f t="shared" si="29"/>
        <v>#N/A</v>
      </c>
      <c r="GY195" s="153" t="str">
        <f t="shared" si="30"/>
        <v>#N/A</v>
      </c>
      <c r="GZ195" s="153" t="str">
        <f>AVERAGE(OFFSET($GY$3,0,0,'Données projet'!$E$18+1,1))-AVERAGE(OFFSET($H$3,0,0,'Données projet'!$E$18+1,1))</f>
        <v>#N/A</v>
      </c>
      <c r="HA195" s="153" t="str">
        <f t="shared" si="53"/>
        <v>#N/A</v>
      </c>
      <c r="HB195" s="154">
        <f>IF(ISNA(VLOOKUP(A195,'Données projet'!$A$269:$I$289,3,0)),0,VLOOKUP(A195,'Données projet'!$A$269:$I$289,3,0))</f>
        <v>0</v>
      </c>
      <c r="HC195" s="154">
        <f>IF(ISNA(VLOOKUP(A195,'Données projet'!$A$269:$I$289,4,0)),0,VLOOKUP(A195,'Données projet'!$A$269:$I$289,4,0))</f>
        <v>0</v>
      </c>
      <c r="HD195" s="155">
        <f>IF(ISNA(VLOOKUP(A195,'Données projet'!$A$269:$I$289,5,0)),0%,VLOOKUP(A195,'Données projet'!$A$269:$I$289,5,0)*VLOOKUP('Données projet'!$B$18,'Paramètres'!$A$1:$I$88,7,0))</f>
        <v>0</v>
      </c>
      <c r="HE195" s="155">
        <f>IF(ISNA(VLOOKUP(A195,'Données projet'!$A$269:$I$289,6,0)),0%,VLOOKUP(A195,'Données projet'!$A$269:$I$289,6,0)*VLOOKUP('Données projet'!$B$18,'Paramètres'!$A$1:$I$88,7,0))</f>
        <v>0</v>
      </c>
      <c r="HF195" s="155">
        <f>IF(ISNA(VLOOKUP(A195,'Données projet'!$A$269:$I$289,7,0)),0%,VLOOKUP(A195,'Données projet'!$A$269:$I$289,7,0))</f>
        <v>0</v>
      </c>
      <c r="HG195" s="162" t="str">
        <f>EXP(-LN(2)/35)*HG194+(1-EXP(-LN(2)/35))/(LN(2)/35)*HC195*HD195*VLOOKUP('Données projet'!$B$18,'Paramètres'!$A$1:$I$88,3,0)*0.475*44/12</f>
        <v>#N/A</v>
      </c>
      <c r="HH195" s="162" t="str">
        <f>EXP(-LN(2)/25)*HH194+(1-EXP(-LN(2)/25))/(LN(2)/25)*Calculateur!HC195*Calculateur!HE195*VLOOKUP('Données projet'!$B$18,'Paramètres'!$A$1:$I$88,3,0)*0.475*44/12</f>
        <v>#N/A</v>
      </c>
      <c r="HI195" s="162" t="str">
        <f>EXP(-LN(2)/2)*HI194+(1-EXP(-LN(2)/2))/(LN(2)/2)*HC195*HF195*VLOOKUP('Données projet'!$B$18,'Paramètres'!$A$1:$I$88,3,0)*0.475*44/12</f>
        <v>#N/A</v>
      </c>
      <c r="HJ195" s="163" t="str">
        <f t="shared" si="31"/>
        <v>#N/A</v>
      </c>
    </row>
    <row r="196" ht="15.75" customHeight="1">
      <c r="A196" s="145">
        <f t="shared" si="32"/>
        <v>193</v>
      </c>
      <c r="B196" s="146">
        <f>'Scénario référence'!$B$16*5+'Scénario référence'!$B$17*0+'Scénario référence'!$B$18*5</f>
        <v>0</v>
      </c>
      <c r="C196" s="160">
        <f>Calculateur!C195+'Scénario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96" s="147">
        <f t="shared" si="33"/>
        <v>0</v>
      </c>
      <c r="E196" s="147">
        <f>'Scénario référence'!$B$16*45+('Scénario référence'!$B$17+'Scénario référence'!$F$8+'Scénario référence'!$F$9+'Scénario référence'!$B$10+'Scénario référence'!$B$9)*70+'Scénario référence'!$B$18*32</f>
        <v>70</v>
      </c>
      <c r="F196" s="147">
        <f>IF(OR('Scénario référence'!$F$8&gt;0,'Scénario référence'!$F$9&gt;0),('Scénario référence'!$F$8+'Scénario référence'!$F$9)*10,0)</f>
        <v>0</v>
      </c>
      <c r="G196" s="147">
        <f>'Scénario référence'!$B$8*B196*44/12+'Scénario référence'!$B$9*(C196+D196)/0.475*44/12+'Scénario référence'!$B$10*(C196+D196)/0.475*44/12+'Scénario référence'!$F$8*(C196+D196)/0.475*44/12+'Scénario référence'!$F$9*(C196+D196)/0.475*44/12</f>
        <v>0</v>
      </c>
      <c r="H196" s="148">
        <f t="shared" si="1"/>
        <v>256.6666667</v>
      </c>
      <c r="I196" s="149">
        <f>('Scénario référence'!$F$8+'Scénario référence'!$F$9+'Scénario référence'!$B$17+'Scénario référence'!$B$9+'Scénario référence'!$B$10)*70+IF((45+25*(1-EXP(-0.0175*A196)))&lt;70,'Scénario référence'!$B$16*(45+25*(1-EXP(-0.0175*A196))),70*'Scénario référence'!$B$16)+IF((32+38*(1-EXP(-0.0175*A196)))&lt;70,'Scénario référence'!$B$18*(32+38*(1-EXP(-0.0175*A196))),70*'Scénario référence'!$B$18)</f>
        <v>70</v>
      </c>
      <c r="J196" s="150">
        <f>IF(A196&gt;30,10,('Scénario référence'!$B$16+'Scénario référence'!$B$17+'Scénario référence'!$B$18+'Scénario référence'!$B$9+'Scénario référence'!$B$10)*A196*10/30+('Scénario référence'!$F$8+'Scénario référence'!$F$9)*10)</f>
        <v>10</v>
      </c>
      <c r="K196" s="151" t="str">
        <f>VLOOKUP(A196,'Données projet'!$A$35:$I$55,2,0)</f>
        <v>#N/A</v>
      </c>
      <c r="L196" s="151" t="str">
        <f>VLOOKUP(A196,'Données projet'!$A$35:$I$55,9,0)</f>
        <v>#N/A</v>
      </c>
      <c r="M196" s="151" t="str">
        <f t="array" ref="M196">INDEX(L:L,MIN(IF(ISNUMBER(L196:L392),ROW(L196:L392),"")))</f>
        <v/>
      </c>
      <c r="N196" s="150">
        <f>IF('Données projet'!$A$36&gt;35,N195+M196-V195,IF(A196&lt;'Données projet'!$A$36,$K$205^A196,IF(A196='Données projet'!$A$36,'Données projet'!$B$36,N195+M196-V195)))</f>
        <v>307</v>
      </c>
      <c r="O196" s="150">
        <f>N196*VLOOKUP('Données projet'!$B$9,'Paramètres'!$A$1:$I$88,3,0)*VLOOKUP('Données projet'!$B$9,'Paramètres'!$A$1:$I$88,5,0)</f>
        <v>277.7736</v>
      </c>
      <c r="P196" s="150">
        <f t="shared" si="34"/>
        <v>66.49628818</v>
      </c>
      <c r="Q196" s="161">
        <f t="shared" si="2"/>
        <v>599.6033886</v>
      </c>
      <c r="R196" s="153">
        <f t="shared" si="3"/>
        <v>892.9367219</v>
      </c>
      <c r="S196" s="153">
        <f>AVERAGE(OFFSET($R$3,0,0,'Données projet'!$E$9+1,1))-AVERAGE(OFFSET($H$3,0,0,'Données projet'!$E$9+1,1))</f>
        <v>439.1985427</v>
      </c>
      <c r="T196" s="153">
        <f t="shared" si="35"/>
        <v>278.2174123</v>
      </c>
      <c r="U196" s="154">
        <f>IF(ISNA(VLOOKUP(A196,'Données projet'!$A$35:$I$55,3,0)),0,VLOOKUP(A196,'Données projet'!$A$35:$I$55,3,0))</f>
        <v>0</v>
      </c>
      <c r="V196" s="154">
        <f>IF(ISNA(VLOOKUP(A196,'Données projet'!$A$35:$I$55,4,0)),0,VLOOKUP(A196,'Données projet'!$A$35:$I$55,4,0))</f>
        <v>0</v>
      </c>
      <c r="W196" s="155">
        <f>IF(ISNA(VLOOKUP(A196,'Données projet'!$A$35:$I$55,5,0)),0%,VLOOKUP(A196,'Données projet'!$A$35:$I$55,5,0)*VLOOKUP('Données projet'!$B$9,'Paramètres'!$A$1:$I$88,7,0))</f>
        <v>0</v>
      </c>
      <c r="X196" s="155">
        <f>IF(ISNA(VLOOKUP(A196,'Données projet'!$A$35:$I$55,6,0)),0%,VLOOKUP(A196,'Données projet'!$A$35:$I$55,6,0)*VLOOKUP('Données projet'!$B$9,'Paramètres'!$A$1:$I$88,7,0))</f>
        <v>0</v>
      </c>
      <c r="Y196" s="155">
        <f>IF(ISNA(VLOOKUP(A196,'Données projet'!$A$35:$I$55,7,0)),0%,VLOOKUP(A196,'Données projet'!$A$35:$I$55,7,0))</f>
        <v>0</v>
      </c>
      <c r="Z196" s="162">
        <f>EXP(-LN(2)/35)*Z195+(1-EXP(-LN(2)/35))/(LN(2)/35)*V196*W196*VLOOKUP('Données projet'!$B$9,'Paramètres'!$A$1:$I$88,3,0)*0.475*44/12</f>
        <v>0</v>
      </c>
      <c r="AA196" s="162">
        <f>EXP(-LN(2)/25)*AA195+(1-EXP(-LN(2)/25))/(LN(2)/25)*Calculateur!V196*Calculateur!X196*VLOOKUP('Données projet'!$B$9,'Paramètres'!$A$1:$I$88,3,0)*0.475*44/12</f>
        <v>0.04889863176</v>
      </c>
      <c r="AB196" s="162">
        <f>EXP(-LN(2)/2)*AB195+(1-EXP(-LN(2)/2))/(LN(2)/2)*V196*Y196*VLOOKUP('Données projet'!$B$9,'Paramètres'!$A$1:$I$88,3,0)*0.475*44/12</f>
        <v>0</v>
      </c>
      <c r="AC196" s="163">
        <f t="shared" si="4"/>
        <v>0.04889863176</v>
      </c>
      <c r="AD196" s="150">
        <f>('Scénario référence'!$F$8+'Scénario référence'!$F$9+'Scénario référence'!$B$17+'Scénario référence'!$B$9+'Scénario référence'!$B$10)*70+IF((45+25*(1-EXP(-0.0175*A196)))&lt;70,'Scénario référence'!$B$16*(45+25*(1-EXP(-0.0175*A196))),70*'Scénario référence'!$B$16)+IF((32+38*(1-EXP(-0.0175*A196)))&lt;70,'Scénario référence'!$B$18*(32+38*(1-EXP(-0.0175*A196))),70*'Scénario référence'!$B$18)</f>
        <v>70</v>
      </c>
      <c r="AE196" s="150">
        <f>IF(A196&gt;30,10,('Scénario référence'!$B$16+'Scénario référence'!$B$17+'Scénario référence'!$B$18+'Scénario référence'!$B$9+'Scénario référence'!$B$10)*A196*10/30+('Scénario référence'!$F$8+'Scénario référence'!$F$9)*10)</f>
        <v>10</v>
      </c>
      <c r="AF196" s="151" t="str">
        <f>VLOOKUP(A196,'Données projet'!$A$61:$I$81,2,0)</f>
        <v>#N/A</v>
      </c>
      <c r="AG196" s="151" t="str">
        <f>VLOOKUP(A196,'Données projet'!$A$61:$I$81,9,0)</f>
        <v>#N/A</v>
      </c>
      <c r="AH196" s="151" t="str">
        <f t="array" ref="AH196">INDEX(AG:AG,MIN(IF(ISNUMBER(AG196:AG392),ROW(AG196:AG392),"")))</f>
        <v/>
      </c>
      <c r="AI196" s="150">
        <f>IF('Données projet'!$A$62&gt;35,AI195+AH196-AQ195,IF(A196&lt;'Données projet'!$A$62,$AF$205^A196,IF(A196='Données projet'!$A$62,'Données projet'!$B$62,AI195+AH196-AQ195)))</f>
        <v>369</v>
      </c>
      <c r="AJ196" s="150">
        <f>AI196*VLOOKUP('Données projet'!$B$10,'Paramètres'!$A$1:$I$88,3,0)*VLOOKUP('Données projet'!$B$10,'Paramètres'!$A$1:$I$88,5,0)</f>
        <v>293.5764</v>
      </c>
      <c r="AK196" s="150">
        <f t="shared" si="36"/>
        <v>69.82813851</v>
      </c>
      <c r="AL196" s="161">
        <f t="shared" si="5"/>
        <v>632.9295712</v>
      </c>
      <c r="AM196" s="153">
        <f t="shared" si="6"/>
        <v>926.2629046</v>
      </c>
      <c r="AN196" s="153">
        <f>AVERAGE(OFFSET($AM$3,0,0,'Données projet'!$E$10+1,1))-AVERAGE(OFFSET($H$3,0,0,'Données projet'!$E$10+1,1))</f>
        <v>405.6113614</v>
      </c>
      <c r="AO196" s="153">
        <f t="shared" si="37"/>
        <v>393.0787141</v>
      </c>
      <c r="AP196" s="154">
        <f>IF(ISNA(VLOOKUP(A196,'Données projet'!$A$61:$I$81,3,0)),0,VLOOKUP(A196,'Données projet'!$A$61:$I$81,3,0))</f>
        <v>0</v>
      </c>
      <c r="AQ196" s="154">
        <f>IF(ISNA(VLOOKUP(A196,'Données projet'!$A$61:$I$81,4,0)),0,VLOOKUP(A196,'Données projet'!$A$61:$I$81,4,0))</f>
        <v>0</v>
      </c>
      <c r="AR196" s="155">
        <f>IF(ISNA(VLOOKUP(A196,'Données projet'!$A$61:$I$81,5,0)),0%,VLOOKUP(A196,'Données projet'!$A$61:$I$81,5,0)*VLOOKUP('Données projet'!$B$10,'Paramètres'!$A$1:$I$88,7,0))</f>
        <v>0</v>
      </c>
      <c r="AS196" s="155">
        <f>IF(ISNA(VLOOKUP(A196,'Données projet'!$A$61:$I$81,6,0)),0%,VLOOKUP(A196,'Données projet'!$A$61:$I$81,6,0)*VLOOKUP('Données projet'!$B$10,'Paramètres'!$A$1:$I$88,7,0))</f>
        <v>0</v>
      </c>
      <c r="AT196" s="155">
        <f>IF(ISNA(VLOOKUP(A196,'Données projet'!$A$61:$I$81,7,0)),0%,VLOOKUP(A196,'Données projet'!$A$61:$I$81,7,0))</f>
        <v>0</v>
      </c>
      <c r="AU196" s="162">
        <f>EXP(-LN(2)/35)*AU195+(1-EXP(-LN(2)/35))/(LN(2)/35)*AQ196*AR196*VLOOKUP('Données projet'!$B$10,'Paramètres'!$A$1:$I$88,3,0)*0.475*44/12</f>
        <v>0</v>
      </c>
      <c r="AV196" s="162">
        <f>EXP(-LN(2)/25)*AV195+(1-EXP(-LN(2)/25))/(LN(2)/25)*Calculateur!AQ196*Calculateur!AS196*VLOOKUP('Données projet'!$B$10,'Paramètres'!$A$1:$I$88,3,0)*0.475*44/12</f>
        <v>0.19873647</v>
      </c>
      <c r="AW196" s="162">
        <f>EXP(-LN(2)/2)*AW195+(1-EXP(-LN(2)/2))/(LN(2)/2)*AQ196*AT196*VLOOKUP('Données projet'!$B$10,'Paramètres'!$A$1:$I$88,3,0)*0.475*44/12</f>
        <v>0</v>
      </c>
      <c r="AX196" s="162">
        <f t="shared" si="7"/>
        <v>0.19873647</v>
      </c>
      <c r="AY196" s="157">
        <f>('Scénario référence'!$F$8+'Scénario référence'!$F$9+'Scénario référence'!$B$17+'Scénario référence'!$B$9+'Scénario référence'!$B$10)*70+IF((45+25*(1-EXP(-0.0175*A196)))&lt;70,'Scénario référence'!$B$16*(45+25*(1-EXP(-0.0175*A196))),70*'Scénario référence'!$B$16)+IF((32+38*(1-EXP(-0.0175*A196)))&lt;70,'Scénario référence'!$B$18*(32+38*(1-EXP(-0.0175*A196))),70*'Scénario référence'!$B$18)</f>
        <v>70</v>
      </c>
      <c r="AZ196" s="151">
        <f>IF(A196&gt;30,10,('Scénario référence'!$B$16+'Scénario référence'!$B$17+'Scénario référence'!$B$18+'Scénario référence'!$B$9+'Scénario référence'!$B$10)*A196*10/30+('Scénario référence'!$F$8+'Scénario référence'!$F$9)*10)</f>
        <v>10</v>
      </c>
      <c r="BA196" s="151" t="str">
        <f>VLOOKUP(A196,'Données projet'!$A$87:$I$107,2,0)</f>
        <v>#N/A</v>
      </c>
      <c r="BB196" s="151" t="str">
        <f>VLOOKUP(A196,'Données projet'!$A$87:$I$107,9,0)</f>
        <v>#N/A</v>
      </c>
      <c r="BC196" s="151" t="str">
        <f t="array" ref="BC196">INDEX(BB:BB,MIN(IF(ISNUMBER(BB196:BB392),ROW(BB196:BB392),"")))</f>
        <v/>
      </c>
      <c r="BD196" s="150">
        <f>IF('Données projet'!$A$88&gt;35,BD195+BC196-BL195,IF(A196&lt;'Données projet'!$A$88,$BA$205^A196,IF(A196='Données projet'!$A$88,'Données projet'!$B$88,BD195+BC196-BL195)))</f>
        <v>0</v>
      </c>
      <c r="BE196" s="150">
        <f>BD196*VLOOKUP('Données projet'!$B$11,'Paramètres'!$A$1:$I$88,3,0)*VLOOKUP('Données projet'!$B$11,'Paramètres'!$A$1:$I$88,5,0)</f>
        <v>0</v>
      </c>
      <c r="BF196" s="150" t="str">
        <f t="shared" si="38"/>
        <v>#NUM!</v>
      </c>
      <c r="BG196" s="161" t="str">
        <f t="shared" si="8"/>
        <v>#NUM!</v>
      </c>
      <c r="BH196" s="153" t="str">
        <f t="shared" si="9"/>
        <v>#NUM!</v>
      </c>
      <c r="BI196" s="153">
        <f>AVERAGE(OFFSET($BH$3,0,0,'Données projet'!$E$11+1,1))-AVERAGE(OFFSET($H$3,0,0,'Données projet'!$E$11+1,1))</f>
        <v>0</v>
      </c>
      <c r="BJ196" s="153">
        <f t="shared" si="39"/>
        <v>0</v>
      </c>
      <c r="BK196" s="154">
        <f>IF(ISNA(VLOOKUP(A196,'Données projet'!$A$87:$I$107,3,0)),0,VLOOKUP(A196,'Données projet'!$A$87:$I$107,3,0))</f>
        <v>0</v>
      </c>
      <c r="BL196" s="154">
        <f>IF(ISNA(VLOOKUP(A196,'Données projet'!$A$87:$I$107,4,0)),0,VLOOKUP(A196,'Données projet'!$A$87:$I$107,4,0))</f>
        <v>0</v>
      </c>
      <c r="BM196" s="155">
        <f>IF(ISNA(VLOOKUP(A196,'Données projet'!$A$87:$I$107,5,0)),0%,VLOOKUP(A196,'Données projet'!$A$87:$I$107,5,0)*VLOOKUP('Données projet'!$B$11,'Paramètres'!$A$1:$I$88,7,0))</f>
        <v>0</v>
      </c>
      <c r="BN196" s="155">
        <f>IF(ISNA(VLOOKUP(A196,'Données projet'!$A$87:$I$107,6,0)),0%,VLOOKUP(A196,'Données projet'!$A$87:$I$107,6,0)*VLOOKUP('Données projet'!$B$11,'Paramètres'!$A$1:$I$88,7,0))</f>
        <v>0</v>
      </c>
      <c r="BO196" s="155">
        <f>IF(ISNA(VLOOKUP(A196,'Données projet'!$A$87:$I$107,7,0)),0%,VLOOKUP(A196,'Données projet'!$A$87:$I$107,7,0))</f>
        <v>0</v>
      </c>
      <c r="BP196" s="162">
        <f>EXP(-LN(2)/35)*BP195+(1-EXP(-LN(2)/35))/(LN(2)/35)*BL196*BM196*VLOOKUP('Données projet'!$B$11,'Paramètres'!$A$1:$I$88,3,0)*0.475*44/12</f>
        <v>0</v>
      </c>
      <c r="BQ196" s="162">
        <f>EXP(-LN(2)/25)*BQ195+(1-EXP(-LN(2)/25))/(LN(2)/25)*Calculateur!BL196*Calculateur!BN196*VLOOKUP('Données projet'!$B$11,'Paramètres'!$A$1:$I$88,3,0)*0.475*44/12</f>
        <v>0</v>
      </c>
      <c r="BR196" s="162">
        <f>EXP(-LN(2)/2)*BR195+(1-EXP(-LN(2)/2))/(LN(2)/2)*BL196*BO196*VLOOKUP('Données projet'!$B$11,'Paramètres'!$A$1:$I$88,3,0)*0.475*44/12</f>
        <v>0</v>
      </c>
      <c r="BS196" s="163">
        <f t="shared" si="10"/>
        <v>0</v>
      </c>
      <c r="BT196" s="159">
        <f>('Scénario référence'!$F$8+'Scénario référence'!$F$9+'Scénario référence'!$B$17+'Scénario référence'!$B$9+'Scénario référence'!$B$10)*70+IF((45+25*(1-EXP(-0.0175*A196)))&lt;70,'Scénario référence'!$B$16*(45+25*(1-EXP(-0.0175*A196))),70*'Scénario référence'!$B$16)+IF((32+38*(1-EXP(-0.0175*A196)))&lt;70,'Scénario référence'!$B$18*(32+38*(1-EXP(-0.0175*A196))),70*'Scénario référence'!$B$18)</f>
        <v>70</v>
      </c>
      <c r="BU196" s="151">
        <f>IF(A196&gt;30,10,('Scénario référence'!$B$16+'Scénario référence'!$B$17+'Scénario référence'!$B$18+'Scénario référence'!$B$9+'Scénario référence'!$B$10)*A196*10/30+('Scénario référence'!$F$8+'Scénario référence'!$F$9)*10)</f>
        <v>10</v>
      </c>
      <c r="BV196" s="151" t="str">
        <f>VLOOKUP(A196,'Données projet'!$A$113:$I$133,2,0)</f>
        <v>#N/A</v>
      </c>
      <c r="BW196" s="151" t="str">
        <f>VLOOKUP(A196,'Données projet'!$A$113:$I$133,9,0)</f>
        <v>#N/A</v>
      </c>
      <c r="BX196" s="151" t="str">
        <f t="array" ref="BX196">INDEX(BW:BW,MIN(IF(ISNUMBER(BW196:BW392),ROW(BW196:BW392),"")))</f>
        <v/>
      </c>
      <c r="BY196" s="150">
        <f>IF('Données projet'!$A$114&gt;35,BY195+BX196-CG195,IF(A196&lt;'Données projet'!$A$114,$BV$205^A196,IF(A196='Données projet'!$A$114,'Données projet'!$B$114,BY195+BX196-CG195)))</f>
        <v>0</v>
      </c>
      <c r="BZ196" s="150" t="str">
        <f>BY196*VLOOKUP('Données projet'!$B$12,'Paramètres'!$A$1:$I$88,3,0)*VLOOKUP('Données projet'!$B$12,'Paramètres'!$A$1:$I$88,5,0)</f>
        <v>#N/A</v>
      </c>
      <c r="CA196" s="150" t="str">
        <f t="shared" si="40"/>
        <v>#N/A</v>
      </c>
      <c r="CB196" s="161" t="str">
        <f t="shared" si="11"/>
        <v>#N/A</v>
      </c>
      <c r="CC196" s="153" t="str">
        <f t="shared" si="12"/>
        <v>#N/A</v>
      </c>
      <c r="CD196" s="153" t="str">
        <f>AVERAGE(OFFSET($CC$3,0,0,'Données projet'!$E$12+1,1))-AVERAGE(OFFSET($H$3,0,0,'Données projet'!$E$12+1,1))</f>
        <v>#N/A</v>
      </c>
      <c r="CE196" s="153" t="str">
        <f t="shared" si="41"/>
        <v>#N/A</v>
      </c>
      <c r="CF196" s="154">
        <f>IF(ISNA(VLOOKUP(A196,'Données projet'!$A$113:$I$133,3,0)),0,VLOOKUP(A196,'Données projet'!$A$113:$I$133,3,0))</f>
        <v>0</v>
      </c>
      <c r="CG196" s="154">
        <f>IF(ISNA(VLOOKUP(A196,'Données projet'!$A$113:$I$133,4,0)),0,VLOOKUP(A196,'Données projet'!$A$113:$I$133,4,0))</f>
        <v>0</v>
      </c>
      <c r="CH196" s="155">
        <f>IF(ISNA(VLOOKUP(A196,'Données projet'!$A$113:$I$133,5,0)),0%,VLOOKUP(A196,'Données projet'!$A$113:$I$133,5,0)*VLOOKUP('Données projet'!$B$12,'Paramètres'!$A$1:$I$88,7,0))</f>
        <v>0</v>
      </c>
      <c r="CI196" s="155">
        <f>IF(ISNA(VLOOKUP(A196,'Données projet'!$A$113:$I$133,6,0)),0%,VLOOKUP(A196,'Données projet'!$A$113:$I$133,6,0)*VLOOKUP('Données projet'!$B$12,'Paramètres'!$A$1:$I$88,7,0))</f>
        <v>0</v>
      </c>
      <c r="CJ196" s="155">
        <f>IF(ISNA(VLOOKUP(A196,'Données projet'!$A$113:$I$133,7,0)),0%,VLOOKUP(A196,'Données projet'!$A$113:$I$133,7,0))</f>
        <v>0</v>
      </c>
      <c r="CK196" s="162" t="str">
        <f>EXP(-LN(2)/35)*CK195+(1-EXP(-LN(2)/35))/(LN(2)/35)*CG196*CH196*VLOOKUP('Données projet'!$B$12,'Paramètres'!$A$1:$I$88,3,0)*0.475*44/12</f>
        <v>#N/A</v>
      </c>
      <c r="CL196" s="162" t="str">
        <f>EXP(-LN(2)/25)*CL195+(1-EXP(-LN(2)/25))/(LN(2)/25)*Calculateur!CG196*Calculateur!CI196*VLOOKUP('Données projet'!$B$12,'Paramètres'!$A$1:$I$88,3,0)*0.475*44/12</f>
        <v>#N/A</v>
      </c>
      <c r="CM196" s="162" t="str">
        <f>EXP(-LN(2)/2)*CM195+(1-EXP(-LN(2)/2))/(LN(2)/2)*CG196*CJ196*VLOOKUP('Données projet'!$B$12,'Paramètres'!$A$1:$I$88,3,0)*0.475*44/12</f>
        <v>#N/A</v>
      </c>
      <c r="CN196" s="163" t="str">
        <f t="shared" si="13"/>
        <v>#N/A</v>
      </c>
      <c r="CO196" s="159">
        <f>('Scénario référence'!$F$8+'Scénario référence'!$F$9+'Scénario référence'!$B$17+'Scénario référence'!$B$9+'Scénario référence'!$B$10)*70+IF((45+25*(1-EXP(-0.0175*A196)))&lt;70,'Scénario référence'!$B$16*(45+25*(1-EXP(-0.0175*A196))),70*'Scénario référence'!$B$16)+IF((32+38*(1-EXP(-0.0175*A196)))&lt;70,'Scénario référence'!$B$18*(32+38*(1-EXP(-0.0175*A196))),70*'Scénario référence'!$B$18)</f>
        <v>70</v>
      </c>
      <c r="CP196" s="151">
        <f>IF(A196&gt;30,10,('Scénario référence'!$B$16+'Scénario référence'!$B$17+'Scénario référence'!$B$18+'Scénario référence'!$B$9+'Scénario référence'!$B$10)*A196*10/30+('Scénario référence'!$F$8+'Scénario référence'!$F$9)*10)</f>
        <v>10</v>
      </c>
      <c r="CQ196" s="151" t="str">
        <f>VLOOKUP(A196,'Données projet'!$A$139:$I$159,2,0)</f>
        <v>#N/A</v>
      </c>
      <c r="CR196" s="151" t="str">
        <f>VLOOKUP(A196,'Données projet'!$A$139:$I$159,9,0)</f>
        <v>#N/A</v>
      </c>
      <c r="CS196" s="151" t="str">
        <f t="array" ref="CS196">INDEX(CR:CR,MIN(IF(ISNUMBER(CR196:CR392),ROW(CR196:CR392),"")))</f>
        <v/>
      </c>
      <c r="CT196" s="151">
        <f>IF('Données projet'!$A$140&gt;35,CT195+CS196-DB195,IF(A196&lt;'Données projet'!$A$140,$CQ$205^A196,IF(A196='Données projet'!$A$140,'Données projet'!$B$140,CT195+CS196-DB195)))</f>
        <v>0</v>
      </c>
      <c r="CU196" s="158" t="str">
        <f>CT196*VLOOKUP('Données projet'!$B$13,'Paramètres'!$A$1:$I$88,3,0)*VLOOKUP('Données projet'!$B$13,'Paramètres'!$A$1:$I$88,5,0)</f>
        <v>#N/A</v>
      </c>
      <c r="CV196" s="150" t="str">
        <f t="shared" si="42"/>
        <v>#N/A</v>
      </c>
      <c r="CW196" s="161" t="str">
        <f t="shared" si="14"/>
        <v>#N/A</v>
      </c>
      <c r="CX196" s="153" t="str">
        <f t="shared" si="15"/>
        <v>#N/A</v>
      </c>
      <c r="CY196" s="153" t="str">
        <f>AVERAGE(OFFSET($CX$3,0,0,'Données projet'!$E$13+1,1))-AVERAGE(OFFSET($H$3,0,0,'Données projet'!$E$13+1,1))</f>
        <v>#N/A</v>
      </c>
      <c r="CZ196" s="153" t="str">
        <f t="shared" si="43"/>
        <v>#N/A</v>
      </c>
      <c r="DA196" s="154">
        <f>IF(ISNA(VLOOKUP(A196,'Données projet'!$A$139:$I$159,3,0)),0,VLOOKUP(A196,'Données projet'!$A$139:$I$159,3,0))</f>
        <v>0</v>
      </c>
      <c r="DB196" s="154">
        <f>IF(ISNA(VLOOKUP(A196,'Données projet'!$A$139:$I$159,4,0)),0,VLOOKUP(A196,'Données projet'!$A$139:$I$159,4,0))</f>
        <v>0</v>
      </c>
      <c r="DC196" s="155">
        <f>IF(ISNA(VLOOKUP(A196,'Données projet'!$A$139:$I$159,5,0)),0%,VLOOKUP(A196,'Données projet'!$A$139:$I$159,5,0)*VLOOKUP('Données projet'!$B$13,'Paramètres'!$A$1:$I$88,7,0))</f>
        <v>0</v>
      </c>
      <c r="DD196" s="155">
        <f>IF(ISNA(VLOOKUP(A196,'Données projet'!$A$139:$I$159,6,0)),0%,VLOOKUP(A196,'Données projet'!$A$139:$I$159,6,0)*VLOOKUP('Données projet'!$B$13,'Paramètres'!$A$1:$I$88,7,0))</f>
        <v>0</v>
      </c>
      <c r="DE196" s="155">
        <f>IF(ISNA(VLOOKUP(A196,'Données projet'!$A$139:$I$159,7,0)),0%,VLOOKUP(A196,'Données projet'!$A$139:$I$159,7,0))</f>
        <v>0</v>
      </c>
      <c r="DF196" s="162" t="str">
        <f>EXP(-LN(2)/35)*DF195+(1-EXP(-LN(2)/35))/(LN(2)/35)*DB196*DC196*VLOOKUP('Données projet'!$B$13,'Paramètres'!$A$1:$I$88,3,0)*0.475*44/12</f>
        <v>#N/A</v>
      </c>
      <c r="DG196" s="162" t="str">
        <f>EXP(-LN(2)/25)*DG195+(1-EXP(-LN(2)/25))/(LN(2)/25)*Calculateur!DB196*Calculateur!DD196*VLOOKUP('Données projet'!$B$13,'Paramètres'!$A$1:$I$88,3,0)*0.475*44/12</f>
        <v>#N/A</v>
      </c>
      <c r="DH196" s="162" t="str">
        <f>EXP(-LN(2)/2)*DH195+(1-EXP(-LN(2)/2))/(LN(2)/2)*DB196*DE196*VLOOKUP('Données projet'!$B$13,'Paramètres'!$A$1:$I$88,3,0)*0.475*44/12</f>
        <v>#N/A</v>
      </c>
      <c r="DI196" s="163" t="str">
        <f t="shared" si="16"/>
        <v>#N/A</v>
      </c>
      <c r="DJ196" s="159">
        <f>('Scénario référence'!$F$8+'Scénario référence'!$F$9+'Scénario référence'!$B$17+'Scénario référence'!$B$9+'Scénario référence'!$B$10)*70+IF((45+25*(1-EXP(-0.0175*A196)))&lt;70,'Scénario référence'!$B$16*(45+25*(1-EXP(-0.0175*A196))),70*'Scénario référence'!$B$16)+IF((32+38*(1-EXP(-0.0175*A196)))&lt;70,'Scénario référence'!$B$18*(32+38*(1-EXP(-0.0175*A196))),70*'Scénario référence'!$B$18)</f>
        <v>70</v>
      </c>
      <c r="DK196" s="151">
        <f>IF(A196&gt;30,10,('Scénario référence'!$B$16+'Scénario référence'!$B$17+'Scénario référence'!$B$18+'Scénario référence'!$B$9+'Scénario référence'!$B$10)*A196*10/30+('Scénario référence'!$F$8+'Scénario référence'!$F$9)*10)</f>
        <v>10</v>
      </c>
      <c r="DL196" s="151" t="str">
        <f>VLOOKUP(A196,'Données projet'!$A$165:$I$185,2,0)</f>
        <v>#N/A</v>
      </c>
      <c r="DM196" s="151" t="str">
        <f>VLOOKUP(A196,'Données projet'!$A$165:$I$185,9,0)</f>
        <v>#N/A</v>
      </c>
      <c r="DN196" s="151" t="str">
        <f t="array" ref="DN196">INDEX(DM:DM,MIN(IF(ISNUMBER(DM196:DM392),ROW(DM196:DM392),"")))</f>
        <v/>
      </c>
      <c r="DO196" s="151">
        <f>IF('Données projet'!$A$166&gt;35,DO195+DN196-DW195,IF(A196&lt;'Données projet'!$A$166,$DL$205^A196,IF(A196='Données projet'!$A$166,'Données projet'!$B$166,DO195+DN196-DW195)))</f>
        <v>0</v>
      </c>
      <c r="DP196" s="158" t="str">
        <f>DO196*VLOOKUP('Données projet'!$B$14,'Paramètres'!$A$1:$I$88,3,0)*VLOOKUP('Données projet'!$B$14,'Paramètres'!$A$1:$I$88,5,0)</f>
        <v>#N/A</v>
      </c>
      <c r="DQ196" s="150" t="str">
        <f t="shared" si="44"/>
        <v>#N/A</v>
      </c>
      <c r="DR196" s="161" t="str">
        <f t="shared" si="17"/>
        <v>#N/A</v>
      </c>
      <c r="DS196" s="153" t="str">
        <f t="shared" si="18"/>
        <v>#N/A</v>
      </c>
      <c r="DT196" s="153" t="str">
        <f>AVERAGE(OFFSET($DS$3,0,0,'Données projet'!$E$14+1,1))-AVERAGE(OFFSET($H$3,0,0,'Données projet'!$E$14+1,1))</f>
        <v>#N/A</v>
      </c>
      <c r="DU196" s="153" t="str">
        <f t="shared" si="45"/>
        <v>#N/A</v>
      </c>
      <c r="DV196" s="154">
        <f>IF(ISNA(VLOOKUP(A196,'Données projet'!$A$165:$I$185,3,0)),0,VLOOKUP(A196,'Données projet'!$A$165:$I$185,3,0))</f>
        <v>0</v>
      </c>
      <c r="DW196" s="154">
        <f>IF(ISNA(VLOOKUP(A196,'Données projet'!$A$165:$I$185,4,0)),0,VLOOKUP(A196,'Données projet'!$A$165:$I$185,4,0))</f>
        <v>0</v>
      </c>
      <c r="DX196" s="155">
        <f>IF(ISNA(VLOOKUP(A196,'Données projet'!$A$165:$I$185,5,0)),0%,VLOOKUP(A196,'Données projet'!$A$165:$I$185,5,0)*VLOOKUP('Données projet'!$B$14,'Paramètres'!$A$1:$I$88,7,0))</f>
        <v>0</v>
      </c>
      <c r="DY196" s="155">
        <f>IF(ISNA(VLOOKUP(A196,'Données projet'!$A$165:$I$185,6,0)),0%,VLOOKUP(A196,'Données projet'!$A$165:$I$185,6,0)*VLOOKUP('Données projet'!$B$14,'Paramètres'!$A$1:$I$88,7,0))</f>
        <v>0</v>
      </c>
      <c r="DZ196" s="155">
        <f>IF(ISNA(VLOOKUP(A196,'Données projet'!$A$165:$I$185,7,0)),0%,VLOOKUP(A196,'Données projet'!$A$165:$I$185,7,0))</f>
        <v>0</v>
      </c>
      <c r="EA196" s="162" t="str">
        <f>EXP(-LN(2)/35)*EA195+(1-EXP(-LN(2)/35))/(LN(2)/35)*DW196*DX196*VLOOKUP('Données projet'!$B$14,'Paramètres'!$A$1:$I$88,3,0)*0.475*44/12</f>
        <v>#N/A</v>
      </c>
      <c r="EB196" s="162" t="str">
        <f>EXP(-LN(2)/25)*EB195+(1-EXP(-LN(2)/25))/(LN(2)/25)*Calculateur!DW196*Calculateur!DY196*VLOOKUP('Données projet'!$B$14,'Paramètres'!$A$1:$I$88,3,0)*0.475*44/12</f>
        <v>#N/A</v>
      </c>
      <c r="EC196" s="162" t="str">
        <f>EXP(-LN(2)/2)*EC195+(1-EXP(-LN(2)/2))/(LN(2)/2)*DW196*DZ196*VLOOKUP('Données projet'!$B$14,'Paramètres'!$A$1:$I$88,3,0)*0.475*44/12</f>
        <v>#N/A</v>
      </c>
      <c r="ED196" s="163" t="str">
        <f t="shared" si="19"/>
        <v>#N/A</v>
      </c>
      <c r="EE196" s="159">
        <f>('Scénario référence'!$F$8+'Scénario référence'!$F$9+'Scénario référence'!$B$17+'Scénario référence'!$B$9+'Scénario référence'!$B$10)*70+IF((45+25*(1-EXP(-0.0175*A196)))&lt;70,'Scénario référence'!$B$16*(45+25*(1-EXP(-0.0175*A196))),70*'Scénario référence'!$B$16)+IF((32+38*(1-EXP(-0.0175*A196)))&lt;70,'Scénario référence'!$B$18*(32+38*(1-EXP(-0.0175*A196))),70*'Scénario référence'!$B$18)</f>
        <v>70</v>
      </c>
      <c r="EF196" s="151">
        <f>IF(A196&gt;30,10,('Scénario référence'!$B$16+'Scénario référence'!$B$17+'Scénario référence'!$B$18+'Scénario référence'!$B$9+'Scénario référence'!$B$10)*A196*10/30+('Scénario référence'!$F$8+'Scénario référence'!$F$9)*10)</f>
        <v>10</v>
      </c>
      <c r="EG196" s="151" t="str">
        <f>VLOOKUP(A196,'Données projet'!$A$191:$I$211,2,0)</f>
        <v>#N/A</v>
      </c>
      <c r="EH196" s="151" t="str">
        <f>VLOOKUP(A196,'Données projet'!$A$191:$I$211,9,0)</f>
        <v>#N/A</v>
      </c>
      <c r="EI196" s="151" t="str">
        <f t="array" ref="EI196">INDEX(EH:EH,MIN(IF(ISNUMBER(EH196:EH392),ROW(EH196:EH392),"")))</f>
        <v/>
      </c>
      <c r="EJ196" s="151">
        <f>IF('Données projet'!$A$192&gt;35,EJ195+EI196-ER195,IF(A196&lt;'Données projet'!$A$192,$EG$205^A196,IF(A196='Données projet'!$A$192,'Données projet'!$B$192,EJ195+EI196-ER195)))</f>
        <v>0</v>
      </c>
      <c r="EK196" s="158" t="str">
        <f>EJ196*VLOOKUP('Données projet'!$B$15,'Paramètres'!$A$1:$I$88,3,0)*VLOOKUP('Données projet'!$B$15,'Paramètres'!$A$1:$I$88,5,0)</f>
        <v>#N/A</v>
      </c>
      <c r="EL196" s="150" t="str">
        <f t="shared" si="46"/>
        <v>#N/A</v>
      </c>
      <c r="EM196" s="161" t="str">
        <f t="shared" si="20"/>
        <v>#N/A</v>
      </c>
      <c r="EN196" s="153" t="str">
        <f t="shared" si="21"/>
        <v>#N/A</v>
      </c>
      <c r="EO196" s="153" t="str">
        <f>AVERAGE(OFFSET($EN$3,0,0,'Données projet'!$E$15+1,1))-AVERAGE(OFFSET($H$3,0,0,'Données projet'!$E$15+1,1))</f>
        <v>#N/A</v>
      </c>
      <c r="EP196" s="153" t="str">
        <f t="shared" si="47"/>
        <v>#N/A</v>
      </c>
      <c r="EQ196" s="154">
        <f>IF(ISNA(VLOOKUP(A196,'Données projet'!$A$191:$I$211,3,0)),0,VLOOKUP(A196,'Données projet'!$A$191:$I$211,3,0))</f>
        <v>0</v>
      </c>
      <c r="ER196" s="154">
        <f>IF(ISNA(VLOOKUP(A196,'Données projet'!$A$191:$I$211,4,0)),0,VLOOKUP(A196,'Données projet'!$A$191:$I$211,4,0))</f>
        <v>0</v>
      </c>
      <c r="ES196" s="155">
        <f>IF(ISNA(VLOOKUP(A196,'Données projet'!$A$191:$I$211,5,0)),0%,VLOOKUP(A196,'Données projet'!$A$191:$I$211,5,0)*VLOOKUP('Données projet'!$B$15,'Paramètres'!$A$1:$I$88,7,0))</f>
        <v>0</v>
      </c>
      <c r="ET196" s="155">
        <f>IF(ISNA(VLOOKUP(A196,'Données projet'!$A$191:$I$211,6,0)),0%,VLOOKUP(A196,'Données projet'!$A$191:$I$211,6,0)*VLOOKUP('Données projet'!$B$15,'Paramètres'!$A$1:$I$88,7,0))</f>
        <v>0</v>
      </c>
      <c r="EU196" s="155">
        <f>IF(ISNA(VLOOKUP(A196,'Données projet'!$A$191:$I$211,7,0)),0%,VLOOKUP(A196,'Données projet'!$A$191:$I$211,7,0))</f>
        <v>0</v>
      </c>
      <c r="EV196" s="162" t="str">
        <f>EXP(-LN(2)/35)*EV195+(1-EXP(-LN(2)/35))/(LN(2)/35)*ER196*ES196*VLOOKUP('Données projet'!$B$15,'Paramètres'!$A$1:$I$88,3,0)*0.475*44/12</f>
        <v>#N/A</v>
      </c>
      <c r="EW196" s="162" t="str">
        <f>EXP(-LN(2)/25)*EW195+(1-EXP(-LN(2)/25))/(LN(2)/25)*Calculateur!ER196*Calculateur!ET196*VLOOKUP('Données projet'!$B$15,'Paramètres'!$A$1:$I$88,3,0)*0.475*44/12</f>
        <v>#N/A</v>
      </c>
      <c r="EX196" s="162" t="str">
        <f>EXP(-LN(2)/2)*EX195+(1-EXP(-LN(2)/2))/(LN(2)/2)*ER196*EU196*VLOOKUP('Données projet'!$B$15,'Paramètres'!$A$1:$I$88,3,0)*0.475*44/12</f>
        <v>#N/A</v>
      </c>
      <c r="EY196" s="163" t="str">
        <f t="shared" si="22"/>
        <v>#N/A</v>
      </c>
      <c r="EZ196" s="159">
        <f>('Scénario référence'!$F$8+'Scénario référence'!$F$9+'Scénario référence'!$B$17+'Scénario référence'!$B$9+'Scénario référence'!$B$10)*70+IF((45+25*(1-EXP(-0.0175*A196)))&lt;70,'Scénario référence'!$B$16*(45+25*(1-EXP(-0.0175*A196))),70*'Scénario référence'!$B$16)+IF((32+38*(1-EXP(-0.0175*A196)))&lt;70,'Scénario référence'!$B$18*(32+38*(1-EXP(-0.0175*A196))),70*'Scénario référence'!$B$18)</f>
        <v>70</v>
      </c>
      <c r="FA196" s="151">
        <f>IF(A196&gt;30,10,('Scénario référence'!$B$16+'Scénario référence'!$B$17+'Scénario référence'!$B$18+'Scénario référence'!$B$9+'Scénario référence'!$B$10)*A196*10/30+('Scénario référence'!$F$8+'Scénario référence'!$F$9)*10)</f>
        <v>10</v>
      </c>
      <c r="FB196" s="151" t="str">
        <f>VLOOKUP(A196,'Données projet'!$A$217:$I$237,2,0)</f>
        <v>#N/A</v>
      </c>
      <c r="FC196" s="151" t="str">
        <f>VLOOKUP(A196,'Données projet'!$A$217:$I$237,9,0)</f>
        <v>#N/A</v>
      </c>
      <c r="FD196" s="151" t="str">
        <f t="array" ref="FD196">INDEX(FC:FC,MIN(IF(ISNUMBER(FC196:FC392),ROW(FC196:FC392),"")))</f>
        <v/>
      </c>
      <c r="FE196" s="151">
        <f>IF('Données projet'!$A$218&gt;35,FE195+FD196-FM195,IF(A196&lt;'Données projet'!$A$218,$FB$205^A196,IF(A196='Données projet'!$A$218,'Données projet'!$B$218,FE195+FD196-FM195)))</f>
        <v>0</v>
      </c>
      <c r="FF196" s="158" t="str">
        <f>FE196*VLOOKUP('Données projet'!$B$16,'Paramètres'!$A$1:$I$88,3,0)*VLOOKUP('Données projet'!$B$16,'Paramètres'!$A$1:$I$88,5,0)</f>
        <v>#N/A</v>
      </c>
      <c r="FG196" s="150" t="str">
        <f t="shared" si="48"/>
        <v>#N/A</v>
      </c>
      <c r="FH196" s="161" t="str">
        <f t="shared" si="23"/>
        <v>#N/A</v>
      </c>
      <c r="FI196" s="153" t="str">
        <f t="shared" si="24"/>
        <v>#N/A</v>
      </c>
      <c r="FJ196" s="153" t="str">
        <f>AVERAGE(OFFSET($FI$3,0,0,'Données projet'!$E$16+1,1))-AVERAGE(OFFSET($H$3,0,0,'Données projet'!$E$16+1,1))</f>
        <v>#N/A</v>
      </c>
      <c r="FK196" s="153" t="str">
        <f t="shared" si="49"/>
        <v>#N/A</v>
      </c>
      <c r="FL196" s="154">
        <f>IF(ISNA(VLOOKUP(A196,'Données projet'!$A$217:$I$237,3,0)),0,VLOOKUP(A196,'Données projet'!$A$217:$I$237,3,0))</f>
        <v>0</v>
      </c>
      <c r="FM196" s="154">
        <f>IF(ISNA(VLOOKUP(A196,'Données projet'!$A$217:$I$237,4,0)),0,VLOOKUP(A196,'Données projet'!$A$217:$I$237,4,0))</f>
        <v>0</v>
      </c>
      <c r="FN196" s="155">
        <f>IF(ISNA(VLOOKUP(A196,'Données projet'!$A$217:$I$237,5,0)),0%,VLOOKUP(A196,'Données projet'!$A$217:$I$237,5,0)*VLOOKUP('Données projet'!$B$16,'Paramètres'!$A$1:$I$88,7,0))</f>
        <v>0</v>
      </c>
      <c r="FO196" s="155">
        <f>IF(ISNA(VLOOKUP(A196,'Données projet'!$A$217:$I$237,6,0)),0%,VLOOKUP(A196,'Données projet'!$A$217:$I$237,6,0)*VLOOKUP('Données projet'!$B$16,'Paramètres'!$A$1:$I$88,7,0))</f>
        <v>0</v>
      </c>
      <c r="FP196" s="155">
        <f>IF(ISNA(VLOOKUP(A196,'Données projet'!$A$217:$I$237,7,0)),0%,VLOOKUP(A196,'Données projet'!$A$217:$I$237,7,0))</f>
        <v>0</v>
      </c>
      <c r="FQ196" s="162" t="str">
        <f>EXP(-LN(2)/35)*FQ195+(1-EXP(-LN(2)/35))/(LN(2)/35)*FM196*FN196*VLOOKUP('Données projet'!$B$16,'Paramètres'!$A$1:$I$88,3,0)*0.475*44/12</f>
        <v>#N/A</v>
      </c>
      <c r="FR196" s="162" t="str">
        <f>EXP(-LN(2)/25)*FR195+(1-EXP(-LN(2)/25))/(LN(2)/25)*Calculateur!FM196*Calculateur!FO196*VLOOKUP('Données projet'!$B$16,'Paramètres'!$A$1:$I$88,3,0)*0.475*44/12</f>
        <v>#N/A</v>
      </c>
      <c r="FS196" s="162" t="str">
        <f>EXP(-LN(2)/2)*FS195+(1-EXP(-LN(2)/2))/(LN(2)/2)*FM196*FP196*VLOOKUP('Données projet'!$B$16,'Paramètres'!$A$1:$I$88,3,0)*0.475*44/12</f>
        <v>#N/A</v>
      </c>
      <c r="FT196" s="163" t="str">
        <f t="shared" si="25"/>
        <v>#N/A</v>
      </c>
      <c r="FU196" s="159">
        <f>('Scénario référence'!$F$8+'Scénario référence'!$F$9+'Scénario référence'!$B$17+'Scénario référence'!$B$9+'Scénario référence'!$B$10)*70+IF((45+25*(1-EXP(-0.0175*A196)))&lt;70,'Scénario référence'!$B$16*(45+25*(1-EXP(-0.0175*A196))),70*'Scénario référence'!$B$16)+IF((32+38*(1-EXP(-0.0175*A196)))&lt;70,'Scénario référence'!$B$18*(32+38*(1-EXP(-0.0175*A196))),70*'Scénario référence'!$B$18)</f>
        <v>70</v>
      </c>
      <c r="FV196" s="151">
        <f>IF(A196&gt;30,10,('Scénario référence'!$B$16+'Scénario référence'!$B$17+'Scénario référence'!$B$18+'Scénario référence'!$B$9+'Scénario référence'!$B$10)*A196*10/30+('Scénario référence'!$F$8+'Scénario référence'!$F$9)*10)</f>
        <v>10</v>
      </c>
      <c r="FW196" s="151" t="str">
        <f>VLOOKUP(A196,'Données projet'!$A$243:$I$263,2,0)</f>
        <v>#N/A</v>
      </c>
      <c r="FX196" s="151" t="str">
        <f>VLOOKUP(A196,'Données projet'!$A$243:$I$263,9,0)</f>
        <v>#N/A</v>
      </c>
      <c r="FY196" s="151" t="str">
        <f t="array" ref="FY196">INDEX(FX:FX,MIN(IF(ISNUMBER(FX196:FX392),ROW(FX196:FX392),"")))</f>
        <v/>
      </c>
      <c r="FZ196" s="151">
        <f>IF('Données projet'!$A$244&gt;35,FZ195+FY196-GH195,IF(A196&lt;'Données projet'!$A$244,$FW$205^A196,IF(A196='Données projet'!$A$244,'Données projet'!$B$244,FZ195+FY196-GH195)))</f>
        <v>0</v>
      </c>
      <c r="GA196" s="158" t="str">
        <f>FZ196*VLOOKUP('Données projet'!$B$17,'Paramètres'!$A$1:$I$88,3,0)*VLOOKUP('Données projet'!$B$17,'Paramètres'!$A$1:$I$88,5,0)</f>
        <v>#N/A</v>
      </c>
      <c r="GB196" s="150" t="str">
        <f t="shared" si="50"/>
        <v>#N/A</v>
      </c>
      <c r="GC196" s="161" t="str">
        <f t="shared" si="26"/>
        <v>#N/A</v>
      </c>
      <c r="GD196" s="153" t="str">
        <f t="shared" si="27"/>
        <v>#N/A</v>
      </c>
      <c r="GE196" s="153" t="str">
        <f>AVERAGE(OFFSET($GD$3,0,0,'Données projet'!$E$17+1,1))-AVERAGE(OFFSET($H$3,0,0,'Données projet'!$E$17+1,1))</f>
        <v>#N/A</v>
      </c>
      <c r="GF196" s="153" t="str">
        <f t="shared" si="51"/>
        <v>#N/A</v>
      </c>
      <c r="GG196" s="154">
        <f>IF(ISNA(VLOOKUP(A196,'Données projet'!$A$243:$I$263,3,0)),0,VLOOKUP(A196,'Données projet'!$A$243:$I$263,3,0))</f>
        <v>0</v>
      </c>
      <c r="GH196" s="154">
        <f>IF(ISNA(VLOOKUP(A196,'Données projet'!$A$243:$I$263,4,0)),0,VLOOKUP(A196,'Données projet'!$A$243:$I$263,4,0))</f>
        <v>0</v>
      </c>
      <c r="GI196" s="155">
        <f>IF(ISNA(VLOOKUP(A196,'Données projet'!$A$243:$I$263,5,0)),0%,VLOOKUP(A196,'Données projet'!$A$243:$I$263,5,0)*VLOOKUP('Données projet'!$B$17,'Paramètres'!$A$1:$I$88,7,0))</f>
        <v>0</v>
      </c>
      <c r="GJ196" s="155">
        <f>IF(ISNA(VLOOKUP(A196,'Données projet'!$A$243:$I$263,6,0)),0%,VLOOKUP(A196,'Données projet'!$A$243:$I$263,6,0)*VLOOKUP('Données projet'!$B$17,'Paramètres'!$A$1:$I$88,7,0))</f>
        <v>0</v>
      </c>
      <c r="GK196" s="155">
        <f>IF(ISNA(VLOOKUP(A196,'Données projet'!$A$243:$I$263,7,0)),0%,VLOOKUP(A196,'Données projet'!$A$243:$I$263,7,0))</f>
        <v>0</v>
      </c>
      <c r="GL196" s="162" t="str">
        <f>EXP(-LN(2)/35)*GL195+(1-EXP(-LN(2)/35))/(LN(2)/35)*GH196*GI196*VLOOKUP('Données projet'!$B$17,'Paramètres'!$A$1:$I$88,3,0)*0.475*44/12</f>
        <v>#N/A</v>
      </c>
      <c r="GM196" s="162" t="str">
        <f>EXP(-LN(2)/25)*GM195+(1-EXP(-LN(2)/25))/(LN(2)/25)*Calculateur!GH196*Calculateur!GJ196*VLOOKUP('Données projet'!$B$17,'Paramètres'!$A$1:$I$88,3,0)*0.475*44/12</f>
        <v>#N/A</v>
      </c>
      <c r="GN196" s="162" t="str">
        <f>EXP(-LN(2)/2)*GN195+(1-EXP(-LN(2)/2))/(LN(2)/2)*GH196*GK196*VLOOKUP('Données projet'!$B$17,'Paramètres'!$A$1:$I$88,3,0)*0.475*44/12</f>
        <v>#N/A</v>
      </c>
      <c r="GO196" s="162" t="str">
        <f t="shared" si="28"/>
        <v>#N/A</v>
      </c>
      <c r="GP196" s="159">
        <f>('Scénario référence'!$F$8+'Scénario référence'!$F$9+'Scénario référence'!$B$17+'Scénario référence'!$B$9+'Scénario référence'!$B$10)*70+IF((45+25*(1-EXP(-0.0175*A196)))&lt;70,'Scénario référence'!$B$16*(45+25*(1-EXP(-0.0175*A196))),70*'Scénario référence'!$B$16)+IF((32+38*(1-EXP(-0.0175*A196)))&lt;70,'Scénario référence'!$B$18*(32+38*(1-EXP(-0.0175*A196))),70*'Scénario référence'!$B$18)</f>
        <v>70</v>
      </c>
      <c r="GQ196" s="151">
        <f>IF(A196&gt;30,10,('Scénario référence'!$B$16+'Scénario référence'!$B$17+'Scénario référence'!$B$18+'Scénario référence'!$B$9+'Scénario référence'!$B$10)*A196*10/30+('Scénario référence'!$F$8+'Scénario référence'!$F$9)*10)</f>
        <v>10</v>
      </c>
      <c r="GR196" s="151" t="str">
        <f>VLOOKUP(A196,'Données projet'!$A$269:$I$289,2,0)</f>
        <v>#N/A</v>
      </c>
      <c r="GS196" s="151" t="str">
        <f>VLOOKUP(A196,'Données projet'!$A$269:$I$289,9,0)</f>
        <v>#N/A</v>
      </c>
      <c r="GT196" s="151" t="str">
        <f t="array" ref="GT196">INDEX(GS:GS,MIN(IF(ISNUMBER(GS196:GS392),ROW(GS196:GS392),"")))</f>
        <v/>
      </c>
      <c r="GU196" s="151">
        <f>IF('Données projet'!$A$270&gt;35,GU195+GT196-HC195,IF(A196&lt;'Données projet'!$A$270,$GR$205^A196,IF(A196='Données projet'!$A$270,'Données projet'!$B$270,GU195+GT196-HC195)))</f>
        <v>0</v>
      </c>
      <c r="GV196" s="158" t="str">
        <f>GU196*VLOOKUP('Données projet'!$B$18,'Paramètres'!$A$1:$I$88,3,0)*VLOOKUP('Données projet'!$B$18,'Paramètres'!$A$1:$I$88,5,0)</f>
        <v>#N/A</v>
      </c>
      <c r="GW196" s="150" t="str">
        <f t="shared" si="52"/>
        <v>#N/A</v>
      </c>
      <c r="GX196" s="161" t="str">
        <f t="shared" si="29"/>
        <v>#N/A</v>
      </c>
      <c r="GY196" s="153" t="str">
        <f t="shared" si="30"/>
        <v>#N/A</v>
      </c>
      <c r="GZ196" s="153" t="str">
        <f>AVERAGE(OFFSET($GY$3,0,0,'Données projet'!$E$18+1,1))-AVERAGE(OFFSET($H$3,0,0,'Données projet'!$E$18+1,1))</f>
        <v>#N/A</v>
      </c>
      <c r="HA196" s="153" t="str">
        <f t="shared" si="53"/>
        <v>#N/A</v>
      </c>
      <c r="HB196" s="154">
        <f>IF(ISNA(VLOOKUP(A196,'Données projet'!$A$269:$I$289,3,0)),0,VLOOKUP(A196,'Données projet'!$A$269:$I$289,3,0))</f>
        <v>0</v>
      </c>
      <c r="HC196" s="154">
        <f>IF(ISNA(VLOOKUP(A196,'Données projet'!$A$269:$I$289,4,0)),0,VLOOKUP(A196,'Données projet'!$A$269:$I$289,4,0))</f>
        <v>0</v>
      </c>
      <c r="HD196" s="155">
        <f>IF(ISNA(VLOOKUP(A196,'Données projet'!$A$269:$I$289,5,0)),0%,VLOOKUP(A196,'Données projet'!$A$269:$I$289,5,0)*VLOOKUP('Données projet'!$B$18,'Paramètres'!$A$1:$I$88,7,0))</f>
        <v>0</v>
      </c>
      <c r="HE196" s="155">
        <f>IF(ISNA(VLOOKUP(A196,'Données projet'!$A$269:$I$289,6,0)),0%,VLOOKUP(A196,'Données projet'!$A$269:$I$289,6,0)*VLOOKUP('Données projet'!$B$18,'Paramètres'!$A$1:$I$88,7,0))</f>
        <v>0</v>
      </c>
      <c r="HF196" s="155">
        <f>IF(ISNA(VLOOKUP(A196,'Données projet'!$A$269:$I$289,7,0)),0%,VLOOKUP(A196,'Données projet'!$A$269:$I$289,7,0))</f>
        <v>0</v>
      </c>
      <c r="HG196" s="162" t="str">
        <f>EXP(-LN(2)/35)*HG195+(1-EXP(-LN(2)/35))/(LN(2)/35)*HC196*HD196*VLOOKUP('Données projet'!$B$18,'Paramètres'!$A$1:$I$88,3,0)*0.475*44/12</f>
        <v>#N/A</v>
      </c>
      <c r="HH196" s="162" t="str">
        <f>EXP(-LN(2)/25)*HH195+(1-EXP(-LN(2)/25))/(LN(2)/25)*Calculateur!HC196*Calculateur!HE196*VLOOKUP('Données projet'!$B$18,'Paramètres'!$A$1:$I$88,3,0)*0.475*44/12</f>
        <v>#N/A</v>
      </c>
      <c r="HI196" s="162" t="str">
        <f>EXP(-LN(2)/2)*HI195+(1-EXP(-LN(2)/2))/(LN(2)/2)*HC196*HF196*VLOOKUP('Données projet'!$B$18,'Paramètres'!$A$1:$I$88,3,0)*0.475*44/12</f>
        <v>#N/A</v>
      </c>
      <c r="HJ196" s="163" t="str">
        <f t="shared" si="31"/>
        <v>#N/A</v>
      </c>
    </row>
    <row r="197" ht="15.75" customHeight="1">
      <c r="A197" s="145">
        <f t="shared" si="32"/>
        <v>194</v>
      </c>
      <c r="B197" s="146">
        <f>'Scénario référence'!$B$16*5+'Scénario référence'!$B$17*0+'Scénario référence'!$B$18*5</f>
        <v>0</v>
      </c>
      <c r="C197" s="160">
        <f>Calculateur!C196+'Scénario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97" s="147">
        <f t="shared" si="33"/>
        <v>0</v>
      </c>
      <c r="E197" s="147">
        <f>'Scénario référence'!$B$16*45+('Scénario référence'!$B$17+'Scénario référence'!$F$8+'Scénario référence'!$F$9+'Scénario référence'!$B$10+'Scénario référence'!$B$9)*70+'Scénario référence'!$B$18*32</f>
        <v>70</v>
      </c>
      <c r="F197" s="147">
        <f>IF(OR('Scénario référence'!$F$8&gt;0,'Scénario référence'!$F$9&gt;0),('Scénario référence'!$F$8+'Scénario référence'!$F$9)*10,0)</f>
        <v>0</v>
      </c>
      <c r="G197" s="147">
        <f>'Scénario référence'!$B$8*B197*44/12+'Scénario référence'!$B$9*(C197+D197)/0.475*44/12+'Scénario référence'!$B$10*(C197+D197)/0.475*44/12+'Scénario référence'!$F$8*(C197+D197)/0.475*44/12+'Scénario référence'!$F$9*(C197+D197)/0.475*44/12</f>
        <v>0</v>
      </c>
      <c r="H197" s="148">
        <f t="shared" si="1"/>
        <v>256.6666667</v>
      </c>
      <c r="I197" s="149">
        <f>('Scénario référence'!$F$8+'Scénario référence'!$F$9+'Scénario référence'!$B$17+'Scénario référence'!$B$9+'Scénario référence'!$B$10)*70+IF((45+25*(1-EXP(-0.0175*A197)))&lt;70,'Scénario référence'!$B$16*(45+25*(1-EXP(-0.0175*A197))),70*'Scénario référence'!$B$16)+IF((32+38*(1-EXP(-0.0175*A197)))&lt;70,'Scénario référence'!$B$18*(32+38*(1-EXP(-0.0175*A197))),70*'Scénario référence'!$B$18)</f>
        <v>70</v>
      </c>
      <c r="J197" s="150">
        <f>IF(A197&gt;30,10,('Scénario référence'!$B$16+'Scénario référence'!$B$17+'Scénario référence'!$B$18+'Scénario référence'!$B$9+'Scénario référence'!$B$10)*A197*10/30+('Scénario référence'!$F$8+'Scénario référence'!$F$9)*10)</f>
        <v>10</v>
      </c>
      <c r="K197" s="151" t="str">
        <f>VLOOKUP(A197,'Données projet'!$A$35:$I$55,2,0)</f>
        <v>#N/A</v>
      </c>
      <c r="L197" s="151" t="str">
        <f>VLOOKUP(A197,'Données projet'!$A$35:$I$55,9,0)</f>
        <v>#N/A</v>
      </c>
      <c r="M197" s="151" t="str">
        <f t="array" ref="M197">INDEX(L:L,MIN(IF(ISNUMBER(L197:L393),ROW(L197:L393),"")))</f>
        <v/>
      </c>
      <c r="N197" s="150">
        <f>IF('Données projet'!$A$36&gt;35,N196+M197-V196,IF(A197&lt;'Données projet'!$A$36,$K$205^A197,IF(A197='Données projet'!$A$36,'Données projet'!$B$36,N196+M197-V196)))</f>
        <v>307</v>
      </c>
      <c r="O197" s="150">
        <f>N197*VLOOKUP('Données projet'!$B$9,'Paramètres'!$A$1:$I$88,3,0)*VLOOKUP('Données projet'!$B$9,'Paramètres'!$A$1:$I$88,5,0)</f>
        <v>277.7736</v>
      </c>
      <c r="P197" s="150">
        <f t="shared" si="34"/>
        <v>66.49628818</v>
      </c>
      <c r="Q197" s="161">
        <f t="shared" si="2"/>
        <v>599.6033886</v>
      </c>
      <c r="R197" s="153">
        <f t="shared" si="3"/>
        <v>892.9367219</v>
      </c>
      <c r="S197" s="153">
        <f>AVERAGE(OFFSET($R$3,0,0,'Données projet'!$E$9+1,1))-AVERAGE(OFFSET($H$3,0,0,'Données projet'!$E$9+1,1))</f>
        <v>439.1985427</v>
      </c>
      <c r="T197" s="153">
        <f t="shared" si="35"/>
        <v>278.2174123</v>
      </c>
      <c r="U197" s="154">
        <f>IF(ISNA(VLOOKUP(A197,'Données projet'!$A$35:$I$55,3,0)),0,VLOOKUP(A197,'Données projet'!$A$35:$I$55,3,0))</f>
        <v>0</v>
      </c>
      <c r="V197" s="154">
        <f>IF(ISNA(VLOOKUP(A197,'Données projet'!$A$35:$I$55,4,0)),0,VLOOKUP(A197,'Données projet'!$A$35:$I$55,4,0))</f>
        <v>0</v>
      </c>
      <c r="W197" s="155">
        <f>IF(ISNA(VLOOKUP(A197,'Données projet'!$A$35:$I$55,5,0)),0%,VLOOKUP(A197,'Données projet'!$A$35:$I$55,5,0)*VLOOKUP('Données projet'!$B$9,'Paramètres'!$A$1:$I$88,7,0))</f>
        <v>0</v>
      </c>
      <c r="X197" s="155">
        <f>IF(ISNA(VLOOKUP(A197,'Données projet'!$A$35:$I$55,6,0)),0%,VLOOKUP(A197,'Données projet'!$A$35:$I$55,6,0)*VLOOKUP('Données projet'!$B$9,'Paramètres'!$A$1:$I$88,7,0))</f>
        <v>0</v>
      </c>
      <c r="Y197" s="155">
        <f>IF(ISNA(VLOOKUP(A197,'Données projet'!$A$35:$I$55,7,0)),0%,VLOOKUP(A197,'Données projet'!$A$35:$I$55,7,0))</f>
        <v>0</v>
      </c>
      <c r="Z197" s="162">
        <f>EXP(-LN(2)/35)*Z196+(1-EXP(-LN(2)/35))/(LN(2)/35)*V197*W197*VLOOKUP('Données projet'!$B$9,'Paramètres'!$A$1:$I$88,3,0)*0.475*44/12</f>
        <v>0</v>
      </c>
      <c r="AA197" s="162">
        <f>EXP(-LN(2)/25)*AA196+(1-EXP(-LN(2)/25))/(LN(2)/25)*Calculateur!V197*Calculateur!X197*VLOOKUP('Données projet'!$B$9,'Paramètres'!$A$1:$I$88,3,0)*0.475*44/12</f>
        <v>0.0475614961</v>
      </c>
      <c r="AB197" s="162">
        <f>EXP(-LN(2)/2)*AB196+(1-EXP(-LN(2)/2))/(LN(2)/2)*V197*Y197*VLOOKUP('Données projet'!$B$9,'Paramètres'!$A$1:$I$88,3,0)*0.475*44/12</f>
        <v>0</v>
      </c>
      <c r="AC197" s="163">
        <f t="shared" si="4"/>
        <v>0.0475614961</v>
      </c>
      <c r="AD197" s="150">
        <f>('Scénario référence'!$F$8+'Scénario référence'!$F$9+'Scénario référence'!$B$17+'Scénario référence'!$B$9+'Scénario référence'!$B$10)*70+IF((45+25*(1-EXP(-0.0175*A197)))&lt;70,'Scénario référence'!$B$16*(45+25*(1-EXP(-0.0175*A197))),70*'Scénario référence'!$B$16)+IF((32+38*(1-EXP(-0.0175*A197)))&lt;70,'Scénario référence'!$B$18*(32+38*(1-EXP(-0.0175*A197))),70*'Scénario référence'!$B$18)</f>
        <v>70</v>
      </c>
      <c r="AE197" s="150">
        <f>IF(A197&gt;30,10,('Scénario référence'!$B$16+'Scénario référence'!$B$17+'Scénario référence'!$B$18+'Scénario référence'!$B$9+'Scénario référence'!$B$10)*A197*10/30+('Scénario référence'!$F$8+'Scénario référence'!$F$9)*10)</f>
        <v>10</v>
      </c>
      <c r="AF197" s="151" t="str">
        <f>VLOOKUP(A197,'Données projet'!$A$61:$I$81,2,0)</f>
        <v>#N/A</v>
      </c>
      <c r="AG197" s="151" t="str">
        <f>VLOOKUP(A197,'Données projet'!$A$61:$I$81,9,0)</f>
        <v>#N/A</v>
      </c>
      <c r="AH197" s="151" t="str">
        <f t="array" ref="AH197">INDEX(AG:AG,MIN(IF(ISNUMBER(AG197:AG393),ROW(AG197:AG393),"")))</f>
        <v/>
      </c>
      <c r="AI197" s="150">
        <f>IF('Données projet'!$A$62&gt;35,AI196+AH197-AQ196,IF(A197&lt;'Données projet'!$A$62,$AF$205^A197,IF(A197='Données projet'!$A$62,'Données projet'!$B$62,AI196+AH197-AQ196)))</f>
        <v>369</v>
      </c>
      <c r="AJ197" s="150">
        <f>AI197*VLOOKUP('Données projet'!$B$10,'Paramètres'!$A$1:$I$88,3,0)*VLOOKUP('Données projet'!$B$10,'Paramètres'!$A$1:$I$88,5,0)</f>
        <v>293.5764</v>
      </c>
      <c r="AK197" s="150">
        <f t="shared" si="36"/>
        <v>69.82813851</v>
      </c>
      <c r="AL197" s="161">
        <f t="shared" si="5"/>
        <v>632.9295712</v>
      </c>
      <c r="AM197" s="153">
        <f t="shared" si="6"/>
        <v>926.2629046</v>
      </c>
      <c r="AN197" s="153">
        <f>AVERAGE(OFFSET($AM$3,0,0,'Données projet'!$E$10+1,1))-AVERAGE(OFFSET($H$3,0,0,'Données projet'!$E$10+1,1))</f>
        <v>405.6113614</v>
      </c>
      <c r="AO197" s="153">
        <f t="shared" si="37"/>
        <v>393.0787141</v>
      </c>
      <c r="AP197" s="154">
        <f>IF(ISNA(VLOOKUP(A197,'Données projet'!$A$61:$I$81,3,0)),0,VLOOKUP(A197,'Données projet'!$A$61:$I$81,3,0))</f>
        <v>0</v>
      </c>
      <c r="AQ197" s="154">
        <f>IF(ISNA(VLOOKUP(A197,'Données projet'!$A$61:$I$81,4,0)),0,VLOOKUP(A197,'Données projet'!$A$61:$I$81,4,0))</f>
        <v>0</v>
      </c>
      <c r="AR197" s="155">
        <f>IF(ISNA(VLOOKUP(A197,'Données projet'!$A$61:$I$81,5,0)),0%,VLOOKUP(A197,'Données projet'!$A$61:$I$81,5,0)*VLOOKUP('Données projet'!$B$10,'Paramètres'!$A$1:$I$88,7,0))</f>
        <v>0</v>
      </c>
      <c r="AS197" s="155">
        <f>IF(ISNA(VLOOKUP(A197,'Données projet'!$A$61:$I$81,6,0)),0%,VLOOKUP(A197,'Données projet'!$A$61:$I$81,6,0)*VLOOKUP('Données projet'!$B$10,'Paramètres'!$A$1:$I$88,7,0))</f>
        <v>0</v>
      </c>
      <c r="AT197" s="155">
        <f>IF(ISNA(VLOOKUP(A197,'Données projet'!$A$61:$I$81,7,0)),0%,VLOOKUP(A197,'Données projet'!$A$61:$I$81,7,0))</f>
        <v>0</v>
      </c>
      <c r="AU197" s="162">
        <f>EXP(-LN(2)/35)*AU196+(1-EXP(-LN(2)/35))/(LN(2)/35)*AQ197*AR197*VLOOKUP('Données projet'!$B$10,'Paramètres'!$A$1:$I$88,3,0)*0.475*44/12</f>
        <v>0</v>
      </c>
      <c r="AV197" s="162">
        <f>EXP(-LN(2)/25)*AV196+(1-EXP(-LN(2)/25))/(LN(2)/25)*Calculateur!AQ197*Calculateur!AS197*VLOOKUP('Données projet'!$B$10,'Paramètres'!$A$1:$I$88,3,0)*0.475*44/12</f>
        <v>0.1933020108</v>
      </c>
      <c r="AW197" s="162">
        <f>EXP(-LN(2)/2)*AW196+(1-EXP(-LN(2)/2))/(LN(2)/2)*AQ197*AT197*VLOOKUP('Données projet'!$B$10,'Paramètres'!$A$1:$I$88,3,0)*0.475*44/12</f>
        <v>0</v>
      </c>
      <c r="AX197" s="162">
        <f t="shared" si="7"/>
        <v>0.1933020108</v>
      </c>
      <c r="AY197" s="157">
        <f>('Scénario référence'!$F$8+'Scénario référence'!$F$9+'Scénario référence'!$B$17+'Scénario référence'!$B$9+'Scénario référence'!$B$10)*70+IF((45+25*(1-EXP(-0.0175*A197)))&lt;70,'Scénario référence'!$B$16*(45+25*(1-EXP(-0.0175*A197))),70*'Scénario référence'!$B$16)+IF((32+38*(1-EXP(-0.0175*A197)))&lt;70,'Scénario référence'!$B$18*(32+38*(1-EXP(-0.0175*A197))),70*'Scénario référence'!$B$18)</f>
        <v>70</v>
      </c>
      <c r="AZ197" s="151">
        <f>IF(A197&gt;30,10,('Scénario référence'!$B$16+'Scénario référence'!$B$17+'Scénario référence'!$B$18+'Scénario référence'!$B$9+'Scénario référence'!$B$10)*A197*10/30+('Scénario référence'!$F$8+'Scénario référence'!$F$9)*10)</f>
        <v>10</v>
      </c>
      <c r="BA197" s="151" t="str">
        <f>VLOOKUP(A197,'Données projet'!$A$87:$I$107,2,0)</f>
        <v>#N/A</v>
      </c>
      <c r="BB197" s="151" t="str">
        <f>VLOOKUP(A197,'Données projet'!$A$87:$I$107,9,0)</f>
        <v>#N/A</v>
      </c>
      <c r="BC197" s="151" t="str">
        <f t="array" ref="BC197">INDEX(BB:BB,MIN(IF(ISNUMBER(BB197:BB393),ROW(BB197:BB393),"")))</f>
        <v/>
      </c>
      <c r="BD197" s="150">
        <f>IF('Données projet'!$A$88&gt;35,BD196+BC197-BL196,IF(A197&lt;'Données projet'!$A$88,$BA$205^A197,IF(A197='Données projet'!$A$88,'Données projet'!$B$88,BD196+BC197-BL196)))</f>
        <v>0</v>
      </c>
      <c r="BE197" s="150">
        <f>BD197*VLOOKUP('Données projet'!$B$11,'Paramètres'!$A$1:$I$88,3,0)*VLOOKUP('Données projet'!$B$11,'Paramètres'!$A$1:$I$88,5,0)</f>
        <v>0</v>
      </c>
      <c r="BF197" s="150" t="str">
        <f t="shared" si="38"/>
        <v>#NUM!</v>
      </c>
      <c r="BG197" s="161" t="str">
        <f t="shared" si="8"/>
        <v>#NUM!</v>
      </c>
      <c r="BH197" s="153" t="str">
        <f t="shared" si="9"/>
        <v>#NUM!</v>
      </c>
      <c r="BI197" s="153">
        <f>AVERAGE(OFFSET($BH$3,0,0,'Données projet'!$E$11+1,1))-AVERAGE(OFFSET($H$3,0,0,'Données projet'!$E$11+1,1))</f>
        <v>0</v>
      </c>
      <c r="BJ197" s="153">
        <f t="shared" si="39"/>
        <v>0</v>
      </c>
      <c r="BK197" s="154">
        <f>IF(ISNA(VLOOKUP(A197,'Données projet'!$A$87:$I$107,3,0)),0,VLOOKUP(A197,'Données projet'!$A$87:$I$107,3,0))</f>
        <v>0</v>
      </c>
      <c r="BL197" s="154">
        <f>IF(ISNA(VLOOKUP(A197,'Données projet'!$A$87:$I$107,4,0)),0,VLOOKUP(A197,'Données projet'!$A$87:$I$107,4,0))</f>
        <v>0</v>
      </c>
      <c r="BM197" s="155">
        <f>IF(ISNA(VLOOKUP(A197,'Données projet'!$A$87:$I$107,5,0)),0%,VLOOKUP(A197,'Données projet'!$A$87:$I$107,5,0)*VLOOKUP('Données projet'!$B$11,'Paramètres'!$A$1:$I$88,7,0))</f>
        <v>0</v>
      </c>
      <c r="BN197" s="155">
        <f>IF(ISNA(VLOOKUP(A197,'Données projet'!$A$87:$I$107,6,0)),0%,VLOOKUP(A197,'Données projet'!$A$87:$I$107,6,0)*VLOOKUP('Données projet'!$B$11,'Paramètres'!$A$1:$I$88,7,0))</f>
        <v>0</v>
      </c>
      <c r="BO197" s="155">
        <f>IF(ISNA(VLOOKUP(A197,'Données projet'!$A$87:$I$107,7,0)),0%,VLOOKUP(A197,'Données projet'!$A$87:$I$107,7,0))</f>
        <v>0</v>
      </c>
      <c r="BP197" s="162">
        <f>EXP(-LN(2)/35)*BP196+(1-EXP(-LN(2)/35))/(LN(2)/35)*BL197*BM197*VLOOKUP('Données projet'!$B$11,'Paramètres'!$A$1:$I$88,3,0)*0.475*44/12</f>
        <v>0</v>
      </c>
      <c r="BQ197" s="162">
        <f>EXP(-LN(2)/25)*BQ196+(1-EXP(-LN(2)/25))/(LN(2)/25)*Calculateur!BL197*Calculateur!BN197*VLOOKUP('Données projet'!$B$11,'Paramètres'!$A$1:$I$88,3,0)*0.475*44/12</f>
        <v>0</v>
      </c>
      <c r="BR197" s="162">
        <f>EXP(-LN(2)/2)*BR196+(1-EXP(-LN(2)/2))/(LN(2)/2)*BL197*BO197*VLOOKUP('Données projet'!$B$11,'Paramètres'!$A$1:$I$88,3,0)*0.475*44/12</f>
        <v>0</v>
      </c>
      <c r="BS197" s="163">
        <f t="shared" si="10"/>
        <v>0</v>
      </c>
      <c r="BT197" s="159">
        <f>('Scénario référence'!$F$8+'Scénario référence'!$F$9+'Scénario référence'!$B$17+'Scénario référence'!$B$9+'Scénario référence'!$B$10)*70+IF((45+25*(1-EXP(-0.0175*A197)))&lt;70,'Scénario référence'!$B$16*(45+25*(1-EXP(-0.0175*A197))),70*'Scénario référence'!$B$16)+IF((32+38*(1-EXP(-0.0175*A197)))&lt;70,'Scénario référence'!$B$18*(32+38*(1-EXP(-0.0175*A197))),70*'Scénario référence'!$B$18)</f>
        <v>70</v>
      </c>
      <c r="BU197" s="151">
        <f>IF(A197&gt;30,10,('Scénario référence'!$B$16+'Scénario référence'!$B$17+'Scénario référence'!$B$18+'Scénario référence'!$B$9+'Scénario référence'!$B$10)*A197*10/30+('Scénario référence'!$F$8+'Scénario référence'!$F$9)*10)</f>
        <v>10</v>
      </c>
      <c r="BV197" s="151" t="str">
        <f>VLOOKUP(A197,'Données projet'!$A$113:$I$133,2,0)</f>
        <v>#N/A</v>
      </c>
      <c r="BW197" s="151" t="str">
        <f>VLOOKUP(A197,'Données projet'!$A$113:$I$133,9,0)</f>
        <v>#N/A</v>
      </c>
      <c r="BX197" s="151" t="str">
        <f t="array" ref="BX197">INDEX(BW:BW,MIN(IF(ISNUMBER(BW197:BW393),ROW(BW197:BW393),"")))</f>
        <v/>
      </c>
      <c r="BY197" s="150">
        <f>IF('Données projet'!$A$114&gt;35,BY196+BX197-CG196,IF(A197&lt;'Données projet'!$A$114,$BV$205^A197,IF(A197='Données projet'!$A$114,'Données projet'!$B$114,BY196+BX197-CG196)))</f>
        <v>0</v>
      </c>
      <c r="BZ197" s="150" t="str">
        <f>BY197*VLOOKUP('Données projet'!$B$12,'Paramètres'!$A$1:$I$88,3,0)*VLOOKUP('Données projet'!$B$12,'Paramètres'!$A$1:$I$88,5,0)</f>
        <v>#N/A</v>
      </c>
      <c r="CA197" s="150" t="str">
        <f t="shared" si="40"/>
        <v>#N/A</v>
      </c>
      <c r="CB197" s="161" t="str">
        <f t="shared" si="11"/>
        <v>#N/A</v>
      </c>
      <c r="CC197" s="153" t="str">
        <f t="shared" si="12"/>
        <v>#N/A</v>
      </c>
      <c r="CD197" s="153" t="str">
        <f>AVERAGE(OFFSET($CC$3,0,0,'Données projet'!$E$12+1,1))-AVERAGE(OFFSET($H$3,0,0,'Données projet'!$E$12+1,1))</f>
        <v>#N/A</v>
      </c>
      <c r="CE197" s="153" t="str">
        <f t="shared" si="41"/>
        <v>#N/A</v>
      </c>
      <c r="CF197" s="154">
        <f>IF(ISNA(VLOOKUP(A197,'Données projet'!$A$113:$I$133,3,0)),0,VLOOKUP(A197,'Données projet'!$A$113:$I$133,3,0))</f>
        <v>0</v>
      </c>
      <c r="CG197" s="154">
        <f>IF(ISNA(VLOOKUP(A197,'Données projet'!$A$113:$I$133,4,0)),0,VLOOKUP(A197,'Données projet'!$A$113:$I$133,4,0))</f>
        <v>0</v>
      </c>
      <c r="CH197" s="155">
        <f>IF(ISNA(VLOOKUP(A197,'Données projet'!$A$113:$I$133,5,0)),0%,VLOOKUP(A197,'Données projet'!$A$113:$I$133,5,0)*VLOOKUP('Données projet'!$B$12,'Paramètres'!$A$1:$I$88,7,0))</f>
        <v>0</v>
      </c>
      <c r="CI197" s="155">
        <f>IF(ISNA(VLOOKUP(A197,'Données projet'!$A$113:$I$133,6,0)),0%,VLOOKUP(A197,'Données projet'!$A$113:$I$133,6,0)*VLOOKUP('Données projet'!$B$12,'Paramètres'!$A$1:$I$88,7,0))</f>
        <v>0</v>
      </c>
      <c r="CJ197" s="155">
        <f>IF(ISNA(VLOOKUP(A197,'Données projet'!$A$113:$I$133,7,0)),0%,VLOOKUP(A197,'Données projet'!$A$113:$I$133,7,0))</f>
        <v>0</v>
      </c>
      <c r="CK197" s="162" t="str">
        <f>EXP(-LN(2)/35)*CK196+(1-EXP(-LN(2)/35))/(LN(2)/35)*CG197*CH197*VLOOKUP('Données projet'!$B$12,'Paramètres'!$A$1:$I$88,3,0)*0.475*44/12</f>
        <v>#N/A</v>
      </c>
      <c r="CL197" s="162" t="str">
        <f>EXP(-LN(2)/25)*CL196+(1-EXP(-LN(2)/25))/(LN(2)/25)*Calculateur!CG197*Calculateur!CI197*VLOOKUP('Données projet'!$B$12,'Paramètres'!$A$1:$I$88,3,0)*0.475*44/12</f>
        <v>#N/A</v>
      </c>
      <c r="CM197" s="162" t="str">
        <f>EXP(-LN(2)/2)*CM196+(1-EXP(-LN(2)/2))/(LN(2)/2)*CG197*CJ197*VLOOKUP('Données projet'!$B$12,'Paramètres'!$A$1:$I$88,3,0)*0.475*44/12</f>
        <v>#N/A</v>
      </c>
      <c r="CN197" s="163" t="str">
        <f t="shared" si="13"/>
        <v>#N/A</v>
      </c>
      <c r="CO197" s="159">
        <f>('Scénario référence'!$F$8+'Scénario référence'!$F$9+'Scénario référence'!$B$17+'Scénario référence'!$B$9+'Scénario référence'!$B$10)*70+IF((45+25*(1-EXP(-0.0175*A197)))&lt;70,'Scénario référence'!$B$16*(45+25*(1-EXP(-0.0175*A197))),70*'Scénario référence'!$B$16)+IF((32+38*(1-EXP(-0.0175*A197)))&lt;70,'Scénario référence'!$B$18*(32+38*(1-EXP(-0.0175*A197))),70*'Scénario référence'!$B$18)</f>
        <v>70</v>
      </c>
      <c r="CP197" s="151">
        <f>IF(A197&gt;30,10,('Scénario référence'!$B$16+'Scénario référence'!$B$17+'Scénario référence'!$B$18+'Scénario référence'!$B$9+'Scénario référence'!$B$10)*A197*10/30+('Scénario référence'!$F$8+'Scénario référence'!$F$9)*10)</f>
        <v>10</v>
      </c>
      <c r="CQ197" s="151" t="str">
        <f>VLOOKUP(A197,'Données projet'!$A$139:$I$159,2,0)</f>
        <v>#N/A</v>
      </c>
      <c r="CR197" s="151" t="str">
        <f>VLOOKUP(A197,'Données projet'!$A$139:$I$159,9,0)</f>
        <v>#N/A</v>
      </c>
      <c r="CS197" s="151" t="str">
        <f t="array" ref="CS197">INDEX(CR:CR,MIN(IF(ISNUMBER(CR197:CR393),ROW(CR197:CR393),"")))</f>
        <v/>
      </c>
      <c r="CT197" s="151">
        <f>IF('Données projet'!$A$140&gt;35,CT196+CS197-DB196,IF(A197&lt;'Données projet'!$A$140,$CQ$205^A197,IF(A197='Données projet'!$A$140,'Données projet'!$B$140,CT196+CS197-DB196)))</f>
        <v>0</v>
      </c>
      <c r="CU197" s="158" t="str">
        <f>CT197*VLOOKUP('Données projet'!$B$13,'Paramètres'!$A$1:$I$88,3,0)*VLOOKUP('Données projet'!$B$13,'Paramètres'!$A$1:$I$88,5,0)</f>
        <v>#N/A</v>
      </c>
      <c r="CV197" s="150" t="str">
        <f t="shared" si="42"/>
        <v>#N/A</v>
      </c>
      <c r="CW197" s="161" t="str">
        <f t="shared" si="14"/>
        <v>#N/A</v>
      </c>
      <c r="CX197" s="153" t="str">
        <f t="shared" si="15"/>
        <v>#N/A</v>
      </c>
      <c r="CY197" s="153" t="str">
        <f>AVERAGE(OFFSET($CX$3,0,0,'Données projet'!$E$13+1,1))-AVERAGE(OFFSET($H$3,0,0,'Données projet'!$E$13+1,1))</f>
        <v>#N/A</v>
      </c>
      <c r="CZ197" s="153" t="str">
        <f t="shared" si="43"/>
        <v>#N/A</v>
      </c>
      <c r="DA197" s="154">
        <f>IF(ISNA(VLOOKUP(A197,'Données projet'!$A$139:$I$159,3,0)),0,VLOOKUP(A197,'Données projet'!$A$139:$I$159,3,0))</f>
        <v>0</v>
      </c>
      <c r="DB197" s="154">
        <f>IF(ISNA(VLOOKUP(A197,'Données projet'!$A$139:$I$159,4,0)),0,VLOOKUP(A197,'Données projet'!$A$139:$I$159,4,0))</f>
        <v>0</v>
      </c>
      <c r="DC197" s="155">
        <f>IF(ISNA(VLOOKUP(A197,'Données projet'!$A$139:$I$159,5,0)),0%,VLOOKUP(A197,'Données projet'!$A$139:$I$159,5,0)*VLOOKUP('Données projet'!$B$13,'Paramètres'!$A$1:$I$88,7,0))</f>
        <v>0</v>
      </c>
      <c r="DD197" s="155">
        <f>IF(ISNA(VLOOKUP(A197,'Données projet'!$A$139:$I$159,6,0)),0%,VLOOKUP(A197,'Données projet'!$A$139:$I$159,6,0)*VLOOKUP('Données projet'!$B$13,'Paramètres'!$A$1:$I$88,7,0))</f>
        <v>0</v>
      </c>
      <c r="DE197" s="155">
        <f>IF(ISNA(VLOOKUP(A197,'Données projet'!$A$139:$I$159,7,0)),0%,VLOOKUP(A197,'Données projet'!$A$139:$I$159,7,0))</f>
        <v>0</v>
      </c>
      <c r="DF197" s="162" t="str">
        <f>EXP(-LN(2)/35)*DF196+(1-EXP(-LN(2)/35))/(LN(2)/35)*DB197*DC197*VLOOKUP('Données projet'!$B$13,'Paramètres'!$A$1:$I$88,3,0)*0.475*44/12</f>
        <v>#N/A</v>
      </c>
      <c r="DG197" s="162" t="str">
        <f>EXP(-LN(2)/25)*DG196+(1-EXP(-LN(2)/25))/(LN(2)/25)*Calculateur!DB197*Calculateur!DD197*VLOOKUP('Données projet'!$B$13,'Paramètres'!$A$1:$I$88,3,0)*0.475*44/12</f>
        <v>#N/A</v>
      </c>
      <c r="DH197" s="162" t="str">
        <f>EXP(-LN(2)/2)*DH196+(1-EXP(-LN(2)/2))/(LN(2)/2)*DB197*DE197*VLOOKUP('Données projet'!$B$13,'Paramètres'!$A$1:$I$88,3,0)*0.475*44/12</f>
        <v>#N/A</v>
      </c>
      <c r="DI197" s="163" t="str">
        <f t="shared" si="16"/>
        <v>#N/A</v>
      </c>
      <c r="DJ197" s="159">
        <f>('Scénario référence'!$F$8+'Scénario référence'!$F$9+'Scénario référence'!$B$17+'Scénario référence'!$B$9+'Scénario référence'!$B$10)*70+IF((45+25*(1-EXP(-0.0175*A197)))&lt;70,'Scénario référence'!$B$16*(45+25*(1-EXP(-0.0175*A197))),70*'Scénario référence'!$B$16)+IF((32+38*(1-EXP(-0.0175*A197)))&lt;70,'Scénario référence'!$B$18*(32+38*(1-EXP(-0.0175*A197))),70*'Scénario référence'!$B$18)</f>
        <v>70</v>
      </c>
      <c r="DK197" s="151">
        <f>IF(A197&gt;30,10,('Scénario référence'!$B$16+'Scénario référence'!$B$17+'Scénario référence'!$B$18+'Scénario référence'!$B$9+'Scénario référence'!$B$10)*A197*10/30+('Scénario référence'!$F$8+'Scénario référence'!$F$9)*10)</f>
        <v>10</v>
      </c>
      <c r="DL197" s="151" t="str">
        <f>VLOOKUP(A197,'Données projet'!$A$165:$I$185,2,0)</f>
        <v>#N/A</v>
      </c>
      <c r="DM197" s="151" t="str">
        <f>VLOOKUP(A197,'Données projet'!$A$165:$I$185,9,0)</f>
        <v>#N/A</v>
      </c>
      <c r="DN197" s="151" t="str">
        <f t="array" ref="DN197">INDEX(DM:DM,MIN(IF(ISNUMBER(DM197:DM393),ROW(DM197:DM393),"")))</f>
        <v/>
      </c>
      <c r="DO197" s="151">
        <f>IF('Données projet'!$A$166&gt;35,DO196+DN197-DW196,IF(A197&lt;'Données projet'!$A$166,$DL$205^A197,IF(A197='Données projet'!$A$166,'Données projet'!$B$166,DO196+DN197-DW196)))</f>
        <v>0</v>
      </c>
      <c r="DP197" s="158" t="str">
        <f>DO197*VLOOKUP('Données projet'!$B$14,'Paramètres'!$A$1:$I$88,3,0)*VLOOKUP('Données projet'!$B$14,'Paramètres'!$A$1:$I$88,5,0)</f>
        <v>#N/A</v>
      </c>
      <c r="DQ197" s="150" t="str">
        <f t="shared" si="44"/>
        <v>#N/A</v>
      </c>
      <c r="DR197" s="161" t="str">
        <f t="shared" si="17"/>
        <v>#N/A</v>
      </c>
      <c r="DS197" s="153" t="str">
        <f t="shared" si="18"/>
        <v>#N/A</v>
      </c>
      <c r="DT197" s="153" t="str">
        <f>AVERAGE(OFFSET($DS$3,0,0,'Données projet'!$E$14+1,1))-AVERAGE(OFFSET($H$3,0,0,'Données projet'!$E$14+1,1))</f>
        <v>#N/A</v>
      </c>
      <c r="DU197" s="153" t="str">
        <f t="shared" si="45"/>
        <v>#N/A</v>
      </c>
      <c r="DV197" s="154">
        <f>IF(ISNA(VLOOKUP(A197,'Données projet'!$A$165:$I$185,3,0)),0,VLOOKUP(A197,'Données projet'!$A$165:$I$185,3,0))</f>
        <v>0</v>
      </c>
      <c r="DW197" s="154">
        <f>IF(ISNA(VLOOKUP(A197,'Données projet'!$A$165:$I$185,4,0)),0,VLOOKUP(A197,'Données projet'!$A$165:$I$185,4,0))</f>
        <v>0</v>
      </c>
      <c r="DX197" s="155">
        <f>IF(ISNA(VLOOKUP(A197,'Données projet'!$A$165:$I$185,5,0)),0%,VLOOKUP(A197,'Données projet'!$A$165:$I$185,5,0)*VLOOKUP('Données projet'!$B$14,'Paramètres'!$A$1:$I$88,7,0))</f>
        <v>0</v>
      </c>
      <c r="DY197" s="155">
        <f>IF(ISNA(VLOOKUP(A197,'Données projet'!$A$165:$I$185,6,0)),0%,VLOOKUP(A197,'Données projet'!$A$165:$I$185,6,0)*VLOOKUP('Données projet'!$B$14,'Paramètres'!$A$1:$I$88,7,0))</f>
        <v>0</v>
      </c>
      <c r="DZ197" s="155">
        <f>IF(ISNA(VLOOKUP(A197,'Données projet'!$A$165:$I$185,7,0)),0%,VLOOKUP(A197,'Données projet'!$A$165:$I$185,7,0))</f>
        <v>0</v>
      </c>
      <c r="EA197" s="162" t="str">
        <f>EXP(-LN(2)/35)*EA196+(1-EXP(-LN(2)/35))/(LN(2)/35)*DW197*DX197*VLOOKUP('Données projet'!$B$14,'Paramètres'!$A$1:$I$88,3,0)*0.475*44/12</f>
        <v>#N/A</v>
      </c>
      <c r="EB197" s="162" t="str">
        <f>EXP(-LN(2)/25)*EB196+(1-EXP(-LN(2)/25))/(LN(2)/25)*Calculateur!DW197*Calculateur!DY197*VLOOKUP('Données projet'!$B$14,'Paramètres'!$A$1:$I$88,3,0)*0.475*44/12</f>
        <v>#N/A</v>
      </c>
      <c r="EC197" s="162" t="str">
        <f>EXP(-LN(2)/2)*EC196+(1-EXP(-LN(2)/2))/(LN(2)/2)*DW197*DZ197*VLOOKUP('Données projet'!$B$14,'Paramètres'!$A$1:$I$88,3,0)*0.475*44/12</f>
        <v>#N/A</v>
      </c>
      <c r="ED197" s="163" t="str">
        <f t="shared" si="19"/>
        <v>#N/A</v>
      </c>
      <c r="EE197" s="159">
        <f>('Scénario référence'!$F$8+'Scénario référence'!$F$9+'Scénario référence'!$B$17+'Scénario référence'!$B$9+'Scénario référence'!$B$10)*70+IF((45+25*(1-EXP(-0.0175*A197)))&lt;70,'Scénario référence'!$B$16*(45+25*(1-EXP(-0.0175*A197))),70*'Scénario référence'!$B$16)+IF((32+38*(1-EXP(-0.0175*A197)))&lt;70,'Scénario référence'!$B$18*(32+38*(1-EXP(-0.0175*A197))),70*'Scénario référence'!$B$18)</f>
        <v>70</v>
      </c>
      <c r="EF197" s="151">
        <f>IF(A197&gt;30,10,('Scénario référence'!$B$16+'Scénario référence'!$B$17+'Scénario référence'!$B$18+'Scénario référence'!$B$9+'Scénario référence'!$B$10)*A197*10/30+('Scénario référence'!$F$8+'Scénario référence'!$F$9)*10)</f>
        <v>10</v>
      </c>
      <c r="EG197" s="151" t="str">
        <f>VLOOKUP(A197,'Données projet'!$A$191:$I$211,2,0)</f>
        <v>#N/A</v>
      </c>
      <c r="EH197" s="151" t="str">
        <f>VLOOKUP(A197,'Données projet'!$A$191:$I$211,9,0)</f>
        <v>#N/A</v>
      </c>
      <c r="EI197" s="151" t="str">
        <f t="array" ref="EI197">INDEX(EH:EH,MIN(IF(ISNUMBER(EH197:EH393),ROW(EH197:EH393),"")))</f>
        <v/>
      </c>
      <c r="EJ197" s="151">
        <f>IF('Données projet'!$A$192&gt;35,EJ196+EI197-ER196,IF(A197&lt;'Données projet'!$A$192,$EG$205^A197,IF(A197='Données projet'!$A$192,'Données projet'!$B$192,EJ196+EI197-ER196)))</f>
        <v>0</v>
      </c>
      <c r="EK197" s="158" t="str">
        <f>EJ197*VLOOKUP('Données projet'!$B$15,'Paramètres'!$A$1:$I$88,3,0)*VLOOKUP('Données projet'!$B$15,'Paramètres'!$A$1:$I$88,5,0)</f>
        <v>#N/A</v>
      </c>
      <c r="EL197" s="150" t="str">
        <f t="shared" si="46"/>
        <v>#N/A</v>
      </c>
      <c r="EM197" s="161" t="str">
        <f t="shared" si="20"/>
        <v>#N/A</v>
      </c>
      <c r="EN197" s="153" t="str">
        <f t="shared" si="21"/>
        <v>#N/A</v>
      </c>
      <c r="EO197" s="153" t="str">
        <f>AVERAGE(OFFSET($EN$3,0,0,'Données projet'!$E$15+1,1))-AVERAGE(OFFSET($H$3,0,0,'Données projet'!$E$15+1,1))</f>
        <v>#N/A</v>
      </c>
      <c r="EP197" s="153" t="str">
        <f t="shared" si="47"/>
        <v>#N/A</v>
      </c>
      <c r="EQ197" s="154">
        <f>IF(ISNA(VLOOKUP(A197,'Données projet'!$A$191:$I$211,3,0)),0,VLOOKUP(A197,'Données projet'!$A$191:$I$211,3,0))</f>
        <v>0</v>
      </c>
      <c r="ER197" s="154">
        <f>IF(ISNA(VLOOKUP(A197,'Données projet'!$A$191:$I$211,4,0)),0,VLOOKUP(A197,'Données projet'!$A$191:$I$211,4,0))</f>
        <v>0</v>
      </c>
      <c r="ES197" s="155">
        <f>IF(ISNA(VLOOKUP(A197,'Données projet'!$A$191:$I$211,5,0)),0%,VLOOKUP(A197,'Données projet'!$A$191:$I$211,5,0)*VLOOKUP('Données projet'!$B$15,'Paramètres'!$A$1:$I$88,7,0))</f>
        <v>0</v>
      </c>
      <c r="ET197" s="155">
        <f>IF(ISNA(VLOOKUP(A197,'Données projet'!$A$191:$I$211,6,0)),0%,VLOOKUP(A197,'Données projet'!$A$191:$I$211,6,0)*VLOOKUP('Données projet'!$B$15,'Paramètres'!$A$1:$I$88,7,0))</f>
        <v>0</v>
      </c>
      <c r="EU197" s="155">
        <f>IF(ISNA(VLOOKUP(A197,'Données projet'!$A$191:$I$211,7,0)),0%,VLOOKUP(A197,'Données projet'!$A$191:$I$211,7,0))</f>
        <v>0</v>
      </c>
      <c r="EV197" s="162" t="str">
        <f>EXP(-LN(2)/35)*EV196+(1-EXP(-LN(2)/35))/(LN(2)/35)*ER197*ES197*VLOOKUP('Données projet'!$B$15,'Paramètres'!$A$1:$I$88,3,0)*0.475*44/12</f>
        <v>#N/A</v>
      </c>
      <c r="EW197" s="162" t="str">
        <f>EXP(-LN(2)/25)*EW196+(1-EXP(-LN(2)/25))/(LN(2)/25)*Calculateur!ER197*Calculateur!ET197*VLOOKUP('Données projet'!$B$15,'Paramètres'!$A$1:$I$88,3,0)*0.475*44/12</f>
        <v>#N/A</v>
      </c>
      <c r="EX197" s="162" t="str">
        <f>EXP(-LN(2)/2)*EX196+(1-EXP(-LN(2)/2))/(LN(2)/2)*ER197*EU197*VLOOKUP('Données projet'!$B$15,'Paramètres'!$A$1:$I$88,3,0)*0.475*44/12</f>
        <v>#N/A</v>
      </c>
      <c r="EY197" s="163" t="str">
        <f t="shared" si="22"/>
        <v>#N/A</v>
      </c>
      <c r="EZ197" s="159">
        <f>('Scénario référence'!$F$8+'Scénario référence'!$F$9+'Scénario référence'!$B$17+'Scénario référence'!$B$9+'Scénario référence'!$B$10)*70+IF((45+25*(1-EXP(-0.0175*A197)))&lt;70,'Scénario référence'!$B$16*(45+25*(1-EXP(-0.0175*A197))),70*'Scénario référence'!$B$16)+IF((32+38*(1-EXP(-0.0175*A197)))&lt;70,'Scénario référence'!$B$18*(32+38*(1-EXP(-0.0175*A197))),70*'Scénario référence'!$B$18)</f>
        <v>70</v>
      </c>
      <c r="FA197" s="151">
        <f>IF(A197&gt;30,10,('Scénario référence'!$B$16+'Scénario référence'!$B$17+'Scénario référence'!$B$18+'Scénario référence'!$B$9+'Scénario référence'!$B$10)*A197*10/30+('Scénario référence'!$F$8+'Scénario référence'!$F$9)*10)</f>
        <v>10</v>
      </c>
      <c r="FB197" s="151" t="str">
        <f>VLOOKUP(A197,'Données projet'!$A$217:$I$237,2,0)</f>
        <v>#N/A</v>
      </c>
      <c r="FC197" s="151" t="str">
        <f>VLOOKUP(A197,'Données projet'!$A$217:$I$237,9,0)</f>
        <v>#N/A</v>
      </c>
      <c r="FD197" s="151" t="str">
        <f t="array" ref="FD197">INDEX(FC:FC,MIN(IF(ISNUMBER(FC197:FC393),ROW(FC197:FC393),"")))</f>
        <v/>
      </c>
      <c r="FE197" s="151">
        <f>IF('Données projet'!$A$218&gt;35,FE196+FD197-FM196,IF(A197&lt;'Données projet'!$A$218,$FB$205^A197,IF(A197='Données projet'!$A$218,'Données projet'!$B$218,FE196+FD197-FM196)))</f>
        <v>0</v>
      </c>
      <c r="FF197" s="158" t="str">
        <f>FE197*VLOOKUP('Données projet'!$B$16,'Paramètres'!$A$1:$I$88,3,0)*VLOOKUP('Données projet'!$B$16,'Paramètres'!$A$1:$I$88,5,0)</f>
        <v>#N/A</v>
      </c>
      <c r="FG197" s="150" t="str">
        <f t="shared" si="48"/>
        <v>#N/A</v>
      </c>
      <c r="FH197" s="161" t="str">
        <f t="shared" si="23"/>
        <v>#N/A</v>
      </c>
      <c r="FI197" s="153" t="str">
        <f t="shared" si="24"/>
        <v>#N/A</v>
      </c>
      <c r="FJ197" s="153" t="str">
        <f>AVERAGE(OFFSET($FI$3,0,0,'Données projet'!$E$16+1,1))-AVERAGE(OFFSET($H$3,0,0,'Données projet'!$E$16+1,1))</f>
        <v>#N/A</v>
      </c>
      <c r="FK197" s="153" t="str">
        <f t="shared" si="49"/>
        <v>#N/A</v>
      </c>
      <c r="FL197" s="154">
        <f>IF(ISNA(VLOOKUP(A197,'Données projet'!$A$217:$I$237,3,0)),0,VLOOKUP(A197,'Données projet'!$A$217:$I$237,3,0))</f>
        <v>0</v>
      </c>
      <c r="FM197" s="154">
        <f>IF(ISNA(VLOOKUP(A197,'Données projet'!$A$217:$I$237,4,0)),0,VLOOKUP(A197,'Données projet'!$A$217:$I$237,4,0))</f>
        <v>0</v>
      </c>
      <c r="FN197" s="155">
        <f>IF(ISNA(VLOOKUP(A197,'Données projet'!$A$217:$I$237,5,0)),0%,VLOOKUP(A197,'Données projet'!$A$217:$I$237,5,0)*VLOOKUP('Données projet'!$B$16,'Paramètres'!$A$1:$I$88,7,0))</f>
        <v>0</v>
      </c>
      <c r="FO197" s="155">
        <f>IF(ISNA(VLOOKUP(A197,'Données projet'!$A$217:$I$237,6,0)),0%,VLOOKUP(A197,'Données projet'!$A$217:$I$237,6,0)*VLOOKUP('Données projet'!$B$16,'Paramètres'!$A$1:$I$88,7,0))</f>
        <v>0</v>
      </c>
      <c r="FP197" s="155">
        <f>IF(ISNA(VLOOKUP(A197,'Données projet'!$A$217:$I$237,7,0)),0%,VLOOKUP(A197,'Données projet'!$A$217:$I$237,7,0))</f>
        <v>0</v>
      </c>
      <c r="FQ197" s="162" t="str">
        <f>EXP(-LN(2)/35)*FQ196+(1-EXP(-LN(2)/35))/(LN(2)/35)*FM197*FN197*VLOOKUP('Données projet'!$B$16,'Paramètres'!$A$1:$I$88,3,0)*0.475*44/12</f>
        <v>#N/A</v>
      </c>
      <c r="FR197" s="162" t="str">
        <f>EXP(-LN(2)/25)*FR196+(1-EXP(-LN(2)/25))/(LN(2)/25)*Calculateur!FM197*Calculateur!FO197*VLOOKUP('Données projet'!$B$16,'Paramètres'!$A$1:$I$88,3,0)*0.475*44/12</f>
        <v>#N/A</v>
      </c>
      <c r="FS197" s="162" t="str">
        <f>EXP(-LN(2)/2)*FS196+(1-EXP(-LN(2)/2))/(LN(2)/2)*FM197*FP197*VLOOKUP('Données projet'!$B$16,'Paramètres'!$A$1:$I$88,3,0)*0.475*44/12</f>
        <v>#N/A</v>
      </c>
      <c r="FT197" s="163" t="str">
        <f t="shared" si="25"/>
        <v>#N/A</v>
      </c>
      <c r="FU197" s="159">
        <f>('Scénario référence'!$F$8+'Scénario référence'!$F$9+'Scénario référence'!$B$17+'Scénario référence'!$B$9+'Scénario référence'!$B$10)*70+IF((45+25*(1-EXP(-0.0175*A197)))&lt;70,'Scénario référence'!$B$16*(45+25*(1-EXP(-0.0175*A197))),70*'Scénario référence'!$B$16)+IF((32+38*(1-EXP(-0.0175*A197)))&lt;70,'Scénario référence'!$B$18*(32+38*(1-EXP(-0.0175*A197))),70*'Scénario référence'!$B$18)</f>
        <v>70</v>
      </c>
      <c r="FV197" s="151">
        <f>IF(A197&gt;30,10,('Scénario référence'!$B$16+'Scénario référence'!$B$17+'Scénario référence'!$B$18+'Scénario référence'!$B$9+'Scénario référence'!$B$10)*A197*10/30+('Scénario référence'!$F$8+'Scénario référence'!$F$9)*10)</f>
        <v>10</v>
      </c>
      <c r="FW197" s="151" t="str">
        <f>VLOOKUP(A197,'Données projet'!$A$243:$I$263,2,0)</f>
        <v>#N/A</v>
      </c>
      <c r="FX197" s="151" t="str">
        <f>VLOOKUP(A197,'Données projet'!$A$243:$I$263,9,0)</f>
        <v>#N/A</v>
      </c>
      <c r="FY197" s="151" t="str">
        <f t="array" ref="FY197">INDEX(FX:FX,MIN(IF(ISNUMBER(FX197:FX393),ROW(FX197:FX393),"")))</f>
        <v/>
      </c>
      <c r="FZ197" s="151">
        <f>IF('Données projet'!$A$244&gt;35,FZ196+FY197-GH196,IF(A197&lt;'Données projet'!$A$244,$FW$205^A197,IF(A197='Données projet'!$A$244,'Données projet'!$B$244,FZ196+FY197-GH196)))</f>
        <v>0</v>
      </c>
      <c r="GA197" s="158" t="str">
        <f>FZ197*VLOOKUP('Données projet'!$B$17,'Paramètres'!$A$1:$I$88,3,0)*VLOOKUP('Données projet'!$B$17,'Paramètres'!$A$1:$I$88,5,0)</f>
        <v>#N/A</v>
      </c>
      <c r="GB197" s="150" t="str">
        <f t="shared" si="50"/>
        <v>#N/A</v>
      </c>
      <c r="GC197" s="161" t="str">
        <f t="shared" si="26"/>
        <v>#N/A</v>
      </c>
      <c r="GD197" s="153" t="str">
        <f t="shared" si="27"/>
        <v>#N/A</v>
      </c>
      <c r="GE197" s="153" t="str">
        <f>AVERAGE(OFFSET($GD$3,0,0,'Données projet'!$E$17+1,1))-AVERAGE(OFFSET($H$3,0,0,'Données projet'!$E$17+1,1))</f>
        <v>#N/A</v>
      </c>
      <c r="GF197" s="153" t="str">
        <f t="shared" si="51"/>
        <v>#N/A</v>
      </c>
      <c r="GG197" s="154">
        <f>IF(ISNA(VLOOKUP(A197,'Données projet'!$A$243:$I$263,3,0)),0,VLOOKUP(A197,'Données projet'!$A$243:$I$263,3,0))</f>
        <v>0</v>
      </c>
      <c r="GH197" s="154">
        <f>IF(ISNA(VLOOKUP(A197,'Données projet'!$A$243:$I$263,4,0)),0,VLOOKUP(A197,'Données projet'!$A$243:$I$263,4,0))</f>
        <v>0</v>
      </c>
      <c r="GI197" s="155">
        <f>IF(ISNA(VLOOKUP(A197,'Données projet'!$A$243:$I$263,5,0)),0%,VLOOKUP(A197,'Données projet'!$A$243:$I$263,5,0)*VLOOKUP('Données projet'!$B$17,'Paramètres'!$A$1:$I$88,7,0))</f>
        <v>0</v>
      </c>
      <c r="GJ197" s="155">
        <f>IF(ISNA(VLOOKUP(A197,'Données projet'!$A$243:$I$263,6,0)),0%,VLOOKUP(A197,'Données projet'!$A$243:$I$263,6,0)*VLOOKUP('Données projet'!$B$17,'Paramètres'!$A$1:$I$88,7,0))</f>
        <v>0</v>
      </c>
      <c r="GK197" s="155">
        <f>IF(ISNA(VLOOKUP(A197,'Données projet'!$A$243:$I$263,7,0)),0%,VLOOKUP(A197,'Données projet'!$A$243:$I$263,7,0))</f>
        <v>0</v>
      </c>
      <c r="GL197" s="162" t="str">
        <f>EXP(-LN(2)/35)*GL196+(1-EXP(-LN(2)/35))/(LN(2)/35)*GH197*GI197*VLOOKUP('Données projet'!$B$17,'Paramètres'!$A$1:$I$88,3,0)*0.475*44/12</f>
        <v>#N/A</v>
      </c>
      <c r="GM197" s="162" t="str">
        <f>EXP(-LN(2)/25)*GM196+(1-EXP(-LN(2)/25))/(LN(2)/25)*Calculateur!GH197*Calculateur!GJ197*VLOOKUP('Données projet'!$B$17,'Paramètres'!$A$1:$I$88,3,0)*0.475*44/12</f>
        <v>#N/A</v>
      </c>
      <c r="GN197" s="162" t="str">
        <f>EXP(-LN(2)/2)*GN196+(1-EXP(-LN(2)/2))/(LN(2)/2)*GH197*GK197*VLOOKUP('Données projet'!$B$17,'Paramètres'!$A$1:$I$88,3,0)*0.475*44/12</f>
        <v>#N/A</v>
      </c>
      <c r="GO197" s="162" t="str">
        <f t="shared" si="28"/>
        <v>#N/A</v>
      </c>
      <c r="GP197" s="159">
        <f>('Scénario référence'!$F$8+'Scénario référence'!$F$9+'Scénario référence'!$B$17+'Scénario référence'!$B$9+'Scénario référence'!$B$10)*70+IF((45+25*(1-EXP(-0.0175*A197)))&lt;70,'Scénario référence'!$B$16*(45+25*(1-EXP(-0.0175*A197))),70*'Scénario référence'!$B$16)+IF((32+38*(1-EXP(-0.0175*A197)))&lt;70,'Scénario référence'!$B$18*(32+38*(1-EXP(-0.0175*A197))),70*'Scénario référence'!$B$18)</f>
        <v>70</v>
      </c>
      <c r="GQ197" s="151">
        <f>IF(A197&gt;30,10,('Scénario référence'!$B$16+'Scénario référence'!$B$17+'Scénario référence'!$B$18+'Scénario référence'!$B$9+'Scénario référence'!$B$10)*A197*10/30+('Scénario référence'!$F$8+'Scénario référence'!$F$9)*10)</f>
        <v>10</v>
      </c>
      <c r="GR197" s="151" t="str">
        <f>VLOOKUP(A197,'Données projet'!$A$269:$I$289,2,0)</f>
        <v>#N/A</v>
      </c>
      <c r="GS197" s="151" t="str">
        <f>VLOOKUP(A197,'Données projet'!$A$269:$I$289,9,0)</f>
        <v>#N/A</v>
      </c>
      <c r="GT197" s="151" t="str">
        <f t="array" ref="GT197">INDEX(GS:GS,MIN(IF(ISNUMBER(GS197:GS393),ROW(GS197:GS393),"")))</f>
        <v/>
      </c>
      <c r="GU197" s="151">
        <f>IF('Données projet'!$A$270&gt;35,GU196+GT197-HC196,IF(A197&lt;'Données projet'!$A$270,$GR$205^A197,IF(A197='Données projet'!$A$270,'Données projet'!$B$270,GU196+GT197-HC196)))</f>
        <v>0</v>
      </c>
      <c r="GV197" s="158" t="str">
        <f>GU197*VLOOKUP('Données projet'!$B$18,'Paramètres'!$A$1:$I$88,3,0)*VLOOKUP('Données projet'!$B$18,'Paramètres'!$A$1:$I$88,5,0)</f>
        <v>#N/A</v>
      </c>
      <c r="GW197" s="150" t="str">
        <f t="shared" si="52"/>
        <v>#N/A</v>
      </c>
      <c r="GX197" s="161" t="str">
        <f t="shared" si="29"/>
        <v>#N/A</v>
      </c>
      <c r="GY197" s="153" t="str">
        <f t="shared" si="30"/>
        <v>#N/A</v>
      </c>
      <c r="GZ197" s="153" t="str">
        <f>AVERAGE(OFFSET($GY$3,0,0,'Données projet'!$E$18+1,1))-AVERAGE(OFFSET($H$3,0,0,'Données projet'!$E$18+1,1))</f>
        <v>#N/A</v>
      </c>
      <c r="HA197" s="153" t="str">
        <f t="shared" si="53"/>
        <v>#N/A</v>
      </c>
      <c r="HB197" s="154">
        <f>IF(ISNA(VLOOKUP(A197,'Données projet'!$A$269:$I$289,3,0)),0,VLOOKUP(A197,'Données projet'!$A$269:$I$289,3,0))</f>
        <v>0</v>
      </c>
      <c r="HC197" s="154">
        <f>IF(ISNA(VLOOKUP(A197,'Données projet'!$A$269:$I$289,4,0)),0,VLOOKUP(A197,'Données projet'!$A$269:$I$289,4,0))</f>
        <v>0</v>
      </c>
      <c r="HD197" s="155">
        <f>IF(ISNA(VLOOKUP(A197,'Données projet'!$A$269:$I$289,5,0)),0%,VLOOKUP(A197,'Données projet'!$A$269:$I$289,5,0)*VLOOKUP('Données projet'!$B$18,'Paramètres'!$A$1:$I$88,7,0))</f>
        <v>0</v>
      </c>
      <c r="HE197" s="155">
        <f>IF(ISNA(VLOOKUP(A197,'Données projet'!$A$269:$I$289,6,0)),0%,VLOOKUP(A197,'Données projet'!$A$269:$I$289,6,0)*VLOOKUP('Données projet'!$B$18,'Paramètres'!$A$1:$I$88,7,0))</f>
        <v>0</v>
      </c>
      <c r="HF197" s="155">
        <f>IF(ISNA(VLOOKUP(A197,'Données projet'!$A$269:$I$289,7,0)),0%,VLOOKUP(A197,'Données projet'!$A$269:$I$289,7,0))</f>
        <v>0</v>
      </c>
      <c r="HG197" s="162" t="str">
        <f>EXP(-LN(2)/35)*HG196+(1-EXP(-LN(2)/35))/(LN(2)/35)*HC197*HD197*VLOOKUP('Données projet'!$B$18,'Paramètres'!$A$1:$I$88,3,0)*0.475*44/12</f>
        <v>#N/A</v>
      </c>
      <c r="HH197" s="162" t="str">
        <f>EXP(-LN(2)/25)*HH196+(1-EXP(-LN(2)/25))/(LN(2)/25)*Calculateur!HC197*Calculateur!HE197*VLOOKUP('Données projet'!$B$18,'Paramètres'!$A$1:$I$88,3,0)*0.475*44/12</f>
        <v>#N/A</v>
      </c>
      <c r="HI197" s="162" t="str">
        <f>EXP(-LN(2)/2)*HI196+(1-EXP(-LN(2)/2))/(LN(2)/2)*HC197*HF197*VLOOKUP('Données projet'!$B$18,'Paramètres'!$A$1:$I$88,3,0)*0.475*44/12</f>
        <v>#N/A</v>
      </c>
      <c r="HJ197" s="163" t="str">
        <f t="shared" si="31"/>
        <v>#N/A</v>
      </c>
    </row>
    <row r="198" ht="15.75" customHeight="1">
      <c r="A198" s="145">
        <f t="shared" si="32"/>
        <v>195</v>
      </c>
      <c r="B198" s="146">
        <f>'Scénario référence'!$B$16*5+'Scénario référence'!$B$17*0+'Scénario référence'!$B$18*5</f>
        <v>0</v>
      </c>
      <c r="C198" s="160">
        <f>Calculateur!C197+'Scénario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98" s="147">
        <f t="shared" si="33"/>
        <v>0</v>
      </c>
      <c r="E198" s="147">
        <f>'Scénario référence'!$B$16*45+('Scénario référence'!$B$17+'Scénario référence'!$F$8+'Scénario référence'!$F$9+'Scénario référence'!$B$10+'Scénario référence'!$B$9)*70+'Scénario référence'!$B$18*32</f>
        <v>70</v>
      </c>
      <c r="F198" s="147">
        <f>IF(OR('Scénario référence'!$F$8&gt;0,'Scénario référence'!$F$9&gt;0),('Scénario référence'!$F$8+'Scénario référence'!$F$9)*10,0)</f>
        <v>0</v>
      </c>
      <c r="G198" s="147">
        <f>'Scénario référence'!$B$8*B198*44/12+'Scénario référence'!$B$9*(C198+D198)/0.475*44/12+'Scénario référence'!$B$10*(C198+D198)/0.475*44/12+'Scénario référence'!$F$8*(C198+D198)/0.475*44/12+'Scénario référence'!$F$9*(C198+D198)/0.475*44/12</f>
        <v>0</v>
      </c>
      <c r="H198" s="148">
        <f t="shared" si="1"/>
        <v>256.6666667</v>
      </c>
      <c r="I198" s="149">
        <f>('Scénario référence'!$F$8+'Scénario référence'!$F$9+'Scénario référence'!$B$17+'Scénario référence'!$B$9+'Scénario référence'!$B$10)*70+IF((45+25*(1-EXP(-0.0175*A198)))&lt;70,'Scénario référence'!$B$16*(45+25*(1-EXP(-0.0175*A198))),70*'Scénario référence'!$B$16)+IF((32+38*(1-EXP(-0.0175*A198)))&lt;70,'Scénario référence'!$B$18*(32+38*(1-EXP(-0.0175*A198))),70*'Scénario référence'!$B$18)</f>
        <v>70</v>
      </c>
      <c r="J198" s="150">
        <f>IF(A198&gt;30,10,('Scénario référence'!$B$16+'Scénario référence'!$B$17+'Scénario référence'!$B$18+'Scénario référence'!$B$9+'Scénario référence'!$B$10)*A198*10/30+('Scénario référence'!$F$8+'Scénario référence'!$F$9)*10)</f>
        <v>10</v>
      </c>
      <c r="K198" s="151" t="str">
        <f>VLOOKUP(A198,'Données projet'!$A$35:$I$55,2,0)</f>
        <v>#N/A</v>
      </c>
      <c r="L198" s="151" t="str">
        <f>VLOOKUP(A198,'Données projet'!$A$35:$I$55,9,0)</f>
        <v>#N/A</v>
      </c>
      <c r="M198" s="151" t="str">
        <f t="array" ref="M198">INDEX(L:L,MIN(IF(ISNUMBER(L198:L394),ROW(L198:L394),"")))</f>
        <v/>
      </c>
      <c r="N198" s="150">
        <f>IF('Données projet'!$A$36&gt;35,N197+M198-V197,IF(A198&lt;'Données projet'!$A$36,$K$205^A198,IF(A198='Données projet'!$A$36,'Données projet'!$B$36,N197+M198-V197)))</f>
        <v>307</v>
      </c>
      <c r="O198" s="150">
        <f>N198*VLOOKUP('Données projet'!$B$9,'Paramètres'!$A$1:$I$88,3,0)*VLOOKUP('Données projet'!$B$9,'Paramètres'!$A$1:$I$88,5,0)</f>
        <v>277.7736</v>
      </c>
      <c r="P198" s="150">
        <f t="shared" si="34"/>
        <v>66.49628818</v>
      </c>
      <c r="Q198" s="161">
        <f t="shared" si="2"/>
        <v>599.6033886</v>
      </c>
      <c r="R198" s="153">
        <f t="shared" si="3"/>
        <v>892.9367219</v>
      </c>
      <c r="S198" s="153">
        <f>AVERAGE(OFFSET($R$3,0,0,'Données projet'!$E$9+1,1))-AVERAGE(OFFSET($H$3,0,0,'Données projet'!$E$9+1,1))</f>
        <v>439.1985427</v>
      </c>
      <c r="T198" s="153">
        <f t="shared" si="35"/>
        <v>278.2174123</v>
      </c>
      <c r="U198" s="154">
        <f>IF(ISNA(VLOOKUP(A198,'Données projet'!$A$35:$I$55,3,0)),0,VLOOKUP(A198,'Données projet'!$A$35:$I$55,3,0))</f>
        <v>0</v>
      </c>
      <c r="V198" s="154">
        <f>IF(ISNA(VLOOKUP(A198,'Données projet'!$A$35:$I$55,4,0)),0,VLOOKUP(A198,'Données projet'!$A$35:$I$55,4,0))</f>
        <v>0</v>
      </c>
      <c r="W198" s="155">
        <f>IF(ISNA(VLOOKUP(A198,'Données projet'!$A$35:$I$55,5,0)),0%,VLOOKUP(A198,'Données projet'!$A$35:$I$55,5,0)*VLOOKUP('Données projet'!$B$9,'Paramètres'!$A$1:$I$88,7,0))</f>
        <v>0</v>
      </c>
      <c r="X198" s="155">
        <f>IF(ISNA(VLOOKUP(A198,'Données projet'!$A$35:$I$55,6,0)),0%,VLOOKUP(A198,'Données projet'!$A$35:$I$55,6,0)*VLOOKUP('Données projet'!$B$9,'Paramètres'!$A$1:$I$88,7,0))</f>
        <v>0</v>
      </c>
      <c r="Y198" s="155">
        <f>IF(ISNA(VLOOKUP(A198,'Données projet'!$A$35:$I$55,7,0)),0%,VLOOKUP(A198,'Données projet'!$A$35:$I$55,7,0))</f>
        <v>0</v>
      </c>
      <c r="Z198" s="162">
        <f>EXP(-LN(2)/35)*Z197+(1-EXP(-LN(2)/35))/(LN(2)/35)*V198*W198*VLOOKUP('Données projet'!$B$9,'Paramètres'!$A$1:$I$88,3,0)*0.475*44/12</f>
        <v>0</v>
      </c>
      <c r="AA198" s="162">
        <f>EXP(-LN(2)/25)*AA197+(1-EXP(-LN(2)/25))/(LN(2)/25)*Calculateur!V198*Calculateur!X198*VLOOKUP('Données projet'!$B$9,'Paramètres'!$A$1:$I$88,3,0)*0.475*44/12</f>
        <v>0.04626092449</v>
      </c>
      <c r="AB198" s="162">
        <f>EXP(-LN(2)/2)*AB197+(1-EXP(-LN(2)/2))/(LN(2)/2)*V198*Y198*VLOOKUP('Données projet'!$B$9,'Paramètres'!$A$1:$I$88,3,0)*0.475*44/12</f>
        <v>0</v>
      </c>
      <c r="AC198" s="163">
        <f t="shared" si="4"/>
        <v>0.04626092449</v>
      </c>
      <c r="AD198" s="150">
        <f>('Scénario référence'!$F$8+'Scénario référence'!$F$9+'Scénario référence'!$B$17+'Scénario référence'!$B$9+'Scénario référence'!$B$10)*70+IF((45+25*(1-EXP(-0.0175*A198)))&lt;70,'Scénario référence'!$B$16*(45+25*(1-EXP(-0.0175*A198))),70*'Scénario référence'!$B$16)+IF((32+38*(1-EXP(-0.0175*A198)))&lt;70,'Scénario référence'!$B$18*(32+38*(1-EXP(-0.0175*A198))),70*'Scénario référence'!$B$18)</f>
        <v>70</v>
      </c>
      <c r="AE198" s="150">
        <f>IF(A198&gt;30,10,('Scénario référence'!$B$16+'Scénario référence'!$B$17+'Scénario référence'!$B$18+'Scénario référence'!$B$9+'Scénario référence'!$B$10)*A198*10/30+('Scénario référence'!$F$8+'Scénario référence'!$F$9)*10)</f>
        <v>10</v>
      </c>
      <c r="AF198" s="151" t="str">
        <f>VLOOKUP(A198,'Données projet'!$A$61:$I$81,2,0)</f>
        <v>#N/A</v>
      </c>
      <c r="AG198" s="151" t="str">
        <f>VLOOKUP(A198,'Données projet'!$A$61:$I$81,9,0)</f>
        <v>#N/A</v>
      </c>
      <c r="AH198" s="151" t="str">
        <f t="array" ref="AH198">INDEX(AG:AG,MIN(IF(ISNUMBER(AG198:AG394),ROW(AG198:AG394),"")))</f>
        <v/>
      </c>
      <c r="AI198" s="150">
        <f>IF('Données projet'!$A$62&gt;35,AI197+AH198-AQ197,IF(A198&lt;'Données projet'!$A$62,$AF$205^A198,IF(A198='Données projet'!$A$62,'Données projet'!$B$62,AI197+AH198-AQ197)))</f>
        <v>369</v>
      </c>
      <c r="AJ198" s="150">
        <f>AI198*VLOOKUP('Données projet'!$B$10,'Paramètres'!$A$1:$I$88,3,0)*VLOOKUP('Données projet'!$B$10,'Paramètres'!$A$1:$I$88,5,0)</f>
        <v>293.5764</v>
      </c>
      <c r="AK198" s="150">
        <f t="shared" si="36"/>
        <v>69.82813851</v>
      </c>
      <c r="AL198" s="161">
        <f t="shared" si="5"/>
        <v>632.9295712</v>
      </c>
      <c r="AM198" s="153">
        <f t="shared" si="6"/>
        <v>926.2629046</v>
      </c>
      <c r="AN198" s="153">
        <f>AVERAGE(OFFSET($AM$3,0,0,'Données projet'!$E$10+1,1))-AVERAGE(OFFSET($H$3,0,0,'Données projet'!$E$10+1,1))</f>
        <v>405.6113614</v>
      </c>
      <c r="AO198" s="153">
        <f t="shared" si="37"/>
        <v>393.0787141</v>
      </c>
      <c r="AP198" s="154">
        <f>IF(ISNA(VLOOKUP(A198,'Données projet'!$A$61:$I$81,3,0)),0,VLOOKUP(A198,'Données projet'!$A$61:$I$81,3,0))</f>
        <v>0</v>
      </c>
      <c r="AQ198" s="154">
        <f>IF(ISNA(VLOOKUP(A198,'Données projet'!$A$61:$I$81,4,0)),0,VLOOKUP(A198,'Données projet'!$A$61:$I$81,4,0))</f>
        <v>0</v>
      </c>
      <c r="AR198" s="155">
        <f>IF(ISNA(VLOOKUP(A198,'Données projet'!$A$61:$I$81,5,0)),0%,VLOOKUP(A198,'Données projet'!$A$61:$I$81,5,0)*VLOOKUP('Données projet'!$B$10,'Paramètres'!$A$1:$I$88,7,0))</f>
        <v>0</v>
      </c>
      <c r="AS198" s="155">
        <f>IF(ISNA(VLOOKUP(A198,'Données projet'!$A$61:$I$81,6,0)),0%,VLOOKUP(A198,'Données projet'!$A$61:$I$81,6,0)*VLOOKUP('Données projet'!$B$10,'Paramètres'!$A$1:$I$88,7,0))</f>
        <v>0</v>
      </c>
      <c r="AT198" s="155">
        <f>IF(ISNA(VLOOKUP(A198,'Données projet'!$A$61:$I$81,7,0)),0%,VLOOKUP(A198,'Données projet'!$A$61:$I$81,7,0))</f>
        <v>0</v>
      </c>
      <c r="AU198" s="162">
        <f>EXP(-LN(2)/35)*AU197+(1-EXP(-LN(2)/35))/(LN(2)/35)*AQ198*AR198*VLOOKUP('Données projet'!$B$10,'Paramètres'!$A$1:$I$88,3,0)*0.475*44/12</f>
        <v>0</v>
      </c>
      <c r="AV198" s="162">
        <f>EXP(-LN(2)/25)*AV197+(1-EXP(-LN(2)/25))/(LN(2)/25)*Calculateur!AQ198*Calculateur!AS198*VLOOKUP('Données projet'!$B$10,'Paramètres'!$A$1:$I$88,3,0)*0.475*44/12</f>
        <v>0.1880161571</v>
      </c>
      <c r="AW198" s="162">
        <f>EXP(-LN(2)/2)*AW197+(1-EXP(-LN(2)/2))/(LN(2)/2)*AQ198*AT198*VLOOKUP('Données projet'!$B$10,'Paramètres'!$A$1:$I$88,3,0)*0.475*44/12</f>
        <v>0</v>
      </c>
      <c r="AX198" s="162">
        <f t="shared" si="7"/>
        <v>0.1880161571</v>
      </c>
      <c r="AY198" s="157">
        <f>('Scénario référence'!$F$8+'Scénario référence'!$F$9+'Scénario référence'!$B$17+'Scénario référence'!$B$9+'Scénario référence'!$B$10)*70+IF((45+25*(1-EXP(-0.0175*A198)))&lt;70,'Scénario référence'!$B$16*(45+25*(1-EXP(-0.0175*A198))),70*'Scénario référence'!$B$16)+IF((32+38*(1-EXP(-0.0175*A198)))&lt;70,'Scénario référence'!$B$18*(32+38*(1-EXP(-0.0175*A198))),70*'Scénario référence'!$B$18)</f>
        <v>70</v>
      </c>
      <c r="AZ198" s="151">
        <f>IF(A198&gt;30,10,('Scénario référence'!$B$16+'Scénario référence'!$B$17+'Scénario référence'!$B$18+'Scénario référence'!$B$9+'Scénario référence'!$B$10)*A198*10/30+('Scénario référence'!$F$8+'Scénario référence'!$F$9)*10)</f>
        <v>10</v>
      </c>
      <c r="BA198" s="151" t="str">
        <f>VLOOKUP(A198,'Données projet'!$A$87:$I$107,2,0)</f>
        <v>#N/A</v>
      </c>
      <c r="BB198" s="151" t="str">
        <f>VLOOKUP(A198,'Données projet'!$A$87:$I$107,9,0)</f>
        <v>#N/A</v>
      </c>
      <c r="BC198" s="151" t="str">
        <f t="array" ref="BC198">INDEX(BB:BB,MIN(IF(ISNUMBER(BB198:BB394),ROW(BB198:BB394),"")))</f>
        <v/>
      </c>
      <c r="BD198" s="150">
        <f>IF('Données projet'!$A$88&gt;35,BD197+BC198-BL197,IF(A198&lt;'Données projet'!$A$88,$BA$205^A198,IF(A198='Données projet'!$A$88,'Données projet'!$B$88,BD197+BC198-BL197)))</f>
        <v>0</v>
      </c>
      <c r="BE198" s="150">
        <f>BD198*VLOOKUP('Données projet'!$B$11,'Paramètres'!$A$1:$I$88,3,0)*VLOOKUP('Données projet'!$B$11,'Paramètres'!$A$1:$I$88,5,0)</f>
        <v>0</v>
      </c>
      <c r="BF198" s="150" t="str">
        <f t="shared" si="38"/>
        <v>#NUM!</v>
      </c>
      <c r="BG198" s="161" t="str">
        <f t="shared" si="8"/>
        <v>#NUM!</v>
      </c>
      <c r="BH198" s="153" t="str">
        <f t="shared" si="9"/>
        <v>#NUM!</v>
      </c>
      <c r="BI198" s="153">
        <f>AVERAGE(OFFSET($BH$3,0,0,'Données projet'!$E$11+1,1))-AVERAGE(OFFSET($H$3,0,0,'Données projet'!$E$11+1,1))</f>
        <v>0</v>
      </c>
      <c r="BJ198" s="153">
        <f t="shared" si="39"/>
        <v>0</v>
      </c>
      <c r="BK198" s="154">
        <f>IF(ISNA(VLOOKUP(A198,'Données projet'!$A$87:$I$107,3,0)),0,VLOOKUP(A198,'Données projet'!$A$87:$I$107,3,0))</f>
        <v>0</v>
      </c>
      <c r="BL198" s="154">
        <f>IF(ISNA(VLOOKUP(A198,'Données projet'!$A$87:$I$107,4,0)),0,VLOOKUP(A198,'Données projet'!$A$87:$I$107,4,0))</f>
        <v>0</v>
      </c>
      <c r="BM198" s="155">
        <f>IF(ISNA(VLOOKUP(A198,'Données projet'!$A$87:$I$107,5,0)),0%,VLOOKUP(A198,'Données projet'!$A$87:$I$107,5,0)*VLOOKUP('Données projet'!$B$11,'Paramètres'!$A$1:$I$88,7,0))</f>
        <v>0</v>
      </c>
      <c r="BN198" s="155">
        <f>IF(ISNA(VLOOKUP(A198,'Données projet'!$A$87:$I$107,6,0)),0%,VLOOKUP(A198,'Données projet'!$A$87:$I$107,6,0)*VLOOKUP('Données projet'!$B$11,'Paramètres'!$A$1:$I$88,7,0))</f>
        <v>0</v>
      </c>
      <c r="BO198" s="155">
        <f>IF(ISNA(VLOOKUP(A198,'Données projet'!$A$87:$I$107,7,0)),0%,VLOOKUP(A198,'Données projet'!$A$87:$I$107,7,0))</f>
        <v>0</v>
      </c>
      <c r="BP198" s="162">
        <f>EXP(-LN(2)/35)*BP197+(1-EXP(-LN(2)/35))/(LN(2)/35)*BL198*BM198*VLOOKUP('Données projet'!$B$11,'Paramètres'!$A$1:$I$88,3,0)*0.475*44/12</f>
        <v>0</v>
      </c>
      <c r="BQ198" s="162">
        <f>EXP(-LN(2)/25)*BQ197+(1-EXP(-LN(2)/25))/(LN(2)/25)*Calculateur!BL198*Calculateur!BN198*VLOOKUP('Données projet'!$B$11,'Paramètres'!$A$1:$I$88,3,0)*0.475*44/12</f>
        <v>0</v>
      </c>
      <c r="BR198" s="162">
        <f>EXP(-LN(2)/2)*BR197+(1-EXP(-LN(2)/2))/(LN(2)/2)*BL198*BO198*VLOOKUP('Données projet'!$B$11,'Paramètres'!$A$1:$I$88,3,0)*0.475*44/12</f>
        <v>0</v>
      </c>
      <c r="BS198" s="163">
        <f t="shared" si="10"/>
        <v>0</v>
      </c>
      <c r="BT198" s="159">
        <f>('Scénario référence'!$F$8+'Scénario référence'!$F$9+'Scénario référence'!$B$17+'Scénario référence'!$B$9+'Scénario référence'!$B$10)*70+IF((45+25*(1-EXP(-0.0175*A198)))&lt;70,'Scénario référence'!$B$16*(45+25*(1-EXP(-0.0175*A198))),70*'Scénario référence'!$B$16)+IF((32+38*(1-EXP(-0.0175*A198)))&lt;70,'Scénario référence'!$B$18*(32+38*(1-EXP(-0.0175*A198))),70*'Scénario référence'!$B$18)</f>
        <v>70</v>
      </c>
      <c r="BU198" s="151">
        <f>IF(A198&gt;30,10,('Scénario référence'!$B$16+'Scénario référence'!$B$17+'Scénario référence'!$B$18+'Scénario référence'!$B$9+'Scénario référence'!$B$10)*A198*10/30+('Scénario référence'!$F$8+'Scénario référence'!$F$9)*10)</f>
        <v>10</v>
      </c>
      <c r="BV198" s="151" t="str">
        <f>VLOOKUP(A198,'Données projet'!$A$113:$I$133,2,0)</f>
        <v>#N/A</v>
      </c>
      <c r="BW198" s="151" t="str">
        <f>VLOOKUP(A198,'Données projet'!$A$113:$I$133,9,0)</f>
        <v>#N/A</v>
      </c>
      <c r="BX198" s="151" t="str">
        <f t="array" ref="BX198">INDEX(BW:BW,MIN(IF(ISNUMBER(BW198:BW394),ROW(BW198:BW394),"")))</f>
        <v/>
      </c>
      <c r="BY198" s="150">
        <f>IF('Données projet'!$A$114&gt;35,BY197+BX198-CG197,IF(A198&lt;'Données projet'!$A$114,$BV$205^A198,IF(A198='Données projet'!$A$114,'Données projet'!$B$114,BY197+BX198-CG197)))</f>
        <v>0</v>
      </c>
      <c r="BZ198" s="150" t="str">
        <f>BY198*VLOOKUP('Données projet'!$B$12,'Paramètres'!$A$1:$I$88,3,0)*VLOOKUP('Données projet'!$B$12,'Paramètres'!$A$1:$I$88,5,0)</f>
        <v>#N/A</v>
      </c>
      <c r="CA198" s="150" t="str">
        <f t="shared" si="40"/>
        <v>#N/A</v>
      </c>
      <c r="CB198" s="161" t="str">
        <f t="shared" si="11"/>
        <v>#N/A</v>
      </c>
      <c r="CC198" s="153" t="str">
        <f t="shared" si="12"/>
        <v>#N/A</v>
      </c>
      <c r="CD198" s="153" t="str">
        <f>AVERAGE(OFFSET($CC$3,0,0,'Données projet'!$E$12+1,1))-AVERAGE(OFFSET($H$3,0,0,'Données projet'!$E$12+1,1))</f>
        <v>#N/A</v>
      </c>
      <c r="CE198" s="153" t="str">
        <f t="shared" si="41"/>
        <v>#N/A</v>
      </c>
      <c r="CF198" s="154">
        <f>IF(ISNA(VLOOKUP(A198,'Données projet'!$A$113:$I$133,3,0)),0,VLOOKUP(A198,'Données projet'!$A$113:$I$133,3,0))</f>
        <v>0</v>
      </c>
      <c r="CG198" s="154">
        <f>IF(ISNA(VLOOKUP(A198,'Données projet'!$A$113:$I$133,4,0)),0,VLOOKUP(A198,'Données projet'!$A$113:$I$133,4,0))</f>
        <v>0</v>
      </c>
      <c r="CH198" s="155">
        <f>IF(ISNA(VLOOKUP(A198,'Données projet'!$A$113:$I$133,5,0)),0%,VLOOKUP(A198,'Données projet'!$A$113:$I$133,5,0)*VLOOKUP('Données projet'!$B$12,'Paramètres'!$A$1:$I$88,7,0))</f>
        <v>0</v>
      </c>
      <c r="CI198" s="155">
        <f>IF(ISNA(VLOOKUP(A198,'Données projet'!$A$113:$I$133,6,0)),0%,VLOOKUP(A198,'Données projet'!$A$113:$I$133,6,0)*VLOOKUP('Données projet'!$B$12,'Paramètres'!$A$1:$I$88,7,0))</f>
        <v>0</v>
      </c>
      <c r="CJ198" s="155">
        <f>IF(ISNA(VLOOKUP(A198,'Données projet'!$A$113:$I$133,7,0)),0%,VLOOKUP(A198,'Données projet'!$A$113:$I$133,7,0))</f>
        <v>0</v>
      </c>
      <c r="CK198" s="162" t="str">
        <f>EXP(-LN(2)/35)*CK197+(1-EXP(-LN(2)/35))/(LN(2)/35)*CG198*CH198*VLOOKUP('Données projet'!$B$12,'Paramètres'!$A$1:$I$88,3,0)*0.475*44/12</f>
        <v>#N/A</v>
      </c>
      <c r="CL198" s="162" t="str">
        <f>EXP(-LN(2)/25)*CL197+(1-EXP(-LN(2)/25))/(LN(2)/25)*Calculateur!CG198*Calculateur!CI198*VLOOKUP('Données projet'!$B$12,'Paramètres'!$A$1:$I$88,3,0)*0.475*44/12</f>
        <v>#N/A</v>
      </c>
      <c r="CM198" s="162" t="str">
        <f>EXP(-LN(2)/2)*CM197+(1-EXP(-LN(2)/2))/(LN(2)/2)*CG198*CJ198*VLOOKUP('Données projet'!$B$12,'Paramètres'!$A$1:$I$88,3,0)*0.475*44/12</f>
        <v>#N/A</v>
      </c>
      <c r="CN198" s="163" t="str">
        <f t="shared" si="13"/>
        <v>#N/A</v>
      </c>
      <c r="CO198" s="159">
        <f>('Scénario référence'!$F$8+'Scénario référence'!$F$9+'Scénario référence'!$B$17+'Scénario référence'!$B$9+'Scénario référence'!$B$10)*70+IF((45+25*(1-EXP(-0.0175*A198)))&lt;70,'Scénario référence'!$B$16*(45+25*(1-EXP(-0.0175*A198))),70*'Scénario référence'!$B$16)+IF((32+38*(1-EXP(-0.0175*A198)))&lt;70,'Scénario référence'!$B$18*(32+38*(1-EXP(-0.0175*A198))),70*'Scénario référence'!$B$18)</f>
        <v>70</v>
      </c>
      <c r="CP198" s="151">
        <f>IF(A198&gt;30,10,('Scénario référence'!$B$16+'Scénario référence'!$B$17+'Scénario référence'!$B$18+'Scénario référence'!$B$9+'Scénario référence'!$B$10)*A198*10/30+('Scénario référence'!$F$8+'Scénario référence'!$F$9)*10)</f>
        <v>10</v>
      </c>
      <c r="CQ198" s="151" t="str">
        <f>VLOOKUP(A198,'Données projet'!$A$139:$I$159,2,0)</f>
        <v>#N/A</v>
      </c>
      <c r="CR198" s="151" t="str">
        <f>VLOOKUP(A198,'Données projet'!$A$139:$I$159,9,0)</f>
        <v>#N/A</v>
      </c>
      <c r="CS198" s="151" t="str">
        <f t="array" ref="CS198">INDEX(CR:CR,MIN(IF(ISNUMBER(CR198:CR394),ROW(CR198:CR394),"")))</f>
        <v/>
      </c>
      <c r="CT198" s="151">
        <f>IF('Données projet'!$A$140&gt;35,CT197+CS198-DB197,IF(A198&lt;'Données projet'!$A$140,$CQ$205^A198,IF(A198='Données projet'!$A$140,'Données projet'!$B$140,CT197+CS198-DB197)))</f>
        <v>0</v>
      </c>
      <c r="CU198" s="158" t="str">
        <f>CT198*VLOOKUP('Données projet'!$B$13,'Paramètres'!$A$1:$I$88,3,0)*VLOOKUP('Données projet'!$B$13,'Paramètres'!$A$1:$I$88,5,0)</f>
        <v>#N/A</v>
      </c>
      <c r="CV198" s="150" t="str">
        <f t="shared" si="42"/>
        <v>#N/A</v>
      </c>
      <c r="CW198" s="161" t="str">
        <f t="shared" si="14"/>
        <v>#N/A</v>
      </c>
      <c r="CX198" s="153" t="str">
        <f t="shared" si="15"/>
        <v>#N/A</v>
      </c>
      <c r="CY198" s="153" t="str">
        <f>AVERAGE(OFFSET($CX$3,0,0,'Données projet'!$E$13+1,1))-AVERAGE(OFFSET($H$3,0,0,'Données projet'!$E$13+1,1))</f>
        <v>#N/A</v>
      </c>
      <c r="CZ198" s="153" t="str">
        <f t="shared" si="43"/>
        <v>#N/A</v>
      </c>
      <c r="DA198" s="154">
        <f>IF(ISNA(VLOOKUP(A198,'Données projet'!$A$139:$I$159,3,0)),0,VLOOKUP(A198,'Données projet'!$A$139:$I$159,3,0))</f>
        <v>0</v>
      </c>
      <c r="DB198" s="154">
        <f>IF(ISNA(VLOOKUP(A198,'Données projet'!$A$139:$I$159,4,0)),0,VLOOKUP(A198,'Données projet'!$A$139:$I$159,4,0))</f>
        <v>0</v>
      </c>
      <c r="DC198" s="155">
        <f>IF(ISNA(VLOOKUP(A198,'Données projet'!$A$139:$I$159,5,0)),0%,VLOOKUP(A198,'Données projet'!$A$139:$I$159,5,0)*VLOOKUP('Données projet'!$B$13,'Paramètres'!$A$1:$I$88,7,0))</f>
        <v>0</v>
      </c>
      <c r="DD198" s="155">
        <f>IF(ISNA(VLOOKUP(A198,'Données projet'!$A$139:$I$159,6,0)),0%,VLOOKUP(A198,'Données projet'!$A$139:$I$159,6,0)*VLOOKUP('Données projet'!$B$13,'Paramètres'!$A$1:$I$88,7,0))</f>
        <v>0</v>
      </c>
      <c r="DE198" s="155">
        <f>IF(ISNA(VLOOKUP(A198,'Données projet'!$A$139:$I$159,7,0)),0%,VLOOKUP(A198,'Données projet'!$A$139:$I$159,7,0))</f>
        <v>0</v>
      </c>
      <c r="DF198" s="162" t="str">
        <f>EXP(-LN(2)/35)*DF197+(1-EXP(-LN(2)/35))/(LN(2)/35)*DB198*DC198*VLOOKUP('Données projet'!$B$13,'Paramètres'!$A$1:$I$88,3,0)*0.475*44/12</f>
        <v>#N/A</v>
      </c>
      <c r="DG198" s="162" t="str">
        <f>EXP(-LN(2)/25)*DG197+(1-EXP(-LN(2)/25))/(LN(2)/25)*Calculateur!DB198*Calculateur!DD198*VLOOKUP('Données projet'!$B$13,'Paramètres'!$A$1:$I$88,3,0)*0.475*44/12</f>
        <v>#N/A</v>
      </c>
      <c r="DH198" s="162" t="str">
        <f>EXP(-LN(2)/2)*DH197+(1-EXP(-LN(2)/2))/(LN(2)/2)*DB198*DE198*VLOOKUP('Données projet'!$B$13,'Paramètres'!$A$1:$I$88,3,0)*0.475*44/12</f>
        <v>#N/A</v>
      </c>
      <c r="DI198" s="163" t="str">
        <f t="shared" si="16"/>
        <v>#N/A</v>
      </c>
      <c r="DJ198" s="159">
        <f>('Scénario référence'!$F$8+'Scénario référence'!$F$9+'Scénario référence'!$B$17+'Scénario référence'!$B$9+'Scénario référence'!$B$10)*70+IF((45+25*(1-EXP(-0.0175*A198)))&lt;70,'Scénario référence'!$B$16*(45+25*(1-EXP(-0.0175*A198))),70*'Scénario référence'!$B$16)+IF((32+38*(1-EXP(-0.0175*A198)))&lt;70,'Scénario référence'!$B$18*(32+38*(1-EXP(-0.0175*A198))),70*'Scénario référence'!$B$18)</f>
        <v>70</v>
      </c>
      <c r="DK198" s="151">
        <f>IF(A198&gt;30,10,('Scénario référence'!$B$16+'Scénario référence'!$B$17+'Scénario référence'!$B$18+'Scénario référence'!$B$9+'Scénario référence'!$B$10)*A198*10/30+('Scénario référence'!$F$8+'Scénario référence'!$F$9)*10)</f>
        <v>10</v>
      </c>
      <c r="DL198" s="151" t="str">
        <f>VLOOKUP(A198,'Données projet'!$A$165:$I$185,2,0)</f>
        <v>#N/A</v>
      </c>
      <c r="DM198" s="151" t="str">
        <f>VLOOKUP(A198,'Données projet'!$A$165:$I$185,9,0)</f>
        <v>#N/A</v>
      </c>
      <c r="DN198" s="151" t="str">
        <f t="array" ref="DN198">INDEX(DM:DM,MIN(IF(ISNUMBER(DM198:DM394),ROW(DM198:DM394),"")))</f>
        <v/>
      </c>
      <c r="DO198" s="151">
        <f>IF('Données projet'!$A$166&gt;35,DO197+DN198-DW197,IF(A198&lt;'Données projet'!$A$166,$DL$205^A198,IF(A198='Données projet'!$A$166,'Données projet'!$B$166,DO197+DN198-DW197)))</f>
        <v>0</v>
      </c>
      <c r="DP198" s="158" t="str">
        <f>DO198*VLOOKUP('Données projet'!$B$14,'Paramètres'!$A$1:$I$88,3,0)*VLOOKUP('Données projet'!$B$14,'Paramètres'!$A$1:$I$88,5,0)</f>
        <v>#N/A</v>
      </c>
      <c r="DQ198" s="150" t="str">
        <f t="shared" si="44"/>
        <v>#N/A</v>
      </c>
      <c r="DR198" s="161" t="str">
        <f t="shared" si="17"/>
        <v>#N/A</v>
      </c>
      <c r="DS198" s="153" t="str">
        <f t="shared" si="18"/>
        <v>#N/A</v>
      </c>
      <c r="DT198" s="153" t="str">
        <f>AVERAGE(OFFSET($DS$3,0,0,'Données projet'!$E$14+1,1))-AVERAGE(OFFSET($H$3,0,0,'Données projet'!$E$14+1,1))</f>
        <v>#N/A</v>
      </c>
      <c r="DU198" s="153" t="str">
        <f t="shared" si="45"/>
        <v>#N/A</v>
      </c>
      <c r="DV198" s="154">
        <f>IF(ISNA(VLOOKUP(A198,'Données projet'!$A$165:$I$185,3,0)),0,VLOOKUP(A198,'Données projet'!$A$165:$I$185,3,0))</f>
        <v>0</v>
      </c>
      <c r="DW198" s="154">
        <f>IF(ISNA(VLOOKUP(A198,'Données projet'!$A$165:$I$185,4,0)),0,VLOOKUP(A198,'Données projet'!$A$165:$I$185,4,0))</f>
        <v>0</v>
      </c>
      <c r="DX198" s="155">
        <f>IF(ISNA(VLOOKUP(A198,'Données projet'!$A$165:$I$185,5,0)),0%,VLOOKUP(A198,'Données projet'!$A$165:$I$185,5,0)*VLOOKUP('Données projet'!$B$14,'Paramètres'!$A$1:$I$88,7,0))</f>
        <v>0</v>
      </c>
      <c r="DY198" s="155">
        <f>IF(ISNA(VLOOKUP(A198,'Données projet'!$A$165:$I$185,6,0)),0%,VLOOKUP(A198,'Données projet'!$A$165:$I$185,6,0)*VLOOKUP('Données projet'!$B$14,'Paramètres'!$A$1:$I$88,7,0))</f>
        <v>0</v>
      </c>
      <c r="DZ198" s="155">
        <f>IF(ISNA(VLOOKUP(A198,'Données projet'!$A$165:$I$185,7,0)),0%,VLOOKUP(A198,'Données projet'!$A$165:$I$185,7,0))</f>
        <v>0</v>
      </c>
      <c r="EA198" s="162" t="str">
        <f>EXP(-LN(2)/35)*EA197+(1-EXP(-LN(2)/35))/(LN(2)/35)*DW198*DX198*VLOOKUP('Données projet'!$B$14,'Paramètres'!$A$1:$I$88,3,0)*0.475*44/12</f>
        <v>#N/A</v>
      </c>
      <c r="EB198" s="162" t="str">
        <f>EXP(-LN(2)/25)*EB197+(1-EXP(-LN(2)/25))/(LN(2)/25)*Calculateur!DW198*Calculateur!DY198*VLOOKUP('Données projet'!$B$14,'Paramètres'!$A$1:$I$88,3,0)*0.475*44/12</f>
        <v>#N/A</v>
      </c>
      <c r="EC198" s="162" t="str">
        <f>EXP(-LN(2)/2)*EC197+(1-EXP(-LN(2)/2))/(LN(2)/2)*DW198*DZ198*VLOOKUP('Données projet'!$B$14,'Paramètres'!$A$1:$I$88,3,0)*0.475*44/12</f>
        <v>#N/A</v>
      </c>
      <c r="ED198" s="163" t="str">
        <f t="shared" si="19"/>
        <v>#N/A</v>
      </c>
      <c r="EE198" s="159">
        <f>('Scénario référence'!$F$8+'Scénario référence'!$F$9+'Scénario référence'!$B$17+'Scénario référence'!$B$9+'Scénario référence'!$B$10)*70+IF((45+25*(1-EXP(-0.0175*A198)))&lt;70,'Scénario référence'!$B$16*(45+25*(1-EXP(-0.0175*A198))),70*'Scénario référence'!$B$16)+IF((32+38*(1-EXP(-0.0175*A198)))&lt;70,'Scénario référence'!$B$18*(32+38*(1-EXP(-0.0175*A198))),70*'Scénario référence'!$B$18)</f>
        <v>70</v>
      </c>
      <c r="EF198" s="151">
        <f>IF(A198&gt;30,10,('Scénario référence'!$B$16+'Scénario référence'!$B$17+'Scénario référence'!$B$18+'Scénario référence'!$B$9+'Scénario référence'!$B$10)*A198*10/30+('Scénario référence'!$F$8+'Scénario référence'!$F$9)*10)</f>
        <v>10</v>
      </c>
      <c r="EG198" s="151" t="str">
        <f>VLOOKUP(A198,'Données projet'!$A$191:$I$211,2,0)</f>
        <v>#N/A</v>
      </c>
      <c r="EH198" s="151" t="str">
        <f>VLOOKUP(A198,'Données projet'!$A$191:$I$211,9,0)</f>
        <v>#N/A</v>
      </c>
      <c r="EI198" s="151" t="str">
        <f t="array" ref="EI198">INDEX(EH:EH,MIN(IF(ISNUMBER(EH198:EH394),ROW(EH198:EH394),"")))</f>
        <v/>
      </c>
      <c r="EJ198" s="151">
        <f>IF('Données projet'!$A$192&gt;35,EJ197+EI198-ER197,IF(A198&lt;'Données projet'!$A$192,$EG$205^A198,IF(A198='Données projet'!$A$192,'Données projet'!$B$192,EJ197+EI198-ER197)))</f>
        <v>0</v>
      </c>
      <c r="EK198" s="158" t="str">
        <f>EJ198*VLOOKUP('Données projet'!$B$15,'Paramètres'!$A$1:$I$88,3,0)*VLOOKUP('Données projet'!$B$15,'Paramètres'!$A$1:$I$88,5,0)</f>
        <v>#N/A</v>
      </c>
      <c r="EL198" s="150" t="str">
        <f t="shared" si="46"/>
        <v>#N/A</v>
      </c>
      <c r="EM198" s="161" t="str">
        <f t="shared" si="20"/>
        <v>#N/A</v>
      </c>
      <c r="EN198" s="153" t="str">
        <f t="shared" si="21"/>
        <v>#N/A</v>
      </c>
      <c r="EO198" s="153" t="str">
        <f>AVERAGE(OFFSET($EN$3,0,0,'Données projet'!$E$15+1,1))-AVERAGE(OFFSET($H$3,0,0,'Données projet'!$E$15+1,1))</f>
        <v>#N/A</v>
      </c>
      <c r="EP198" s="153" t="str">
        <f t="shared" si="47"/>
        <v>#N/A</v>
      </c>
      <c r="EQ198" s="154">
        <f>IF(ISNA(VLOOKUP(A198,'Données projet'!$A$191:$I$211,3,0)),0,VLOOKUP(A198,'Données projet'!$A$191:$I$211,3,0))</f>
        <v>0</v>
      </c>
      <c r="ER198" s="154">
        <f>IF(ISNA(VLOOKUP(A198,'Données projet'!$A$191:$I$211,4,0)),0,VLOOKUP(A198,'Données projet'!$A$191:$I$211,4,0))</f>
        <v>0</v>
      </c>
      <c r="ES198" s="155">
        <f>IF(ISNA(VLOOKUP(A198,'Données projet'!$A$191:$I$211,5,0)),0%,VLOOKUP(A198,'Données projet'!$A$191:$I$211,5,0)*VLOOKUP('Données projet'!$B$15,'Paramètres'!$A$1:$I$88,7,0))</f>
        <v>0</v>
      </c>
      <c r="ET198" s="155">
        <f>IF(ISNA(VLOOKUP(A198,'Données projet'!$A$191:$I$211,6,0)),0%,VLOOKUP(A198,'Données projet'!$A$191:$I$211,6,0)*VLOOKUP('Données projet'!$B$15,'Paramètres'!$A$1:$I$88,7,0))</f>
        <v>0</v>
      </c>
      <c r="EU198" s="155">
        <f>IF(ISNA(VLOOKUP(A198,'Données projet'!$A$191:$I$211,7,0)),0%,VLOOKUP(A198,'Données projet'!$A$191:$I$211,7,0))</f>
        <v>0</v>
      </c>
      <c r="EV198" s="162" t="str">
        <f>EXP(-LN(2)/35)*EV197+(1-EXP(-LN(2)/35))/(LN(2)/35)*ER198*ES198*VLOOKUP('Données projet'!$B$15,'Paramètres'!$A$1:$I$88,3,0)*0.475*44/12</f>
        <v>#N/A</v>
      </c>
      <c r="EW198" s="162" t="str">
        <f>EXP(-LN(2)/25)*EW197+(1-EXP(-LN(2)/25))/(LN(2)/25)*Calculateur!ER198*Calculateur!ET198*VLOOKUP('Données projet'!$B$15,'Paramètres'!$A$1:$I$88,3,0)*0.475*44/12</f>
        <v>#N/A</v>
      </c>
      <c r="EX198" s="162" t="str">
        <f>EXP(-LN(2)/2)*EX197+(1-EXP(-LN(2)/2))/(LN(2)/2)*ER198*EU198*VLOOKUP('Données projet'!$B$15,'Paramètres'!$A$1:$I$88,3,0)*0.475*44/12</f>
        <v>#N/A</v>
      </c>
      <c r="EY198" s="163" t="str">
        <f t="shared" si="22"/>
        <v>#N/A</v>
      </c>
      <c r="EZ198" s="159">
        <f>('Scénario référence'!$F$8+'Scénario référence'!$F$9+'Scénario référence'!$B$17+'Scénario référence'!$B$9+'Scénario référence'!$B$10)*70+IF((45+25*(1-EXP(-0.0175*A198)))&lt;70,'Scénario référence'!$B$16*(45+25*(1-EXP(-0.0175*A198))),70*'Scénario référence'!$B$16)+IF((32+38*(1-EXP(-0.0175*A198)))&lt;70,'Scénario référence'!$B$18*(32+38*(1-EXP(-0.0175*A198))),70*'Scénario référence'!$B$18)</f>
        <v>70</v>
      </c>
      <c r="FA198" s="151">
        <f>IF(A198&gt;30,10,('Scénario référence'!$B$16+'Scénario référence'!$B$17+'Scénario référence'!$B$18+'Scénario référence'!$B$9+'Scénario référence'!$B$10)*A198*10/30+('Scénario référence'!$F$8+'Scénario référence'!$F$9)*10)</f>
        <v>10</v>
      </c>
      <c r="FB198" s="151" t="str">
        <f>VLOOKUP(A198,'Données projet'!$A$217:$I$237,2,0)</f>
        <v>#N/A</v>
      </c>
      <c r="FC198" s="151" t="str">
        <f>VLOOKUP(A198,'Données projet'!$A$217:$I$237,9,0)</f>
        <v>#N/A</v>
      </c>
      <c r="FD198" s="151" t="str">
        <f t="array" ref="FD198">INDEX(FC:FC,MIN(IF(ISNUMBER(FC198:FC394),ROW(FC198:FC394),"")))</f>
        <v/>
      </c>
      <c r="FE198" s="151">
        <f>IF('Données projet'!$A$218&gt;35,FE197+FD198-FM197,IF(A198&lt;'Données projet'!$A$218,$FB$205^A198,IF(A198='Données projet'!$A$218,'Données projet'!$B$218,FE197+FD198-FM197)))</f>
        <v>0</v>
      </c>
      <c r="FF198" s="158" t="str">
        <f>FE198*VLOOKUP('Données projet'!$B$16,'Paramètres'!$A$1:$I$88,3,0)*VLOOKUP('Données projet'!$B$16,'Paramètres'!$A$1:$I$88,5,0)</f>
        <v>#N/A</v>
      </c>
      <c r="FG198" s="150" t="str">
        <f t="shared" si="48"/>
        <v>#N/A</v>
      </c>
      <c r="FH198" s="161" t="str">
        <f t="shared" si="23"/>
        <v>#N/A</v>
      </c>
      <c r="FI198" s="153" t="str">
        <f t="shared" si="24"/>
        <v>#N/A</v>
      </c>
      <c r="FJ198" s="153" t="str">
        <f>AVERAGE(OFFSET($FI$3,0,0,'Données projet'!$E$16+1,1))-AVERAGE(OFFSET($H$3,0,0,'Données projet'!$E$16+1,1))</f>
        <v>#N/A</v>
      </c>
      <c r="FK198" s="153" t="str">
        <f t="shared" si="49"/>
        <v>#N/A</v>
      </c>
      <c r="FL198" s="154">
        <f>IF(ISNA(VLOOKUP(A198,'Données projet'!$A$217:$I$237,3,0)),0,VLOOKUP(A198,'Données projet'!$A$217:$I$237,3,0))</f>
        <v>0</v>
      </c>
      <c r="FM198" s="154">
        <f>IF(ISNA(VLOOKUP(A198,'Données projet'!$A$217:$I$237,4,0)),0,VLOOKUP(A198,'Données projet'!$A$217:$I$237,4,0))</f>
        <v>0</v>
      </c>
      <c r="FN198" s="155">
        <f>IF(ISNA(VLOOKUP(A198,'Données projet'!$A$217:$I$237,5,0)),0%,VLOOKUP(A198,'Données projet'!$A$217:$I$237,5,0)*VLOOKUP('Données projet'!$B$16,'Paramètres'!$A$1:$I$88,7,0))</f>
        <v>0</v>
      </c>
      <c r="FO198" s="155">
        <f>IF(ISNA(VLOOKUP(A198,'Données projet'!$A$217:$I$237,6,0)),0%,VLOOKUP(A198,'Données projet'!$A$217:$I$237,6,0)*VLOOKUP('Données projet'!$B$16,'Paramètres'!$A$1:$I$88,7,0))</f>
        <v>0</v>
      </c>
      <c r="FP198" s="155">
        <f>IF(ISNA(VLOOKUP(A198,'Données projet'!$A$217:$I$237,7,0)),0%,VLOOKUP(A198,'Données projet'!$A$217:$I$237,7,0))</f>
        <v>0</v>
      </c>
      <c r="FQ198" s="162" t="str">
        <f>EXP(-LN(2)/35)*FQ197+(1-EXP(-LN(2)/35))/(LN(2)/35)*FM198*FN198*VLOOKUP('Données projet'!$B$16,'Paramètres'!$A$1:$I$88,3,0)*0.475*44/12</f>
        <v>#N/A</v>
      </c>
      <c r="FR198" s="162" t="str">
        <f>EXP(-LN(2)/25)*FR197+(1-EXP(-LN(2)/25))/(LN(2)/25)*Calculateur!FM198*Calculateur!FO198*VLOOKUP('Données projet'!$B$16,'Paramètres'!$A$1:$I$88,3,0)*0.475*44/12</f>
        <v>#N/A</v>
      </c>
      <c r="FS198" s="162" t="str">
        <f>EXP(-LN(2)/2)*FS197+(1-EXP(-LN(2)/2))/(LN(2)/2)*FM198*FP198*VLOOKUP('Données projet'!$B$16,'Paramètres'!$A$1:$I$88,3,0)*0.475*44/12</f>
        <v>#N/A</v>
      </c>
      <c r="FT198" s="163" t="str">
        <f t="shared" si="25"/>
        <v>#N/A</v>
      </c>
      <c r="FU198" s="159">
        <f>('Scénario référence'!$F$8+'Scénario référence'!$F$9+'Scénario référence'!$B$17+'Scénario référence'!$B$9+'Scénario référence'!$B$10)*70+IF((45+25*(1-EXP(-0.0175*A198)))&lt;70,'Scénario référence'!$B$16*(45+25*(1-EXP(-0.0175*A198))),70*'Scénario référence'!$B$16)+IF((32+38*(1-EXP(-0.0175*A198)))&lt;70,'Scénario référence'!$B$18*(32+38*(1-EXP(-0.0175*A198))),70*'Scénario référence'!$B$18)</f>
        <v>70</v>
      </c>
      <c r="FV198" s="151">
        <f>IF(A198&gt;30,10,('Scénario référence'!$B$16+'Scénario référence'!$B$17+'Scénario référence'!$B$18+'Scénario référence'!$B$9+'Scénario référence'!$B$10)*A198*10/30+('Scénario référence'!$F$8+'Scénario référence'!$F$9)*10)</f>
        <v>10</v>
      </c>
      <c r="FW198" s="151" t="str">
        <f>VLOOKUP(A198,'Données projet'!$A$243:$I$263,2,0)</f>
        <v>#N/A</v>
      </c>
      <c r="FX198" s="151" t="str">
        <f>VLOOKUP(A198,'Données projet'!$A$243:$I$263,9,0)</f>
        <v>#N/A</v>
      </c>
      <c r="FY198" s="151" t="str">
        <f t="array" ref="FY198">INDEX(FX:FX,MIN(IF(ISNUMBER(FX198:FX394),ROW(FX198:FX394),"")))</f>
        <v/>
      </c>
      <c r="FZ198" s="151">
        <f>IF('Données projet'!$A$244&gt;35,FZ197+FY198-GH197,IF(A198&lt;'Données projet'!$A$244,$FW$205^A198,IF(A198='Données projet'!$A$244,'Données projet'!$B$244,FZ197+FY198-GH197)))</f>
        <v>0</v>
      </c>
      <c r="GA198" s="158" t="str">
        <f>FZ198*VLOOKUP('Données projet'!$B$17,'Paramètres'!$A$1:$I$88,3,0)*VLOOKUP('Données projet'!$B$17,'Paramètres'!$A$1:$I$88,5,0)</f>
        <v>#N/A</v>
      </c>
      <c r="GB198" s="150" t="str">
        <f t="shared" si="50"/>
        <v>#N/A</v>
      </c>
      <c r="GC198" s="161" t="str">
        <f t="shared" si="26"/>
        <v>#N/A</v>
      </c>
      <c r="GD198" s="153" t="str">
        <f t="shared" si="27"/>
        <v>#N/A</v>
      </c>
      <c r="GE198" s="153" t="str">
        <f>AVERAGE(OFFSET($GD$3,0,0,'Données projet'!$E$17+1,1))-AVERAGE(OFFSET($H$3,0,0,'Données projet'!$E$17+1,1))</f>
        <v>#N/A</v>
      </c>
      <c r="GF198" s="153" t="str">
        <f t="shared" si="51"/>
        <v>#N/A</v>
      </c>
      <c r="GG198" s="154">
        <f>IF(ISNA(VLOOKUP(A198,'Données projet'!$A$243:$I$263,3,0)),0,VLOOKUP(A198,'Données projet'!$A$243:$I$263,3,0))</f>
        <v>0</v>
      </c>
      <c r="GH198" s="154">
        <f>IF(ISNA(VLOOKUP(A198,'Données projet'!$A$243:$I$263,4,0)),0,VLOOKUP(A198,'Données projet'!$A$243:$I$263,4,0))</f>
        <v>0</v>
      </c>
      <c r="GI198" s="155">
        <f>IF(ISNA(VLOOKUP(A198,'Données projet'!$A$243:$I$263,5,0)),0%,VLOOKUP(A198,'Données projet'!$A$243:$I$263,5,0)*VLOOKUP('Données projet'!$B$17,'Paramètres'!$A$1:$I$88,7,0))</f>
        <v>0</v>
      </c>
      <c r="GJ198" s="155">
        <f>IF(ISNA(VLOOKUP(A198,'Données projet'!$A$243:$I$263,6,0)),0%,VLOOKUP(A198,'Données projet'!$A$243:$I$263,6,0)*VLOOKUP('Données projet'!$B$17,'Paramètres'!$A$1:$I$88,7,0))</f>
        <v>0</v>
      </c>
      <c r="GK198" s="155">
        <f>IF(ISNA(VLOOKUP(A198,'Données projet'!$A$243:$I$263,7,0)),0%,VLOOKUP(A198,'Données projet'!$A$243:$I$263,7,0))</f>
        <v>0</v>
      </c>
      <c r="GL198" s="162" t="str">
        <f>EXP(-LN(2)/35)*GL197+(1-EXP(-LN(2)/35))/(LN(2)/35)*GH198*GI198*VLOOKUP('Données projet'!$B$17,'Paramètres'!$A$1:$I$88,3,0)*0.475*44/12</f>
        <v>#N/A</v>
      </c>
      <c r="GM198" s="162" t="str">
        <f>EXP(-LN(2)/25)*GM197+(1-EXP(-LN(2)/25))/(LN(2)/25)*Calculateur!GH198*Calculateur!GJ198*VLOOKUP('Données projet'!$B$17,'Paramètres'!$A$1:$I$88,3,0)*0.475*44/12</f>
        <v>#N/A</v>
      </c>
      <c r="GN198" s="162" t="str">
        <f>EXP(-LN(2)/2)*GN197+(1-EXP(-LN(2)/2))/(LN(2)/2)*GH198*GK198*VLOOKUP('Données projet'!$B$17,'Paramètres'!$A$1:$I$88,3,0)*0.475*44/12</f>
        <v>#N/A</v>
      </c>
      <c r="GO198" s="162" t="str">
        <f t="shared" si="28"/>
        <v>#N/A</v>
      </c>
      <c r="GP198" s="159">
        <f>('Scénario référence'!$F$8+'Scénario référence'!$F$9+'Scénario référence'!$B$17+'Scénario référence'!$B$9+'Scénario référence'!$B$10)*70+IF((45+25*(1-EXP(-0.0175*A198)))&lt;70,'Scénario référence'!$B$16*(45+25*(1-EXP(-0.0175*A198))),70*'Scénario référence'!$B$16)+IF((32+38*(1-EXP(-0.0175*A198)))&lt;70,'Scénario référence'!$B$18*(32+38*(1-EXP(-0.0175*A198))),70*'Scénario référence'!$B$18)</f>
        <v>70</v>
      </c>
      <c r="GQ198" s="151">
        <f>IF(A198&gt;30,10,('Scénario référence'!$B$16+'Scénario référence'!$B$17+'Scénario référence'!$B$18+'Scénario référence'!$B$9+'Scénario référence'!$B$10)*A198*10/30+('Scénario référence'!$F$8+'Scénario référence'!$F$9)*10)</f>
        <v>10</v>
      </c>
      <c r="GR198" s="151" t="str">
        <f>VLOOKUP(A198,'Données projet'!$A$269:$I$289,2,0)</f>
        <v>#N/A</v>
      </c>
      <c r="GS198" s="151" t="str">
        <f>VLOOKUP(A198,'Données projet'!$A$269:$I$289,9,0)</f>
        <v>#N/A</v>
      </c>
      <c r="GT198" s="151" t="str">
        <f t="array" ref="GT198">INDEX(GS:GS,MIN(IF(ISNUMBER(GS198:GS394),ROW(GS198:GS394),"")))</f>
        <v/>
      </c>
      <c r="GU198" s="151">
        <f>IF('Données projet'!$A$270&gt;35,GU197+GT198-HC197,IF(A198&lt;'Données projet'!$A$270,$GR$205^A198,IF(A198='Données projet'!$A$270,'Données projet'!$B$270,GU197+GT198-HC197)))</f>
        <v>0</v>
      </c>
      <c r="GV198" s="158" t="str">
        <f>GU198*VLOOKUP('Données projet'!$B$18,'Paramètres'!$A$1:$I$88,3,0)*VLOOKUP('Données projet'!$B$18,'Paramètres'!$A$1:$I$88,5,0)</f>
        <v>#N/A</v>
      </c>
      <c r="GW198" s="150" t="str">
        <f t="shared" si="52"/>
        <v>#N/A</v>
      </c>
      <c r="GX198" s="161" t="str">
        <f t="shared" si="29"/>
        <v>#N/A</v>
      </c>
      <c r="GY198" s="153" t="str">
        <f t="shared" si="30"/>
        <v>#N/A</v>
      </c>
      <c r="GZ198" s="153" t="str">
        <f>AVERAGE(OFFSET($GY$3,0,0,'Données projet'!$E$18+1,1))-AVERAGE(OFFSET($H$3,0,0,'Données projet'!$E$18+1,1))</f>
        <v>#N/A</v>
      </c>
      <c r="HA198" s="153" t="str">
        <f t="shared" si="53"/>
        <v>#N/A</v>
      </c>
      <c r="HB198" s="154">
        <f>IF(ISNA(VLOOKUP(A198,'Données projet'!$A$269:$I$289,3,0)),0,VLOOKUP(A198,'Données projet'!$A$269:$I$289,3,0))</f>
        <v>0</v>
      </c>
      <c r="HC198" s="154">
        <f>IF(ISNA(VLOOKUP(A198,'Données projet'!$A$269:$I$289,4,0)),0,VLOOKUP(A198,'Données projet'!$A$269:$I$289,4,0))</f>
        <v>0</v>
      </c>
      <c r="HD198" s="155">
        <f>IF(ISNA(VLOOKUP(A198,'Données projet'!$A$269:$I$289,5,0)),0%,VLOOKUP(A198,'Données projet'!$A$269:$I$289,5,0)*VLOOKUP('Données projet'!$B$18,'Paramètres'!$A$1:$I$88,7,0))</f>
        <v>0</v>
      </c>
      <c r="HE198" s="155">
        <f>IF(ISNA(VLOOKUP(A198,'Données projet'!$A$269:$I$289,6,0)),0%,VLOOKUP(A198,'Données projet'!$A$269:$I$289,6,0)*VLOOKUP('Données projet'!$B$18,'Paramètres'!$A$1:$I$88,7,0))</f>
        <v>0</v>
      </c>
      <c r="HF198" s="155">
        <f>IF(ISNA(VLOOKUP(A198,'Données projet'!$A$269:$I$289,7,0)),0%,VLOOKUP(A198,'Données projet'!$A$269:$I$289,7,0))</f>
        <v>0</v>
      </c>
      <c r="HG198" s="162" t="str">
        <f>EXP(-LN(2)/35)*HG197+(1-EXP(-LN(2)/35))/(LN(2)/35)*HC198*HD198*VLOOKUP('Données projet'!$B$18,'Paramètres'!$A$1:$I$88,3,0)*0.475*44/12</f>
        <v>#N/A</v>
      </c>
      <c r="HH198" s="162" t="str">
        <f>EXP(-LN(2)/25)*HH197+(1-EXP(-LN(2)/25))/(LN(2)/25)*Calculateur!HC198*Calculateur!HE198*VLOOKUP('Données projet'!$B$18,'Paramètres'!$A$1:$I$88,3,0)*0.475*44/12</f>
        <v>#N/A</v>
      </c>
      <c r="HI198" s="162" t="str">
        <f>EXP(-LN(2)/2)*HI197+(1-EXP(-LN(2)/2))/(LN(2)/2)*HC198*HF198*VLOOKUP('Données projet'!$B$18,'Paramètres'!$A$1:$I$88,3,0)*0.475*44/12</f>
        <v>#N/A</v>
      </c>
      <c r="HJ198" s="163" t="str">
        <f t="shared" si="31"/>
        <v>#N/A</v>
      </c>
    </row>
    <row r="199" ht="15.75" customHeight="1">
      <c r="A199" s="145">
        <f t="shared" si="32"/>
        <v>196</v>
      </c>
      <c r="B199" s="146">
        <f>'Scénario référence'!$B$16*5+'Scénario référence'!$B$17*0+'Scénario référence'!$B$18*5</f>
        <v>0</v>
      </c>
      <c r="C199" s="160">
        <f>Calculateur!C198+'Scénario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199" s="147">
        <f t="shared" si="33"/>
        <v>0</v>
      </c>
      <c r="E199" s="147">
        <f>'Scénario référence'!$B$16*45+('Scénario référence'!$B$17+'Scénario référence'!$F$8+'Scénario référence'!$F$9+'Scénario référence'!$B$10+'Scénario référence'!$B$9)*70+'Scénario référence'!$B$18*32</f>
        <v>70</v>
      </c>
      <c r="F199" s="147">
        <f>IF(OR('Scénario référence'!$F$8&gt;0,'Scénario référence'!$F$9&gt;0),('Scénario référence'!$F$8+'Scénario référence'!$F$9)*10,0)</f>
        <v>0</v>
      </c>
      <c r="G199" s="147">
        <f>'Scénario référence'!$B$8*B199*44/12+'Scénario référence'!$B$9*(C199+D199)/0.475*44/12+'Scénario référence'!$B$10*(C199+D199)/0.475*44/12+'Scénario référence'!$F$8*(C199+D199)/0.475*44/12+'Scénario référence'!$F$9*(C199+D199)/0.475*44/12</f>
        <v>0</v>
      </c>
      <c r="H199" s="148">
        <f t="shared" si="1"/>
        <v>256.6666667</v>
      </c>
      <c r="I199" s="149">
        <f>('Scénario référence'!$F$8+'Scénario référence'!$F$9+'Scénario référence'!$B$17+'Scénario référence'!$B$9+'Scénario référence'!$B$10)*70+IF((45+25*(1-EXP(-0.0175*A199)))&lt;70,'Scénario référence'!$B$16*(45+25*(1-EXP(-0.0175*A199))),70*'Scénario référence'!$B$16)+IF((32+38*(1-EXP(-0.0175*A199)))&lt;70,'Scénario référence'!$B$18*(32+38*(1-EXP(-0.0175*A199))),70*'Scénario référence'!$B$18)</f>
        <v>70</v>
      </c>
      <c r="J199" s="150">
        <f>IF(A199&gt;30,10,('Scénario référence'!$B$16+'Scénario référence'!$B$17+'Scénario référence'!$B$18+'Scénario référence'!$B$9+'Scénario référence'!$B$10)*A199*10/30+('Scénario référence'!$F$8+'Scénario référence'!$F$9)*10)</f>
        <v>10</v>
      </c>
      <c r="K199" s="151" t="str">
        <f>VLOOKUP(A199,'Données projet'!$A$35:$I$55,2,0)</f>
        <v>#N/A</v>
      </c>
      <c r="L199" s="151" t="str">
        <f>VLOOKUP(A199,'Données projet'!$A$35:$I$55,9,0)</f>
        <v>#N/A</v>
      </c>
      <c r="M199" s="151" t="str">
        <f t="array" ref="M199">INDEX(L:L,MIN(IF(ISNUMBER(L199:L395),ROW(L199:L395),"")))</f>
        <v/>
      </c>
      <c r="N199" s="150">
        <f>IF('Données projet'!$A$36&gt;35,N198+M199-V198,IF(A199&lt;'Données projet'!$A$36,$K$205^A199,IF(A199='Données projet'!$A$36,'Données projet'!$B$36,N198+M199-V198)))</f>
        <v>307</v>
      </c>
      <c r="O199" s="150">
        <f>N199*VLOOKUP('Données projet'!$B$9,'Paramètres'!$A$1:$I$88,3,0)*VLOOKUP('Données projet'!$B$9,'Paramètres'!$A$1:$I$88,5,0)</f>
        <v>277.7736</v>
      </c>
      <c r="P199" s="150">
        <f t="shared" si="34"/>
        <v>66.49628818</v>
      </c>
      <c r="Q199" s="161">
        <f t="shared" si="2"/>
        <v>599.6033886</v>
      </c>
      <c r="R199" s="153">
        <f t="shared" si="3"/>
        <v>892.9367219</v>
      </c>
      <c r="S199" s="153">
        <f>AVERAGE(OFFSET($R$3,0,0,'Données projet'!$E$9+1,1))-AVERAGE(OFFSET($H$3,0,0,'Données projet'!$E$9+1,1))</f>
        <v>439.1985427</v>
      </c>
      <c r="T199" s="153">
        <f t="shared" si="35"/>
        <v>278.2174123</v>
      </c>
      <c r="U199" s="154">
        <f>IF(ISNA(VLOOKUP(A199,'Données projet'!$A$35:$I$55,3,0)),0,VLOOKUP(A199,'Données projet'!$A$35:$I$55,3,0))</f>
        <v>0</v>
      </c>
      <c r="V199" s="154">
        <f>IF(ISNA(VLOOKUP(A199,'Données projet'!$A$35:$I$55,4,0)),0,VLOOKUP(A199,'Données projet'!$A$35:$I$55,4,0))</f>
        <v>0</v>
      </c>
      <c r="W199" s="155">
        <f>IF(ISNA(VLOOKUP(A199,'Données projet'!$A$35:$I$55,5,0)),0%,VLOOKUP(A199,'Données projet'!$A$35:$I$55,5,0)*VLOOKUP('Données projet'!$B$9,'Paramètres'!$A$1:$I$88,7,0))</f>
        <v>0</v>
      </c>
      <c r="X199" s="155">
        <f>IF(ISNA(VLOOKUP(A199,'Données projet'!$A$35:$I$55,6,0)),0%,VLOOKUP(A199,'Données projet'!$A$35:$I$55,6,0)*VLOOKUP('Données projet'!$B$9,'Paramètres'!$A$1:$I$88,7,0))</f>
        <v>0</v>
      </c>
      <c r="Y199" s="155">
        <f>IF(ISNA(VLOOKUP(A199,'Données projet'!$A$35:$I$55,7,0)),0%,VLOOKUP(A199,'Données projet'!$A$35:$I$55,7,0))</f>
        <v>0</v>
      </c>
      <c r="Z199" s="162">
        <f>EXP(-LN(2)/35)*Z198+(1-EXP(-LN(2)/35))/(LN(2)/35)*V199*W199*VLOOKUP('Données projet'!$B$9,'Paramètres'!$A$1:$I$88,3,0)*0.475*44/12</f>
        <v>0</v>
      </c>
      <c r="AA199" s="162">
        <f>EXP(-LN(2)/25)*AA198+(1-EXP(-LN(2)/25))/(LN(2)/25)*Calculateur!V199*Calculateur!X199*VLOOKUP('Données projet'!$B$9,'Paramètres'!$A$1:$I$88,3,0)*0.475*44/12</f>
        <v>0.04499591708</v>
      </c>
      <c r="AB199" s="162">
        <f>EXP(-LN(2)/2)*AB198+(1-EXP(-LN(2)/2))/(LN(2)/2)*V199*Y199*VLOOKUP('Données projet'!$B$9,'Paramètres'!$A$1:$I$88,3,0)*0.475*44/12</f>
        <v>0</v>
      </c>
      <c r="AC199" s="163">
        <f t="shared" si="4"/>
        <v>0.04499591708</v>
      </c>
      <c r="AD199" s="150">
        <f>('Scénario référence'!$F$8+'Scénario référence'!$F$9+'Scénario référence'!$B$17+'Scénario référence'!$B$9+'Scénario référence'!$B$10)*70+IF((45+25*(1-EXP(-0.0175*A199)))&lt;70,'Scénario référence'!$B$16*(45+25*(1-EXP(-0.0175*A199))),70*'Scénario référence'!$B$16)+IF((32+38*(1-EXP(-0.0175*A199)))&lt;70,'Scénario référence'!$B$18*(32+38*(1-EXP(-0.0175*A199))),70*'Scénario référence'!$B$18)</f>
        <v>70</v>
      </c>
      <c r="AE199" s="150">
        <f>IF(A199&gt;30,10,('Scénario référence'!$B$16+'Scénario référence'!$B$17+'Scénario référence'!$B$18+'Scénario référence'!$B$9+'Scénario référence'!$B$10)*A199*10/30+('Scénario référence'!$F$8+'Scénario référence'!$F$9)*10)</f>
        <v>10</v>
      </c>
      <c r="AF199" s="151" t="str">
        <f>VLOOKUP(A199,'Données projet'!$A$61:$I$81,2,0)</f>
        <v>#N/A</v>
      </c>
      <c r="AG199" s="151" t="str">
        <f>VLOOKUP(A199,'Données projet'!$A$61:$I$81,9,0)</f>
        <v>#N/A</v>
      </c>
      <c r="AH199" s="151" t="str">
        <f t="array" ref="AH199">INDEX(AG:AG,MIN(IF(ISNUMBER(AG199:AG395),ROW(AG199:AG395),"")))</f>
        <v/>
      </c>
      <c r="AI199" s="150">
        <f>IF('Données projet'!$A$62&gt;35,AI198+AH199-AQ198,IF(A199&lt;'Données projet'!$A$62,$AF$205^A199,IF(A199='Données projet'!$A$62,'Données projet'!$B$62,AI198+AH199-AQ198)))</f>
        <v>369</v>
      </c>
      <c r="AJ199" s="150">
        <f>AI199*VLOOKUP('Données projet'!$B$10,'Paramètres'!$A$1:$I$88,3,0)*VLOOKUP('Données projet'!$B$10,'Paramètres'!$A$1:$I$88,5,0)</f>
        <v>293.5764</v>
      </c>
      <c r="AK199" s="150">
        <f t="shared" si="36"/>
        <v>69.82813851</v>
      </c>
      <c r="AL199" s="161">
        <f t="shared" si="5"/>
        <v>632.9295712</v>
      </c>
      <c r="AM199" s="153">
        <f t="shared" si="6"/>
        <v>926.2629046</v>
      </c>
      <c r="AN199" s="153">
        <f>AVERAGE(OFFSET($AM$3,0,0,'Données projet'!$E$10+1,1))-AVERAGE(OFFSET($H$3,0,0,'Données projet'!$E$10+1,1))</f>
        <v>405.6113614</v>
      </c>
      <c r="AO199" s="153">
        <f t="shared" si="37"/>
        <v>393.0787141</v>
      </c>
      <c r="AP199" s="154">
        <f>IF(ISNA(VLOOKUP(A199,'Données projet'!$A$61:$I$81,3,0)),0,VLOOKUP(A199,'Données projet'!$A$61:$I$81,3,0))</f>
        <v>0</v>
      </c>
      <c r="AQ199" s="154">
        <f>IF(ISNA(VLOOKUP(A199,'Données projet'!$A$61:$I$81,4,0)),0,VLOOKUP(A199,'Données projet'!$A$61:$I$81,4,0))</f>
        <v>0</v>
      </c>
      <c r="AR199" s="155">
        <f>IF(ISNA(VLOOKUP(A199,'Données projet'!$A$61:$I$81,5,0)),0%,VLOOKUP(A199,'Données projet'!$A$61:$I$81,5,0)*VLOOKUP('Données projet'!$B$10,'Paramètres'!$A$1:$I$88,7,0))</f>
        <v>0</v>
      </c>
      <c r="AS199" s="155">
        <f>IF(ISNA(VLOOKUP(A199,'Données projet'!$A$61:$I$81,6,0)),0%,VLOOKUP(A199,'Données projet'!$A$61:$I$81,6,0)*VLOOKUP('Données projet'!$B$10,'Paramètres'!$A$1:$I$88,7,0))</f>
        <v>0</v>
      </c>
      <c r="AT199" s="155">
        <f>IF(ISNA(VLOOKUP(A199,'Données projet'!$A$61:$I$81,7,0)),0%,VLOOKUP(A199,'Données projet'!$A$61:$I$81,7,0))</f>
        <v>0</v>
      </c>
      <c r="AU199" s="162">
        <f>EXP(-LN(2)/35)*AU198+(1-EXP(-LN(2)/35))/(LN(2)/35)*AQ199*AR199*VLOOKUP('Données projet'!$B$10,'Paramètres'!$A$1:$I$88,3,0)*0.475*44/12</f>
        <v>0</v>
      </c>
      <c r="AV199" s="162">
        <f>EXP(-LN(2)/25)*AV198+(1-EXP(-LN(2)/25))/(LN(2)/25)*Calculateur!AQ199*Calculateur!AS199*VLOOKUP('Données projet'!$B$10,'Paramètres'!$A$1:$I$88,3,0)*0.475*44/12</f>
        <v>0.1828748454</v>
      </c>
      <c r="AW199" s="162">
        <f>EXP(-LN(2)/2)*AW198+(1-EXP(-LN(2)/2))/(LN(2)/2)*AQ199*AT199*VLOOKUP('Données projet'!$B$10,'Paramètres'!$A$1:$I$88,3,0)*0.475*44/12</f>
        <v>0</v>
      </c>
      <c r="AX199" s="162">
        <f t="shared" si="7"/>
        <v>0.1828748454</v>
      </c>
      <c r="AY199" s="157">
        <f>('Scénario référence'!$F$8+'Scénario référence'!$F$9+'Scénario référence'!$B$17+'Scénario référence'!$B$9+'Scénario référence'!$B$10)*70+IF((45+25*(1-EXP(-0.0175*A199)))&lt;70,'Scénario référence'!$B$16*(45+25*(1-EXP(-0.0175*A199))),70*'Scénario référence'!$B$16)+IF((32+38*(1-EXP(-0.0175*A199)))&lt;70,'Scénario référence'!$B$18*(32+38*(1-EXP(-0.0175*A199))),70*'Scénario référence'!$B$18)</f>
        <v>70</v>
      </c>
      <c r="AZ199" s="151">
        <f>IF(A199&gt;30,10,('Scénario référence'!$B$16+'Scénario référence'!$B$17+'Scénario référence'!$B$18+'Scénario référence'!$B$9+'Scénario référence'!$B$10)*A199*10/30+('Scénario référence'!$F$8+'Scénario référence'!$F$9)*10)</f>
        <v>10</v>
      </c>
      <c r="BA199" s="151" t="str">
        <f>VLOOKUP(A199,'Données projet'!$A$87:$I$107,2,0)</f>
        <v>#N/A</v>
      </c>
      <c r="BB199" s="151" t="str">
        <f>VLOOKUP(A199,'Données projet'!$A$87:$I$107,9,0)</f>
        <v>#N/A</v>
      </c>
      <c r="BC199" s="151" t="str">
        <f t="array" ref="BC199">INDEX(BB:BB,MIN(IF(ISNUMBER(BB199:BB395),ROW(BB199:BB395),"")))</f>
        <v/>
      </c>
      <c r="BD199" s="150">
        <f>IF('Données projet'!$A$88&gt;35,BD198+BC199-BL198,IF(A199&lt;'Données projet'!$A$88,$BA$205^A199,IF(A199='Données projet'!$A$88,'Données projet'!$B$88,BD198+BC199-BL198)))</f>
        <v>0</v>
      </c>
      <c r="BE199" s="150">
        <f>BD199*VLOOKUP('Données projet'!$B$11,'Paramètres'!$A$1:$I$88,3,0)*VLOOKUP('Données projet'!$B$11,'Paramètres'!$A$1:$I$88,5,0)</f>
        <v>0</v>
      </c>
      <c r="BF199" s="150" t="str">
        <f t="shared" si="38"/>
        <v>#NUM!</v>
      </c>
      <c r="BG199" s="161" t="str">
        <f t="shared" si="8"/>
        <v>#NUM!</v>
      </c>
      <c r="BH199" s="153" t="str">
        <f t="shared" si="9"/>
        <v>#NUM!</v>
      </c>
      <c r="BI199" s="153">
        <f>AVERAGE(OFFSET($BH$3,0,0,'Données projet'!$E$11+1,1))-AVERAGE(OFFSET($H$3,0,0,'Données projet'!$E$11+1,1))</f>
        <v>0</v>
      </c>
      <c r="BJ199" s="153">
        <f t="shared" si="39"/>
        <v>0</v>
      </c>
      <c r="BK199" s="154">
        <f>IF(ISNA(VLOOKUP(A199,'Données projet'!$A$87:$I$107,3,0)),0,VLOOKUP(A199,'Données projet'!$A$87:$I$107,3,0))</f>
        <v>0</v>
      </c>
      <c r="BL199" s="154">
        <f>IF(ISNA(VLOOKUP(A199,'Données projet'!$A$87:$I$107,4,0)),0,VLOOKUP(A199,'Données projet'!$A$87:$I$107,4,0))</f>
        <v>0</v>
      </c>
      <c r="BM199" s="155">
        <f>IF(ISNA(VLOOKUP(A199,'Données projet'!$A$87:$I$107,5,0)),0%,VLOOKUP(A199,'Données projet'!$A$87:$I$107,5,0)*VLOOKUP('Données projet'!$B$11,'Paramètres'!$A$1:$I$88,7,0))</f>
        <v>0</v>
      </c>
      <c r="BN199" s="155">
        <f>IF(ISNA(VLOOKUP(A199,'Données projet'!$A$87:$I$107,6,0)),0%,VLOOKUP(A199,'Données projet'!$A$87:$I$107,6,0)*VLOOKUP('Données projet'!$B$11,'Paramètres'!$A$1:$I$88,7,0))</f>
        <v>0</v>
      </c>
      <c r="BO199" s="155">
        <f>IF(ISNA(VLOOKUP(A199,'Données projet'!$A$87:$I$107,7,0)),0%,VLOOKUP(A199,'Données projet'!$A$87:$I$107,7,0))</f>
        <v>0</v>
      </c>
      <c r="BP199" s="162">
        <f>EXP(-LN(2)/35)*BP198+(1-EXP(-LN(2)/35))/(LN(2)/35)*BL199*BM199*VLOOKUP('Données projet'!$B$11,'Paramètres'!$A$1:$I$88,3,0)*0.475*44/12</f>
        <v>0</v>
      </c>
      <c r="BQ199" s="162">
        <f>EXP(-LN(2)/25)*BQ198+(1-EXP(-LN(2)/25))/(LN(2)/25)*Calculateur!BL199*Calculateur!BN199*VLOOKUP('Données projet'!$B$11,'Paramètres'!$A$1:$I$88,3,0)*0.475*44/12</f>
        <v>0</v>
      </c>
      <c r="BR199" s="162">
        <f>EXP(-LN(2)/2)*BR198+(1-EXP(-LN(2)/2))/(LN(2)/2)*BL199*BO199*VLOOKUP('Données projet'!$B$11,'Paramètres'!$A$1:$I$88,3,0)*0.475*44/12</f>
        <v>0</v>
      </c>
      <c r="BS199" s="163">
        <f t="shared" si="10"/>
        <v>0</v>
      </c>
      <c r="BT199" s="159">
        <f>('Scénario référence'!$F$8+'Scénario référence'!$F$9+'Scénario référence'!$B$17+'Scénario référence'!$B$9+'Scénario référence'!$B$10)*70+IF((45+25*(1-EXP(-0.0175*A199)))&lt;70,'Scénario référence'!$B$16*(45+25*(1-EXP(-0.0175*A199))),70*'Scénario référence'!$B$16)+IF((32+38*(1-EXP(-0.0175*A199)))&lt;70,'Scénario référence'!$B$18*(32+38*(1-EXP(-0.0175*A199))),70*'Scénario référence'!$B$18)</f>
        <v>70</v>
      </c>
      <c r="BU199" s="151">
        <f>IF(A199&gt;30,10,('Scénario référence'!$B$16+'Scénario référence'!$B$17+'Scénario référence'!$B$18+'Scénario référence'!$B$9+'Scénario référence'!$B$10)*A199*10/30+('Scénario référence'!$F$8+'Scénario référence'!$F$9)*10)</f>
        <v>10</v>
      </c>
      <c r="BV199" s="151" t="str">
        <f>VLOOKUP(A199,'Données projet'!$A$113:$I$133,2,0)</f>
        <v>#N/A</v>
      </c>
      <c r="BW199" s="151" t="str">
        <f>VLOOKUP(A199,'Données projet'!$A$113:$I$133,9,0)</f>
        <v>#N/A</v>
      </c>
      <c r="BX199" s="151" t="str">
        <f t="array" ref="BX199">INDEX(BW:BW,MIN(IF(ISNUMBER(BW199:BW395),ROW(BW199:BW395),"")))</f>
        <v/>
      </c>
      <c r="BY199" s="150">
        <f>IF('Données projet'!$A$114&gt;35,BY198+BX199-CG198,IF(A199&lt;'Données projet'!$A$114,$BV$205^A199,IF(A199='Données projet'!$A$114,'Données projet'!$B$114,BY198+BX199-CG198)))</f>
        <v>0</v>
      </c>
      <c r="BZ199" s="150" t="str">
        <f>BY199*VLOOKUP('Données projet'!$B$12,'Paramètres'!$A$1:$I$88,3,0)*VLOOKUP('Données projet'!$B$12,'Paramètres'!$A$1:$I$88,5,0)</f>
        <v>#N/A</v>
      </c>
      <c r="CA199" s="150" t="str">
        <f t="shared" si="40"/>
        <v>#N/A</v>
      </c>
      <c r="CB199" s="161" t="str">
        <f t="shared" si="11"/>
        <v>#N/A</v>
      </c>
      <c r="CC199" s="153" t="str">
        <f t="shared" si="12"/>
        <v>#N/A</v>
      </c>
      <c r="CD199" s="153" t="str">
        <f>AVERAGE(OFFSET($CC$3,0,0,'Données projet'!$E$12+1,1))-AVERAGE(OFFSET($H$3,0,0,'Données projet'!$E$12+1,1))</f>
        <v>#N/A</v>
      </c>
      <c r="CE199" s="153" t="str">
        <f t="shared" si="41"/>
        <v>#N/A</v>
      </c>
      <c r="CF199" s="154">
        <f>IF(ISNA(VLOOKUP(A199,'Données projet'!$A$113:$I$133,3,0)),0,VLOOKUP(A199,'Données projet'!$A$113:$I$133,3,0))</f>
        <v>0</v>
      </c>
      <c r="CG199" s="154">
        <f>IF(ISNA(VLOOKUP(A199,'Données projet'!$A$113:$I$133,4,0)),0,VLOOKUP(A199,'Données projet'!$A$113:$I$133,4,0))</f>
        <v>0</v>
      </c>
      <c r="CH199" s="155">
        <f>IF(ISNA(VLOOKUP(A199,'Données projet'!$A$113:$I$133,5,0)),0%,VLOOKUP(A199,'Données projet'!$A$113:$I$133,5,0)*VLOOKUP('Données projet'!$B$12,'Paramètres'!$A$1:$I$88,7,0))</f>
        <v>0</v>
      </c>
      <c r="CI199" s="155">
        <f>IF(ISNA(VLOOKUP(A199,'Données projet'!$A$113:$I$133,6,0)),0%,VLOOKUP(A199,'Données projet'!$A$113:$I$133,6,0)*VLOOKUP('Données projet'!$B$12,'Paramètres'!$A$1:$I$88,7,0))</f>
        <v>0</v>
      </c>
      <c r="CJ199" s="155">
        <f>IF(ISNA(VLOOKUP(A199,'Données projet'!$A$113:$I$133,7,0)),0%,VLOOKUP(A199,'Données projet'!$A$113:$I$133,7,0))</f>
        <v>0</v>
      </c>
      <c r="CK199" s="162" t="str">
        <f>EXP(-LN(2)/35)*CK198+(1-EXP(-LN(2)/35))/(LN(2)/35)*CG199*CH199*VLOOKUP('Données projet'!$B$12,'Paramètres'!$A$1:$I$88,3,0)*0.475*44/12</f>
        <v>#N/A</v>
      </c>
      <c r="CL199" s="162" t="str">
        <f>EXP(-LN(2)/25)*CL198+(1-EXP(-LN(2)/25))/(LN(2)/25)*Calculateur!CG199*Calculateur!CI199*VLOOKUP('Données projet'!$B$12,'Paramètres'!$A$1:$I$88,3,0)*0.475*44/12</f>
        <v>#N/A</v>
      </c>
      <c r="CM199" s="162" t="str">
        <f>EXP(-LN(2)/2)*CM198+(1-EXP(-LN(2)/2))/(LN(2)/2)*CG199*CJ199*VLOOKUP('Données projet'!$B$12,'Paramètres'!$A$1:$I$88,3,0)*0.475*44/12</f>
        <v>#N/A</v>
      </c>
      <c r="CN199" s="163" t="str">
        <f t="shared" si="13"/>
        <v>#N/A</v>
      </c>
      <c r="CO199" s="159">
        <f>('Scénario référence'!$F$8+'Scénario référence'!$F$9+'Scénario référence'!$B$17+'Scénario référence'!$B$9+'Scénario référence'!$B$10)*70+IF((45+25*(1-EXP(-0.0175*A199)))&lt;70,'Scénario référence'!$B$16*(45+25*(1-EXP(-0.0175*A199))),70*'Scénario référence'!$B$16)+IF((32+38*(1-EXP(-0.0175*A199)))&lt;70,'Scénario référence'!$B$18*(32+38*(1-EXP(-0.0175*A199))),70*'Scénario référence'!$B$18)</f>
        <v>70</v>
      </c>
      <c r="CP199" s="151">
        <f>IF(A199&gt;30,10,('Scénario référence'!$B$16+'Scénario référence'!$B$17+'Scénario référence'!$B$18+'Scénario référence'!$B$9+'Scénario référence'!$B$10)*A199*10/30+('Scénario référence'!$F$8+'Scénario référence'!$F$9)*10)</f>
        <v>10</v>
      </c>
      <c r="CQ199" s="151" t="str">
        <f>VLOOKUP(A199,'Données projet'!$A$139:$I$159,2,0)</f>
        <v>#N/A</v>
      </c>
      <c r="CR199" s="151" t="str">
        <f>VLOOKUP(A199,'Données projet'!$A$139:$I$159,9,0)</f>
        <v>#N/A</v>
      </c>
      <c r="CS199" s="151" t="str">
        <f t="array" ref="CS199">INDEX(CR:CR,MIN(IF(ISNUMBER(CR199:CR395),ROW(CR199:CR395),"")))</f>
        <v/>
      </c>
      <c r="CT199" s="151">
        <f>IF('Données projet'!$A$140&gt;35,CT198+CS199-DB198,IF(A199&lt;'Données projet'!$A$140,$CQ$205^A199,IF(A199='Données projet'!$A$140,'Données projet'!$B$140,CT198+CS199-DB198)))</f>
        <v>0</v>
      </c>
      <c r="CU199" s="158" t="str">
        <f>CT199*VLOOKUP('Données projet'!$B$13,'Paramètres'!$A$1:$I$88,3,0)*VLOOKUP('Données projet'!$B$13,'Paramètres'!$A$1:$I$88,5,0)</f>
        <v>#N/A</v>
      </c>
      <c r="CV199" s="150" t="str">
        <f t="shared" si="42"/>
        <v>#N/A</v>
      </c>
      <c r="CW199" s="161" t="str">
        <f t="shared" si="14"/>
        <v>#N/A</v>
      </c>
      <c r="CX199" s="153" t="str">
        <f t="shared" si="15"/>
        <v>#N/A</v>
      </c>
      <c r="CY199" s="153" t="str">
        <f>AVERAGE(OFFSET($CX$3,0,0,'Données projet'!$E$13+1,1))-AVERAGE(OFFSET($H$3,0,0,'Données projet'!$E$13+1,1))</f>
        <v>#N/A</v>
      </c>
      <c r="CZ199" s="153" t="str">
        <f t="shared" si="43"/>
        <v>#N/A</v>
      </c>
      <c r="DA199" s="154">
        <f>IF(ISNA(VLOOKUP(A199,'Données projet'!$A$139:$I$159,3,0)),0,VLOOKUP(A199,'Données projet'!$A$139:$I$159,3,0))</f>
        <v>0</v>
      </c>
      <c r="DB199" s="154">
        <f>IF(ISNA(VLOOKUP(A199,'Données projet'!$A$139:$I$159,4,0)),0,VLOOKUP(A199,'Données projet'!$A$139:$I$159,4,0))</f>
        <v>0</v>
      </c>
      <c r="DC199" s="155">
        <f>IF(ISNA(VLOOKUP(A199,'Données projet'!$A$139:$I$159,5,0)),0%,VLOOKUP(A199,'Données projet'!$A$139:$I$159,5,0)*VLOOKUP('Données projet'!$B$13,'Paramètres'!$A$1:$I$88,7,0))</f>
        <v>0</v>
      </c>
      <c r="DD199" s="155">
        <f>IF(ISNA(VLOOKUP(A199,'Données projet'!$A$139:$I$159,6,0)),0%,VLOOKUP(A199,'Données projet'!$A$139:$I$159,6,0)*VLOOKUP('Données projet'!$B$13,'Paramètres'!$A$1:$I$88,7,0))</f>
        <v>0</v>
      </c>
      <c r="DE199" s="155">
        <f>IF(ISNA(VLOOKUP(A199,'Données projet'!$A$139:$I$159,7,0)),0%,VLOOKUP(A199,'Données projet'!$A$139:$I$159,7,0))</f>
        <v>0</v>
      </c>
      <c r="DF199" s="162" t="str">
        <f>EXP(-LN(2)/35)*DF198+(1-EXP(-LN(2)/35))/(LN(2)/35)*DB199*DC199*VLOOKUP('Données projet'!$B$13,'Paramètres'!$A$1:$I$88,3,0)*0.475*44/12</f>
        <v>#N/A</v>
      </c>
      <c r="DG199" s="162" t="str">
        <f>EXP(-LN(2)/25)*DG198+(1-EXP(-LN(2)/25))/(LN(2)/25)*Calculateur!DB199*Calculateur!DD199*VLOOKUP('Données projet'!$B$13,'Paramètres'!$A$1:$I$88,3,0)*0.475*44/12</f>
        <v>#N/A</v>
      </c>
      <c r="DH199" s="162" t="str">
        <f>EXP(-LN(2)/2)*DH198+(1-EXP(-LN(2)/2))/(LN(2)/2)*DB199*DE199*VLOOKUP('Données projet'!$B$13,'Paramètres'!$A$1:$I$88,3,0)*0.475*44/12</f>
        <v>#N/A</v>
      </c>
      <c r="DI199" s="163" t="str">
        <f t="shared" si="16"/>
        <v>#N/A</v>
      </c>
      <c r="DJ199" s="159">
        <f>('Scénario référence'!$F$8+'Scénario référence'!$F$9+'Scénario référence'!$B$17+'Scénario référence'!$B$9+'Scénario référence'!$B$10)*70+IF((45+25*(1-EXP(-0.0175*A199)))&lt;70,'Scénario référence'!$B$16*(45+25*(1-EXP(-0.0175*A199))),70*'Scénario référence'!$B$16)+IF((32+38*(1-EXP(-0.0175*A199)))&lt;70,'Scénario référence'!$B$18*(32+38*(1-EXP(-0.0175*A199))),70*'Scénario référence'!$B$18)</f>
        <v>70</v>
      </c>
      <c r="DK199" s="151">
        <f>IF(A199&gt;30,10,('Scénario référence'!$B$16+'Scénario référence'!$B$17+'Scénario référence'!$B$18+'Scénario référence'!$B$9+'Scénario référence'!$B$10)*A199*10/30+('Scénario référence'!$F$8+'Scénario référence'!$F$9)*10)</f>
        <v>10</v>
      </c>
      <c r="DL199" s="151" t="str">
        <f>VLOOKUP(A199,'Données projet'!$A$165:$I$185,2,0)</f>
        <v>#N/A</v>
      </c>
      <c r="DM199" s="151" t="str">
        <f>VLOOKUP(A199,'Données projet'!$A$165:$I$185,9,0)</f>
        <v>#N/A</v>
      </c>
      <c r="DN199" s="151" t="str">
        <f t="array" ref="DN199">INDEX(DM:DM,MIN(IF(ISNUMBER(DM199:DM395),ROW(DM199:DM395),"")))</f>
        <v/>
      </c>
      <c r="DO199" s="151">
        <f>IF('Données projet'!$A$166&gt;35,DO198+DN199-DW198,IF(A199&lt;'Données projet'!$A$166,$DL$205^A199,IF(A199='Données projet'!$A$166,'Données projet'!$B$166,DO198+DN199-DW198)))</f>
        <v>0</v>
      </c>
      <c r="DP199" s="158" t="str">
        <f>DO199*VLOOKUP('Données projet'!$B$14,'Paramètres'!$A$1:$I$88,3,0)*VLOOKUP('Données projet'!$B$14,'Paramètres'!$A$1:$I$88,5,0)</f>
        <v>#N/A</v>
      </c>
      <c r="DQ199" s="150" t="str">
        <f t="shared" si="44"/>
        <v>#N/A</v>
      </c>
      <c r="DR199" s="161" t="str">
        <f t="shared" si="17"/>
        <v>#N/A</v>
      </c>
      <c r="DS199" s="153" t="str">
        <f t="shared" si="18"/>
        <v>#N/A</v>
      </c>
      <c r="DT199" s="153" t="str">
        <f>AVERAGE(OFFSET($DS$3,0,0,'Données projet'!$E$14+1,1))-AVERAGE(OFFSET($H$3,0,0,'Données projet'!$E$14+1,1))</f>
        <v>#N/A</v>
      </c>
      <c r="DU199" s="153" t="str">
        <f t="shared" si="45"/>
        <v>#N/A</v>
      </c>
      <c r="DV199" s="154">
        <f>IF(ISNA(VLOOKUP(A199,'Données projet'!$A$165:$I$185,3,0)),0,VLOOKUP(A199,'Données projet'!$A$165:$I$185,3,0))</f>
        <v>0</v>
      </c>
      <c r="DW199" s="154">
        <f>IF(ISNA(VLOOKUP(A199,'Données projet'!$A$165:$I$185,4,0)),0,VLOOKUP(A199,'Données projet'!$A$165:$I$185,4,0))</f>
        <v>0</v>
      </c>
      <c r="DX199" s="155">
        <f>IF(ISNA(VLOOKUP(A199,'Données projet'!$A$165:$I$185,5,0)),0%,VLOOKUP(A199,'Données projet'!$A$165:$I$185,5,0)*VLOOKUP('Données projet'!$B$14,'Paramètres'!$A$1:$I$88,7,0))</f>
        <v>0</v>
      </c>
      <c r="DY199" s="155">
        <f>IF(ISNA(VLOOKUP(A199,'Données projet'!$A$165:$I$185,6,0)),0%,VLOOKUP(A199,'Données projet'!$A$165:$I$185,6,0)*VLOOKUP('Données projet'!$B$14,'Paramètres'!$A$1:$I$88,7,0))</f>
        <v>0</v>
      </c>
      <c r="DZ199" s="155">
        <f>IF(ISNA(VLOOKUP(A199,'Données projet'!$A$165:$I$185,7,0)),0%,VLOOKUP(A199,'Données projet'!$A$165:$I$185,7,0))</f>
        <v>0</v>
      </c>
      <c r="EA199" s="162" t="str">
        <f>EXP(-LN(2)/35)*EA198+(1-EXP(-LN(2)/35))/(LN(2)/35)*DW199*DX199*VLOOKUP('Données projet'!$B$14,'Paramètres'!$A$1:$I$88,3,0)*0.475*44/12</f>
        <v>#N/A</v>
      </c>
      <c r="EB199" s="162" t="str">
        <f>EXP(-LN(2)/25)*EB198+(1-EXP(-LN(2)/25))/(LN(2)/25)*Calculateur!DW199*Calculateur!DY199*VLOOKUP('Données projet'!$B$14,'Paramètres'!$A$1:$I$88,3,0)*0.475*44/12</f>
        <v>#N/A</v>
      </c>
      <c r="EC199" s="162" t="str">
        <f>EXP(-LN(2)/2)*EC198+(1-EXP(-LN(2)/2))/(LN(2)/2)*DW199*DZ199*VLOOKUP('Données projet'!$B$14,'Paramètres'!$A$1:$I$88,3,0)*0.475*44/12</f>
        <v>#N/A</v>
      </c>
      <c r="ED199" s="163" t="str">
        <f t="shared" si="19"/>
        <v>#N/A</v>
      </c>
      <c r="EE199" s="159">
        <f>('Scénario référence'!$F$8+'Scénario référence'!$F$9+'Scénario référence'!$B$17+'Scénario référence'!$B$9+'Scénario référence'!$B$10)*70+IF((45+25*(1-EXP(-0.0175*A199)))&lt;70,'Scénario référence'!$B$16*(45+25*(1-EXP(-0.0175*A199))),70*'Scénario référence'!$B$16)+IF((32+38*(1-EXP(-0.0175*A199)))&lt;70,'Scénario référence'!$B$18*(32+38*(1-EXP(-0.0175*A199))),70*'Scénario référence'!$B$18)</f>
        <v>70</v>
      </c>
      <c r="EF199" s="151">
        <f>IF(A199&gt;30,10,('Scénario référence'!$B$16+'Scénario référence'!$B$17+'Scénario référence'!$B$18+'Scénario référence'!$B$9+'Scénario référence'!$B$10)*A199*10/30+('Scénario référence'!$F$8+'Scénario référence'!$F$9)*10)</f>
        <v>10</v>
      </c>
      <c r="EG199" s="151" t="str">
        <f>VLOOKUP(A199,'Données projet'!$A$191:$I$211,2,0)</f>
        <v>#N/A</v>
      </c>
      <c r="EH199" s="151" t="str">
        <f>VLOOKUP(A199,'Données projet'!$A$191:$I$211,9,0)</f>
        <v>#N/A</v>
      </c>
      <c r="EI199" s="151" t="str">
        <f t="array" ref="EI199">INDEX(EH:EH,MIN(IF(ISNUMBER(EH199:EH395),ROW(EH199:EH395),"")))</f>
        <v/>
      </c>
      <c r="EJ199" s="151">
        <f>IF('Données projet'!$A$192&gt;35,EJ198+EI199-ER198,IF(A199&lt;'Données projet'!$A$192,$EG$205^A199,IF(A199='Données projet'!$A$192,'Données projet'!$B$192,EJ198+EI199-ER198)))</f>
        <v>0</v>
      </c>
      <c r="EK199" s="158" t="str">
        <f>EJ199*VLOOKUP('Données projet'!$B$15,'Paramètres'!$A$1:$I$88,3,0)*VLOOKUP('Données projet'!$B$15,'Paramètres'!$A$1:$I$88,5,0)</f>
        <v>#N/A</v>
      </c>
      <c r="EL199" s="150" t="str">
        <f t="shared" si="46"/>
        <v>#N/A</v>
      </c>
      <c r="EM199" s="161" t="str">
        <f t="shared" si="20"/>
        <v>#N/A</v>
      </c>
      <c r="EN199" s="153" t="str">
        <f t="shared" si="21"/>
        <v>#N/A</v>
      </c>
      <c r="EO199" s="153" t="str">
        <f>AVERAGE(OFFSET($EN$3,0,0,'Données projet'!$E$15+1,1))-AVERAGE(OFFSET($H$3,0,0,'Données projet'!$E$15+1,1))</f>
        <v>#N/A</v>
      </c>
      <c r="EP199" s="153" t="str">
        <f t="shared" si="47"/>
        <v>#N/A</v>
      </c>
      <c r="EQ199" s="154">
        <f>IF(ISNA(VLOOKUP(A199,'Données projet'!$A$191:$I$211,3,0)),0,VLOOKUP(A199,'Données projet'!$A$191:$I$211,3,0))</f>
        <v>0</v>
      </c>
      <c r="ER199" s="154">
        <f>IF(ISNA(VLOOKUP(A199,'Données projet'!$A$191:$I$211,4,0)),0,VLOOKUP(A199,'Données projet'!$A$191:$I$211,4,0))</f>
        <v>0</v>
      </c>
      <c r="ES199" s="155">
        <f>IF(ISNA(VLOOKUP(A199,'Données projet'!$A$191:$I$211,5,0)),0%,VLOOKUP(A199,'Données projet'!$A$191:$I$211,5,0)*VLOOKUP('Données projet'!$B$15,'Paramètres'!$A$1:$I$88,7,0))</f>
        <v>0</v>
      </c>
      <c r="ET199" s="155">
        <f>IF(ISNA(VLOOKUP(A199,'Données projet'!$A$191:$I$211,6,0)),0%,VLOOKUP(A199,'Données projet'!$A$191:$I$211,6,0)*VLOOKUP('Données projet'!$B$15,'Paramètres'!$A$1:$I$88,7,0))</f>
        <v>0</v>
      </c>
      <c r="EU199" s="155">
        <f>IF(ISNA(VLOOKUP(A199,'Données projet'!$A$191:$I$211,7,0)),0%,VLOOKUP(A199,'Données projet'!$A$191:$I$211,7,0))</f>
        <v>0</v>
      </c>
      <c r="EV199" s="162" t="str">
        <f>EXP(-LN(2)/35)*EV198+(1-EXP(-LN(2)/35))/(LN(2)/35)*ER199*ES199*VLOOKUP('Données projet'!$B$15,'Paramètres'!$A$1:$I$88,3,0)*0.475*44/12</f>
        <v>#N/A</v>
      </c>
      <c r="EW199" s="162" t="str">
        <f>EXP(-LN(2)/25)*EW198+(1-EXP(-LN(2)/25))/(LN(2)/25)*Calculateur!ER199*Calculateur!ET199*VLOOKUP('Données projet'!$B$15,'Paramètres'!$A$1:$I$88,3,0)*0.475*44/12</f>
        <v>#N/A</v>
      </c>
      <c r="EX199" s="162" t="str">
        <f>EXP(-LN(2)/2)*EX198+(1-EXP(-LN(2)/2))/(LN(2)/2)*ER199*EU199*VLOOKUP('Données projet'!$B$15,'Paramètres'!$A$1:$I$88,3,0)*0.475*44/12</f>
        <v>#N/A</v>
      </c>
      <c r="EY199" s="163" t="str">
        <f t="shared" si="22"/>
        <v>#N/A</v>
      </c>
      <c r="EZ199" s="159">
        <f>('Scénario référence'!$F$8+'Scénario référence'!$F$9+'Scénario référence'!$B$17+'Scénario référence'!$B$9+'Scénario référence'!$B$10)*70+IF((45+25*(1-EXP(-0.0175*A199)))&lt;70,'Scénario référence'!$B$16*(45+25*(1-EXP(-0.0175*A199))),70*'Scénario référence'!$B$16)+IF((32+38*(1-EXP(-0.0175*A199)))&lt;70,'Scénario référence'!$B$18*(32+38*(1-EXP(-0.0175*A199))),70*'Scénario référence'!$B$18)</f>
        <v>70</v>
      </c>
      <c r="FA199" s="151">
        <f>IF(A199&gt;30,10,('Scénario référence'!$B$16+'Scénario référence'!$B$17+'Scénario référence'!$B$18+'Scénario référence'!$B$9+'Scénario référence'!$B$10)*A199*10/30+('Scénario référence'!$F$8+'Scénario référence'!$F$9)*10)</f>
        <v>10</v>
      </c>
      <c r="FB199" s="151" t="str">
        <f>VLOOKUP(A199,'Données projet'!$A$217:$I$237,2,0)</f>
        <v>#N/A</v>
      </c>
      <c r="FC199" s="151" t="str">
        <f>VLOOKUP(A199,'Données projet'!$A$217:$I$237,9,0)</f>
        <v>#N/A</v>
      </c>
      <c r="FD199" s="151" t="str">
        <f t="array" ref="FD199">INDEX(FC:FC,MIN(IF(ISNUMBER(FC199:FC395),ROW(FC199:FC395),"")))</f>
        <v/>
      </c>
      <c r="FE199" s="151">
        <f>IF('Données projet'!$A$218&gt;35,FE198+FD199-FM198,IF(A199&lt;'Données projet'!$A$218,$FB$205^A199,IF(A199='Données projet'!$A$218,'Données projet'!$B$218,FE198+FD199-FM198)))</f>
        <v>0</v>
      </c>
      <c r="FF199" s="158" t="str">
        <f>FE199*VLOOKUP('Données projet'!$B$16,'Paramètres'!$A$1:$I$88,3,0)*VLOOKUP('Données projet'!$B$16,'Paramètres'!$A$1:$I$88,5,0)</f>
        <v>#N/A</v>
      </c>
      <c r="FG199" s="150" t="str">
        <f t="shared" si="48"/>
        <v>#N/A</v>
      </c>
      <c r="FH199" s="161" t="str">
        <f t="shared" si="23"/>
        <v>#N/A</v>
      </c>
      <c r="FI199" s="153" t="str">
        <f t="shared" si="24"/>
        <v>#N/A</v>
      </c>
      <c r="FJ199" s="153" t="str">
        <f>AVERAGE(OFFSET($FI$3,0,0,'Données projet'!$E$16+1,1))-AVERAGE(OFFSET($H$3,0,0,'Données projet'!$E$16+1,1))</f>
        <v>#N/A</v>
      </c>
      <c r="FK199" s="153" t="str">
        <f t="shared" si="49"/>
        <v>#N/A</v>
      </c>
      <c r="FL199" s="154">
        <f>IF(ISNA(VLOOKUP(A199,'Données projet'!$A$217:$I$237,3,0)),0,VLOOKUP(A199,'Données projet'!$A$217:$I$237,3,0))</f>
        <v>0</v>
      </c>
      <c r="FM199" s="154">
        <f>IF(ISNA(VLOOKUP(A199,'Données projet'!$A$217:$I$237,4,0)),0,VLOOKUP(A199,'Données projet'!$A$217:$I$237,4,0))</f>
        <v>0</v>
      </c>
      <c r="FN199" s="155">
        <f>IF(ISNA(VLOOKUP(A199,'Données projet'!$A$217:$I$237,5,0)),0%,VLOOKUP(A199,'Données projet'!$A$217:$I$237,5,0)*VLOOKUP('Données projet'!$B$16,'Paramètres'!$A$1:$I$88,7,0))</f>
        <v>0</v>
      </c>
      <c r="FO199" s="155">
        <f>IF(ISNA(VLOOKUP(A199,'Données projet'!$A$217:$I$237,6,0)),0%,VLOOKUP(A199,'Données projet'!$A$217:$I$237,6,0)*VLOOKUP('Données projet'!$B$16,'Paramètres'!$A$1:$I$88,7,0))</f>
        <v>0</v>
      </c>
      <c r="FP199" s="155">
        <f>IF(ISNA(VLOOKUP(A199,'Données projet'!$A$217:$I$237,7,0)),0%,VLOOKUP(A199,'Données projet'!$A$217:$I$237,7,0))</f>
        <v>0</v>
      </c>
      <c r="FQ199" s="162" t="str">
        <f>EXP(-LN(2)/35)*FQ198+(1-EXP(-LN(2)/35))/(LN(2)/35)*FM199*FN199*VLOOKUP('Données projet'!$B$16,'Paramètres'!$A$1:$I$88,3,0)*0.475*44/12</f>
        <v>#N/A</v>
      </c>
      <c r="FR199" s="162" t="str">
        <f>EXP(-LN(2)/25)*FR198+(1-EXP(-LN(2)/25))/(LN(2)/25)*Calculateur!FM199*Calculateur!FO199*VLOOKUP('Données projet'!$B$16,'Paramètres'!$A$1:$I$88,3,0)*0.475*44/12</f>
        <v>#N/A</v>
      </c>
      <c r="FS199" s="162" t="str">
        <f>EXP(-LN(2)/2)*FS198+(1-EXP(-LN(2)/2))/(LN(2)/2)*FM199*FP199*VLOOKUP('Données projet'!$B$16,'Paramètres'!$A$1:$I$88,3,0)*0.475*44/12</f>
        <v>#N/A</v>
      </c>
      <c r="FT199" s="163" t="str">
        <f t="shared" si="25"/>
        <v>#N/A</v>
      </c>
      <c r="FU199" s="159">
        <f>('Scénario référence'!$F$8+'Scénario référence'!$F$9+'Scénario référence'!$B$17+'Scénario référence'!$B$9+'Scénario référence'!$B$10)*70+IF((45+25*(1-EXP(-0.0175*A199)))&lt;70,'Scénario référence'!$B$16*(45+25*(1-EXP(-0.0175*A199))),70*'Scénario référence'!$B$16)+IF((32+38*(1-EXP(-0.0175*A199)))&lt;70,'Scénario référence'!$B$18*(32+38*(1-EXP(-0.0175*A199))),70*'Scénario référence'!$B$18)</f>
        <v>70</v>
      </c>
      <c r="FV199" s="151">
        <f>IF(A199&gt;30,10,('Scénario référence'!$B$16+'Scénario référence'!$B$17+'Scénario référence'!$B$18+'Scénario référence'!$B$9+'Scénario référence'!$B$10)*A199*10/30+('Scénario référence'!$F$8+'Scénario référence'!$F$9)*10)</f>
        <v>10</v>
      </c>
      <c r="FW199" s="151" t="str">
        <f>VLOOKUP(A199,'Données projet'!$A$243:$I$263,2,0)</f>
        <v>#N/A</v>
      </c>
      <c r="FX199" s="151" t="str">
        <f>VLOOKUP(A199,'Données projet'!$A$243:$I$263,9,0)</f>
        <v>#N/A</v>
      </c>
      <c r="FY199" s="151" t="str">
        <f t="array" ref="FY199">INDEX(FX:FX,MIN(IF(ISNUMBER(FX199:FX395),ROW(FX199:FX395),"")))</f>
        <v/>
      </c>
      <c r="FZ199" s="151">
        <f>IF('Données projet'!$A$244&gt;35,FZ198+FY199-GH198,IF(A199&lt;'Données projet'!$A$244,$FW$205^A199,IF(A199='Données projet'!$A$244,'Données projet'!$B$244,FZ198+FY199-GH198)))</f>
        <v>0</v>
      </c>
      <c r="GA199" s="158" t="str">
        <f>FZ199*VLOOKUP('Données projet'!$B$17,'Paramètres'!$A$1:$I$88,3,0)*VLOOKUP('Données projet'!$B$17,'Paramètres'!$A$1:$I$88,5,0)</f>
        <v>#N/A</v>
      </c>
      <c r="GB199" s="150" t="str">
        <f t="shared" si="50"/>
        <v>#N/A</v>
      </c>
      <c r="GC199" s="161" t="str">
        <f t="shared" si="26"/>
        <v>#N/A</v>
      </c>
      <c r="GD199" s="153" t="str">
        <f t="shared" si="27"/>
        <v>#N/A</v>
      </c>
      <c r="GE199" s="153" t="str">
        <f>AVERAGE(OFFSET($GD$3,0,0,'Données projet'!$E$17+1,1))-AVERAGE(OFFSET($H$3,0,0,'Données projet'!$E$17+1,1))</f>
        <v>#N/A</v>
      </c>
      <c r="GF199" s="153" t="str">
        <f t="shared" si="51"/>
        <v>#N/A</v>
      </c>
      <c r="GG199" s="154">
        <f>IF(ISNA(VLOOKUP(A199,'Données projet'!$A$243:$I$263,3,0)),0,VLOOKUP(A199,'Données projet'!$A$243:$I$263,3,0))</f>
        <v>0</v>
      </c>
      <c r="GH199" s="154">
        <f>IF(ISNA(VLOOKUP(A199,'Données projet'!$A$243:$I$263,4,0)),0,VLOOKUP(A199,'Données projet'!$A$243:$I$263,4,0))</f>
        <v>0</v>
      </c>
      <c r="GI199" s="155">
        <f>IF(ISNA(VLOOKUP(A199,'Données projet'!$A$243:$I$263,5,0)),0%,VLOOKUP(A199,'Données projet'!$A$243:$I$263,5,0)*VLOOKUP('Données projet'!$B$17,'Paramètres'!$A$1:$I$88,7,0))</f>
        <v>0</v>
      </c>
      <c r="GJ199" s="155">
        <f>IF(ISNA(VLOOKUP(A199,'Données projet'!$A$243:$I$263,6,0)),0%,VLOOKUP(A199,'Données projet'!$A$243:$I$263,6,0)*VLOOKUP('Données projet'!$B$17,'Paramètres'!$A$1:$I$88,7,0))</f>
        <v>0</v>
      </c>
      <c r="GK199" s="155">
        <f>IF(ISNA(VLOOKUP(A199,'Données projet'!$A$243:$I$263,7,0)),0%,VLOOKUP(A199,'Données projet'!$A$243:$I$263,7,0))</f>
        <v>0</v>
      </c>
      <c r="GL199" s="162" t="str">
        <f>EXP(-LN(2)/35)*GL198+(1-EXP(-LN(2)/35))/(LN(2)/35)*GH199*GI199*VLOOKUP('Données projet'!$B$17,'Paramètres'!$A$1:$I$88,3,0)*0.475*44/12</f>
        <v>#N/A</v>
      </c>
      <c r="GM199" s="162" t="str">
        <f>EXP(-LN(2)/25)*GM198+(1-EXP(-LN(2)/25))/(LN(2)/25)*Calculateur!GH199*Calculateur!GJ199*VLOOKUP('Données projet'!$B$17,'Paramètres'!$A$1:$I$88,3,0)*0.475*44/12</f>
        <v>#N/A</v>
      </c>
      <c r="GN199" s="162" t="str">
        <f>EXP(-LN(2)/2)*GN198+(1-EXP(-LN(2)/2))/(LN(2)/2)*GH199*GK199*VLOOKUP('Données projet'!$B$17,'Paramètres'!$A$1:$I$88,3,0)*0.475*44/12</f>
        <v>#N/A</v>
      </c>
      <c r="GO199" s="162" t="str">
        <f t="shared" si="28"/>
        <v>#N/A</v>
      </c>
      <c r="GP199" s="159">
        <f>('Scénario référence'!$F$8+'Scénario référence'!$F$9+'Scénario référence'!$B$17+'Scénario référence'!$B$9+'Scénario référence'!$B$10)*70+IF((45+25*(1-EXP(-0.0175*A199)))&lt;70,'Scénario référence'!$B$16*(45+25*(1-EXP(-0.0175*A199))),70*'Scénario référence'!$B$16)+IF((32+38*(1-EXP(-0.0175*A199)))&lt;70,'Scénario référence'!$B$18*(32+38*(1-EXP(-0.0175*A199))),70*'Scénario référence'!$B$18)</f>
        <v>70</v>
      </c>
      <c r="GQ199" s="151">
        <f>IF(A199&gt;30,10,('Scénario référence'!$B$16+'Scénario référence'!$B$17+'Scénario référence'!$B$18+'Scénario référence'!$B$9+'Scénario référence'!$B$10)*A199*10/30+('Scénario référence'!$F$8+'Scénario référence'!$F$9)*10)</f>
        <v>10</v>
      </c>
      <c r="GR199" s="151" t="str">
        <f>VLOOKUP(A199,'Données projet'!$A$269:$I$289,2,0)</f>
        <v>#N/A</v>
      </c>
      <c r="GS199" s="151" t="str">
        <f>VLOOKUP(A199,'Données projet'!$A$269:$I$289,9,0)</f>
        <v>#N/A</v>
      </c>
      <c r="GT199" s="151" t="str">
        <f t="array" ref="GT199">INDEX(GS:GS,MIN(IF(ISNUMBER(GS199:GS395),ROW(GS199:GS395),"")))</f>
        <v/>
      </c>
      <c r="GU199" s="151">
        <f>IF('Données projet'!$A$270&gt;35,GU198+GT199-HC198,IF(A199&lt;'Données projet'!$A$270,$GR$205^A199,IF(A199='Données projet'!$A$270,'Données projet'!$B$270,GU198+GT199-HC198)))</f>
        <v>0</v>
      </c>
      <c r="GV199" s="158" t="str">
        <f>GU199*VLOOKUP('Données projet'!$B$18,'Paramètres'!$A$1:$I$88,3,0)*VLOOKUP('Données projet'!$B$18,'Paramètres'!$A$1:$I$88,5,0)</f>
        <v>#N/A</v>
      </c>
      <c r="GW199" s="150" t="str">
        <f t="shared" si="52"/>
        <v>#N/A</v>
      </c>
      <c r="GX199" s="161" t="str">
        <f t="shared" si="29"/>
        <v>#N/A</v>
      </c>
      <c r="GY199" s="153" t="str">
        <f t="shared" si="30"/>
        <v>#N/A</v>
      </c>
      <c r="GZ199" s="153" t="str">
        <f>AVERAGE(OFFSET($GY$3,0,0,'Données projet'!$E$18+1,1))-AVERAGE(OFFSET($H$3,0,0,'Données projet'!$E$18+1,1))</f>
        <v>#N/A</v>
      </c>
      <c r="HA199" s="153" t="str">
        <f t="shared" si="53"/>
        <v>#N/A</v>
      </c>
      <c r="HB199" s="154">
        <f>IF(ISNA(VLOOKUP(A199,'Données projet'!$A$269:$I$289,3,0)),0,VLOOKUP(A199,'Données projet'!$A$269:$I$289,3,0))</f>
        <v>0</v>
      </c>
      <c r="HC199" s="154">
        <f>IF(ISNA(VLOOKUP(A199,'Données projet'!$A$269:$I$289,4,0)),0,VLOOKUP(A199,'Données projet'!$A$269:$I$289,4,0))</f>
        <v>0</v>
      </c>
      <c r="HD199" s="155">
        <f>IF(ISNA(VLOOKUP(A199,'Données projet'!$A$269:$I$289,5,0)),0%,VLOOKUP(A199,'Données projet'!$A$269:$I$289,5,0)*VLOOKUP('Données projet'!$B$18,'Paramètres'!$A$1:$I$88,7,0))</f>
        <v>0</v>
      </c>
      <c r="HE199" s="155">
        <f>IF(ISNA(VLOOKUP(A199,'Données projet'!$A$269:$I$289,6,0)),0%,VLOOKUP(A199,'Données projet'!$A$269:$I$289,6,0)*VLOOKUP('Données projet'!$B$18,'Paramètres'!$A$1:$I$88,7,0))</f>
        <v>0</v>
      </c>
      <c r="HF199" s="155">
        <f>IF(ISNA(VLOOKUP(A199,'Données projet'!$A$269:$I$289,7,0)),0%,VLOOKUP(A199,'Données projet'!$A$269:$I$289,7,0))</f>
        <v>0</v>
      </c>
      <c r="HG199" s="162" t="str">
        <f>EXP(-LN(2)/35)*HG198+(1-EXP(-LN(2)/35))/(LN(2)/35)*HC199*HD199*VLOOKUP('Données projet'!$B$18,'Paramètres'!$A$1:$I$88,3,0)*0.475*44/12</f>
        <v>#N/A</v>
      </c>
      <c r="HH199" s="162" t="str">
        <f>EXP(-LN(2)/25)*HH198+(1-EXP(-LN(2)/25))/(LN(2)/25)*Calculateur!HC199*Calculateur!HE199*VLOOKUP('Données projet'!$B$18,'Paramètres'!$A$1:$I$88,3,0)*0.475*44/12</f>
        <v>#N/A</v>
      </c>
      <c r="HI199" s="162" t="str">
        <f>EXP(-LN(2)/2)*HI198+(1-EXP(-LN(2)/2))/(LN(2)/2)*HC199*HF199*VLOOKUP('Données projet'!$B$18,'Paramètres'!$A$1:$I$88,3,0)*0.475*44/12</f>
        <v>#N/A</v>
      </c>
      <c r="HJ199" s="163" t="str">
        <f t="shared" si="31"/>
        <v>#N/A</v>
      </c>
    </row>
    <row r="200" ht="15.75" customHeight="1">
      <c r="A200" s="145">
        <f t="shared" si="32"/>
        <v>197</v>
      </c>
      <c r="B200" s="146">
        <f>'Scénario référence'!$B$16*5+'Scénario référence'!$B$17*0+'Scénario référence'!$B$18*5</f>
        <v>0</v>
      </c>
      <c r="C200" s="160">
        <f>Calculateur!C199+'Scénario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200" s="147">
        <f t="shared" si="33"/>
        <v>0</v>
      </c>
      <c r="E200" s="147">
        <f>'Scénario référence'!$B$16*45+('Scénario référence'!$B$17+'Scénario référence'!$F$8+'Scénario référence'!$F$9+'Scénario référence'!$B$10+'Scénario référence'!$B$9)*70+'Scénario référence'!$B$18*32</f>
        <v>70</v>
      </c>
      <c r="F200" s="147">
        <f>IF(OR('Scénario référence'!$F$8&gt;0,'Scénario référence'!$F$9&gt;0),('Scénario référence'!$F$8+'Scénario référence'!$F$9)*10,0)</f>
        <v>0</v>
      </c>
      <c r="G200" s="147">
        <f>'Scénario référence'!$B$8*B200*44/12+'Scénario référence'!$B$9*(C200+D200)/0.475*44/12+'Scénario référence'!$B$10*(C200+D200)/0.475*44/12+'Scénario référence'!$F$8*(C200+D200)/0.475*44/12+'Scénario référence'!$F$9*(C200+D200)/0.475*44/12</f>
        <v>0</v>
      </c>
      <c r="H200" s="148">
        <f t="shared" si="1"/>
        <v>256.6666667</v>
      </c>
      <c r="I200" s="149">
        <f>('Scénario référence'!$F$8+'Scénario référence'!$F$9+'Scénario référence'!$B$17+'Scénario référence'!$B$9+'Scénario référence'!$B$10)*70+IF((45+25*(1-EXP(-0.0175*A200)))&lt;70,'Scénario référence'!$B$16*(45+25*(1-EXP(-0.0175*A200))),70*'Scénario référence'!$B$16)+IF((32+38*(1-EXP(-0.0175*A200)))&lt;70,'Scénario référence'!$B$18*(32+38*(1-EXP(-0.0175*A200))),70*'Scénario référence'!$B$18)</f>
        <v>70</v>
      </c>
      <c r="J200" s="150">
        <f>IF(A200&gt;30,10,('Scénario référence'!$B$16+'Scénario référence'!$B$17+'Scénario référence'!$B$18+'Scénario référence'!$B$9+'Scénario référence'!$B$10)*A200*10/30+('Scénario référence'!$F$8+'Scénario référence'!$F$9)*10)</f>
        <v>10</v>
      </c>
      <c r="K200" s="151" t="str">
        <f>VLOOKUP(A200,'Données projet'!$A$35:$I$55,2,0)</f>
        <v>#N/A</v>
      </c>
      <c r="L200" s="151" t="str">
        <f>VLOOKUP(A200,'Données projet'!$A$35:$I$55,9,0)</f>
        <v>#N/A</v>
      </c>
      <c r="M200" s="151" t="str">
        <f t="array" ref="M200">INDEX(L:L,MIN(IF(ISNUMBER(L200:L396),ROW(L200:L396),"")))</f>
        <v/>
      </c>
      <c r="N200" s="150">
        <f>IF('Données projet'!$A$36&gt;35,N199+M200-V199,IF(A200&lt;'Données projet'!$A$36,$K$205^A200,IF(A200='Données projet'!$A$36,'Données projet'!$B$36,N199+M200-V199)))</f>
        <v>307</v>
      </c>
      <c r="O200" s="150">
        <f>N200*VLOOKUP('Données projet'!$B$9,'Paramètres'!$A$1:$I$88,3,0)*VLOOKUP('Données projet'!$B$9,'Paramètres'!$A$1:$I$88,5,0)</f>
        <v>277.7736</v>
      </c>
      <c r="P200" s="150">
        <f t="shared" si="34"/>
        <v>66.49628818</v>
      </c>
      <c r="Q200" s="161">
        <f t="shared" si="2"/>
        <v>599.6033886</v>
      </c>
      <c r="R200" s="153">
        <f t="shared" si="3"/>
        <v>892.9367219</v>
      </c>
      <c r="S200" s="153">
        <f>AVERAGE(OFFSET($R$3,0,0,'Données projet'!$E$9+1,1))-AVERAGE(OFFSET($H$3,0,0,'Données projet'!$E$9+1,1))</f>
        <v>439.1985427</v>
      </c>
      <c r="T200" s="153">
        <f t="shared" si="35"/>
        <v>278.2174123</v>
      </c>
      <c r="U200" s="154">
        <f>IF(ISNA(VLOOKUP(A200,'Données projet'!$A$35:$I$55,3,0)),0,VLOOKUP(A200,'Données projet'!$A$35:$I$55,3,0))</f>
        <v>0</v>
      </c>
      <c r="V200" s="154">
        <f>IF(ISNA(VLOOKUP(A200,'Données projet'!$A$35:$I$55,4,0)),0,VLOOKUP(A200,'Données projet'!$A$35:$I$55,4,0))</f>
        <v>0</v>
      </c>
      <c r="W200" s="155">
        <f>IF(ISNA(VLOOKUP(A200,'Données projet'!$A$35:$I$55,5,0)),0%,VLOOKUP(A200,'Données projet'!$A$35:$I$55,5,0)*VLOOKUP('Données projet'!$B$9,'Paramètres'!$A$1:$I$88,7,0))</f>
        <v>0</v>
      </c>
      <c r="X200" s="155">
        <f>IF(ISNA(VLOOKUP(A200,'Données projet'!$A$35:$I$55,6,0)),0%,VLOOKUP(A200,'Données projet'!$A$35:$I$55,6,0)*VLOOKUP('Données projet'!$B$9,'Paramètres'!$A$1:$I$88,7,0))</f>
        <v>0</v>
      </c>
      <c r="Y200" s="155">
        <f>IF(ISNA(VLOOKUP(A200,'Données projet'!$A$35:$I$55,7,0)),0%,VLOOKUP(A200,'Données projet'!$A$35:$I$55,7,0))</f>
        <v>0</v>
      </c>
      <c r="Z200" s="162">
        <f>EXP(-LN(2)/35)*Z199+(1-EXP(-LN(2)/35))/(LN(2)/35)*V200*W200*VLOOKUP('Données projet'!$B$9,'Paramètres'!$A$1:$I$88,3,0)*0.475*44/12</f>
        <v>0</v>
      </c>
      <c r="AA200" s="162">
        <f>EXP(-LN(2)/25)*AA199+(1-EXP(-LN(2)/25))/(LN(2)/25)*Calculateur!V200*Calculateur!X200*VLOOKUP('Données projet'!$B$9,'Paramètres'!$A$1:$I$88,3,0)*0.475*44/12</f>
        <v>0.04376550136</v>
      </c>
      <c r="AB200" s="162">
        <f>EXP(-LN(2)/2)*AB199+(1-EXP(-LN(2)/2))/(LN(2)/2)*V200*Y200*VLOOKUP('Données projet'!$B$9,'Paramètres'!$A$1:$I$88,3,0)*0.475*44/12</f>
        <v>0</v>
      </c>
      <c r="AC200" s="163">
        <f t="shared" si="4"/>
        <v>0.04376550136</v>
      </c>
      <c r="AD200" s="150">
        <f>('Scénario référence'!$F$8+'Scénario référence'!$F$9+'Scénario référence'!$B$17+'Scénario référence'!$B$9+'Scénario référence'!$B$10)*70+IF((45+25*(1-EXP(-0.0175*A200)))&lt;70,'Scénario référence'!$B$16*(45+25*(1-EXP(-0.0175*A200))),70*'Scénario référence'!$B$16)+IF((32+38*(1-EXP(-0.0175*A200)))&lt;70,'Scénario référence'!$B$18*(32+38*(1-EXP(-0.0175*A200))),70*'Scénario référence'!$B$18)</f>
        <v>70</v>
      </c>
      <c r="AE200" s="150">
        <f>IF(A200&gt;30,10,('Scénario référence'!$B$16+'Scénario référence'!$B$17+'Scénario référence'!$B$18+'Scénario référence'!$B$9+'Scénario référence'!$B$10)*A200*10/30+('Scénario référence'!$F$8+'Scénario référence'!$F$9)*10)</f>
        <v>10</v>
      </c>
      <c r="AF200" s="151" t="str">
        <f>VLOOKUP(A200,'Données projet'!$A$61:$I$81,2,0)</f>
        <v>#N/A</v>
      </c>
      <c r="AG200" s="151" t="str">
        <f>VLOOKUP(A200,'Données projet'!$A$61:$I$81,9,0)</f>
        <v>#N/A</v>
      </c>
      <c r="AH200" s="151" t="str">
        <f t="array" ref="AH200">INDEX(AG:AG,MIN(IF(ISNUMBER(AG200:AG396),ROW(AG200:AG396),"")))</f>
        <v/>
      </c>
      <c r="AI200" s="150">
        <f>IF('Données projet'!$A$62&gt;35,AI199+AH200-AQ199,IF(A200&lt;'Données projet'!$A$62,$AF$205^A200,IF(A200='Données projet'!$A$62,'Données projet'!$B$62,AI199+AH200-AQ199)))</f>
        <v>369</v>
      </c>
      <c r="AJ200" s="150">
        <f>AI200*VLOOKUP('Données projet'!$B$10,'Paramètres'!$A$1:$I$88,3,0)*VLOOKUP('Données projet'!$B$10,'Paramètres'!$A$1:$I$88,5,0)</f>
        <v>293.5764</v>
      </c>
      <c r="AK200" s="150">
        <f t="shared" si="36"/>
        <v>69.82813851</v>
      </c>
      <c r="AL200" s="161">
        <f t="shared" si="5"/>
        <v>632.9295712</v>
      </c>
      <c r="AM200" s="153">
        <f t="shared" si="6"/>
        <v>926.2629046</v>
      </c>
      <c r="AN200" s="153">
        <f>AVERAGE(OFFSET($AM$3,0,0,'Données projet'!$E$10+1,1))-AVERAGE(OFFSET($H$3,0,0,'Données projet'!$E$10+1,1))</f>
        <v>405.6113614</v>
      </c>
      <c r="AO200" s="153">
        <f t="shared" si="37"/>
        <v>393.0787141</v>
      </c>
      <c r="AP200" s="154">
        <f>IF(ISNA(VLOOKUP(A200,'Données projet'!$A$61:$I$81,3,0)),0,VLOOKUP(A200,'Données projet'!$A$61:$I$81,3,0))</f>
        <v>0</v>
      </c>
      <c r="AQ200" s="154">
        <f>IF(ISNA(VLOOKUP(A200,'Données projet'!$A$61:$I$81,4,0)),0,VLOOKUP(A200,'Données projet'!$A$61:$I$81,4,0))</f>
        <v>0</v>
      </c>
      <c r="AR200" s="155">
        <f>IF(ISNA(VLOOKUP(A200,'Données projet'!$A$61:$I$81,5,0)),0%,VLOOKUP(A200,'Données projet'!$A$61:$I$81,5,0)*VLOOKUP('Données projet'!$B$10,'Paramètres'!$A$1:$I$88,7,0))</f>
        <v>0</v>
      </c>
      <c r="AS200" s="155">
        <f>IF(ISNA(VLOOKUP(A200,'Données projet'!$A$61:$I$81,6,0)),0%,VLOOKUP(A200,'Données projet'!$A$61:$I$81,6,0)*VLOOKUP('Données projet'!$B$10,'Paramètres'!$A$1:$I$88,7,0))</f>
        <v>0</v>
      </c>
      <c r="AT200" s="155">
        <f>IF(ISNA(VLOOKUP(A200,'Données projet'!$A$61:$I$81,7,0)),0%,VLOOKUP(A200,'Données projet'!$A$61:$I$81,7,0))</f>
        <v>0</v>
      </c>
      <c r="AU200" s="162">
        <f>EXP(-LN(2)/35)*AU199+(1-EXP(-LN(2)/35))/(LN(2)/35)*AQ200*AR200*VLOOKUP('Données projet'!$B$10,'Paramètres'!$A$1:$I$88,3,0)*0.475*44/12</f>
        <v>0</v>
      </c>
      <c r="AV200" s="162">
        <f>EXP(-LN(2)/25)*AV199+(1-EXP(-LN(2)/25))/(LN(2)/25)*Calculateur!AQ200*Calculateur!AS200*VLOOKUP('Données projet'!$B$10,'Paramètres'!$A$1:$I$88,3,0)*0.475*44/12</f>
        <v>0.1778741232</v>
      </c>
      <c r="AW200" s="162">
        <f>EXP(-LN(2)/2)*AW199+(1-EXP(-LN(2)/2))/(LN(2)/2)*AQ200*AT200*VLOOKUP('Données projet'!$B$10,'Paramètres'!$A$1:$I$88,3,0)*0.475*44/12</f>
        <v>0</v>
      </c>
      <c r="AX200" s="162">
        <f t="shared" si="7"/>
        <v>0.1778741232</v>
      </c>
      <c r="AY200" s="157">
        <f>('Scénario référence'!$F$8+'Scénario référence'!$F$9+'Scénario référence'!$B$17+'Scénario référence'!$B$9+'Scénario référence'!$B$10)*70+IF((45+25*(1-EXP(-0.0175*A200)))&lt;70,'Scénario référence'!$B$16*(45+25*(1-EXP(-0.0175*A200))),70*'Scénario référence'!$B$16)+IF((32+38*(1-EXP(-0.0175*A200)))&lt;70,'Scénario référence'!$B$18*(32+38*(1-EXP(-0.0175*A200))),70*'Scénario référence'!$B$18)</f>
        <v>70</v>
      </c>
      <c r="AZ200" s="151">
        <f>IF(A200&gt;30,10,('Scénario référence'!$B$16+'Scénario référence'!$B$17+'Scénario référence'!$B$18+'Scénario référence'!$B$9+'Scénario référence'!$B$10)*A200*10/30+('Scénario référence'!$F$8+'Scénario référence'!$F$9)*10)</f>
        <v>10</v>
      </c>
      <c r="BA200" s="151" t="str">
        <f>VLOOKUP(A200,'Données projet'!$A$87:$I$107,2,0)</f>
        <v>#N/A</v>
      </c>
      <c r="BB200" s="151" t="str">
        <f>VLOOKUP(A200,'Données projet'!$A$87:$I$107,9,0)</f>
        <v>#N/A</v>
      </c>
      <c r="BC200" s="151" t="str">
        <f t="array" ref="BC200">INDEX(BB:BB,MIN(IF(ISNUMBER(BB200:BB396),ROW(BB200:BB396),"")))</f>
        <v/>
      </c>
      <c r="BD200" s="150">
        <f>IF('Données projet'!$A$88&gt;35,BD199+BC200-BL199,IF(A200&lt;'Données projet'!$A$88,$BA$205^A200,IF(A200='Données projet'!$A$88,'Données projet'!$B$88,BD199+BC200-BL199)))</f>
        <v>0</v>
      </c>
      <c r="BE200" s="150">
        <f>BD200*VLOOKUP('Données projet'!$B$11,'Paramètres'!$A$1:$I$88,3,0)*VLOOKUP('Données projet'!$B$11,'Paramètres'!$A$1:$I$88,5,0)</f>
        <v>0</v>
      </c>
      <c r="BF200" s="150" t="str">
        <f t="shared" si="38"/>
        <v>#NUM!</v>
      </c>
      <c r="BG200" s="161" t="str">
        <f t="shared" si="8"/>
        <v>#NUM!</v>
      </c>
      <c r="BH200" s="153" t="str">
        <f t="shared" si="9"/>
        <v>#NUM!</v>
      </c>
      <c r="BI200" s="153">
        <f>AVERAGE(OFFSET($BH$3,0,0,'Données projet'!$E$11+1,1))-AVERAGE(OFFSET($H$3,0,0,'Données projet'!$E$11+1,1))</f>
        <v>0</v>
      </c>
      <c r="BJ200" s="153">
        <f t="shared" si="39"/>
        <v>0</v>
      </c>
      <c r="BK200" s="154">
        <f>IF(ISNA(VLOOKUP(A200,'Données projet'!$A$87:$I$107,3,0)),0,VLOOKUP(A200,'Données projet'!$A$87:$I$107,3,0))</f>
        <v>0</v>
      </c>
      <c r="BL200" s="154">
        <f>IF(ISNA(VLOOKUP(A200,'Données projet'!$A$87:$I$107,4,0)),0,VLOOKUP(A200,'Données projet'!$A$87:$I$107,4,0))</f>
        <v>0</v>
      </c>
      <c r="BM200" s="155">
        <f>IF(ISNA(VLOOKUP(A200,'Données projet'!$A$87:$I$107,5,0)),0%,VLOOKUP(A200,'Données projet'!$A$87:$I$107,5,0)*VLOOKUP('Données projet'!$B$11,'Paramètres'!$A$1:$I$88,7,0))</f>
        <v>0</v>
      </c>
      <c r="BN200" s="155">
        <f>IF(ISNA(VLOOKUP(A200,'Données projet'!$A$87:$I$107,6,0)),0%,VLOOKUP(A200,'Données projet'!$A$87:$I$107,6,0)*VLOOKUP('Données projet'!$B$11,'Paramètres'!$A$1:$I$88,7,0))</f>
        <v>0</v>
      </c>
      <c r="BO200" s="155">
        <f>IF(ISNA(VLOOKUP(A200,'Données projet'!$A$87:$I$107,7,0)),0%,VLOOKUP(A200,'Données projet'!$A$87:$I$107,7,0))</f>
        <v>0</v>
      </c>
      <c r="BP200" s="162">
        <f>EXP(-LN(2)/35)*BP199+(1-EXP(-LN(2)/35))/(LN(2)/35)*BL200*BM200*VLOOKUP('Données projet'!$B$11,'Paramètres'!$A$1:$I$88,3,0)*0.475*44/12</f>
        <v>0</v>
      </c>
      <c r="BQ200" s="162">
        <f>EXP(-LN(2)/25)*BQ199+(1-EXP(-LN(2)/25))/(LN(2)/25)*Calculateur!BL200*Calculateur!BN200*VLOOKUP('Données projet'!$B$11,'Paramètres'!$A$1:$I$88,3,0)*0.475*44/12</f>
        <v>0</v>
      </c>
      <c r="BR200" s="162">
        <f>EXP(-LN(2)/2)*BR199+(1-EXP(-LN(2)/2))/(LN(2)/2)*BL200*BO200*VLOOKUP('Données projet'!$B$11,'Paramètres'!$A$1:$I$88,3,0)*0.475*44/12</f>
        <v>0</v>
      </c>
      <c r="BS200" s="163">
        <f t="shared" si="10"/>
        <v>0</v>
      </c>
      <c r="BT200" s="159">
        <f>('Scénario référence'!$F$8+'Scénario référence'!$F$9+'Scénario référence'!$B$17+'Scénario référence'!$B$9+'Scénario référence'!$B$10)*70+IF((45+25*(1-EXP(-0.0175*A200)))&lt;70,'Scénario référence'!$B$16*(45+25*(1-EXP(-0.0175*A200))),70*'Scénario référence'!$B$16)+IF((32+38*(1-EXP(-0.0175*A200)))&lt;70,'Scénario référence'!$B$18*(32+38*(1-EXP(-0.0175*A200))),70*'Scénario référence'!$B$18)</f>
        <v>70</v>
      </c>
      <c r="BU200" s="151">
        <f>IF(A200&gt;30,10,('Scénario référence'!$B$16+'Scénario référence'!$B$17+'Scénario référence'!$B$18+'Scénario référence'!$B$9+'Scénario référence'!$B$10)*A200*10/30+('Scénario référence'!$F$8+'Scénario référence'!$F$9)*10)</f>
        <v>10</v>
      </c>
      <c r="BV200" s="151" t="str">
        <f>VLOOKUP(A200,'Données projet'!$A$113:$I$133,2,0)</f>
        <v>#N/A</v>
      </c>
      <c r="BW200" s="151" t="str">
        <f>VLOOKUP(A200,'Données projet'!$A$113:$I$133,9,0)</f>
        <v>#N/A</v>
      </c>
      <c r="BX200" s="151" t="str">
        <f t="array" ref="BX200">INDEX(BW:BW,MIN(IF(ISNUMBER(BW200:BW396),ROW(BW200:BW396),"")))</f>
        <v/>
      </c>
      <c r="BY200" s="150">
        <f>IF('Données projet'!$A$114&gt;35,BY199+BX200-CG199,IF(A200&lt;'Données projet'!$A$114,$BV$205^A200,IF(A200='Données projet'!$A$114,'Données projet'!$B$114,BY199+BX200-CG199)))</f>
        <v>0</v>
      </c>
      <c r="BZ200" s="150" t="str">
        <f>BY200*VLOOKUP('Données projet'!$B$12,'Paramètres'!$A$1:$I$88,3,0)*VLOOKUP('Données projet'!$B$12,'Paramètres'!$A$1:$I$88,5,0)</f>
        <v>#N/A</v>
      </c>
      <c r="CA200" s="150" t="str">
        <f t="shared" si="40"/>
        <v>#N/A</v>
      </c>
      <c r="CB200" s="161" t="str">
        <f t="shared" si="11"/>
        <v>#N/A</v>
      </c>
      <c r="CC200" s="153" t="str">
        <f t="shared" si="12"/>
        <v>#N/A</v>
      </c>
      <c r="CD200" s="153" t="str">
        <f>AVERAGE(OFFSET($CC$3,0,0,'Données projet'!$E$12+1,1))-AVERAGE(OFFSET($H$3,0,0,'Données projet'!$E$12+1,1))</f>
        <v>#N/A</v>
      </c>
      <c r="CE200" s="153" t="str">
        <f t="shared" si="41"/>
        <v>#N/A</v>
      </c>
      <c r="CF200" s="154">
        <f>IF(ISNA(VLOOKUP(A200,'Données projet'!$A$113:$I$133,3,0)),0,VLOOKUP(A200,'Données projet'!$A$113:$I$133,3,0))</f>
        <v>0</v>
      </c>
      <c r="CG200" s="154">
        <f>IF(ISNA(VLOOKUP(A200,'Données projet'!$A$113:$I$133,4,0)),0,VLOOKUP(A200,'Données projet'!$A$113:$I$133,4,0))</f>
        <v>0</v>
      </c>
      <c r="CH200" s="155">
        <f>IF(ISNA(VLOOKUP(A200,'Données projet'!$A$113:$I$133,5,0)),0%,VLOOKUP(A200,'Données projet'!$A$113:$I$133,5,0)*VLOOKUP('Données projet'!$B$12,'Paramètres'!$A$1:$I$88,7,0))</f>
        <v>0</v>
      </c>
      <c r="CI200" s="155">
        <f>IF(ISNA(VLOOKUP(A200,'Données projet'!$A$113:$I$133,6,0)),0%,VLOOKUP(A200,'Données projet'!$A$113:$I$133,6,0)*VLOOKUP('Données projet'!$B$12,'Paramètres'!$A$1:$I$88,7,0))</f>
        <v>0</v>
      </c>
      <c r="CJ200" s="155">
        <f>IF(ISNA(VLOOKUP(A200,'Données projet'!$A$113:$I$133,7,0)),0%,VLOOKUP(A200,'Données projet'!$A$113:$I$133,7,0))</f>
        <v>0</v>
      </c>
      <c r="CK200" s="162" t="str">
        <f>EXP(-LN(2)/35)*CK199+(1-EXP(-LN(2)/35))/(LN(2)/35)*CG200*CH200*VLOOKUP('Données projet'!$B$12,'Paramètres'!$A$1:$I$88,3,0)*0.475*44/12</f>
        <v>#N/A</v>
      </c>
      <c r="CL200" s="162" t="str">
        <f>EXP(-LN(2)/25)*CL199+(1-EXP(-LN(2)/25))/(LN(2)/25)*Calculateur!CG200*Calculateur!CI200*VLOOKUP('Données projet'!$B$12,'Paramètres'!$A$1:$I$88,3,0)*0.475*44/12</f>
        <v>#N/A</v>
      </c>
      <c r="CM200" s="162" t="str">
        <f>EXP(-LN(2)/2)*CM199+(1-EXP(-LN(2)/2))/(LN(2)/2)*CG200*CJ200*VLOOKUP('Données projet'!$B$12,'Paramètres'!$A$1:$I$88,3,0)*0.475*44/12</f>
        <v>#N/A</v>
      </c>
      <c r="CN200" s="163" t="str">
        <f t="shared" si="13"/>
        <v>#N/A</v>
      </c>
      <c r="CO200" s="159">
        <f>('Scénario référence'!$F$8+'Scénario référence'!$F$9+'Scénario référence'!$B$17+'Scénario référence'!$B$9+'Scénario référence'!$B$10)*70+IF((45+25*(1-EXP(-0.0175*A200)))&lt;70,'Scénario référence'!$B$16*(45+25*(1-EXP(-0.0175*A200))),70*'Scénario référence'!$B$16)+IF((32+38*(1-EXP(-0.0175*A200)))&lt;70,'Scénario référence'!$B$18*(32+38*(1-EXP(-0.0175*A200))),70*'Scénario référence'!$B$18)</f>
        <v>70</v>
      </c>
      <c r="CP200" s="151">
        <f>IF(A200&gt;30,10,('Scénario référence'!$B$16+'Scénario référence'!$B$17+'Scénario référence'!$B$18+'Scénario référence'!$B$9+'Scénario référence'!$B$10)*A200*10/30+('Scénario référence'!$F$8+'Scénario référence'!$F$9)*10)</f>
        <v>10</v>
      </c>
      <c r="CQ200" s="151" t="str">
        <f>VLOOKUP(A200,'Données projet'!$A$139:$I$159,2,0)</f>
        <v>#N/A</v>
      </c>
      <c r="CR200" s="151" t="str">
        <f>VLOOKUP(A200,'Données projet'!$A$139:$I$159,9,0)</f>
        <v>#N/A</v>
      </c>
      <c r="CS200" s="151" t="str">
        <f t="array" ref="CS200">INDEX(CR:CR,MIN(IF(ISNUMBER(CR200:CR396),ROW(CR200:CR396),"")))</f>
        <v/>
      </c>
      <c r="CT200" s="151">
        <f>IF('Données projet'!$A$140&gt;35,CT199+CS200-DB199,IF(A200&lt;'Données projet'!$A$140,$CQ$205^A200,IF(A200='Données projet'!$A$140,'Données projet'!$B$140,CT199+CS200-DB199)))</f>
        <v>0</v>
      </c>
      <c r="CU200" s="158" t="str">
        <f>CT200*VLOOKUP('Données projet'!$B$13,'Paramètres'!$A$1:$I$88,3,0)*VLOOKUP('Données projet'!$B$13,'Paramètres'!$A$1:$I$88,5,0)</f>
        <v>#N/A</v>
      </c>
      <c r="CV200" s="150" t="str">
        <f t="shared" si="42"/>
        <v>#N/A</v>
      </c>
      <c r="CW200" s="161" t="str">
        <f t="shared" si="14"/>
        <v>#N/A</v>
      </c>
      <c r="CX200" s="153" t="str">
        <f t="shared" si="15"/>
        <v>#N/A</v>
      </c>
      <c r="CY200" s="153" t="str">
        <f>AVERAGE(OFFSET($CX$3,0,0,'Données projet'!$E$13+1,1))-AVERAGE(OFFSET($H$3,0,0,'Données projet'!$E$13+1,1))</f>
        <v>#N/A</v>
      </c>
      <c r="CZ200" s="153" t="str">
        <f t="shared" si="43"/>
        <v>#N/A</v>
      </c>
      <c r="DA200" s="154">
        <f>IF(ISNA(VLOOKUP(A200,'Données projet'!$A$139:$I$159,3,0)),0,VLOOKUP(A200,'Données projet'!$A$139:$I$159,3,0))</f>
        <v>0</v>
      </c>
      <c r="DB200" s="154">
        <f>IF(ISNA(VLOOKUP(A200,'Données projet'!$A$139:$I$159,4,0)),0,VLOOKUP(A200,'Données projet'!$A$139:$I$159,4,0))</f>
        <v>0</v>
      </c>
      <c r="DC200" s="155">
        <f>IF(ISNA(VLOOKUP(A200,'Données projet'!$A$139:$I$159,5,0)),0%,VLOOKUP(A200,'Données projet'!$A$139:$I$159,5,0)*VLOOKUP('Données projet'!$B$13,'Paramètres'!$A$1:$I$88,7,0))</f>
        <v>0</v>
      </c>
      <c r="DD200" s="155">
        <f>IF(ISNA(VLOOKUP(A200,'Données projet'!$A$139:$I$159,6,0)),0%,VLOOKUP(A200,'Données projet'!$A$139:$I$159,6,0)*VLOOKUP('Données projet'!$B$13,'Paramètres'!$A$1:$I$88,7,0))</f>
        <v>0</v>
      </c>
      <c r="DE200" s="155">
        <f>IF(ISNA(VLOOKUP(A200,'Données projet'!$A$139:$I$159,7,0)),0%,VLOOKUP(A200,'Données projet'!$A$139:$I$159,7,0))</f>
        <v>0</v>
      </c>
      <c r="DF200" s="162" t="str">
        <f>EXP(-LN(2)/35)*DF199+(1-EXP(-LN(2)/35))/(LN(2)/35)*DB200*DC200*VLOOKUP('Données projet'!$B$13,'Paramètres'!$A$1:$I$88,3,0)*0.475*44/12</f>
        <v>#N/A</v>
      </c>
      <c r="DG200" s="162" t="str">
        <f>EXP(-LN(2)/25)*DG199+(1-EXP(-LN(2)/25))/(LN(2)/25)*Calculateur!DB200*Calculateur!DD200*VLOOKUP('Données projet'!$B$13,'Paramètres'!$A$1:$I$88,3,0)*0.475*44/12</f>
        <v>#N/A</v>
      </c>
      <c r="DH200" s="162" t="str">
        <f>EXP(-LN(2)/2)*DH199+(1-EXP(-LN(2)/2))/(LN(2)/2)*DB200*DE200*VLOOKUP('Données projet'!$B$13,'Paramètres'!$A$1:$I$88,3,0)*0.475*44/12</f>
        <v>#N/A</v>
      </c>
      <c r="DI200" s="163" t="str">
        <f t="shared" si="16"/>
        <v>#N/A</v>
      </c>
      <c r="DJ200" s="159">
        <f>('Scénario référence'!$F$8+'Scénario référence'!$F$9+'Scénario référence'!$B$17+'Scénario référence'!$B$9+'Scénario référence'!$B$10)*70+IF((45+25*(1-EXP(-0.0175*A200)))&lt;70,'Scénario référence'!$B$16*(45+25*(1-EXP(-0.0175*A200))),70*'Scénario référence'!$B$16)+IF((32+38*(1-EXP(-0.0175*A200)))&lt;70,'Scénario référence'!$B$18*(32+38*(1-EXP(-0.0175*A200))),70*'Scénario référence'!$B$18)</f>
        <v>70</v>
      </c>
      <c r="DK200" s="151">
        <f>IF(A200&gt;30,10,('Scénario référence'!$B$16+'Scénario référence'!$B$17+'Scénario référence'!$B$18+'Scénario référence'!$B$9+'Scénario référence'!$B$10)*A200*10/30+('Scénario référence'!$F$8+'Scénario référence'!$F$9)*10)</f>
        <v>10</v>
      </c>
      <c r="DL200" s="151" t="str">
        <f>VLOOKUP(A200,'Données projet'!$A$165:$I$185,2,0)</f>
        <v>#N/A</v>
      </c>
      <c r="DM200" s="151" t="str">
        <f>VLOOKUP(A200,'Données projet'!$A$165:$I$185,9,0)</f>
        <v>#N/A</v>
      </c>
      <c r="DN200" s="151" t="str">
        <f t="array" ref="DN200">INDEX(DM:DM,MIN(IF(ISNUMBER(DM200:DM396),ROW(DM200:DM396),"")))</f>
        <v/>
      </c>
      <c r="DO200" s="151">
        <f>IF('Données projet'!$A$166&gt;35,DO199+DN200-DW199,IF(A200&lt;'Données projet'!$A$166,$DL$205^A200,IF(A200='Données projet'!$A$166,'Données projet'!$B$166,DO199+DN200-DW199)))</f>
        <v>0</v>
      </c>
      <c r="DP200" s="158" t="str">
        <f>DO200*VLOOKUP('Données projet'!$B$14,'Paramètres'!$A$1:$I$88,3,0)*VLOOKUP('Données projet'!$B$14,'Paramètres'!$A$1:$I$88,5,0)</f>
        <v>#N/A</v>
      </c>
      <c r="DQ200" s="150" t="str">
        <f t="shared" si="44"/>
        <v>#N/A</v>
      </c>
      <c r="DR200" s="161" t="str">
        <f t="shared" si="17"/>
        <v>#N/A</v>
      </c>
      <c r="DS200" s="153" t="str">
        <f t="shared" si="18"/>
        <v>#N/A</v>
      </c>
      <c r="DT200" s="153" t="str">
        <f>AVERAGE(OFFSET($DS$3,0,0,'Données projet'!$E$14+1,1))-AVERAGE(OFFSET($H$3,0,0,'Données projet'!$E$14+1,1))</f>
        <v>#N/A</v>
      </c>
      <c r="DU200" s="153" t="str">
        <f t="shared" si="45"/>
        <v>#N/A</v>
      </c>
      <c r="DV200" s="154">
        <f>IF(ISNA(VLOOKUP(A200,'Données projet'!$A$165:$I$185,3,0)),0,VLOOKUP(A200,'Données projet'!$A$165:$I$185,3,0))</f>
        <v>0</v>
      </c>
      <c r="DW200" s="154">
        <f>IF(ISNA(VLOOKUP(A200,'Données projet'!$A$165:$I$185,4,0)),0,VLOOKUP(A200,'Données projet'!$A$165:$I$185,4,0))</f>
        <v>0</v>
      </c>
      <c r="DX200" s="155">
        <f>IF(ISNA(VLOOKUP(A200,'Données projet'!$A$165:$I$185,5,0)),0%,VLOOKUP(A200,'Données projet'!$A$165:$I$185,5,0)*VLOOKUP('Données projet'!$B$14,'Paramètres'!$A$1:$I$88,7,0))</f>
        <v>0</v>
      </c>
      <c r="DY200" s="155">
        <f>IF(ISNA(VLOOKUP(A200,'Données projet'!$A$165:$I$185,6,0)),0%,VLOOKUP(A200,'Données projet'!$A$165:$I$185,6,0)*VLOOKUP('Données projet'!$B$14,'Paramètres'!$A$1:$I$88,7,0))</f>
        <v>0</v>
      </c>
      <c r="DZ200" s="155">
        <f>IF(ISNA(VLOOKUP(A200,'Données projet'!$A$165:$I$185,7,0)),0%,VLOOKUP(A200,'Données projet'!$A$165:$I$185,7,0))</f>
        <v>0</v>
      </c>
      <c r="EA200" s="162" t="str">
        <f>EXP(-LN(2)/35)*EA199+(1-EXP(-LN(2)/35))/(LN(2)/35)*DW200*DX200*VLOOKUP('Données projet'!$B$14,'Paramètres'!$A$1:$I$88,3,0)*0.475*44/12</f>
        <v>#N/A</v>
      </c>
      <c r="EB200" s="162" t="str">
        <f>EXP(-LN(2)/25)*EB199+(1-EXP(-LN(2)/25))/(LN(2)/25)*Calculateur!DW200*Calculateur!DY200*VLOOKUP('Données projet'!$B$14,'Paramètres'!$A$1:$I$88,3,0)*0.475*44/12</f>
        <v>#N/A</v>
      </c>
      <c r="EC200" s="162" t="str">
        <f>EXP(-LN(2)/2)*EC199+(1-EXP(-LN(2)/2))/(LN(2)/2)*DW200*DZ200*VLOOKUP('Données projet'!$B$14,'Paramètres'!$A$1:$I$88,3,0)*0.475*44/12</f>
        <v>#N/A</v>
      </c>
      <c r="ED200" s="163" t="str">
        <f t="shared" si="19"/>
        <v>#N/A</v>
      </c>
      <c r="EE200" s="159">
        <f>('Scénario référence'!$F$8+'Scénario référence'!$F$9+'Scénario référence'!$B$17+'Scénario référence'!$B$9+'Scénario référence'!$B$10)*70+IF((45+25*(1-EXP(-0.0175*A200)))&lt;70,'Scénario référence'!$B$16*(45+25*(1-EXP(-0.0175*A200))),70*'Scénario référence'!$B$16)+IF((32+38*(1-EXP(-0.0175*A200)))&lt;70,'Scénario référence'!$B$18*(32+38*(1-EXP(-0.0175*A200))),70*'Scénario référence'!$B$18)</f>
        <v>70</v>
      </c>
      <c r="EF200" s="151">
        <f>IF(A200&gt;30,10,('Scénario référence'!$B$16+'Scénario référence'!$B$17+'Scénario référence'!$B$18+'Scénario référence'!$B$9+'Scénario référence'!$B$10)*A200*10/30+('Scénario référence'!$F$8+'Scénario référence'!$F$9)*10)</f>
        <v>10</v>
      </c>
      <c r="EG200" s="151" t="str">
        <f>VLOOKUP(A200,'Données projet'!$A$191:$I$211,2,0)</f>
        <v>#N/A</v>
      </c>
      <c r="EH200" s="151" t="str">
        <f>VLOOKUP(A200,'Données projet'!$A$191:$I$211,9,0)</f>
        <v>#N/A</v>
      </c>
      <c r="EI200" s="151" t="str">
        <f t="array" ref="EI200">INDEX(EH:EH,MIN(IF(ISNUMBER(EH200:EH396),ROW(EH200:EH396),"")))</f>
        <v/>
      </c>
      <c r="EJ200" s="151">
        <f>IF('Données projet'!$A$192&gt;35,EJ199+EI200-ER199,IF(A200&lt;'Données projet'!$A$192,$EG$205^A200,IF(A200='Données projet'!$A$192,'Données projet'!$B$192,EJ199+EI200-ER199)))</f>
        <v>0</v>
      </c>
      <c r="EK200" s="158" t="str">
        <f>EJ200*VLOOKUP('Données projet'!$B$15,'Paramètres'!$A$1:$I$88,3,0)*VLOOKUP('Données projet'!$B$15,'Paramètres'!$A$1:$I$88,5,0)</f>
        <v>#N/A</v>
      </c>
      <c r="EL200" s="150" t="str">
        <f t="shared" si="46"/>
        <v>#N/A</v>
      </c>
      <c r="EM200" s="161" t="str">
        <f t="shared" si="20"/>
        <v>#N/A</v>
      </c>
      <c r="EN200" s="153" t="str">
        <f t="shared" si="21"/>
        <v>#N/A</v>
      </c>
      <c r="EO200" s="153" t="str">
        <f>AVERAGE(OFFSET($EN$3,0,0,'Données projet'!$E$15+1,1))-AVERAGE(OFFSET($H$3,0,0,'Données projet'!$E$15+1,1))</f>
        <v>#N/A</v>
      </c>
      <c r="EP200" s="153" t="str">
        <f t="shared" si="47"/>
        <v>#N/A</v>
      </c>
      <c r="EQ200" s="154">
        <f>IF(ISNA(VLOOKUP(A200,'Données projet'!$A$191:$I$211,3,0)),0,VLOOKUP(A200,'Données projet'!$A$191:$I$211,3,0))</f>
        <v>0</v>
      </c>
      <c r="ER200" s="154">
        <f>IF(ISNA(VLOOKUP(A200,'Données projet'!$A$191:$I$211,4,0)),0,VLOOKUP(A200,'Données projet'!$A$191:$I$211,4,0))</f>
        <v>0</v>
      </c>
      <c r="ES200" s="155">
        <f>IF(ISNA(VLOOKUP(A200,'Données projet'!$A$191:$I$211,5,0)),0%,VLOOKUP(A200,'Données projet'!$A$191:$I$211,5,0)*VLOOKUP('Données projet'!$B$15,'Paramètres'!$A$1:$I$88,7,0))</f>
        <v>0</v>
      </c>
      <c r="ET200" s="155">
        <f>IF(ISNA(VLOOKUP(A200,'Données projet'!$A$191:$I$211,6,0)),0%,VLOOKUP(A200,'Données projet'!$A$191:$I$211,6,0)*VLOOKUP('Données projet'!$B$15,'Paramètres'!$A$1:$I$88,7,0))</f>
        <v>0</v>
      </c>
      <c r="EU200" s="155">
        <f>IF(ISNA(VLOOKUP(A200,'Données projet'!$A$191:$I$211,7,0)),0%,VLOOKUP(A200,'Données projet'!$A$191:$I$211,7,0))</f>
        <v>0</v>
      </c>
      <c r="EV200" s="162" t="str">
        <f>EXP(-LN(2)/35)*EV199+(1-EXP(-LN(2)/35))/(LN(2)/35)*ER200*ES200*VLOOKUP('Données projet'!$B$15,'Paramètres'!$A$1:$I$88,3,0)*0.475*44/12</f>
        <v>#N/A</v>
      </c>
      <c r="EW200" s="162" t="str">
        <f>EXP(-LN(2)/25)*EW199+(1-EXP(-LN(2)/25))/(LN(2)/25)*Calculateur!ER200*Calculateur!ET200*VLOOKUP('Données projet'!$B$15,'Paramètres'!$A$1:$I$88,3,0)*0.475*44/12</f>
        <v>#N/A</v>
      </c>
      <c r="EX200" s="162" t="str">
        <f>EXP(-LN(2)/2)*EX199+(1-EXP(-LN(2)/2))/(LN(2)/2)*ER200*EU200*VLOOKUP('Données projet'!$B$15,'Paramètres'!$A$1:$I$88,3,0)*0.475*44/12</f>
        <v>#N/A</v>
      </c>
      <c r="EY200" s="163" t="str">
        <f t="shared" si="22"/>
        <v>#N/A</v>
      </c>
      <c r="EZ200" s="159">
        <f>('Scénario référence'!$F$8+'Scénario référence'!$F$9+'Scénario référence'!$B$17+'Scénario référence'!$B$9+'Scénario référence'!$B$10)*70+IF((45+25*(1-EXP(-0.0175*A200)))&lt;70,'Scénario référence'!$B$16*(45+25*(1-EXP(-0.0175*A200))),70*'Scénario référence'!$B$16)+IF((32+38*(1-EXP(-0.0175*A200)))&lt;70,'Scénario référence'!$B$18*(32+38*(1-EXP(-0.0175*A200))),70*'Scénario référence'!$B$18)</f>
        <v>70</v>
      </c>
      <c r="FA200" s="151">
        <f>IF(A200&gt;30,10,('Scénario référence'!$B$16+'Scénario référence'!$B$17+'Scénario référence'!$B$18+'Scénario référence'!$B$9+'Scénario référence'!$B$10)*A200*10/30+('Scénario référence'!$F$8+'Scénario référence'!$F$9)*10)</f>
        <v>10</v>
      </c>
      <c r="FB200" s="151" t="str">
        <f>VLOOKUP(A200,'Données projet'!$A$217:$I$237,2,0)</f>
        <v>#N/A</v>
      </c>
      <c r="FC200" s="151" t="str">
        <f>VLOOKUP(A200,'Données projet'!$A$217:$I$237,9,0)</f>
        <v>#N/A</v>
      </c>
      <c r="FD200" s="151" t="str">
        <f t="array" ref="FD200">INDEX(FC:FC,MIN(IF(ISNUMBER(FC200:FC396),ROW(FC200:FC396),"")))</f>
        <v/>
      </c>
      <c r="FE200" s="151">
        <f>IF('Données projet'!$A$218&gt;35,FE199+FD200-FM199,IF(A200&lt;'Données projet'!$A$218,$FB$205^A200,IF(A200='Données projet'!$A$218,'Données projet'!$B$218,FE199+FD200-FM199)))</f>
        <v>0</v>
      </c>
      <c r="FF200" s="158" t="str">
        <f>FE200*VLOOKUP('Données projet'!$B$16,'Paramètres'!$A$1:$I$88,3,0)*VLOOKUP('Données projet'!$B$16,'Paramètres'!$A$1:$I$88,5,0)</f>
        <v>#N/A</v>
      </c>
      <c r="FG200" s="150" t="str">
        <f t="shared" si="48"/>
        <v>#N/A</v>
      </c>
      <c r="FH200" s="161" t="str">
        <f t="shared" si="23"/>
        <v>#N/A</v>
      </c>
      <c r="FI200" s="153" t="str">
        <f t="shared" si="24"/>
        <v>#N/A</v>
      </c>
      <c r="FJ200" s="153" t="str">
        <f>AVERAGE(OFFSET($FI$3,0,0,'Données projet'!$E$16+1,1))-AVERAGE(OFFSET($H$3,0,0,'Données projet'!$E$16+1,1))</f>
        <v>#N/A</v>
      </c>
      <c r="FK200" s="153" t="str">
        <f t="shared" si="49"/>
        <v>#N/A</v>
      </c>
      <c r="FL200" s="154">
        <f>IF(ISNA(VLOOKUP(A200,'Données projet'!$A$217:$I$237,3,0)),0,VLOOKUP(A200,'Données projet'!$A$217:$I$237,3,0))</f>
        <v>0</v>
      </c>
      <c r="FM200" s="154">
        <f>IF(ISNA(VLOOKUP(A200,'Données projet'!$A$217:$I$237,4,0)),0,VLOOKUP(A200,'Données projet'!$A$217:$I$237,4,0))</f>
        <v>0</v>
      </c>
      <c r="FN200" s="155">
        <f>IF(ISNA(VLOOKUP(A200,'Données projet'!$A$217:$I$237,5,0)),0%,VLOOKUP(A200,'Données projet'!$A$217:$I$237,5,0)*VLOOKUP('Données projet'!$B$16,'Paramètres'!$A$1:$I$88,7,0))</f>
        <v>0</v>
      </c>
      <c r="FO200" s="155">
        <f>IF(ISNA(VLOOKUP(A200,'Données projet'!$A$217:$I$237,6,0)),0%,VLOOKUP(A200,'Données projet'!$A$217:$I$237,6,0)*VLOOKUP('Données projet'!$B$16,'Paramètres'!$A$1:$I$88,7,0))</f>
        <v>0</v>
      </c>
      <c r="FP200" s="155">
        <f>IF(ISNA(VLOOKUP(A200,'Données projet'!$A$217:$I$237,7,0)),0%,VLOOKUP(A200,'Données projet'!$A$217:$I$237,7,0))</f>
        <v>0</v>
      </c>
      <c r="FQ200" s="162" t="str">
        <f>EXP(-LN(2)/35)*FQ199+(1-EXP(-LN(2)/35))/(LN(2)/35)*FM200*FN200*VLOOKUP('Données projet'!$B$16,'Paramètres'!$A$1:$I$88,3,0)*0.475*44/12</f>
        <v>#N/A</v>
      </c>
      <c r="FR200" s="162" t="str">
        <f>EXP(-LN(2)/25)*FR199+(1-EXP(-LN(2)/25))/(LN(2)/25)*Calculateur!FM200*Calculateur!FO200*VLOOKUP('Données projet'!$B$16,'Paramètres'!$A$1:$I$88,3,0)*0.475*44/12</f>
        <v>#N/A</v>
      </c>
      <c r="FS200" s="162" t="str">
        <f>EXP(-LN(2)/2)*FS199+(1-EXP(-LN(2)/2))/(LN(2)/2)*FM200*FP200*VLOOKUP('Données projet'!$B$16,'Paramètres'!$A$1:$I$88,3,0)*0.475*44/12</f>
        <v>#N/A</v>
      </c>
      <c r="FT200" s="163" t="str">
        <f t="shared" si="25"/>
        <v>#N/A</v>
      </c>
      <c r="FU200" s="159">
        <f>('Scénario référence'!$F$8+'Scénario référence'!$F$9+'Scénario référence'!$B$17+'Scénario référence'!$B$9+'Scénario référence'!$B$10)*70+IF((45+25*(1-EXP(-0.0175*A200)))&lt;70,'Scénario référence'!$B$16*(45+25*(1-EXP(-0.0175*A200))),70*'Scénario référence'!$B$16)+IF((32+38*(1-EXP(-0.0175*A200)))&lt;70,'Scénario référence'!$B$18*(32+38*(1-EXP(-0.0175*A200))),70*'Scénario référence'!$B$18)</f>
        <v>70</v>
      </c>
      <c r="FV200" s="151">
        <f>IF(A200&gt;30,10,('Scénario référence'!$B$16+'Scénario référence'!$B$17+'Scénario référence'!$B$18+'Scénario référence'!$B$9+'Scénario référence'!$B$10)*A200*10/30+('Scénario référence'!$F$8+'Scénario référence'!$F$9)*10)</f>
        <v>10</v>
      </c>
      <c r="FW200" s="151" t="str">
        <f>VLOOKUP(A200,'Données projet'!$A$243:$I$263,2,0)</f>
        <v>#N/A</v>
      </c>
      <c r="FX200" s="151" t="str">
        <f>VLOOKUP(A200,'Données projet'!$A$243:$I$263,9,0)</f>
        <v>#N/A</v>
      </c>
      <c r="FY200" s="151" t="str">
        <f t="array" ref="FY200">INDEX(FX:FX,MIN(IF(ISNUMBER(FX200:FX396),ROW(FX200:FX396),"")))</f>
        <v/>
      </c>
      <c r="FZ200" s="151">
        <f>IF('Données projet'!$A$244&gt;35,FZ199+FY200-GH199,IF(A200&lt;'Données projet'!$A$244,$FW$205^A200,IF(A200='Données projet'!$A$244,'Données projet'!$B$244,FZ199+FY200-GH199)))</f>
        <v>0</v>
      </c>
      <c r="GA200" s="158" t="str">
        <f>FZ200*VLOOKUP('Données projet'!$B$17,'Paramètres'!$A$1:$I$88,3,0)*VLOOKUP('Données projet'!$B$17,'Paramètres'!$A$1:$I$88,5,0)</f>
        <v>#N/A</v>
      </c>
      <c r="GB200" s="150" t="str">
        <f t="shared" si="50"/>
        <v>#N/A</v>
      </c>
      <c r="GC200" s="161" t="str">
        <f t="shared" si="26"/>
        <v>#N/A</v>
      </c>
      <c r="GD200" s="153" t="str">
        <f t="shared" si="27"/>
        <v>#N/A</v>
      </c>
      <c r="GE200" s="153" t="str">
        <f>AVERAGE(OFFSET($GD$3,0,0,'Données projet'!$E$17+1,1))-AVERAGE(OFFSET($H$3,0,0,'Données projet'!$E$17+1,1))</f>
        <v>#N/A</v>
      </c>
      <c r="GF200" s="153" t="str">
        <f t="shared" si="51"/>
        <v>#N/A</v>
      </c>
      <c r="GG200" s="154">
        <f>IF(ISNA(VLOOKUP(A200,'Données projet'!$A$243:$I$263,3,0)),0,VLOOKUP(A200,'Données projet'!$A$243:$I$263,3,0))</f>
        <v>0</v>
      </c>
      <c r="GH200" s="154">
        <f>IF(ISNA(VLOOKUP(A200,'Données projet'!$A$243:$I$263,4,0)),0,VLOOKUP(A200,'Données projet'!$A$243:$I$263,4,0))</f>
        <v>0</v>
      </c>
      <c r="GI200" s="155">
        <f>IF(ISNA(VLOOKUP(A200,'Données projet'!$A$243:$I$263,5,0)),0%,VLOOKUP(A200,'Données projet'!$A$243:$I$263,5,0)*VLOOKUP('Données projet'!$B$17,'Paramètres'!$A$1:$I$88,7,0))</f>
        <v>0</v>
      </c>
      <c r="GJ200" s="155">
        <f>IF(ISNA(VLOOKUP(A200,'Données projet'!$A$243:$I$263,6,0)),0%,VLOOKUP(A200,'Données projet'!$A$243:$I$263,6,0)*VLOOKUP('Données projet'!$B$17,'Paramètres'!$A$1:$I$88,7,0))</f>
        <v>0</v>
      </c>
      <c r="GK200" s="155">
        <f>IF(ISNA(VLOOKUP(A200,'Données projet'!$A$243:$I$263,7,0)),0%,VLOOKUP(A200,'Données projet'!$A$243:$I$263,7,0))</f>
        <v>0</v>
      </c>
      <c r="GL200" s="162" t="str">
        <f>EXP(-LN(2)/35)*GL199+(1-EXP(-LN(2)/35))/(LN(2)/35)*GH200*GI200*VLOOKUP('Données projet'!$B$17,'Paramètres'!$A$1:$I$88,3,0)*0.475*44/12</f>
        <v>#N/A</v>
      </c>
      <c r="GM200" s="162" t="str">
        <f>EXP(-LN(2)/25)*GM199+(1-EXP(-LN(2)/25))/(LN(2)/25)*Calculateur!GH200*Calculateur!GJ200*VLOOKUP('Données projet'!$B$17,'Paramètres'!$A$1:$I$88,3,0)*0.475*44/12</f>
        <v>#N/A</v>
      </c>
      <c r="GN200" s="162" t="str">
        <f>EXP(-LN(2)/2)*GN199+(1-EXP(-LN(2)/2))/(LN(2)/2)*GH200*GK200*VLOOKUP('Données projet'!$B$17,'Paramètres'!$A$1:$I$88,3,0)*0.475*44/12</f>
        <v>#N/A</v>
      </c>
      <c r="GO200" s="162" t="str">
        <f t="shared" si="28"/>
        <v>#N/A</v>
      </c>
      <c r="GP200" s="159">
        <f>('Scénario référence'!$F$8+'Scénario référence'!$F$9+'Scénario référence'!$B$17+'Scénario référence'!$B$9+'Scénario référence'!$B$10)*70+IF((45+25*(1-EXP(-0.0175*A200)))&lt;70,'Scénario référence'!$B$16*(45+25*(1-EXP(-0.0175*A200))),70*'Scénario référence'!$B$16)+IF((32+38*(1-EXP(-0.0175*A200)))&lt;70,'Scénario référence'!$B$18*(32+38*(1-EXP(-0.0175*A200))),70*'Scénario référence'!$B$18)</f>
        <v>70</v>
      </c>
      <c r="GQ200" s="151">
        <f>IF(A200&gt;30,10,('Scénario référence'!$B$16+'Scénario référence'!$B$17+'Scénario référence'!$B$18+'Scénario référence'!$B$9+'Scénario référence'!$B$10)*A200*10/30+('Scénario référence'!$F$8+'Scénario référence'!$F$9)*10)</f>
        <v>10</v>
      </c>
      <c r="GR200" s="151" t="str">
        <f>VLOOKUP(A200,'Données projet'!$A$269:$I$289,2,0)</f>
        <v>#N/A</v>
      </c>
      <c r="GS200" s="151" t="str">
        <f>VLOOKUP(A200,'Données projet'!$A$269:$I$289,9,0)</f>
        <v>#N/A</v>
      </c>
      <c r="GT200" s="151" t="str">
        <f t="array" ref="GT200">INDEX(GS:GS,MIN(IF(ISNUMBER(GS200:GS396),ROW(GS200:GS396),"")))</f>
        <v/>
      </c>
      <c r="GU200" s="151">
        <f>IF('Données projet'!$A$270&gt;35,GU199+GT200-HC199,IF(A200&lt;'Données projet'!$A$270,$GR$205^A200,IF(A200='Données projet'!$A$270,'Données projet'!$B$270,GU199+GT200-HC199)))</f>
        <v>0</v>
      </c>
      <c r="GV200" s="158" t="str">
        <f>GU200*VLOOKUP('Données projet'!$B$18,'Paramètres'!$A$1:$I$88,3,0)*VLOOKUP('Données projet'!$B$18,'Paramètres'!$A$1:$I$88,5,0)</f>
        <v>#N/A</v>
      </c>
      <c r="GW200" s="150" t="str">
        <f t="shared" si="52"/>
        <v>#N/A</v>
      </c>
      <c r="GX200" s="161" t="str">
        <f t="shared" si="29"/>
        <v>#N/A</v>
      </c>
      <c r="GY200" s="153" t="str">
        <f t="shared" si="30"/>
        <v>#N/A</v>
      </c>
      <c r="GZ200" s="153" t="str">
        <f>AVERAGE(OFFSET($GY$3,0,0,'Données projet'!$E$18+1,1))-AVERAGE(OFFSET($H$3,0,0,'Données projet'!$E$18+1,1))</f>
        <v>#N/A</v>
      </c>
      <c r="HA200" s="153" t="str">
        <f t="shared" si="53"/>
        <v>#N/A</v>
      </c>
      <c r="HB200" s="154">
        <f>IF(ISNA(VLOOKUP(A200,'Données projet'!$A$269:$I$289,3,0)),0,VLOOKUP(A200,'Données projet'!$A$269:$I$289,3,0))</f>
        <v>0</v>
      </c>
      <c r="HC200" s="154">
        <f>IF(ISNA(VLOOKUP(A200,'Données projet'!$A$269:$I$289,4,0)),0,VLOOKUP(A200,'Données projet'!$A$269:$I$289,4,0))</f>
        <v>0</v>
      </c>
      <c r="HD200" s="155">
        <f>IF(ISNA(VLOOKUP(A200,'Données projet'!$A$269:$I$289,5,0)),0%,VLOOKUP(A200,'Données projet'!$A$269:$I$289,5,0)*VLOOKUP('Données projet'!$B$18,'Paramètres'!$A$1:$I$88,7,0))</f>
        <v>0</v>
      </c>
      <c r="HE200" s="155">
        <f>IF(ISNA(VLOOKUP(A200,'Données projet'!$A$269:$I$289,6,0)),0%,VLOOKUP(A200,'Données projet'!$A$269:$I$289,6,0)*VLOOKUP('Données projet'!$B$18,'Paramètres'!$A$1:$I$88,7,0))</f>
        <v>0</v>
      </c>
      <c r="HF200" s="155">
        <f>IF(ISNA(VLOOKUP(A200,'Données projet'!$A$269:$I$289,7,0)),0%,VLOOKUP(A200,'Données projet'!$A$269:$I$289,7,0))</f>
        <v>0</v>
      </c>
      <c r="HG200" s="162" t="str">
        <f>EXP(-LN(2)/35)*HG199+(1-EXP(-LN(2)/35))/(LN(2)/35)*HC200*HD200*VLOOKUP('Données projet'!$B$18,'Paramètres'!$A$1:$I$88,3,0)*0.475*44/12</f>
        <v>#N/A</v>
      </c>
      <c r="HH200" s="162" t="str">
        <f>EXP(-LN(2)/25)*HH199+(1-EXP(-LN(2)/25))/(LN(2)/25)*Calculateur!HC200*Calculateur!HE200*VLOOKUP('Données projet'!$B$18,'Paramètres'!$A$1:$I$88,3,0)*0.475*44/12</f>
        <v>#N/A</v>
      </c>
      <c r="HI200" s="162" t="str">
        <f>EXP(-LN(2)/2)*HI199+(1-EXP(-LN(2)/2))/(LN(2)/2)*HC200*HF200*VLOOKUP('Données projet'!$B$18,'Paramètres'!$A$1:$I$88,3,0)*0.475*44/12</f>
        <v>#N/A</v>
      </c>
      <c r="HJ200" s="163" t="str">
        <f t="shared" si="31"/>
        <v>#N/A</v>
      </c>
    </row>
    <row r="201" ht="15.75" customHeight="1">
      <c r="A201" s="145">
        <f t="shared" si="32"/>
        <v>198</v>
      </c>
      <c r="B201" s="146">
        <f>'Scénario référence'!$B$16*5+'Scénario référence'!$B$17*0+'Scénario référence'!$B$18*5</f>
        <v>0</v>
      </c>
      <c r="C201" s="160">
        <f>Calculateur!C200+'Scénario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201" s="147">
        <f t="shared" si="33"/>
        <v>0</v>
      </c>
      <c r="E201" s="147">
        <f>'Scénario référence'!$B$16*45+('Scénario référence'!$B$17+'Scénario référence'!$F$8+'Scénario référence'!$F$9+'Scénario référence'!$B$10+'Scénario référence'!$B$9)*70+'Scénario référence'!$B$18*32</f>
        <v>70</v>
      </c>
      <c r="F201" s="147">
        <f>IF(OR('Scénario référence'!$F$8&gt;0,'Scénario référence'!$F$9&gt;0),('Scénario référence'!$F$8+'Scénario référence'!$F$9)*10,0)</f>
        <v>0</v>
      </c>
      <c r="G201" s="147">
        <f>'Scénario référence'!$B$8*B201*44/12+'Scénario référence'!$B$9*(C201+D201)/0.475*44/12+'Scénario référence'!$B$10*(C201+D201)/0.475*44/12+'Scénario référence'!$F$8*(C201+D201)/0.475*44/12+'Scénario référence'!$F$9*(C201+D201)/0.475*44/12</f>
        <v>0</v>
      </c>
      <c r="H201" s="148">
        <f t="shared" si="1"/>
        <v>256.6666667</v>
      </c>
      <c r="I201" s="149">
        <f>('Scénario référence'!$F$8+'Scénario référence'!$F$9+'Scénario référence'!$B$17+'Scénario référence'!$B$9+'Scénario référence'!$B$10)*70+IF((45+25*(1-EXP(-0.0175*A201)))&lt;70,'Scénario référence'!$B$16*(45+25*(1-EXP(-0.0175*A201))),70*'Scénario référence'!$B$16)+IF((32+38*(1-EXP(-0.0175*A201)))&lt;70,'Scénario référence'!$B$18*(32+38*(1-EXP(-0.0175*A201))),70*'Scénario référence'!$B$18)</f>
        <v>70</v>
      </c>
      <c r="J201" s="150">
        <f>IF(A201&gt;30,10,('Scénario référence'!$B$16+'Scénario référence'!$B$17+'Scénario référence'!$B$18+'Scénario référence'!$B$9+'Scénario référence'!$B$10)*A201*10/30+('Scénario référence'!$F$8+'Scénario référence'!$F$9)*10)</f>
        <v>10</v>
      </c>
      <c r="K201" s="151" t="str">
        <f>VLOOKUP(A201,'Données projet'!$A$35:$I$55,2,0)</f>
        <v>#N/A</v>
      </c>
      <c r="L201" s="151" t="str">
        <f>VLOOKUP(A201,'Données projet'!$A$35:$I$55,9,0)</f>
        <v>#N/A</v>
      </c>
      <c r="M201" s="151" t="str">
        <f t="array" ref="M201">INDEX(L:L,MIN(IF(ISNUMBER(L201:L397),ROW(L201:L397),"")))</f>
        <v/>
      </c>
      <c r="N201" s="150">
        <f>IF('Données projet'!$A$36&gt;35,N200+M201-V200,IF(A201&lt;'Données projet'!$A$36,$K$205^A201,IF(A201='Données projet'!$A$36,'Données projet'!$B$36,N200+M201-V200)))</f>
        <v>307</v>
      </c>
      <c r="O201" s="150">
        <f>N201*VLOOKUP('Données projet'!$B$9,'Paramètres'!$A$1:$I$88,3,0)*VLOOKUP('Données projet'!$B$9,'Paramètres'!$A$1:$I$88,5,0)</f>
        <v>277.7736</v>
      </c>
      <c r="P201" s="150">
        <f t="shared" si="34"/>
        <v>66.49628818</v>
      </c>
      <c r="Q201" s="161">
        <f t="shared" si="2"/>
        <v>599.6033886</v>
      </c>
      <c r="R201" s="153">
        <f t="shared" si="3"/>
        <v>892.9367219</v>
      </c>
      <c r="S201" s="153">
        <f>AVERAGE(OFFSET($R$3,0,0,'Données projet'!$E$9+1,1))-AVERAGE(OFFSET($H$3,0,0,'Données projet'!$E$9+1,1))</f>
        <v>439.1985427</v>
      </c>
      <c r="T201" s="153">
        <f t="shared" si="35"/>
        <v>278.2174123</v>
      </c>
      <c r="U201" s="154">
        <f>IF(ISNA(VLOOKUP(A201,'Données projet'!$A$35:$I$55,3,0)),0,VLOOKUP(A201,'Données projet'!$A$35:$I$55,3,0))</f>
        <v>0</v>
      </c>
      <c r="V201" s="154">
        <f>IF(ISNA(VLOOKUP(A201,'Données projet'!$A$35:$I$55,4,0)),0,VLOOKUP(A201,'Données projet'!$A$35:$I$55,4,0))</f>
        <v>0</v>
      </c>
      <c r="W201" s="155">
        <f>IF(ISNA(VLOOKUP(A201,'Données projet'!$A$35:$I$55,5,0)),0%,VLOOKUP(A201,'Données projet'!$A$35:$I$55,5,0)*VLOOKUP('Données projet'!$B$9,'Paramètres'!$A$1:$I$88,7,0))</f>
        <v>0</v>
      </c>
      <c r="X201" s="155">
        <f>IF(ISNA(VLOOKUP(A201,'Données projet'!$A$35:$I$55,6,0)),0%,VLOOKUP(A201,'Données projet'!$A$35:$I$55,6,0)*VLOOKUP('Données projet'!$B$9,'Paramètres'!$A$1:$I$88,7,0))</f>
        <v>0</v>
      </c>
      <c r="Y201" s="155">
        <f>IF(ISNA(VLOOKUP(A201,'Données projet'!$A$35:$I$55,7,0)),0%,VLOOKUP(A201,'Données projet'!$A$35:$I$55,7,0))</f>
        <v>0</v>
      </c>
      <c r="Z201" s="162">
        <f>EXP(-LN(2)/35)*Z200+(1-EXP(-LN(2)/35))/(LN(2)/35)*V201*W201*VLOOKUP('Données projet'!$B$9,'Paramètres'!$A$1:$I$88,3,0)*0.475*44/12</f>
        <v>0</v>
      </c>
      <c r="AA201" s="162">
        <f>EXP(-LN(2)/25)*AA200+(1-EXP(-LN(2)/25))/(LN(2)/25)*Calculateur!V201*Calculateur!X201*VLOOKUP('Données projet'!$B$9,'Paramètres'!$A$1:$I$88,3,0)*0.475*44/12</f>
        <v>0.04256873142</v>
      </c>
      <c r="AB201" s="162">
        <f>EXP(-LN(2)/2)*AB200+(1-EXP(-LN(2)/2))/(LN(2)/2)*V201*Y201*VLOOKUP('Données projet'!$B$9,'Paramètres'!$A$1:$I$88,3,0)*0.475*44/12</f>
        <v>0</v>
      </c>
      <c r="AC201" s="163">
        <f t="shared" si="4"/>
        <v>0.04256873142</v>
      </c>
      <c r="AD201" s="150">
        <f>('Scénario référence'!$F$8+'Scénario référence'!$F$9+'Scénario référence'!$B$17+'Scénario référence'!$B$9+'Scénario référence'!$B$10)*70+IF((45+25*(1-EXP(-0.0175*A201)))&lt;70,'Scénario référence'!$B$16*(45+25*(1-EXP(-0.0175*A201))),70*'Scénario référence'!$B$16)+IF((32+38*(1-EXP(-0.0175*A201)))&lt;70,'Scénario référence'!$B$18*(32+38*(1-EXP(-0.0175*A201))),70*'Scénario référence'!$B$18)</f>
        <v>70</v>
      </c>
      <c r="AE201" s="150">
        <f>IF(A201&gt;30,10,('Scénario référence'!$B$16+'Scénario référence'!$B$17+'Scénario référence'!$B$18+'Scénario référence'!$B$9+'Scénario référence'!$B$10)*A201*10/30+('Scénario référence'!$F$8+'Scénario référence'!$F$9)*10)</f>
        <v>10</v>
      </c>
      <c r="AF201" s="151" t="str">
        <f>VLOOKUP(A201,'Données projet'!$A$61:$I$81,2,0)</f>
        <v>#N/A</v>
      </c>
      <c r="AG201" s="151" t="str">
        <f>VLOOKUP(A201,'Données projet'!$A$61:$I$81,9,0)</f>
        <v>#N/A</v>
      </c>
      <c r="AH201" s="151" t="str">
        <f t="array" ref="AH201">INDEX(AG:AG,MIN(IF(ISNUMBER(AG201:AG397),ROW(AG201:AG397),"")))</f>
        <v/>
      </c>
      <c r="AI201" s="150">
        <f>IF('Données projet'!$A$62&gt;35,AI200+AH201-AQ200,IF(A201&lt;'Données projet'!$A$62,$AF$205^A201,IF(A201='Données projet'!$A$62,'Données projet'!$B$62,AI200+AH201-AQ200)))</f>
        <v>369</v>
      </c>
      <c r="AJ201" s="150">
        <f>AI201*VLOOKUP('Données projet'!$B$10,'Paramètres'!$A$1:$I$88,3,0)*VLOOKUP('Données projet'!$B$10,'Paramètres'!$A$1:$I$88,5,0)</f>
        <v>293.5764</v>
      </c>
      <c r="AK201" s="150">
        <f t="shared" si="36"/>
        <v>69.82813851</v>
      </c>
      <c r="AL201" s="161">
        <f t="shared" si="5"/>
        <v>632.9295712</v>
      </c>
      <c r="AM201" s="153">
        <f t="shared" si="6"/>
        <v>926.2629046</v>
      </c>
      <c r="AN201" s="153">
        <f>AVERAGE(OFFSET($AM$3,0,0,'Données projet'!$E$10+1,1))-AVERAGE(OFFSET($H$3,0,0,'Données projet'!$E$10+1,1))</f>
        <v>405.6113614</v>
      </c>
      <c r="AO201" s="153">
        <f t="shared" si="37"/>
        <v>393.0787141</v>
      </c>
      <c r="AP201" s="154">
        <f>IF(ISNA(VLOOKUP(A201,'Données projet'!$A$61:$I$81,3,0)),0,VLOOKUP(A201,'Données projet'!$A$61:$I$81,3,0))</f>
        <v>0</v>
      </c>
      <c r="AQ201" s="154">
        <f>IF(ISNA(VLOOKUP(A201,'Données projet'!$A$61:$I$81,4,0)),0,VLOOKUP(A201,'Données projet'!$A$61:$I$81,4,0))</f>
        <v>0</v>
      </c>
      <c r="AR201" s="155">
        <f>IF(ISNA(VLOOKUP(A201,'Données projet'!$A$61:$I$81,5,0)),0%,VLOOKUP(A201,'Données projet'!$A$61:$I$81,5,0)*VLOOKUP('Données projet'!$B$10,'Paramètres'!$A$1:$I$88,7,0))</f>
        <v>0</v>
      </c>
      <c r="AS201" s="155">
        <f>IF(ISNA(VLOOKUP(A201,'Données projet'!$A$61:$I$81,6,0)),0%,VLOOKUP(A201,'Données projet'!$A$61:$I$81,6,0)*VLOOKUP('Données projet'!$B$10,'Paramètres'!$A$1:$I$88,7,0))</f>
        <v>0</v>
      </c>
      <c r="AT201" s="155">
        <f>IF(ISNA(VLOOKUP(A201,'Données projet'!$A$61:$I$81,7,0)),0%,VLOOKUP(A201,'Données projet'!$A$61:$I$81,7,0))</f>
        <v>0</v>
      </c>
      <c r="AU201" s="162">
        <f>EXP(-LN(2)/35)*AU200+(1-EXP(-LN(2)/35))/(LN(2)/35)*AQ201*AR201*VLOOKUP('Données projet'!$B$10,'Paramètres'!$A$1:$I$88,3,0)*0.475*44/12</f>
        <v>0</v>
      </c>
      <c r="AV201" s="162">
        <f>EXP(-LN(2)/25)*AV200+(1-EXP(-LN(2)/25))/(LN(2)/25)*Calculateur!AQ201*Calculateur!AS201*VLOOKUP('Données projet'!$B$10,'Paramètres'!$A$1:$I$88,3,0)*0.475*44/12</f>
        <v>0.1730101459</v>
      </c>
      <c r="AW201" s="162">
        <f>EXP(-LN(2)/2)*AW200+(1-EXP(-LN(2)/2))/(LN(2)/2)*AQ201*AT201*VLOOKUP('Données projet'!$B$10,'Paramètres'!$A$1:$I$88,3,0)*0.475*44/12</f>
        <v>0</v>
      </c>
      <c r="AX201" s="162">
        <f t="shared" si="7"/>
        <v>0.1730101459</v>
      </c>
      <c r="AY201" s="157">
        <f>('Scénario référence'!$F$8+'Scénario référence'!$F$9+'Scénario référence'!$B$17+'Scénario référence'!$B$9+'Scénario référence'!$B$10)*70+IF((45+25*(1-EXP(-0.0175*A201)))&lt;70,'Scénario référence'!$B$16*(45+25*(1-EXP(-0.0175*A201))),70*'Scénario référence'!$B$16)+IF((32+38*(1-EXP(-0.0175*A201)))&lt;70,'Scénario référence'!$B$18*(32+38*(1-EXP(-0.0175*A201))),70*'Scénario référence'!$B$18)</f>
        <v>70</v>
      </c>
      <c r="AZ201" s="151">
        <f>IF(A201&gt;30,10,('Scénario référence'!$B$16+'Scénario référence'!$B$17+'Scénario référence'!$B$18+'Scénario référence'!$B$9+'Scénario référence'!$B$10)*A201*10/30+('Scénario référence'!$F$8+'Scénario référence'!$F$9)*10)</f>
        <v>10</v>
      </c>
      <c r="BA201" s="151" t="str">
        <f>VLOOKUP(A201,'Données projet'!$A$87:$I$107,2,0)</f>
        <v>#N/A</v>
      </c>
      <c r="BB201" s="151" t="str">
        <f>VLOOKUP(A201,'Données projet'!$A$87:$I$107,9,0)</f>
        <v>#N/A</v>
      </c>
      <c r="BC201" s="151" t="str">
        <f t="array" ref="BC201">INDEX(BB:BB,MIN(IF(ISNUMBER(BB201:BB397),ROW(BB201:BB397),"")))</f>
        <v/>
      </c>
      <c r="BD201" s="150">
        <f>IF('Données projet'!$A$88&gt;35,BD200+BC201-BL200,IF(A201&lt;'Données projet'!$A$88,$BA$205^A201,IF(A201='Données projet'!$A$88,'Données projet'!$B$88,BD200+BC201-BL200)))</f>
        <v>0</v>
      </c>
      <c r="BE201" s="150">
        <f>BD201*VLOOKUP('Données projet'!$B$11,'Paramètres'!$A$1:$I$88,3,0)*VLOOKUP('Données projet'!$B$11,'Paramètres'!$A$1:$I$88,5,0)</f>
        <v>0</v>
      </c>
      <c r="BF201" s="150" t="str">
        <f t="shared" si="38"/>
        <v>#NUM!</v>
      </c>
      <c r="BG201" s="161" t="str">
        <f t="shared" si="8"/>
        <v>#NUM!</v>
      </c>
      <c r="BH201" s="153" t="str">
        <f t="shared" si="9"/>
        <v>#NUM!</v>
      </c>
      <c r="BI201" s="153">
        <f>AVERAGE(OFFSET($BH$3,0,0,'Données projet'!$E$11+1,1))-AVERAGE(OFFSET($H$3,0,0,'Données projet'!$E$11+1,1))</f>
        <v>0</v>
      </c>
      <c r="BJ201" s="153">
        <f t="shared" si="39"/>
        <v>0</v>
      </c>
      <c r="BK201" s="154">
        <f>IF(ISNA(VLOOKUP(A201,'Données projet'!$A$87:$I$107,3,0)),0,VLOOKUP(A201,'Données projet'!$A$87:$I$107,3,0))</f>
        <v>0</v>
      </c>
      <c r="BL201" s="154">
        <f>IF(ISNA(VLOOKUP(A201,'Données projet'!$A$87:$I$107,4,0)),0,VLOOKUP(A201,'Données projet'!$A$87:$I$107,4,0))</f>
        <v>0</v>
      </c>
      <c r="BM201" s="155">
        <f>IF(ISNA(VLOOKUP(A201,'Données projet'!$A$87:$I$107,5,0)),0%,VLOOKUP(A201,'Données projet'!$A$87:$I$107,5,0)*VLOOKUP('Données projet'!$B$11,'Paramètres'!$A$1:$I$88,7,0))</f>
        <v>0</v>
      </c>
      <c r="BN201" s="155">
        <f>IF(ISNA(VLOOKUP(A201,'Données projet'!$A$87:$I$107,6,0)),0%,VLOOKUP(A201,'Données projet'!$A$87:$I$107,6,0)*VLOOKUP('Données projet'!$B$11,'Paramètres'!$A$1:$I$88,7,0))</f>
        <v>0</v>
      </c>
      <c r="BO201" s="155">
        <f>IF(ISNA(VLOOKUP(A201,'Données projet'!$A$87:$I$107,7,0)),0%,VLOOKUP(A201,'Données projet'!$A$87:$I$107,7,0))</f>
        <v>0</v>
      </c>
      <c r="BP201" s="162">
        <f>EXP(-LN(2)/35)*BP200+(1-EXP(-LN(2)/35))/(LN(2)/35)*BL201*BM201*VLOOKUP('Données projet'!$B$11,'Paramètres'!$A$1:$I$88,3,0)*0.475*44/12</f>
        <v>0</v>
      </c>
      <c r="BQ201" s="162">
        <f>EXP(-LN(2)/25)*BQ200+(1-EXP(-LN(2)/25))/(LN(2)/25)*Calculateur!BL201*Calculateur!BN201*VLOOKUP('Données projet'!$B$11,'Paramètres'!$A$1:$I$88,3,0)*0.475*44/12</f>
        <v>0</v>
      </c>
      <c r="BR201" s="162">
        <f>EXP(-LN(2)/2)*BR200+(1-EXP(-LN(2)/2))/(LN(2)/2)*BL201*BO201*VLOOKUP('Données projet'!$B$11,'Paramètres'!$A$1:$I$88,3,0)*0.475*44/12</f>
        <v>0</v>
      </c>
      <c r="BS201" s="163">
        <f t="shared" si="10"/>
        <v>0</v>
      </c>
      <c r="BT201" s="159">
        <f>('Scénario référence'!$F$8+'Scénario référence'!$F$9+'Scénario référence'!$B$17+'Scénario référence'!$B$9+'Scénario référence'!$B$10)*70+IF((45+25*(1-EXP(-0.0175*A201)))&lt;70,'Scénario référence'!$B$16*(45+25*(1-EXP(-0.0175*A201))),70*'Scénario référence'!$B$16)+IF((32+38*(1-EXP(-0.0175*A201)))&lt;70,'Scénario référence'!$B$18*(32+38*(1-EXP(-0.0175*A201))),70*'Scénario référence'!$B$18)</f>
        <v>70</v>
      </c>
      <c r="BU201" s="151">
        <f>IF(A201&gt;30,10,('Scénario référence'!$B$16+'Scénario référence'!$B$17+'Scénario référence'!$B$18+'Scénario référence'!$B$9+'Scénario référence'!$B$10)*A201*10/30+('Scénario référence'!$F$8+'Scénario référence'!$F$9)*10)</f>
        <v>10</v>
      </c>
      <c r="BV201" s="151" t="str">
        <f>VLOOKUP(A201,'Données projet'!$A$113:$I$133,2,0)</f>
        <v>#N/A</v>
      </c>
      <c r="BW201" s="151" t="str">
        <f>VLOOKUP(A201,'Données projet'!$A$113:$I$133,9,0)</f>
        <v>#N/A</v>
      </c>
      <c r="BX201" s="151" t="str">
        <f t="array" ref="BX201">INDEX(BW:BW,MIN(IF(ISNUMBER(BW201:BW397),ROW(BW201:BW397),"")))</f>
        <v/>
      </c>
      <c r="BY201" s="150">
        <f>IF('Données projet'!$A$114&gt;35,BY200+BX201-CG200,IF(A201&lt;'Données projet'!$A$114,$BV$205^A201,IF(A201='Données projet'!$A$114,'Données projet'!$B$114,BY200+BX201-CG200)))</f>
        <v>0</v>
      </c>
      <c r="BZ201" s="150" t="str">
        <f>BY201*VLOOKUP('Données projet'!$B$12,'Paramètres'!$A$1:$I$88,3,0)*VLOOKUP('Données projet'!$B$12,'Paramètres'!$A$1:$I$88,5,0)</f>
        <v>#N/A</v>
      </c>
      <c r="CA201" s="150" t="str">
        <f t="shared" si="40"/>
        <v>#N/A</v>
      </c>
      <c r="CB201" s="161" t="str">
        <f t="shared" si="11"/>
        <v>#N/A</v>
      </c>
      <c r="CC201" s="153" t="str">
        <f t="shared" si="12"/>
        <v>#N/A</v>
      </c>
      <c r="CD201" s="153" t="str">
        <f>AVERAGE(OFFSET($CC$3,0,0,'Données projet'!$E$12+1,1))-AVERAGE(OFFSET($H$3,0,0,'Données projet'!$E$12+1,1))</f>
        <v>#N/A</v>
      </c>
      <c r="CE201" s="153" t="str">
        <f t="shared" si="41"/>
        <v>#N/A</v>
      </c>
      <c r="CF201" s="154">
        <f>IF(ISNA(VLOOKUP(A201,'Données projet'!$A$113:$I$133,3,0)),0,VLOOKUP(A201,'Données projet'!$A$113:$I$133,3,0))</f>
        <v>0</v>
      </c>
      <c r="CG201" s="154">
        <f>IF(ISNA(VLOOKUP(A201,'Données projet'!$A$113:$I$133,4,0)),0,VLOOKUP(A201,'Données projet'!$A$113:$I$133,4,0))</f>
        <v>0</v>
      </c>
      <c r="CH201" s="155">
        <f>IF(ISNA(VLOOKUP(A201,'Données projet'!$A$113:$I$133,5,0)),0%,VLOOKUP(A201,'Données projet'!$A$113:$I$133,5,0)*VLOOKUP('Données projet'!$B$12,'Paramètres'!$A$1:$I$88,7,0))</f>
        <v>0</v>
      </c>
      <c r="CI201" s="155">
        <f>IF(ISNA(VLOOKUP(A201,'Données projet'!$A$113:$I$133,6,0)),0%,VLOOKUP(A201,'Données projet'!$A$113:$I$133,6,0)*VLOOKUP('Données projet'!$B$12,'Paramètres'!$A$1:$I$88,7,0))</f>
        <v>0</v>
      </c>
      <c r="CJ201" s="155">
        <f>IF(ISNA(VLOOKUP(A201,'Données projet'!$A$113:$I$133,7,0)),0%,VLOOKUP(A201,'Données projet'!$A$113:$I$133,7,0))</f>
        <v>0</v>
      </c>
      <c r="CK201" s="162" t="str">
        <f>EXP(-LN(2)/35)*CK200+(1-EXP(-LN(2)/35))/(LN(2)/35)*CG201*CH201*VLOOKUP('Données projet'!$B$12,'Paramètres'!$A$1:$I$88,3,0)*0.475*44/12</f>
        <v>#N/A</v>
      </c>
      <c r="CL201" s="162" t="str">
        <f>EXP(-LN(2)/25)*CL200+(1-EXP(-LN(2)/25))/(LN(2)/25)*Calculateur!CG201*Calculateur!CI201*VLOOKUP('Données projet'!$B$12,'Paramètres'!$A$1:$I$88,3,0)*0.475*44/12</f>
        <v>#N/A</v>
      </c>
      <c r="CM201" s="162" t="str">
        <f>EXP(-LN(2)/2)*CM200+(1-EXP(-LN(2)/2))/(LN(2)/2)*CG201*CJ201*VLOOKUP('Données projet'!$B$12,'Paramètres'!$A$1:$I$88,3,0)*0.475*44/12</f>
        <v>#N/A</v>
      </c>
      <c r="CN201" s="163" t="str">
        <f t="shared" si="13"/>
        <v>#N/A</v>
      </c>
      <c r="CO201" s="159">
        <f>('Scénario référence'!$F$8+'Scénario référence'!$F$9+'Scénario référence'!$B$17+'Scénario référence'!$B$9+'Scénario référence'!$B$10)*70+IF((45+25*(1-EXP(-0.0175*A201)))&lt;70,'Scénario référence'!$B$16*(45+25*(1-EXP(-0.0175*A201))),70*'Scénario référence'!$B$16)+IF((32+38*(1-EXP(-0.0175*A201)))&lt;70,'Scénario référence'!$B$18*(32+38*(1-EXP(-0.0175*A201))),70*'Scénario référence'!$B$18)</f>
        <v>70</v>
      </c>
      <c r="CP201" s="151">
        <f>IF(A201&gt;30,10,('Scénario référence'!$B$16+'Scénario référence'!$B$17+'Scénario référence'!$B$18+'Scénario référence'!$B$9+'Scénario référence'!$B$10)*A201*10/30+('Scénario référence'!$F$8+'Scénario référence'!$F$9)*10)</f>
        <v>10</v>
      </c>
      <c r="CQ201" s="151" t="str">
        <f>VLOOKUP(A201,'Données projet'!$A$139:$I$159,2,0)</f>
        <v>#N/A</v>
      </c>
      <c r="CR201" s="151" t="str">
        <f>VLOOKUP(A201,'Données projet'!$A$139:$I$159,9,0)</f>
        <v>#N/A</v>
      </c>
      <c r="CS201" s="151" t="str">
        <f t="array" ref="CS201">INDEX(CR:CR,MIN(IF(ISNUMBER(CR201:CR397),ROW(CR201:CR397),"")))</f>
        <v/>
      </c>
      <c r="CT201" s="151">
        <f>IF('Données projet'!$A$140&gt;35,CT200+CS201-DB200,IF(A201&lt;'Données projet'!$A$140,$CQ$205^A201,IF(A201='Données projet'!$A$140,'Données projet'!$B$140,CT200+CS201-DB200)))</f>
        <v>0</v>
      </c>
      <c r="CU201" s="158" t="str">
        <f>CT201*VLOOKUP('Données projet'!$B$13,'Paramètres'!$A$1:$I$88,3,0)*VLOOKUP('Données projet'!$B$13,'Paramètres'!$A$1:$I$88,5,0)</f>
        <v>#N/A</v>
      </c>
      <c r="CV201" s="150" t="str">
        <f t="shared" si="42"/>
        <v>#N/A</v>
      </c>
      <c r="CW201" s="161" t="str">
        <f t="shared" si="14"/>
        <v>#N/A</v>
      </c>
      <c r="CX201" s="153" t="str">
        <f t="shared" si="15"/>
        <v>#N/A</v>
      </c>
      <c r="CY201" s="153" t="str">
        <f>AVERAGE(OFFSET($CX$3,0,0,'Données projet'!$E$13+1,1))-AVERAGE(OFFSET($H$3,0,0,'Données projet'!$E$13+1,1))</f>
        <v>#N/A</v>
      </c>
      <c r="CZ201" s="153" t="str">
        <f t="shared" si="43"/>
        <v>#N/A</v>
      </c>
      <c r="DA201" s="154">
        <f>IF(ISNA(VLOOKUP(A201,'Données projet'!$A$139:$I$159,3,0)),0,VLOOKUP(A201,'Données projet'!$A$139:$I$159,3,0))</f>
        <v>0</v>
      </c>
      <c r="DB201" s="154">
        <f>IF(ISNA(VLOOKUP(A201,'Données projet'!$A$139:$I$159,4,0)),0,VLOOKUP(A201,'Données projet'!$A$139:$I$159,4,0))</f>
        <v>0</v>
      </c>
      <c r="DC201" s="155">
        <f>IF(ISNA(VLOOKUP(A201,'Données projet'!$A$139:$I$159,5,0)),0%,VLOOKUP(A201,'Données projet'!$A$139:$I$159,5,0)*VLOOKUP('Données projet'!$B$13,'Paramètres'!$A$1:$I$88,7,0))</f>
        <v>0</v>
      </c>
      <c r="DD201" s="155">
        <f>IF(ISNA(VLOOKUP(A201,'Données projet'!$A$139:$I$159,6,0)),0%,VLOOKUP(A201,'Données projet'!$A$139:$I$159,6,0)*VLOOKUP('Données projet'!$B$13,'Paramètres'!$A$1:$I$88,7,0))</f>
        <v>0</v>
      </c>
      <c r="DE201" s="155">
        <f>IF(ISNA(VLOOKUP(A201,'Données projet'!$A$139:$I$159,7,0)),0%,VLOOKUP(A201,'Données projet'!$A$139:$I$159,7,0))</f>
        <v>0</v>
      </c>
      <c r="DF201" s="162" t="str">
        <f>EXP(-LN(2)/35)*DF200+(1-EXP(-LN(2)/35))/(LN(2)/35)*DB201*DC201*VLOOKUP('Données projet'!$B$13,'Paramètres'!$A$1:$I$88,3,0)*0.475*44/12</f>
        <v>#N/A</v>
      </c>
      <c r="DG201" s="162" t="str">
        <f>EXP(-LN(2)/25)*DG200+(1-EXP(-LN(2)/25))/(LN(2)/25)*Calculateur!DB201*Calculateur!DD201*VLOOKUP('Données projet'!$B$13,'Paramètres'!$A$1:$I$88,3,0)*0.475*44/12</f>
        <v>#N/A</v>
      </c>
      <c r="DH201" s="162" t="str">
        <f>EXP(-LN(2)/2)*DH200+(1-EXP(-LN(2)/2))/(LN(2)/2)*DB201*DE201*VLOOKUP('Données projet'!$B$13,'Paramètres'!$A$1:$I$88,3,0)*0.475*44/12</f>
        <v>#N/A</v>
      </c>
      <c r="DI201" s="163" t="str">
        <f t="shared" si="16"/>
        <v>#N/A</v>
      </c>
      <c r="DJ201" s="159">
        <f>('Scénario référence'!$F$8+'Scénario référence'!$F$9+'Scénario référence'!$B$17+'Scénario référence'!$B$9+'Scénario référence'!$B$10)*70+IF((45+25*(1-EXP(-0.0175*A201)))&lt;70,'Scénario référence'!$B$16*(45+25*(1-EXP(-0.0175*A201))),70*'Scénario référence'!$B$16)+IF((32+38*(1-EXP(-0.0175*A201)))&lt;70,'Scénario référence'!$B$18*(32+38*(1-EXP(-0.0175*A201))),70*'Scénario référence'!$B$18)</f>
        <v>70</v>
      </c>
      <c r="DK201" s="151">
        <f>IF(A201&gt;30,10,('Scénario référence'!$B$16+'Scénario référence'!$B$17+'Scénario référence'!$B$18+'Scénario référence'!$B$9+'Scénario référence'!$B$10)*A201*10/30+('Scénario référence'!$F$8+'Scénario référence'!$F$9)*10)</f>
        <v>10</v>
      </c>
      <c r="DL201" s="151" t="str">
        <f>VLOOKUP(A201,'Données projet'!$A$165:$I$185,2,0)</f>
        <v>#N/A</v>
      </c>
      <c r="DM201" s="151" t="str">
        <f>VLOOKUP(A201,'Données projet'!$A$165:$I$185,9,0)</f>
        <v>#N/A</v>
      </c>
      <c r="DN201" s="151" t="str">
        <f t="array" ref="DN201">INDEX(DM:DM,MIN(IF(ISNUMBER(DM201:DM397),ROW(DM201:DM397),"")))</f>
        <v/>
      </c>
      <c r="DO201" s="151">
        <f>IF('Données projet'!$A$166&gt;35,DO200+DN201-DW200,IF(A201&lt;'Données projet'!$A$166,$DL$205^A201,IF(A201='Données projet'!$A$166,'Données projet'!$B$166,DO200+DN201-DW200)))</f>
        <v>0</v>
      </c>
      <c r="DP201" s="158" t="str">
        <f>DO201*VLOOKUP('Données projet'!$B$14,'Paramètres'!$A$1:$I$88,3,0)*VLOOKUP('Données projet'!$B$14,'Paramètres'!$A$1:$I$88,5,0)</f>
        <v>#N/A</v>
      </c>
      <c r="DQ201" s="150" t="str">
        <f t="shared" si="44"/>
        <v>#N/A</v>
      </c>
      <c r="DR201" s="161" t="str">
        <f t="shared" si="17"/>
        <v>#N/A</v>
      </c>
      <c r="DS201" s="153" t="str">
        <f t="shared" si="18"/>
        <v>#N/A</v>
      </c>
      <c r="DT201" s="153" t="str">
        <f>AVERAGE(OFFSET($DS$3,0,0,'Données projet'!$E$14+1,1))-AVERAGE(OFFSET($H$3,0,0,'Données projet'!$E$14+1,1))</f>
        <v>#N/A</v>
      </c>
      <c r="DU201" s="153" t="str">
        <f t="shared" si="45"/>
        <v>#N/A</v>
      </c>
      <c r="DV201" s="154">
        <f>IF(ISNA(VLOOKUP(A201,'Données projet'!$A$165:$I$185,3,0)),0,VLOOKUP(A201,'Données projet'!$A$165:$I$185,3,0))</f>
        <v>0</v>
      </c>
      <c r="DW201" s="154">
        <f>IF(ISNA(VLOOKUP(A201,'Données projet'!$A$165:$I$185,4,0)),0,VLOOKUP(A201,'Données projet'!$A$165:$I$185,4,0))</f>
        <v>0</v>
      </c>
      <c r="DX201" s="155">
        <f>IF(ISNA(VLOOKUP(A201,'Données projet'!$A$165:$I$185,5,0)),0%,VLOOKUP(A201,'Données projet'!$A$165:$I$185,5,0)*VLOOKUP('Données projet'!$B$14,'Paramètres'!$A$1:$I$88,7,0))</f>
        <v>0</v>
      </c>
      <c r="DY201" s="155">
        <f>IF(ISNA(VLOOKUP(A201,'Données projet'!$A$165:$I$185,6,0)),0%,VLOOKUP(A201,'Données projet'!$A$165:$I$185,6,0)*VLOOKUP('Données projet'!$B$14,'Paramètres'!$A$1:$I$88,7,0))</f>
        <v>0</v>
      </c>
      <c r="DZ201" s="155">
        <f>IF(ISNA(VLOOKUP(A201,'Données projet'!$A$165:$I$185,7,0)),0%,VLOOKUP(A201,'Données projet'!$A$165:$I$185,7,0))</f>
        <v>0</v>
      </c>
      <c r="EA201" s="162" t="str">
        <f>EXP(-LN(2)/35)*EA200+(1-EXP(-LN(2)/35))/(LN(2)/35)*DW201*DX201*VLOOKUP('Données projet'!$B$14,'Paramètres'!$A$1:$I$88,3,0)*0.475*44/12</f>
        <v>#N/A</v>
      </c>
      <c r="EB201" s="162" t="str">
        <f>EXP(-LN(2)/25)*EB200+(1-EXP(-LN(2)/25))/(LN(2)/25)*Calculateur!DW201*Calculateur!DY201*VLOOKUP('Données projet'!$B$14,'Paramètres'!$A$1:$I$88,3,0)*0.475*44/12</f>
        <v>#N/A</v>
      </c>
      <c r="EC201" s="162" t="str">
        <f>EXP(-LN(2)/2)*EC200+(1-EXP(-LN(2)/2))/(LN(2)/2)*DW201*DZ201*VLOOKUP('Données projet'!$B$14,'Paramètres'!$A$1:$I$88,3,0)*0.475*44/12</f>
        <v>#N/A</v>
      </c>
      <c r="ED201" s="163" t="str">
        <f t="shared" si="19"/>
        <v>#N/A</v>
      </c>
      <c r="EE201" s="159">
        <f>('Scénario référence'!$F$8+'Scénario référence'!$F$9+'Scénario référence'!$B$17+'Scénario référence'!$B$9+'Scénario référence'!$B$10)*70+IF((45+25*(1-EXP(-0.0175*A201)))&lt;70,'Scénario référence'!$B$16*(45+25*(1-EXP(-0.0175*A201))),70*'Scénario référence'!$B$16)+IF((32+38*(1-EXP(-0.0175*A201)))&lt;70,'Scénario référence'!$B$18*(32+38*(1-EXP(-0.0175*A201))),70*'Scénario référence'!$B$18)</f>
        <v>70</v>
      </c>
      <c r="EF201" s="151">
        <f>IF(A201&gt;30,10,('Scénario référence'!$B$16+'Scénario référence'!$B$17+'Scénario référence'!$B$18+'Scénario référence'!$B$9+'Scénario référence'!$B$10)*A201*10/30+('Scénario référence'!$F$8+'Scénario référence'!$F$9)*10)</f>
        <v>10</v>
      </c>
      <c r="EG201" s="151" t="str">
        <f>VLOOKUP(A201,'Données projet'!$A$191:$I$211,2,0)</f>
        <v>#N/A</v>
      </c>
      <c r="EH201" s="151" t="str">
        <f>VLOOKUP(A201,'Données projet'!$A$191:$I$211,9,0)</f>
        <v>#N/A</v>
      </c>
      <c r="EI201" s="151" t="str">
        <f t="array" ref="EI201">INDEX(EH:EH,MIN(IF(ISNUMBER(EH201:EH397),ROW(EH201:EH397),"")))</f>
        <v/>
      </c>
      <c r="EJ201" s="151">
        <f>IF('Données projet'!$A$192&gt;35,EJ200+EI201-ER200,IF(A201&lt;'Données projet'!$A$192,$EG$205^A201,IF(A201='Données projet'!$A$192,'Données projet'!$B$192,EJ200+EI201-ER200)))</f>
        <v>0</v>
      </c>
      <c r="EK201" s="158" t="str">
        <f>EJ201*VLOOKUP('Données projet'!$B$15,'Paramètres'!$A$1:$I$88,3,0)*VLOOKUP('Données projet'!$B$15,'Paramètres'!$A$1:$I$88,5,0)</f>
        <v>#N/A</v>
      </c>
      <c r="EL201" s="150" t="str">
        <f t="shared" si="46"/>
        <v>#N/A</v>
      </c>
      <c r="EM201" s="161" t="str">
        <f t="shared" si="20"/>
        <v>#N/A</v>
      </c>
      <c r="EN201" s="153" t="str">
        <f t="shared" si="21"/>
        <v>#N/A</v>
      </c>
      <c r="EO201" s="153" t="str">
        <f>AVERAGE(OFFSET($EN$3,0,0,'Données projet'!$E$15+1,1))-AVERAGE(OFFSET($H$3,0,0,'Données projet'!$E$15+1,1))</f>
        <v>#N/A</v>
      </c>
      <c r="EP201" s="153" t="str">
        <f t="shared" si="47"/>
        <v>#N/A</v>
      </c>
      <c r="EQ201" s="154">
        <f>IF(ISNA(VLOOKUP(A201,'Données projet'!$A$191:$I$211,3,0)),0,VLOOKUP(A201,'Données projet'!$A$191:$I$211,3,0))</f>
        <v>0</v>
      </c>
      <c r="ER201" s="154">
        <f>IF(ISNA(VLOOKUP(A201,'Données projet'!$A$191:$I$211,4,0)),0,VLOOKUP(A201,'Données projet'!$A$191:$I$211,4,0))</f>
        <v>0</v>
      </c>
      <c r="ES201" s="155">
        <f>IF(ISNA(VLOOKUP(A201,'Données projet'!$A$191:$I$211,5,0)),0%,VLOOKUP(A201,'Données projet'!$A$191:$I$211,5,0)*VLOOKUP('Données projet'!$B$15,'Paramètres'!$A$1:$I$88,7,0))</f>
        <v>0</v>
      </c>
      <c r="ET201" s="155">
        <f>IF(ISNA(VLOOKUP(A201,'Données projet'!$A$191:$I$211,6,0)),0%,VLOOKUP(A201,'Données projet'!$A$191:$I$211,6,0)*VLOOKUP('Données projet'!$B$15,'Paramètres'!$A$1:$I$88,7,0))</f>
        <v>0</v>
      </c>
      <c r="EU201" s="155">
        <f>IF(ISNA(VLOOKUP(A201,'Données projet'!$A$191:$I$211,7,0)),0%,VLOOKUP(A201,'Données projet'!$A$191:$I$211,7,0))</f>
        <v>0</v>
      </c>
      <c r="EV201" s="162" t="str">
        <f>EXP(-LN(2)/35)*EV200+(1-EXP(-LN(2)/35))/(LN(2)/35)*ER201*ES201*VLOOKUP('Données projet'!$B$15,'Paramètres'!$A$1:$I$88,3,0)*0.475*44/12</f>
        <v>#N/A</v>
      </c>
      <c r="EW201" s="162" t="str">
        <f>EXP(-LN(2)/25)*EW200+(1-EXP(-LN(2)/25))/(LN(2)/25)*Calculateur!ER201*Calculateur!ET201*VLOOKUP('Données projet'!$B$15,'Paramètres'!$A$1:$I$88,3,0)*0.475*44/12</f>
        <v>#N/A</v>
      </c>
      <c r="EX201" s="162" t="str">
        <f>EXP(-LN(2)/2)*EX200+(1-EXP(-LN(2)/2))/(LN(2)/2)*ER201*EU201*VLOOKUP('Données projet'!$B$15,'Paramètres'!$A$1:$I$88,3,0)*0.475*44/12</f>
        <v>#N/A</v>
      </c>
      <c r="EY201" s="163" t="str">
        <f t="shared" si="22"/>
        <v>#N/A</v>
      </c>
      <c r="EZ201" s="159">
        <f>('Scénario référence'!$F$8+'Scénario référence'!$F$9+'Scénario référence'!$B$17+'Scénario référence'!$B$9+'Scénario référence'!$B$10)*70+IF((45+25*(1-EXP(-0.0175*A201)))&lt;70,'Scénario référence'!$B$16*(45+25*(1-EXP(-0.0175*A201))),70*'Scénario référence'!$B$16)+IF((32+38*(1-EXP(-0.0175*A201)))&lt;70,'Scénario référence'!$B$18*(32+38*(1-EXP(-0.0175*A201))),70*'Scénario référence'!$B$18)</f>
        <v>70</v>
      </c>
      <c r="FA201" s="151">
        <f>IF(A201&gt;30,10,('Scénario référence'!$B$16+'Scénario référence'!$B$17+'Scénario référence'!$B$18+'Scénario référence'!$B$9+'Scénario référence'!$B$10)*A201*10/30+('Scénario référence'!$F$8+'Scénario référence'!$F$9)*10)</f>
        <v>10</v>
      </c>
      <c r="FB201" s="151" t="str">
        <f>VLOOKUP(A201,'Données projet'!$A$217:$I$237,2,0)</f>
        <v>#N/A</v>
      </c>
      <c r="FC201" s="151" t="str">
        <f>VLOOKUP(A201,'Données projet'!$A$217:$I$237,9,0)</f>
        <v>#N/A</v>
      </c>
      <c r="FD201" s="151" t="str">
        <f t="array" ref="FD201">INDEX(FC:FC,MIN(IF(ISNUMBER(FC201:FC397),ROW(FC201:FC397),"")))</f>
        <v/>
      </c>
      <c r="FE201" s="151">
        <f>IF('Données projet'!$A$218&gt;35,FE200+FD201-FM200,IF(A201&lt;'Données projet'!$A$218,$FB$205^A201,IF(A201='Données projet'!$A$218,'Données projet'!$B$218,FE200+FD201-FM200)))</f>
        <v>0</v>
      </c>
      <c r="FF201" s="158" t="str">
        <f>FE201*VLOOKUP('Données projet'!$B$16,'Paramètres'!$A$1:$I$88,3,0)*VLOOKUP('Données projet'!$B$16,'Paramètres'!$A$1:$I$88,5,0)</f>
        <v>#N/A</v>
      </c>
      <c r="FG201" s="150" t="str">
        <f t="shared" si="48"/>
        <v>#N/A</v>
      </c>
      <c r="FH201" s="161" t="str">
        <f t="shared" si="23"/>
        <v>#N/A</v>
      </c>
      <c r="FI201" s="153" t="str">
        <f t="shared" si="24"/>
        <v>#N/A</v>
      </c>
      <c r="FJ201" s="153" t="str">
        <f>AVERAGE(OFFSET($FI$3,0,0,'Données projet'!$E$16+1,1))-AVERAGE(OFFSET($H$3,0,0,'Données projet'!$E$16+1,1))</f>
        <v>#N/A</v>
      </c>
      <c r="FK201" s="153" t="str">
        <f t="shared" si="49"/>
        <v>#N/A</v>
      </c>
      <c r="FL201" s="154">
        <f>IF(ISNA(VLOOKUP(A201,'Données projet'!$A$217:$I$237,3,0)),0,VLOOKUP(A201,'Données projet'!$A$217:$I$237,3,0))</f>
        <v>0</v>
      </c>
      <c r="FM201" s="154">
        <f>IF(ISNA(VLOOKUP(A201,'Données projet'!$A$217:$I$237,4,0)),0,VLOOKUP(A201,'Données projet'!$A$217:$I$237,4,0))</f>
        <v>0</v>
      </c>
      <c r="FN201" s="155">
        <f>IF(ISNA(VLOOKUP(A201,'Données projet'!$A$217:$I$237,5,0)),0%,VLOOKUP(A201,'Données projet'!$A$217:$I$237,5,0)*VLOOKUP('Données projet'!$B$16,'Paramètres'!$A$1:$I$88,7,0))</f>
        <v>0</v>
      </c>
      <c r="FO201" s="155">
        <f>IF(ISNA(VLOOKUP(A201,'Données projet'!$A$217:$I$237,6,0)),0%,VLOOKUP(A201,'Données projet'!$A$217:$I$237,6,0)*VLOOKUP('Données projet'!$B$16,'Paramètres'!$A$1:$I$88,7,0))</f>
        <v>0</v>
      </c>
      <c r="FP201" s="155">
        <f>IF(ISNA(VLOOKUP(A201,'Données projet'!$A$217:$I$237,7,0)),0%,VLOOKUP(A201,'Données projet'!$A$217:$I$237,7,0))</f>
        <v>0</v>
      </c>
      <c r="FQ201" s="162" t="str">
        <f>EXP(-LN(2)/35)*FQ200+(1-EXP(-LN(2)/35))/(LN(2)/35)*FM201*FN201*VLOOKUP('Données projet'!$B$16,'Paramètres'!$A$1:$I$88,3,0)*0.475*44/12</f>
        <v>#N/A</v>
      </c>
      <c r="FR201" s="162" t="str">
        <f>EXP(-LN(2)/25)*FR200+(1-EXP(-LN(2)/25))/(LN(2)/25)*Calculateur!FM201*Calculateur!FO201*VLOOKUP('Données projet'!$B$16,'Paramètres'!$A$1:$I$88,3,0)*0.475*44/12</f>
        <v>#N/A</v>
      </c>
      <c r="FS201" s="162" t="str">
        <f>EXP(-LN(2)/2)*FS200+(1-EXP(-LN(2)/2))/(LN(2)/2)*FM201*FP201*VLOOKUP('Données projet'!$B$16,'Paramètres'!$A$1:$I$88,3,0)*0.475*44/12</f>
        <v>#N/A</v>
      </c>
      <c r="FT201" s="163" t="str">
        <f t="shared" si="25"/>
        <v>#N/A</v>
      </c>
      <c r="FU201" s="159">
        <f>('Scénario référence'!$F$8+'Scénario référence'!$F$9+'Scénario référence'!$B$17+'Scénario référence'!$B$9+'Scénario référence'!$B$10)*70+IF((45+25*(1-EXP(-0.0175*A201)))&lt;70,'Scénario référence'!$B$16*(45+25*(1-EXP(-0.0175*A201))),70*'Scénario référence'!$B$16)+IF((32+38*(1-EXP(-0.0175*A201)))&lt;70,'Scénario référence'!$B$18*(32+38*(1-EXP(-0.0175*A201))),70*'Scénario référence'!$B$18)</f>
        <v>70</v>
      </c>
      <c r="FV201" s="151">
        <f>IF(A201&gt;30,10,('Scénario référence'!$B$16+'Scénario référence'!$B$17+'Scénario référence'!$B$18+'Scénario référence'!$B$9+'Scénario référence'!$B$10)*A201*10/30+('Scénario référence'!$F$8+'Scénario référence'!$F$9)*10)</f>
        <v>10</v>
      </c>
      <c r="FW201" s="151" t="str">
        <f>VLOOKUP(A201,'Données projet'!$A$243:$I$263,2,0)</f>
        <v>#N/A</v>
      </c>
      <c r="FX201" s="151" t="str">
        <f>VLOOKUP(A201,'Données projet'!$A$243:$I$263,9,0)</f>
        <v>#N/A</v>
      </c>
      <c r="FY201" s="151" t="str">
        <f t="array" ref="FY201">INDEX(FX:FX,MIN(IF(ISNUMBER(FX201:FX397),ROW(FX201:FX397),"")))</f>
        <v/>
      </c>
      <c r="FZ201" s="151">
        <f>IF('Données projet'!$A$244&gt;35,FZ200+FY201-GH200,IF(A201&lt;'Données projet'!$A$244,$FW$205^A201,IF(A201='Données projet'!$A$244,'Données projet'!$B$244,FZ200+FY201-GH200)))</f>
        <v>0</v>
      </c>
      <c r="GA201" s="158" t="str">
        <f>FZ201*VLOOKUP('Données projet'!$B$17,'Paramètres'!$A$1:$I$88,3,0)*VLOOKUP('Données projet'!$B$17,'Paramètres'!$A$1:$I$88,5,0)</f>
        <v>#N/A</v>
      </c>
      <c r="GB201" s="150" t="str">
        <f t="shared" si="50"/>
        <v>#N/A</v>
      </c>
      <c r="GC201" s="161" t="str">
        <f t="shared" si="26"/>
        <v>#N/A</v>
      </c>
      <c r="GD201" s="153" t="str">
        <f t="shared" si="27"/>
        <v>#N/A</v>
      </c>
      <c r="GE201" s="153" t="str">
        <f>AVERAGE(OFFSET($GD$3,0,0,'Données projet'!$E$17+1,1))-AVERAGE(OFFSET($H$3,0,0,'Données projet'!$E$17+1,1))</f>
        <v>#N/A</v>
      </c>
      <c r="GF201" s="153" t="str">
        <f t="shared" si="51"/>
        <v>#N/A</v>
      </c>
      <c r="GG201" s="154">
        <f>IF(ISNA(VLOOKUP(A201,'Données projet'!$A$243:$I$263,3,0)),0,VLOOKUP(A201,'Données projet'!$A$243:$I$263,3,0))</f>
        <v>0</v>
      </c>
      <c r="GH201" s="154">
        <f>IF(ISNA(VLOOKUP(A201,'Données projet'!$A$243:$I$263,4,0)),0,VLOOKUP(A201,'Données projet'!$A$243:$I$263,4,0))</f>
        <v>0</v>
      </c>
      <c r="GI201" s="155">
        <f>IF(ISNA(VLOOKUP(A201,'Données projet'!$A$243:$I$263,5,0)),0%,VLOOKUP(A201,'Données projet'!$A$243:$I$263,5,0)*VLOOKUP('Données projet'!$B$17,'Paramètres'!$A$1:$I$88,7,0))</f>
        <v>0</v>
      </c>
      <c r="GJ201" s="155">
        <f>IF(ISNA(VLOOKUP(A201,'Données projet'!$A$243:$I$263,6,0)),0%,VLOOKUP(A201,'Données projet'!$A$243:$I$263,6,0)*VLOOKUP('Données projet'!$B$17,'Paramètres'!$A$1:$I$88,7,0))</f>
        <v>0</v>
      </c>
      <c r="GK201" s="155">
        <f>IF(ISNA(VLOOKUP(A201,'Données projet'!$A$243:$I$263,7,0)),0%,VLOOKUP(A201,'Données projet'!$A$243:$I$263,7,0))</f>
        <v>0</v>
      </c>
      <c r="GL201" s="162" t="str">
        <f>EXP(-LN(2)/35)*GL200+(1-EXP(-LN(2)/35))/(LN(2)/35)*GH201*GI201*VLOOKUP('Données projet'!$B$17,'Paramètres'!$A$1:$I$88,3,0)*0.475*44/12</f>
        <v>#N/A</v>
      </c>
      <c r="GM201" s="162" t="str">
        <f>EXP(-LN(2)/25)*GM200+(1-EXP(-LN(2)/25))/(LN(2)/25)*Calculateur!GH201*Calculateur!GJ201*VLOOKUP('Données projet'!$B$17,'Paramètres'!$A$1:$I$88,3,0)*0.475*44/12</f>
        <v>#N/A</v>
      </c>
      <c r="GN201" s="162" t="str">
        <f>EXP(-LN(2)/2)*GN200+(1-EXP(-LN(2)/2))/(LN(2)/2)*GH201*GK201*VLOOKUP('Données projet'!$B$17,'Paramètres'!$A$1:$I$88,3,0)*0.475*44/12</f>
        <v>#N/A</v>
      </c>
      <c r="GO201" s="162" t="str">
        <f t="shared" si="28"/>
        <v>#N/A</v>
      </c>
      <c r="GP201" s="159">
        <f>('Scénario référence'!$F$8+'Scénario référence'!$F$9+'Scénario référence'!$B$17+'Scénario référence'!$B$9+'Scénario référence'!$B$10)*70+IF((45+25*(1-EXP(-0.0175*A201)))&lt;70,'Scénario référence'!$B$16*(45+25*(1-EXP(-0.0175*A201))),70*'Scénario référence'!$B$16)+IF((32+38*(1-EXP(-0.0175*A201)))&lt;70,'Scénario référence'!$B$18*(32+38*(1-EXP(-0.0175*A201))),70*'Scénario référence'!$B$18)</f>
        <v>70</v>
      </c>
      <c r="GQ201" s="151">
        <f>IF(A201&gt;30,10,('Scénario référence'!$B$16+'Scénario référence'!$B$17+'Scénario référence'!$B$18+'Scénario référence'!$B$9+'Scénario référence'!$B$10)*A201*10/30+('Scénario référence'!$F$8+'Scénario référence'!$F$9)*10)</f>
        <v>10</v>
      </c>
      <c r="GR201" s="151" t="str">
        <f>VLOOKUP(A201,'Données projet'!$A$269:$I$289,2,0)</f>
        <v>#N/A</v>
      </c>
      <c r="GS201" s="151" t="str">
        <f>VLOOKUP(A201,'Données projet'!$A$269:$I$289,9,0)</f>
        <v>#N/A</v>
      </c>
      <c r="GT201" s="151" t="str">
        <f t="array" ref="GT201">INDEX(GS:GS,MIN(IF(ISNUMBER(GS201:GS397),ROW(GS201:GS397),"")))</f>
        <v/>
      </c>
      <c r="GU201" s="151">
        <f>IF('Données projet'!$A$270&gt;35,GU200+GT201-HC200,IF(A201&lt;'Données projet'!$A$270,$GR$205^A201,IF(A201='Données projet'!$A$270,'Données projet'!$B$270,GU200+GT201-HC200)))</f>
        <v>0</v>
      </c>
      <c r="GV201" s="158" t="str">
        <f>GU201*VLOOKUP('Données projet'!$B$18,'Paramètres'!$A$1:$I$88,3,0)*VLOOKUP('Données projet'!$B$18,'Paramètres'!$A$1:$I$88,5,0)</f>
        <v>#N/A</v>
      </c>
      <c r="GW201" s="150" t="str">
        <f t="shared" si="52"/>
        <v>#N/A</v>
      </c>
      <c r="GX201" s="161" t="str">
        <f t="shared" si="29"/>
        <v>#N/A</v>
      </c>
      <c r="GY201" s="153" t="str">
        <f t="shared" si="30"/>
        <v>#N/A</v>
      </c>
      <c r="GZ201" s="153" t="str">
        <f>AVERAGE(OFFSET($GY$3,0,0,'Données projet'!$E$18+1,1))-AVERAGE(OFFSET($H$3,0,0,'Données projet'!$E$18+1,1))</f>
        <v>#N/A</v>
      </c>
      <c r="HA201" s="153" t="str">
        <f t="shared" si="53"/>
        <v>#N/A</v>
      </c>
      <c r="HB201" s="154">
        <f>IF(ISNA(VLOOKUP(A201,'Données projet'!$A$269:$I$289,3,0)),0,VLOOKUP(A201,'Données projet'!$A$269:$I$289,3,0))</f>
        <v>0</v>
      </c>
      <c r="HC201" s="154">
        <f>IF(ISNA(VLOOKUP(A201,'Données projet'!$A$269:$I$289,4,0)),0,VLOOKUP(A201,'Données projet'!$A$269:$I$289,4,0))</f>
        <v>0</v>
      </c>
      <c r="HD201" s="155">
        <f>IF(ISNA(VLOOKUP(A201,'Données projet'!$A$269:$I$289,5,0)),0%,VLOOKUP(A201,'Données projet'!$A$269:$I$289,5,0)*VLOOKUP('Données projet'!$B$18,'Paramètres'!$A$1:$I$88,7,0))</f>
        <v>0</v>
      </c>
      <c r="HE201" s="155">
        <f>IF(ISNA(VLOOKUP(A201,'Données projet'!$A$269:$I$289,6,0)),0%,VLOOKUP(A201,'Données projet'!$A$269:$I$289,6,0)*VLOOKUP('Données projet'!$B$18,'Paramètres'!$A$1:$I$88,7,0))</f>
        <v>0</v>
      </c>
      <c r="HF201" s="155">
        <f>IF(ISNA(VLOOKUP(A201,'Données projet'!$A$269:$I$289,7,0)),0%,VLOOKUP(A201,'Données projet'!$A$269:$I$289,7,0))</f>
        <v>0</v>
      </c>
      <c r="HG201" s="162" t="str">
        <f>EXP(-LN(2)/35)*HG200+(1-EXP(-LN(2)/35))/(LN(2)/35)*HC201*HD201*VLOOKUP('Données projet'!$B$18,'Paramètres'!$A$1:$I$88,3,0)*0.475*44/12</f>
        <v>#N/A</v>
      </c>
      <c r="HH201" s="162" t="str">
        <f>EXP(-LN(2)/25)*HH200+(1-EXP(-LN(2)/25))/(LN(2)/25)*Calculateur!HC201*Calculateur!HE201*VLOOKUP('Données projet'!$B$18,'Paramètres'!$A$1:$I$88,3,0)*0.475*44/12</f>
        <v>#N/A</v>
      </c>
      <c r="HI201" s="162" t="str">
        <f>EXP(-LN(2)/2)*HI200+(1-EXP(-LN(2)/2))/(LN(2)/2)*HC201*HF201*VLOOKUP('Données projet'!$B$18,'Paramètres'!$A$1:$I$88,3,0)*0.475*44/12</f>
        <v>#N/A</v>
      </c>
      <c r="HJ201" s="163" t="str">
        <f t="shared" si="31"/>
        <v>#N/A</v>
      </c>
    </row>
    <row r="202" ht="15.75" customHeight="1">
      <c r="A202" s="145">
        <f t="shared" si="32"/>
        <v>199</v>
      </c>
      <c r="B202" s="146">
        <f>'Scénario référence'!$B$16*5+'Scénario référence'!$B$17*0+'Scénario référence'!$B$18*5</f>
        <v>0</v>
      </c>
      <c r="C202" s="160">
        <f>Calculateur!C201+'Scénario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202" s="147">
        <f t="shared" si="33"/>
        <v>0</v>
      </c>
      <c r="E202" s="147">
        <f>'Scénario référence'!$B$16*45+('Scénario référence'!$B$17+'Scénario référence'!$F$8+'Scénario référence'!$F$9+'Scénario référence'!$B$10+'Scénario référence'!$B$9)*70+'Scénario référence'!$B$18*32</f>
        <v>70</v>
      </c>
      <c r="F202" s="147">
        <f>IF(OR('Scénario référence'!$F$8&gt;0,'Scénario référence'!$F$9&gt;0),('Scénario référence'!$F$8+'Scénario référence'!$F$9)*10,0)</f>
        <v>0</v>
      </c>
      <c r="G202" s="147">
        <f>'Scénario référence'!$B$8*B202*44/12+'Scénario référence'!$B$9*(C202+D202)/0.475*44/12+'Scénario référence'!$B$10*(C202+D202)/0.475*44/12+'Scénario référence'!$F$8*(C202+D202)/0.475*44/12+'Scénario référence'!$F$9*(C202+D202)/0.475*44/12</f>
        <v>0</v>
      </c>
      <c r="H202" s="148">
        <f t="shared" si="1"/>
        <v>256.6666667</v>
      </c>
      <c r="I202" s="149">
        <f>('Scénario référence'!$F$8+'Scénario référence'!$F$9+'Scénario référence'!$B$17+'Scénario référence'!$B$9+'Scénario référence'!$B$10)*70+IF((45+25*(1-EXP(-0.0175*A202)))&lt;70,'Scénario référence'!$B$16*(45+25*(1-EXP(-0.0175*A202))),70*'Scénario référence'!$B$16)+IF((32+38*(1-EXP(-0.0175*A202)))&lt;70,'Scénario référence'!$B$18*(32+38*(1-EXP(-0.0175*A202))),70*'Scénario référence'!$B$18)</f>
        <v>70</v>
      </c>
      <c r="J202" s="150">
        <f>IF(A202&gt;30,10,('Scénario référence'!$B$16+'Scénario référence'!$B$17+'Scénario référence'!$B$18+'Scénario référence'!$B$9+'Scénario référence'!$B$10)*A202*10/30+('Scénario référence'!$F$8+'Scénario référence'!$F$9)*10)</f>
        <v>10</v>
      </c>
      <c r="K202" s="151" t="str">
        <f>VLOOKUP(A202,'Données projet'!$A$35:$I$55,2,0)</f>
        <v>#N/A</v>
      </c>
      <c r="L202" s="151" t="str">
        <f>VLOOKUP(A202,'Données projet'!$A$35:$I$55,9,0)</f>
        <v>#N/A</v>
      </c>
      <c r="M202" s="151" t="str">
        <f t="array" ref="M202">INDEX(L:L,MIN(IF(ISNUMBER(L202:L398),ROW(L202:L398),"")))</f>
        <v/>
      </c>
      <c r="N202" s="150">
        <f>IF('Données projet'!$A$36&gt;35,N201+M202-V201,IF(A202&lt;'Données projet'!$A$36,$K$205^A202,IF(A202='Données projet'!$A$36,'Données projet'!$B$36,N201+M202-V201)))</f>
        <v>307</v>
      </c>
      <c r="O202" s="150">
        <f>N202*VLOOKUP('Données projet'!$B$9,'Paramètres'!$A$1:$I$88,3,0)*VLOOKUP('Données projet'!$B$9,'Paramètres'!$A$1:$I$88,5,0)</f>
        <v>277.7736</v>
      </c>
      <c r="P202" s="150">
        <f t="shared" si="34"/>
        <v>66.49628818</v>
      </c>
      <c r="Q202" s="161">
        <f t="shared" si="2"/>
        <v>599.6033886</v>
      </c>
      <c r="R202" s="153">
        <f t="shared" si="3"/>
        <v>892.9367219</v>
      </c>
      <c r="S202" s="153">
        <f>AVERAGE(OFFSET($R$3,0,0,'Données projet'!$E$9+1,1))-AVERAGE(OFFSET($H$3,0,0,'Données projet'!$E$9+1,1))</f>
        <v>439.1985427</v>
      </c>
      <c r="T202" s="153">
        <f t="shared" si="35"/>
        <v>278.2174123</v>
      </c>
      <c r="U202" s="154">
        <f>IF(ISNA(VLOOKUP(A202,'Données projet'!$A$35:$I$55,3,0)),0,VLOOKUP(A202,'Données projet'!$A$35:$I$55,3,0))</f>
        <v>0</v>
      </c>
      <c r="V202" s="154">
        <f>IF(ISNA(VLOOKUP(A202,'Données projet'!$A$35:$I$55,4,0)),0,VLOOKUP(A202,'Données projet'!$A$35:$I$55,4,0))</f>
        <v>0</v>
      </c>
      <c r="W202" s="155">
        <f>IF(ISNA(VLOOKUP(A202,'Données projet'!$A$35:$I$55,5,0)),0%,VLOOKUP(A202,'Données projet'!$A$35:$I$55,5,0)*VLOOKUP('Données projet'!$B$9,'Paramètres'!$A$1:$I$88,7,0))</f>
        <v>0</v>
      </c>
      <c r="X202" s="155">
        <f>IF(ISNA(VLOOKUP(A202,'Données projet'!$A$35:$I$55,6,0)),0%,VLOOKUP(A202,'Données projet'!$A$35:$I$55,6,0)*VLOOKUP('Données projet'!$B$9,'Paramètres'!$A$1:$I$88,7,0))</f>
        <v>0</v>
      </c>
      <c r="Y202" s="155">
        <f>IF(ISNA(VLOOKUP(A202,'Données projet'!$A$35:$I$55,7,0)),0%,VLOOKUP(A202,'Données projet'!$A$35:$I$55,7,0))</f>
        <v>0</v>
      </c>
      <c r="Z202" s="162">
        <f>EXP(-LN(2)/35)*Z201+(1-EXP(-LN(2)/35))/(LN(2)/35)*V202*W202*VLOOKUP('Données projet'!$B$9,'Paramètres'!$A$1:$I$88,3,0)*0.475*44/12</f>
        <v>0</v>
      </c>
      <c r="AA202" s="162">
        <f>EXP(-LN(2)/25)*AA201+(1-EXP(-LN(2)/25))/(LN(2)/25)*Calculateur!V202*Calculateur!X202*VLOOKUP('Données projet'!$B$9,'Paramètres'!$A$1:$I$88,3,0)*0.475*44/12</f>
        <v>0.04140468722</v>
      </c>
      <c r="AB202" s="162">
        <f>EXP(-LN(2)/2)*AB201+(1-EXP(-LN(2)/2))/(LN(2)/2)*V202*Y202*VLOOKUP('Données projet'!$B$9,'Paramètres'!$A$1:$I$88,3,0)*0.475*44/12</f>
        <v>0</v>
      </c>
      <c r="AC202" s="163">
        <f t="shared" si="4"/>
        <v>0.04140468722</v>
      </c>
      <c r="AD202" s="150">
        <f>('Scénario référence'!$F$8+'Scénario référence'!$F$9+'Scénario référence'!$B$17+'Scénario référence'!$B$9+'Scénario référence'!$B$10)*70+IF((45+25*(1-EXP(-0.0175*A202)))&lt;70,'Scénario référence'!$B$16*(45+25*(1-EXP(-0.0175*A202))),70*'Scénario référence'!$B$16)+IF((32+38*(1-EXP(-0.0175*A202)))&lt;70,'Scénario référence'!$B$18*(32+38*(1-EXP(-0.0175*A202))),70*'Scénario référence'!$B$18)</f>
        <v>70</v>
      </c>
      <c r="AE202" s="150">
        <f>IF(A202&gt;30,10,('Scénario référence'!$B$16+'Scénario référence'!$B$17+'Scénario référence'!$B$18+'Scénario référence'!$B$9+'Scénario référence'!$B$10)*A202*10/30+('Scénario référence'!$F$8+'Scénario référence'!$F$9)*10)</f>
        <v>10</v>
      </c>
      <c r="AF202" s="151" t="str">
        <f>VLOOKUP(A202,'Données projet'!$A$61:$I$81,2,0)</f>
        <v>#N/A</v>
      </c>
      <c r="AG202" s="151" t="str">
        <f>VLOOKUP(A202,'Données projet'!$A$61:$I$81,9,0)</f>
        <v>#N/A</v>
      </c>
      <c r="AH202" s="151" t="str">
        <f t="array" ref="AH202">INDEX(AG:AG,MIN(IF(ISNUMBER(AG202:AG398),ROW(AG202:AG398),"")))</f>
        <v/>
      </c>
      <c r="AI202" s="150">
        <f>IF('Données projet'!$A$62&gt;35,AI201+AH202-AQ201,IF(A202&lt;'Données projet'!$A$62,$AF$205^A202,IF(A202='Données projet'!$A$62,'Données projet'!$B$62,AI201+AH202-AQ201)))</f>
        <v>369</v>
      </c>
      <c r="AJ202" s="150">
        <f>AI202*VLOOKUP('Données projet'!$B$10,'Paramètres'!$A$1:$I$88,3,0)*VLOOKUP('Données projet'!$B$10,'Paramètres'!$A$1:$I$88,5,0)</f>
        <v>293.5764</v>
      </c>
      <c r="AK202" s="150">
        <f t="shared" si="36"/>
        <v>69.82813851</v>
      </c>
      <c r="AL202" s="161">
        <f t="shared" si="5"/>
        <v>632.9295712</v>
      </c>
      <c r="AM202" s="153">
        <f t="shared" si="6"/>
        <v>926.2629046</v>
      </c>
      <c r="AN202" s="153">
        <f>AVERAGE(OFFSET($AM$3,0,0,'Données projet'!$E$10+1,1))-AVERAGE(OFFSET($H$3,0,0,'Données projet'!$E$10+1,1))</f>
        <v>405.6113614</v>
      </c>
      <c r="AO202" s="153">
        <f t="shared" si="37"/>
        <v>393.0787141</v>
      </c>
      <c r="AP202" s="154">
        <f>IF(ISNA(VLOOKUP(A202,'Données projet'!$A$61:$I$81,3,0)),0,VLOOKUP(A202,'Données projet'!$A$61:$I$81,3,0))</f>
        <v>0</v>
      </c>
      <c r="AQ202" s="154">
        <f>IF(ISNA(VLOOKUP(A202,'Données projet'!$A$61:$I$81,4,0)),0,VLOOKUP(A202,'Données projet'!$A$61:$I$81,4,0))</f>
        <v>0</v>
      </c>
      <c r="AR202" s="155">
        <f>IF(ISNA(VLOOKUP(A202,'Données projet'!$A$61:$I$81,5,0)),0%,VLOOKUP(A202,'Données projet'!$A$61:$I$81,5,0)*VLOOKUP('Données projet'!$B$10,'Paramètres'!$A$1:$I$88,7,0))</f>
        <v>0</v>
      </c>
      <c r="AS202" s="155">
        <f>IF(ISNA(VLOOKUP(A202,'Données projet'!$A$61:$I$81,6,0)),0%,VLOOKUP(A202,'Données projet'!$A$61:$I$81,6,0)*VLOOKUP('Données projet'!$B$10,'Paramètres'!$A$1:$I$88,7,0))</f>
        <v>0</v>
      </c>
      <c r="AT202" s="155">
        <f>IF(ISNA(VLOOKUP(A202,'Données projet'!$A$61:$I$81,7,0)),0%,VLOOKUP(A202,'Données projet'!$A$61:$I$81,7,0))</f>
        <v>0</v>
      </c>
      <c r="AU202" s="162">
        <f>EXP(-LN(2)/35)*AU201+(1-EXP(-LN(2)/35))/(LN(2)/35)*AQ202*AR202*VLOOKUP('Données projet'!$B$10,'Paramètres'!$A$1:$I$88,3,0)*0.475*44/12</f>
        <v>0</v>
      </c>
      <c r="AV202" s="162">
        <f>EXP(-LN(2)/25)*AV201+(1-EXP(-LN(2)/25))/(LN(2)/25)*Calculateur!AQ202*Calculateur!AS202*VLOOKUP('Données projet'!$B$10,'Paramètres'!$A$1:$I$88,3,0)*0.475*44/12</f>
        <v>0.1682791744</v>
      </c>
      <c r="AW202" s="162">
        <f>EXP(-LN(2)/2)*AW201+(1-EXP(-LN(2)/2))/(LN(2)/2)*AQ202*AT202*VLOOKUP('Données projet'!$B$10,'Paramètres'!$A$1:$I$88,3,0)*0.475*44/12</f>
        <v>0</v>
      </c>
      <c r="AX202" s="162">
        <f t="shared" si="7"/>
        <v>0.1682791744</v>
      </c>
      <c r="AY202" s="157">
        <f>('Scénario référence'!$F$8+'Scénario référence'!$F$9+'Scénario référence'!$B$17+'Scénario référence'!$B$9+'Scénario référence'!$B$10)*70+IF((45+25*(1-EXP(-0.0175*A202)))&lt;70,'Scénario référence'!$B$16*(45+25*(1-EXP(-0.0175*A202))),70*'Scénario référence'!$B$16)+IF((32+38*(1-EXP(-0.0175*A202)))&lt;70,'Scénario référence'!$B$18*(32+38*(1-EXP(-0.0175*A202))),70*'Scénario référence'!$B$18)</f>
        <v>70</v>
      </c>
      <c r="AZ202" s="151">
        <f>IF(A202&gt;30,10,('Scénario référence'!$B$16+'Scénario référence'!$B$17+'Scénario référence'!$B$18+'Scénario référence'!$B$9+'Scénario référence'!$B$10)*A202*10/30+('Scénario référence'!$F$8+'Scénario référence'!$F$9)*10)</f>
        <v>10</v>
      </c>
      <c r="BA202" s="151" t="str">
        <f>VLOOKUP(A202,'Données projet'!$A$87:$I$107,2,0)</f>
        <v>#N/A</v>
      </c>
      <c r="BB202" s="151" t="str">
        <f>VLOOKUP(A202,'Données projet'!$A$87:$I$107,9,0)</f>
        <v>#N/A</v>
      </c>
      <c r="BC202" s="151" t="str">
        <f t="array" ref="BC202">INDEX(BB:BB,MIN(IF(ISNUMBER(BB202:BB398),ROW(BB202:BB398),"")))</f>
        <v/>
      </c>
      <c r="BD202" s="150">
        <f>IF('Données projet'!$A$88&gt;35,BD201+BC202-BL201,IF(A202&lt;'Données projet'!$A$88,$BA$205^A202,IF(A202='Données projet'!$A$88,'Données projet'!$B$88,BD201+BC202-BL201)))</f>
        <v>0</v>
      </c>
      <c r="BE202" s="150">
        <f>BD202*VLOOKUP('Données projet'!$B$11,'Paramètres'!$A$1:$I$88,3,0)*VLOOKUP('Données projet'!$B$11,'Paramètres'!$A$1:$I$88,5,0)</f>
        <v>0</v>
      </c>
      <c r="BF202" s="150" t="str">
        <f t="shared" si="38"/>
        <v>#NUM!</v>
      </c>
      <c r="BG202" s="161" t="str">
        <f t="shared" si="8"/>
        <v>#NUM!</v>
      </c>
      <c r="BH202" s="153" t="str">
        <f t="shared" si="9"/>
        <v>#NUM!</v>
      </c>
      <c r="BI202" s="153">
        <f>AVERAGE(OFFSET($BH$3,0,0,'Données projet'!$E$11+1,1))-AVERAGE(OFFSET($H$3,0,0,'Données projet'!$E$11+1,1))</f>
        <v>0</v>
      </c>
      <c r="BJ202" s="153">
        <f t="shared" si="39"/>
        <v>0</v>
      </c>
      <c r="BK202" s="154">
        <f>IF(ISNA(VLOOKUP(A202,'Données projet'!$A$87:$I$107,3,0)),0,VLOOKUP(A202,'Données projet'!$A$87:$I$107,3,0))</f>
        <v>0</v>
      </c>
      <c r="BL202" s="154">
        <f>IF(ISNA(VLOOKUP(A202,'Données projet'!$A$87:$I$107,4,0)),0,VLOOKUP(A202,'Données projet'!$A$87:$I$107,4,0))</f>
        <v>0</v>
      </c>
      <c r="BM202" s="155">
        <f>IF(ISNA(VLOOKUP(A202,'Données projet'!$A$87:$I$107,5,0)),0%,VLOOKUP(A202,'Données projet'!$A$87:$I$107,5,0)*VLOOKUP('Données projet'!$B$11,'Paramètres'!$A$1:$I$88,7,0))</f>
        <v>0</v>
      </c>
      <c r="BN202" s="155">
        <f>IF(ISNA(VLOOKUP(A202,'Données projet'!$A$87:$I$107,6,0)),0%,VLOOKUP(A202,'Données projet'!$A$87:$I$107,6,0)*VLOOKUP('Données projet'!$B$11,'Paramètres'!$A$1:$I$88,7,0))</f>
        <v>0</v>
      </c>
      <c r="BO202" s="155">
        <f>IF(ISNA(VLOOKUP(A202,'Données projet'!$A$87:$I$107,7,0)),0%,VLOOKUP(A202,'Données projet'!$A$87:$I$107,7,0))</f>
        <v>0</v>
      </c>
      <c r="BP202" s="162">
        <f>EXP(-LN(2)/35)*BP201+(1-EXP(-LN(2)/35))/(LN(2)/35)*BL202*BM202*VLOOKUP('Données projet'!$B$11,'Paramètres'!$A$1:$I$88,3,0)*0.475*44/12</f>
        <v>0</v>
      </c>
      <c r="BQ202" s="162">
        <f>EXP(-LN(2)/25)*BQ201+(1-EXP(-LN(2)/25))/(LN(2)/25)*Calculateur!BL202*Calculateur!BN202*VLOOKUP('Données projet'!$B$11,'Paramètres'!$A$1:$I$88,3,0)*0.475*44/12</f>
        <v>0</v>
      </c>
      <c r="BR202" s="162">
        <f>EXP(-LN(2)/2)*BR201+(1-EXP(-LN(2)/2))/(LN(2)/2)*BL202*BO202*VLOOKUP('Données projet'!$B$11,'Paramètres'!$A$1:$I$88,3,0)*0.475*44/12</f>
        <v>0</v>
      </c>
      <c r="BS202" s="163">
        <f t="shared" si="10"/>
        <v>0</v>
      </c>
      <c r="BT202" s="159">
        <f>('Scénario référence'!$F$8+'Scénario référence'!$F$9+'Scénario référence'!$B$17+'Scénario référence'!$B$9+'Scénario référence'!$B$10)*70+IF((45+25*(1-EXP(-0.0175*A202)))&lt;70,'Scénario référence'!$B$16*(45+25*(1-EXP(-0.0175*A202))),70*'Scénario référence'!$B$16)+IF((32+38*(1-EXP(-0.0175*A202)))&lt;70,'Scénario référence'!$B$18*(32+38*(1-EXP(-0.0175*A202))),70*'Scénario référence'!$B$18)</f>
        <v>70</v>
      </c>
      <c r="BU202" s="151">
        <f>IF(A202&gt;30,10,('Scénario référence'!$B$16+'Scénario référence'!$B$17+'Scénario référence'!$B$18+'Scénario référence'!$B$9+'Scénario référence'!$B$10)*A202*10/30+('Scénario référence'!$F$8+'Scénario référence'!$F$9)*10)</f>
        <v>10</v>
      </c>
      <c r="BV202" s="151" t="str">
        <f>VLOOKUP(A202,'Données projet'!$A$113:$I$133,2,0)</f>
        <v>#N/A</v>
      </c>
      <c r="BW202" s="151" t="str">
        <f>VLOOKUP(A202,'Données projet'!$A$113:$I$133,9,0)</f>
        <v>#N/A</v>
      </c>
      <c r="BX202" s="151" t="str">
        <f t="array" ref="BX202">INDEX(BW:BW,MIN(IF(ISNUMBER(BW202:BW398),ROW(BW202:BW398),"")))</f>
        <v/>
      </c>
      <c r="BY202" s="150">
        <f>IF('Données projet'!$A$114&gt;35,BY201+BX202-CG201,IF(A202&lt;'Données projet'!$A$114,$BV$205^A202,IF(A202='Données projet'!$A$114,'Données projet'!$B$114,BY201+BX202-CG201)))</f>
        <v>0</v>
      </c>
      <c r="BZ202" s="150" t="str">
        <f>BY202*VLOOKUP('Données projet'!$B$12,'Paramètres'!$A$1:$I$88,3,0)*VLOOKUP('Données projet'!$B$12,'Paramètres'!$A$1:$I$88,5,0)</f>
        <v>#N/A</v>
      </c>
      <c r="CA202" s="150" t="str">
        <f t="shared" si="40"/>
        <v>#N/A</v>
      </c>
      <c r="CB202" s="161" t="str">
        <f t="shared" si="11"/>
        <v>#N/A</v>
      </c>
      <c r="CC202" s="153" t="str">
        <f t="shared" si="12"/>
        <v>#N/A</v>
      </c>
      <c r="CD202" s="153" t="str">
        <f>AVERAGE(OFFSET($CC$3,0,0,'Données projet'!$E$12+1,1))-AVERAGE(OFFSET($H$3,0,0,'Données projet'!$E$12+1,1))</f>
        <v>#N/A</v>
      </c>
      <c r="CE202" s="153" t="str">
        <f t="shared" si="41"/>
        <v>#N/A</v>
      </c>
      <c r="CF202" s="154">
        <f>IF(ISNA(VLOOKUP(A202,'Données projet'!$A$113:$I$133,3,0)),0,VLOOKUP(A202,'Données projet'!$A$113:$I$133,3,0))</f>
        <v>0</v>
      </c>
      <c r="CG202" s="154">
        <f>IF(ISNA(VLOOKUP(A202,'Données projet'!$A$113:$I$133,4,0)),0,VLOOKUP(A202,'Données projet'!$A$113:$I$133,4,0))</f>
        <v>0</v>
      </c>
      <c r="CH202" s="155">
        <f>IF(ISNA(VLOOKUP(A202,'Données projet'!$A$113:$I$133,5,0)),0%,VLOOKUP(A202,'Données projet'!$A$113:$I$133,5,0)*VLOOKUP('Données projet'!$B$12,'Paramètres'!$A$1:$I$88,7,0))</f>
        <v>0</v>
      </c>
      <c r="CI202" s="155">
        <f>IF(ISNA(VLOOKUP(A202,'Données projet'!$A$113:$I$133,6,0)),0%,VLOOKUP(A202,'Données projet'!$A$113:$I$133,6,0)*VLOOKUP('Données projet'!$B$12,'Paramètres'!$A$1:$I$88,7,0))</f>
        <v>0</v>
      </c>
      <c r="CJ202" s="155">
        <f>IF(ISNA(VLOOKUP(A202,'Données projet'!$A$113:$I$133,7,0)),0%,VLOOKUP(A202,'Données projet'!$A$113:$I$133,7,0))</f>
        <v>0</v>
      </c>
      <c r="CK202" s="162" t="str">
        <f>EXP(-LN(2)/35)*CK201+(1-EXP(-LN(2)/35))/(LN(2)/35)*CG202*CH202*VLOOKUP('Données projet'!$B$12,'Paramètres'!$A$1:$I$88,3,0)*0.475*44/12</f>
        <v>#N/A</v>
      </c>
      <c r="CL202" s="162" t="str">
        <f>EXP(-LN(2)/25)*CL201+(1-EXP(-LN(2)/25))/(LN(2)/25)*Calculateur!CG202*Calculateur!CI202*VLOOKUP('Données projet'!$B$12,'Paramètres'!$A$1:$I$88,3,0)*0.475*44/12</f>
        <v>#N/A</v>
      </c>
      <c r="CM202" s="162" t="str">
        <f>EXP(-LN(2)/2)*CM201+(1-EXP(-LN(2)/2))/(LN(2)/2)*CG202*CJ202*VLOOKUP('Données projet'!$B$12,'Paramètres'!$A$1:$I$88,3,0)*0.475*44/12</f>
        <v>#N/A</v>
      </c>
      <c r="CN202" s="163" t="str">
        <f t="shared" si="13"/>
        <v>#N/A</v>
      </c>
      <c r="CO202" s="159">
        <f>('Scénario référence'!$F$8+'Scénario référence'!$F$9+'Scénario référence'!$B$17+'Scénario référence'!$B$9+'Scénario référence'!$B$10)*70+IF((45+25*(1-EXP(-0.0175*A202)))&lt;70,'Scénario référence'!$B$16*(45+25*(1-EXP(-0.0175*A202))),70*'Scénario référence'!$B$16)+IF((32+38*(1-EXP(-0.0175*A202)))&lt;70,'Scénario référence'!$B$18*(32+38*(1-EXP(-0.0175*A202))),70*'Scénario référence'!$B$18)</f>
        <v>70</v>
      </c>
      <c r="CP202" s="151">
        <f>IF(A202&gt;30,10,('Scénario référence'!$B$16+'Scénario référence'!$B$17+'Scénario référence'!$B$18+'Scénario référence'!$B$9+'Scénario référence'!$B$10)*A202*10/30+('Scénario référence'!$F$8+'Scénario référence'!$F$9)*10)</f>
        <v>10</v>
      </c>
      <c r="CQ202" s="151" t="str">
        <f>VLOOKUP(A202,'Données projet'!$A$139:$I$159,2,0)</f>
        <v>#N/A</v>
      </c>
      <c r="CR202" s="151" t="str">
        <f>VLOOKUP(A202,'Données projet'!$A$139:$I$159,9,0)</f>
        <v>#N/A</v>
      </c>
      <c r="CS202" s="151" t="str">
        <f t="array" ref="CS202">INDEX(CR:CR,MIN(IF(ISNUMBER(CR202:CR398),ROW(CR202:CR398),"")))</f>
        <v/>
      </c>
      <c r="CT202" s="151">
        <f>IF('Données projet'!$A$140&gt;35,CT201+CS202-DB201,IF(A202&lt;'Données projet'!$A$140,$CQ$205^A202,IF(A202='Données projet'!$A$140,'Données projet'!$B$140,CT201+CS202-DB201)))</f>
        <v>0</v>
      </c>
      <c r="CU202" s="158" t="str">
        <f>CT202*VLOOKUP('Données projet'!$B$13,'Paramètres'!$A$1:$I$88,3,0)*VLOOKUP('Données projet'!$B$13,'Paramètres'!$A$1:$I$88,5,0)</f>
        <v>#N/A</v>
      </c>
      <c r="CV202" s="150" t="str">
        <f t="shared" si="42"/>
        <v>#N/A</v>
      </c>
      <c r="CW202" s="161" t="str">
        <f t="shared" si="14"/>
        <v>#N/A</v>
      </c>
      <c r="CX202" s="153" t="str">
        <f t="shared" si="15"/>
        <v>#N/A</v>
      </c>
      <c r="CY202" s="153" t="str">
        <f>AVERAGE(OFFSET($CX$3,0,0,'Données projet'!$E$13+1,1))-AVERAGE(OFFSET($H$3,0,0,'Données projet'!$E$13+1,1))</f>
        <v>#N/A</v>
      </c>
      <c r="CZ202" s="153" t="str">
        <f t="shared" si="43"/>
        <v>#N/A</v>
      </c>
      <c r="DA202" s="154">
        <f>IF(ISNA(VLOOKUP(A202,'Données projet'!$A$139:$I$159,3,0)),0,VLOOKUP(A202,'Données projet'!$A$139:$I$159,3,0))</f>
        <v>0</v>
      </c>
      <c r="DB202" s="154">
        <f>IF(ISNA(VLOOKUP(A202,'Données projet'!$A$139:$I$159,4,0)),0,VLOOKUP(A202,'Données projet'!$A$139:$I$159,4,0))</f>
        <v>0</v>
      </c>
      <c r="DC202" s="155">
        <f>IF(ISNA(VLOOKUP(A202,'Données projet'!$A$139:$I$159,5,0)),0%,VLOOKUP(A202,'Données projet'!$A$139:$I$159,5,0)*VLOOKUP('Données projet'!$B$13,'Paramètres'!$A$1:$I$88,7,0))</f>
        <v>0</v>
      </c>
      <c r="DD202" s="155">
        <f>IF(ISNA(VLOOKUP(A202,'Données projet'!$A$139:$I$159,6,0)),0%,VLOOKUP(A202,'Données projet'!$A$139:$I$159,6,0)*VLOOKUP('Données projet'!$B$13,'Paramètres'!$A$1:$I$88,7,0))</f>
        <v>0</v>
      </c>
      <c r="DE202" s="155">
        <f>IF(ISNA(VLOOKUP(A202,'Données projet'!$A$139:$I$159,7,0)),0%,VLOOKUP(A202,'Données projet'!$A$139:$I$159,7,0))</f>
        <v>0</v>
      </c>
      <c r="DF202" s="162" t="str">
        <f>EXP(-LN(2)/35)*DF201+(1-EXP(-LN(2)/35))/(LN(2)/35)*DB202*DC202*VLOOKUP('Données projet'!$B$13,'Paramètres'!$A$1:$I$88,3,0)*0.475*44/12</f>
        <v>#N/A</v>
      </c>
      <c r="DG202" s="162" t="str">
        <f>EXP(-LN(2)/25)*DG201+(1-EXP(-LN(2)/25))/(LN(2)/25)*Calculateur!DB202*Calculateur!DD202*VLOOKUP('Données projet'!$B$13,'Paramètres'!$A$1:$I$88,3,0)*0.475*44/12</f>
        <v>#N/A</v>
      </c>
      <c r="DH202" s="162" t="str">
        <f>EXP(-LN(2)/2)*DH201+(1-EXP(-LN(2)/2))/(LN(2)/2)*DB202*DE202*VLOOKUP('Données projet'!$B$13,'Paramètres'!$A$1:$I$88,3,0)*0.475*44/12</f>
        <v>#N/A</v>
      </c>
      <c r="DI202" s="163" t="str">
        <f t="shared" si="16"/>
        <v>#N/A</v>
      </c>
      <c r="DJ202" s="159">
        <f>('Scénario référence'!$F$8+'Scénario référence'!$F$9+'Scénario référence'!$B$17+'Scénario référence'!$B$9+'Scénario référence'!$B$10)*70+IF((45+25*(1-EXP(-0.0175*A202)))&lt;70,'Scénario référence'!$B$16*(45+25*(1-EXP(-0.0175*A202))),70*'Scénario référence'!$B$16)+IF((32+38*(1-EXP(-0.0175*A202)))&lt;70,'Scénario référence'!$B$18*(32+38*(1-EXP(-0.0175*A202))),70*'Scénario référence'!$B$18)</f>
        <v>70</v>
      </c>
      <c r="DK202" s="151">
        <f>IF(A202&gt;30,10,('Scénario référence'!$B$16+'Scénario référence'!$B$17+'Scénario référence'!$B$18+'Scénario référence'!$B$9+'Scénario référence'!$B$10)*A202*10/30+('Scénario référence'!$F$8+'Scénario référence'!$F$9)*10)</f>
        <v>10</v>
      </c>
      <c r="DL202" s="151" t="str">
        <f>VLOOKUP(A202,'Données projet'!$A$165:$I$185,2,0)</f>
        <v>#N/A</v>
      </c>
      <c r="DM202" s="151" t="str">
        <f>VLOOKUP(A202,'Données projet'!$A$165:$I$185,9,0)</f>
        <v>#N/A</v>
      </c>
      <c r="DN202" s="151" t="str">
        <f t="array" ref="DN202">INDEX(DM:DM,MIN(IF(ISNUMBER(DM202:DM398),ROW(DM202:DM398),"")))</f>
        <v/>
      </c>
      <c r="DO202" s="151">
        <f>IF('Données projet'!$A$166&gt;35,DO201+DN202-DW201,IF(A202&lt;'Données projet'!$A$166,$DL$205^A202,IF(A202='Données projet'!$A$166,'Données projet'!$B$166,DO201+DN202-DW201)))</f>
        <v>0</v>
      </c>
      <c r="DP202" s="158" t="str">
        <f>DO202*VLOOKUP('Données projet'!$B$14,'Paramètres'!$A$1:$I$88,3,0)*VLOOKUP('Données projet'!$B$14,'Paramètres'!$A$1:$I$88,5,0)</f>
        <v>#N/A</v>
      </c>
      <c r="DQ202" s="150" t="str">
        <f t="shared" si="44"/>
        <v>#N/A</v>
      </c>
      <c r="DR202" s="161" t="str">
        <f t="shared" si="17"/>
        <v>#N/A</v>
      </c>
      <c r="DS202" s="153" t="str">
        <f t="shared" si="18"/>
        <v>#N/A</v>
      </c>
      <c r="DT202" s="153" t="str">
        <f>AVERAGE(OFFSET($DS$3,0,0,'Données projet'!$E$14+1,1))-AVERAGE(OFFSET($H$3,0,0,'Données projet'!$E$14+1,1))</f>
        <v>#N/A</v>
      </c>
      <c r="DU202" s="153" t="str">
        <f t="shared" si="45"/>
        <v>#N/A</v>
      </c>
      <c r="DV202" s="154">
        <f>IF(ISNA(VLOOKUP(A202,'Données projet'!$A$165:$I$185,3,0)),0,VLOOKUP(A202,'Données projet'!$A$165:$I$185,3,0))</f>
        <v>0</v>
      </c>
      <c r="DW202" s="154">
        <f>IF(ISNA(VLOOKUP(A202,'Données projet'!$A$165:$I$185,4,0)),0,VLOOKUP(A202,'Données projet'!$A$165:$I$185,4,0))</f>
        <v>0</v>
      </c>
      <c r="DX202" s="155">
        <f>IF(ISNA(VLOOKUP(A202,'Données projet'!$A$165:$I$185,5,0)),0%,VLOOKUP(A202,'Données projet'!$A$165:$I$185,5,0)*VLOOKUP('Données projet'!$B$14,'Paramètres'!$A$1:$I$88,7,0))</f>
        <v>0</v>
      </c>
      <c r="DY202" s="155">
        <f>IF(ISNA(VLOOKUP(A202,'Données projet'!$A$165:$I$185,6,0)),0%,VLOOKUP(A202,'Données projet'!$A$165:$I$185,6,0)*VLOOKUP('Données projet'!$B$14,'Paramètres'!$A$1:$I$88,7,0))</f>
        <v>0</v>
      </c>
      <c r="DZ202" s="155">
        <f>IF(ISNA(VLOOKUP(A202,'Données projet'!$A$165:$I$185,7,0)),0%,VLOOKUP(A202,'Données projet'!$A$165:$I$185,7,0))</f>
        <v>0</v>
      </c>
      <c r="EA202" s="162" t="str">
        <f>EXP(-LN(2)/35)*EA201+(1-EXP(-LN(2)/35))/(LN(2)/35)*DW202*DX202*VLOOKUP('Données projet'!$B$14,'Paramètres'!$A$1:$I$88,3,0)*0.475*44/12</f>
        <v>#N/A</v>
      </c>
      <c r="EB202" s="162" t="str">
        <f>EXP(-LN(2)/25)*EB201+(1-EXP(-LN(2)/25))/(LN(2)/25)*Calculateur!DW202*Calculateur!DY202*VLOOKUP('Données projet'!$B$14,'Paramètres'!$A$1:$I$88,3,0)*0.475*44/12</f>
        <v>#N/A</v>
      </c>
      <c r="EC202" s="162" t="str">
        <f>EXP(-LN(2)/2)*EC201+(1-EXP(-LN(2)/2))/(LN(2)/2)*DW202*DZ202*VLOOKUP('Données projet'!$B$14,'Paramètres'!$A$1:$I$88,3,0)*0.475*44/12</f>
        <v>#N/A</v>
      </c>
      <c r="ED202" s="163" t="str">
        <f t="shared" si="19"/>
        <v>#N/A</v>
      </c>
      <c r="EE202" s="159">
        <f>('Scénario référence'!$F$8+'Scénario référence'!$F$9+'Scénario référence'!$B$17+'Scénario référence'!$B$9+'Scénario référence'!$B$10)*70+IF((45+25*(1-EXP(-0.0175*A202)))&lt;70,'Scénario référence'!$B$16*(45+25*(1-EXP(-0.0175*A202))),70*'Scénario référence'!$B$16)+IF((32+38*(1-EXP(-0.0175*A202)))&lt;70,'Scénario référence'!$B$18*(32+38*(1-EXP(-0.0175*A202))),70*'Scénario référence'!$B$18)</f>
        <v>70</v>
      </c>
      <c r="EF202" s="151">
        <f>IF(A202&gt;30,10,('Scénario référence'!$B$16+'Scénario référence'!$B$17+'Scénario référence'!$B$18+'Scénario référence'!$B$9+'Scénario référence'!$B$10)*A202*10/30+('Scénario référence'!$F$8+'Scénario référence'!$F$9)*10)</f>
        <v>10</v>
      </c>
      <c r="EG202" s="151" t="str">
        <f>VLOOKUP(A202,'Données projet'!$A$191:$I$211,2,0)</f>
        <v>#N/A</v>
      </c>
      <c r="EH202" s="151" t="str">
        <f>VLOOKUP(A202,'Données projet'!$A$191:$I$211,9,0)</f>
        <v>#N/A</v>
      </c>
      <c r="EI202" s="151" t="str">
        <f t="array" ref="EI202">INDEX(EH:EH,MIN(IF(ISNUMBER(EH202:EH398),ROW(EH202:EH398),"")))</f>
        <v/>
      </c>
      <c r="EJ202" s="151">
        <f>IF('Données projet'!$A$192&gt;35,EJ201+EI202-ER201,IF(A202&lt;'Données projet'!$A$192,$EG$205^A202,IF(A202='Données projet'!$A$192,'Données projet'!$B$192,EJ201+EI202-ER201)))</f>
        <v>0</v>
      </c>
      <c r="EK202" s="158" t="str">
        <f>EJ202*VLOOKUP('Données projet'!$B$15,'Paramètres'!$A$1:$I$88,3,0)*VLOOKUP('Données projet'!$B$15,'Paramètres'!$A$1:$I$88,5,0)</f>
        <v>#N/A</v>
      </c>
      <c r="EL202" s="150" t="str">
        <f t="shared" si="46"/>
        <v>#N/A</v>
      </c>
      <c r="EM202" s="161" t="str">
        <f t="shared" si="20"/>
        <v>#N/A</v>
      </c>
      <c r="EN202" s="153" t="str">
        <f t="shared" si="21"/>
        <v>#N/A</v>
      </c>
      <c r="EO202" s="153" t="str">
        <f>AVERAGE(OFFSET($EN$3,0,0,'Données projet'!$E$15+1,1))-AVERAGE(OFFSET($H$3,0,0,'Données projet'!$E$15+1,1))</f>
        <v>#N/A</v>
      </c>
      <c r="EP202" s="153" t="str">
        <f t="shared" si="47"/>
        <v>#N/A</v>
      </c>
      <c r="EQ202" s="154">
        <f>IF(ISNA(VLOOKUP(A202,'Données projet'!$A$191:$I$211,3,0)),0,VLOOKUP(A202,'Données projet'!$A$191:$I$211,3,0))</f>
        <v>0</v>
      </c>
      <c r="ER202" s="154">
        <f>IF(ISNA(VLOOKUP(A202,'Données projet'!$A$191:$I$211,4,0)),0,VLOOKUP(A202,'Données projet'!$A$191:$I$211,4,0))</f>
        <v>0</v>
      </c>
      <c r="ES202" s="155">
        <f>IF(ISNA(VLOOKUP(A202,'Données projet'!$A$191:$I$211,5,0)),0%,VLOOKUP(A202,'Données projet'!$A$191:$I$211,5,0)*VLOOKUP('Données projet'!$B$15,'Paramètres'!$A$1:$I$88,7,0))</f>
        <v>0</v>
      </c>
      <c r="ET202" s="155">
        <f>IF(ISNA(VLOOKUP(A202,'Données projet'!$A$191:$I$211,6,0)),0%,VLOOKUP(A202,'Données projet'!$A$191:$I$211,6,0)*VLOOKUP('Données projet'!$B$15,'Paramètres'!$A$1:$I$88,7,0))</f>
        <v>0</v>
      </c>
      <c r="EU202" s="155">
        <f>IF(ISNA(VLOOKUP(A202,'Données projet'!$A$191:$I$211,7,0)),0%,VLOOKUP(A202,'Données projet'!$A$191:$I$211,7,0))</f>
        <v>0</v>
      </c>
      <c r="EV202" s="162" t="str">
        <f>EXP(-LN(2)/35)*EV201+(1-EXP(-LN(2)/35))/(LN(2)/35)*ER202*ES202*VLOOKUP('Données projet'!$B$15,'Paramètres'!$A$1:$I$88,3,0)*0.475*44/12</f>
        <v>#N/A</v>
      </c>
      <c r="EW202" s="162" t="str">
        <f>EXP(-LN(2)/25)*EW201+(1-EXP(-LN(2)/25))/(LN(2)/25)*Calculateur!ER202*Calculateur!ET202*VLOOKUP('Données projet'!$B$15,'Paramètres'!$A$1:$I$88,3,0)*0.475*44/12</f>
        <v>#N/A</v>
      </c>
      <c r="EX202" s="162" t="str">
        <f>EXP(-LN(2)/2)*EX201+(1-EXP(-LN(2)/2))/(LN(2)/2)*ER202*EU202*VLOOKUP('Données projet'!$B$15,'Paramètres'!$A$1:$I$88,3,0)*0.475*44/12</f>
        <v>#N/A</v>
      </c>
      <c r="EY202" s="163" t="str">
        <f t="shared" si="22"/>
        <v>#N/A</v>
      </c>
      <c r="EZ202" s="159">
        <f>('Scénario référence'!$F$8+'Scénario référence'!$F$9+'Scénario référence'!$B$17+'Scénario référence'!$B$9+'Scénario référence'!$B$10)*70+IF((45+25*(1-EXP(-0.0175*A202)))&lt;70,'Scénario référence'!$B$16*(45+25*(1-EXP(-0.0175*A202))),70*'Scénario référence'!$B$16)+IF((32+38*(1-EXP(-0.0175*A202)))&lt;70,'Scénario référence'!$B$18*(32+38*(1-EXP(-0.0175*A202))),70*'Scénario référence'!$B$18)</f>
        <v>70</v>
      </c>
      <c r="FA202" s="151">
        <f>IF(A202&gt;30,10,('Scénario référence'!$B$16+'Scénario référence'!$B$17+'Scénario référence'!$B$18+'Scénario référence'!$B$9+'Scénario référence'!$B$10)*A202*10/30+('Scénario référence'!$F$8+'Scénario référence'!$F$9)*10)</f>
        <v>10</v>
      </c>
      <c r="FB202" s="151" t="str">
        <f>VLOOKUP(A202,'Données projet'!$A$217:$I$237,2,0)</f>
        <v>#N/A</v>
      </c>
      <c r="FC202" s="151" t="str">
        <f>VLOOKUP(A202,'Données projet'!$A$217:$I$237,9,0)</f>
        <v>#N/A</v>
      </c>
      <c r="FD202" s="151" t="str">
        <f t="array" ref="FD202">INDEX(FC:FC,MIN(IF(ISNUMBER(FC202:FC398),ROW(FC202:FC398),"")))</f>
        <v/>
      </c>
      <c r="FE202" s="151">
        <f>IF('Données projet'!$A$218&gt;35,FE201+FD202-FM201,IF(A202&lt;'Données projet'!$A$218,$FB$205^A202,IF(A202='Données projet'!$A$218,'Données projet'!$B$218,FE201+FD202-FM201)))</f>
        <v>0</v>
      </c>
      <c r="FF202" s="158" t="str">
        <f>FE202*VLOOKUP('Données projet'!$B$16,'Paramètres'!$A$1:$I$88,3,0)*VLOOKUP('Données projet'!$B$16,'Paramètres'!$A$1:$I$88,5,0)</f>
        <v>#N/A</v>
      </c>
      <c r="FG202" s="150" t="str">
        <f t="shared" si="48"/>
        <v>#N/A</v>
      </c>
      <c r="FH202" s="161" t="str">
        <f t="shared" si="23"/>
        <v>#N/A</v>
      </c>
      <c r="FI202" s="153" t="str">
        <f t="shared" si="24"/>
        <v>#N/A</v>
      </c>
      <c r="FJ202" s="153" t="str">
        <f>AVERAGE(OFFSET($FI$3,0,0,'Données projet'!$E$16+1,1))-AVERAGE(OFFSET($H$3,0,0,'Données projet'!$E$16+1,1))</f>
        <v>#N/A</v>
      </c>
      <c r="FK202" s="153" t="str">
        <f t="shared" si="49"/>
        <v>#N/A</v>
      </c>
      <c r="FL202" s="154">
        <f>IF(ISNA(VLOOKUP(A202,'Données projet'!$A$217:$I$237,3,0)),0,VLOOKUP(A202,'Données projet'!$A$217:$I$237,3,0))</f>
        <v>0</v>
      </c>
      <c r="FM202" s="154">
        <f>IF(ISNA(VLOOKUP(A202,'Données projet'!$A$217:$I$237,4,0)),0,VLOOKUP(A202,'Données projet'!$A$217:$I$237,4,0))</f>
        <v>0</v>
      </c>
      <c r="FN202" s="155">
        <f>IF(ISNA(VLOOKUP(A202,'Données projet'!$A$217:$I$237,5,0)),0%,VLOOKUP(A202,'Données projet'!$A$217:$I$237,5,0)*VLOOKUP('Données projet'!$B$16,'Paramètres'!$A$1:$I$88,7,0))</f>
        <v>0</v>
      </c>
      <c r="FO202" s="155">
        <f>IF(ISNA(VLOOKUP(A202,'Données projet'!$A$217:$I$237,6,0)),0%,VLOOKUP(A202,'Données projet'!$A$217:$I$237,6,0)*VLOOKUP('Données projet'!$B$16,'Paramètres'!$A$1:$I$88,7,0))</f>
        <v>0</v>
      </c>
      <c r="FP202" s="155">
        <f>IF(ISNA(VLOOKUP(A202,'Données projet'!$A$217:$I$237,7,0)),0%,VLOOKUP(A202,'Données projet'!$A$217:$I$237,7,0))</f>
        <v>0</v>
      </c>
      <c r="FQ202" s="162" t="str">
        <f>EXP(-LN(2)/35)*FQ201+(1-EXP(-LN(2)/35))/(LN(2)/35)*FM202*FN202*VLOOKUP('Données projet'!$B$16,'Paramètres'!$A$1:$I$88,3,0)*0.475*44/12</f>
        <v>#N/A</v>
      </c>
      <c r="FR202" s="162" t="str">
        <f>EXP(-LN(2)/25)*FR201+(1-EXP(-LN(2)/25))/(LN(2)/25)*Calculateur!FM202*Calculateur!FO202*VLOOKUP('Données projet'!$B$16,'Paramètres'!$A$1:$I$88,3,0)*0.475*44/12</f>
        <v>#N/A</v>
      </c>
      <c r="FS202" s="162" t="str">
        <f>EXP(-LN(2)/2)*FS201+(1-EXP(-LN(2)/2))/(LN(2)/2)*FM202*FP202*VLOOKUP('Données projet'!$B$16,'Paramètres'!$A$1:$I$88,3,0)*0.475*44/12</f>
        <v>#N/A</v>
      </c>
      <c r="FT202" s="163" t="str">
        <f t="shared" si="25"/>
        <v>#N/A</v>
      </c>
      <c r="FU202" s="159">
        <f>('Scénario référence'!$F$8+'Scénario référence'!$F$9+'Scénario référence'!$B$17+'Scénario référence'!$B$9+'Scénario référence'!$B$10)*70+IF((45+25*(1-EXP(-0.0175*A202)))&lt;70,'Scénario référence'!$B$16*(45+25*(1-EXP(-0.0175*A202))),70*'Scénario référence'!$B$16)+IF((32+38*(1-EXP(-0.0175*A202)))&lt;70,'Scénario référence'!$B$18*(32+38*(1-EXP(-0.0175*A202))),70*'Scénario référence'!$B$18)</f>
        <v>70</v>
      </c>
      <c r="FV202" s="151">
        <f>IF(A202&gt;30,10,('Scénario référence'!$B$16+'Scénario référence'!$B$17+'Scénario référence'!$B$18+'Scénario référence'!$B$9+'Scénario référence'!$B$10)*A202*10/30+('Scénario référence'!$F$8+'Scénario référence'!$F$9)*10)</f>
        <v>10</v>
      </c>
      <c r="FW202" s="151" t="str">
        <f>VLOOKUP(A202,'Données projet'!$A$243:$I$263,2,0)</f>
        <v>#N/A</v>
      </c>
      <c r="FX202" s="151" t="str">
        <f>VLOOKUP(A202,'Données projet'!$A$243:$I$263,9,0)</f>
        <v>#N/A</v>
      </c>
      <c r="FY202" s="151" t="str">
        <f t="array" ref="FY202">INDEX(FX:FX,MIN(IF(ISNUMBER(FX202:FX398),ROW(FX202:FX398),"")))</f>
        <v/>
      </c>
      <c r="FZ202" s="151">
        <f>IF('Données projet'!$A$244&gt;35,FZ201+FY202-GH201,IF(A202&lt;'Données projet'!$A$244,$FW$205^A202,IF(A202='Données projet'!$A$244,'Données projet'!$B$244,FZ201+FY202-GH201)))</f>
        <v>0</v>
      </c>
      <c r="GA202" s="158" t="str">
        <f>FZ202*VLOOKUP('Données projet'!$B$17,'Paramètres'!$A$1:$I$88,3,0)*VLOOKUP('Données projet'!$B$17,'Paramètres'!$A$1:$I$88,5,0)</f>
        <v>#N/A</v>
      </c>
      <c r="GB202" s="150" t="str">
        <f t="shared" si="50"/>
        <v>#N/A</v>
      </c>
      <c r="GC202" s="161" t="str">
        <f t="shared" si="26"/>
        <v>#N/A</v>
      </c>
      <c r="GD202" s="153" t="str">
        <f t="shared" si="27"/>
        <v>#N/A</v>
      </c>
      <c r="GE202" s="153" t="str">
        <f>AVERAGE(OFFSET($GD$3,0,0,'Données projet'!$E$17+1,1))-AVERAGE(OFFSET($H$3,0,0,'Données projet'!$E$17+1,1))</f>
        <v>#N/A</v>
      </c>
      <c r="GF202" s="153" t="str">
        <f t="shared" si="51"/>
        <v>#N/A</v>
      </c>
      <c r="GG202" s="154">
        <f>IF(ISNA(VLOOKUP(A202,'Données projet'!$A$243:$I$263,3,0)),0,VLOOKUP(A202,'Données projet'!$A$243:$I$263,3,0))</f>
        <v>0</v>
      </c>
      <c r="GH202" s="154">
        <f>IF(ISNA(VLOOKUP(A202,'Données projet'!$A$243:$I$263,4,0)),0,VLOOKUP(A202,'Données projet'!$A$243:$I$263,4,0))</f>
        <v>0</v>
      </c>
      <c r="GI202" s="155">
        <f>IF(ISNA(VLOOKUP(A202,'Données projet'!$A$243:$I$263,5,0)),0%,VLOOKUP(A202,'Données projet'!$A$243:$I$263,5,0)*VLOOKUP('Données projet'!$B$17,'Paramètres'!$A$1:$I$88,7,0))</f>
        <v>0</v>
      </c>
      <c r="GJ202" s="155">
        <f>IF(ISNA(VLOOKUP(A202,'Données projet'!$A$243:$I$263,6,0)),0%,VLOOKUP(A202,'Données projet'!$A$243:$I$263,6,0)*VLOOKUP('Données projet'!$B$17,'Paramètres'!$A$1:$I$88,7,0))</f>
        <v>0</v>
      </c>
      <c r="GK202" s="155">
        <f>IF(ISNA(VLOOKUP(A202,'Données projet'!$A$243:$I$263,7,0)),0%,VLOOKUP(A202,'Données projet'!$A$243:$I$263,7,0))</f>
        <v>0</v>
      </c>
      <c r="GL202" s="162" t="str">
        <f>EXP(-LN(2)/35)*GL201+(1-EXP(-LN(2)/35))/(LN(2)/35)*GH202*GI202*VLOOKUP('Données projet'!$B$17,'Paramètres'!$A$1:$I$88,3,0)*0.475*44/12</f>
        <v>#N/A</v>
      </c>
      <c r="GM202" s="162" t="str">
        <f>EXP(-LN(2)/25)*GM201+(1-EXP(-LN(2)/25))/(LN(2)/25)*Calculateur!GH202*Calculateur!GJ202*VLOOKUP('Données projet'!$B$17,'Paramètres'!$A$1:$I$88,3,0)*0.475*44/12</f>
        <v>#N/A</v>
      </c>
      <c r="GN202" s="162" t="str">
        <f>EXP(-LN(2)/2)*GN201+(1-EXP(-LN(2)/2))/(LN(2)/2)*GH202*GK202*VLOOKUP('Données projet'!$B$17,'Paramètres'!$A$1:$I$88,3,0)*0.475*44/12</f>
        <v>#N/A</v>
      </c>
      <c r="GO202" s="162" t="str">
        <f t="shared" si="28"/>
        <v>#N/A</v>
      </c>
      <c r="GP202" s="159">
        <f>('Scénario référence'!$F$8+'Scénario référence'!$F$9+'Scénario référence'!$B$17+'Scénario référence'!$B$9+'Scénario référence'!$B$10)*70+IF((45+25*(1-EXP(-0.0175*A202)))&lt;70,'Scénario référence'!$B$16*(45+25*(1-EXP(-0.0175*A202))),70*'Scénario référence'!$B$16)+IF((32+38*(1-EXP(-0.0175*A202)))&lt;70,'Scénario référence'!$B$18*(32+38*(1-EXP(-0.0175*A202))),70*'Scénario référence'!$B$18)</f>
        <v>70</v>
      </c>
      <c r="GQ202" s="151">
        <f>IF(A202&gt;30,10,('Scénario référence'!$B$16+'Scénario référence'!$B$17+'Scénario référence'!$B$18+'Scénario référence'!$B$9+'Scénario référence'!$B$10)*A202*10/30+('Scénario référence'!$F$8+'Scénario référence'!$F$9)*10)</f>
        <v>10</v>
      </c>
      <c r="GR202" s="151" t="str">
        <f>VLOOKUP(A202,'Données projet'!$A$269:$I$289,2,0)</f>
        <v>#N/A</v>
      </c>
      <c r="GS202" s="151" t="str">
        <f>VLOOKUP(A202,'Données projet'!$A$269:$I$289,9,0)</f>
        <v>#N/A</v>
      </c>
      <c r="GT202" s="151" t="str">
        <f t="array" ref="GT202">INDEX(GS:GS,MIN(IF(ISNUMBER(GS202:GS398),ROW(GS202:GS398),"")))</f>
        <v/>
      </c>
      <c r="GU202" s="151">
        <f>IF('Données projet'!$A$270&gt;35,GU201+GT202-HC201,IF(A202&lt;'Données projet'!$A$270,$GR$205^A202,IF(A202='Données projet'!$A$270,'Données projet'!$B$270,GU201+GT202-HC201)))</f>
        <v>0</v>
      </c>
      <c r="GV202" s="158" t="str">
        <f>GU202*VLOOKUP('Données projet'!$B$18,'Paramètres'!$A$1:$I$88,3,0)*VLOOKUP('Données projet'!$B$18,'Paramètres'!$A$1:$I$88,5,0)</f>
        <v>#N/A</v>
      </c>
      <c r="GW202" s="150" t="str">
        <f t="shared" si="52"/>
        <v>#N/A</v>
      </c>
      <c r="GX202" s="161" t="str">
        <f t="shared" si="29"/>
        <v>#N/A</v>
      </c>
      <c r="GY202" s="153" t="str">
        <f t="shared" si="30"/>
        <v>#N/A</v>
      </c>
      <c r="GZ202" s="153" t="str">
        <f>AVERAGE(OFFSET($GY$3,0,0,'Données projet'!$E$18+1,1))-AVERAGE(OFFSET($H$3,0,0,'Données projet'!$E$18+1,1))</f>
        <v>#N/A</v>
      </c>
      <c r="HA202" s="153" t="str">
        <f t="shared" si="53"/>
        <v>#N/A</v>
      </c>
      <c r="HB202" s="154">
        <f>IF(ISNA(VLOOKUP(A202,'Données projet'!$A$269:$I$289,3,0)),0,VLOOKUP(A202,'Données projet'!$A$269:$I$289,3,0))</f>
        <v>0</v>
      </c>
      <c r="HC202" s="154">
        <f>IF(ISNA(VLOOKUP(A202,'Données projet'!$A$269:$I$289,4,0)),0,VLOOKUP(A202,'Données projet'!$A$269:$I$289,4,0))</f>
        <v>0</v>
      </c>
      <c r="HD202" s="155">
        <f>IF(ISNA(VLOOKUP(A202,'Données projet'!$A$269:$I$289,5,0)),0%,VLOOKUP(A202,'Données projet'!$A$269:$I$289,5,0)*VLOOKUP('Données projet'!$B$18,'Paramètres'!$A$1:$I$88,7,0))</f>
        <v>0</v>
      </c>
      <c r="HE202" s="155">
        <f>IF(ISNA(VLOOKUP(A202,'Données projet'!$A$269:$I$289,6,0)),0%,VLOOKUP(A202,'Données projet'!$A$269:$I$289,6,0)*VLOOKUP('Données projet'!$B$18,'Paramètres'!$A$1:$I$88,7,0))</f>
        <v>0</v>
      </c>
      <c r="HF202" s="155">
        <f>IF(ISNA(VLOOKUP(A202,'Données projet'!$A$269:$I$289,7,0)),0%,VLOOKUP(A202,'Données projet'!$A$269:$I$289,7,0))</f>
        <v>0</v>
      </c>
      <c r="HG202" s="162" t="str">
        <f>EXP(-LN(2)/35)*HG201+(1-EXP(-LN(2)/35))/(LN(2)/35)*HC202*HD202*VLOOKUP('Données projet'!$B$18,'Paramètres'!$A$1:$I$88,3,0)*0.475*44/12</f>
        <v>#N/A</v>
      </c>
      <c r="HH202" s="162" t="str">
        <f>EXP(-LN(2)/25)*HH201+(1-EXP(-LN(2)/25))/(LN(2)/25)*Calculateur!HC202*Calculateur!HE202*VLOOKUP('Données projet'!$B$18,'Paramètres'!$A$1:$I$88,3,0)*0.475*44/12</f>
        <v>#N/A</v>
      </c>
      <c r="HI202" s="162" t="str">
        <f>EXP(-LN(2)/2)*HI201+(1-EXP(-LN(2)/2))/(LN(2)/2)*HC202*HF202*VLOOKUP('Données projet'!$B$18,'Paramètres'!$A$1:$I$88,3,0)*0.475*44/12</f>
        <v>#N/A</v>
      </c>
      <c r="HJ202" s="163" t="str">
        <f t="shared" si="31"/>
        <v>#N/A</v>
      </c>
    </row>
    <row r="203" ht="15.75" customHeight="1">
      <c r="A203" s="145">
        <f t="shared" si="32"/>
        <v>200</v>
      </c>
      <c r="B203" s="146">
        <f>'Scénario référence'!$B$16*5+'Scénario référence'!$B$17*0+'Scénario référence'!$B$18*5</f>
        <v>0</v>
      </c>
      <c r="C203" s="160">
        <f>Calculateur!C202+'Scénario référence'!$B$9*VLOOKUP('Scénario référence'!$G$15,'Paramètres'!$A$1:$I$88,3,0)*VLOOKUP('Scénario référence'!$G$15,'Paramètres'!$A$1:$I$88,5,0)+'Scénario référence'!$F$8*VLOOKUP('Scénario référence'!$G$15,'Paramètres'!$A$1:$I$88,3,0)*VLOOKUP('Scénario référence'!$G$15,'Paramètres'!$A$1:$I$88,5,0)+'Scénario référence'!$B$10*0.5*VLOOKUP('Scénario référence'!$G$15,'Paramètres'!$A$1:$I$88,3,0)*VLOOKUP('Scénario référence'!$G$15,'Paramètres'!$A$1:$I$88,5,0)+'Scénario référence'!$F$9*0.5*VLOOKUP('Scénario référence'!$G$15,'Paramètres'!$A$1:$I$88,3,0)*VLOOKUP('Scénario référence'!$G$15,'Paramètres'!$A$1:$I$88,5,0)</f>
        <v>0</v>
      </c>
      <c r="D203" s="147">
        <f t="shared" si="33"/>
        <v>0</v>
      </c>
      <c r="E203" s="147">
        <f>'Scénario référence'!$B$16*45+('Scénario référence'!$B$17+'Scénario référence'!$F$8+'Scénario référence'!$F$9+'Scénario référence'!$B$10+'Scénario référence'!$B$9)*70+'Scénario référence'!$B$18*32</f>
        <v>70</v>
      </c>
      <c r="F203" s="147">
        <f>IF(OR('Scénario référence'!$F$8&gt;0,'Scénario référence'!$F$9&gt;0),('Scénario référence'!$F$8+'Scénario référence'!$F$9)*10,0)</f>
        <v>0</v>
      </c>
      <c r="G203" s="147">
        <f>'Scénario référence'!$B$8*B203*44/12+'Scénario référence'!$B$9*(C203+D203)/0.475*44/12+'Scénario référence'!$B$10*(C203+D203)/0.475*44/12+'Scénario référence'!$F$8*(C203+D203)/0.475*44/12+'Scénario référence'!$F$9*(C203+D203)/0.475*44/12</f>
        <v>0</v>
      </c>
      <c r="H203" s="148">
        <f t="shared" si="1"/>
        <v>256.6666667</v>
      </c>
      <c r="I203" s="149">
        <f>('Scénario référence'!$F$8+'Scénario référence'!$F$9+'Scénario référence'!$B$17+'Scénario référence'!$B$9+'Scénario référence'!$B$10)*70+IF((45+25*(1-EXP(-0.0175*A203)))&lt;70,'Scénario référence'!$B$16*(45+25*(1-EXP(-0.0175*A203))),70*'Scénario référence'!$B$16)+IF((32+38*(1-EXP(-0.0175*A203)))&lt;70,'Scénario référence'!$B$18*(32+38*(1-EXP(-0.0175*A203))),70*'Scénario référence'!$B$18)</f>
        <v>70</v>
      </c>
      <c r="J203" s="150">
        <f>IF(A203&gt;30,10,('Scénario référence'!$B$16+'Scénario référence'!$B$17+'Scénario référence'!$B$18+'Scénario référence'!$B$9+'Scénario référence'!$B$10)*A203*10/30+('Scénario référence'!$F$8+'Scénario référence'!$F$9)*10)</f>
        <v>10</v>
      </c>
      <c r="K203" s="151" t="str">
        <f>VLOOKUP(A203,'Données projet'!$A$35:$I$55,2,0)</f>
        <v>#N/A</v>
      </c>
      <c r="L203" s="151" t="str">
        <f>VLOOKUP(A203,'Données projet'!$A$35:$I$55,9,0)</f>
        <v>#N/A</v>
      </c>
      <c r="M203" s="151" t="str">
        <f t="array" ref="M203">INDEX(L:L,MIN(IF(ISNUMBER(L203:L399),ROW(L203:L399),"")))</f>
        <v/>
      </c>
      <c r="N203" s="150">
        <f>IF('Données projet'!$A$36&gt;35,N202+M203-V202,IF(A203&lt;'Données projet'!$A$36,$K$205^A203,IF(A203='Données projet'!$A$36,'Données projet'!$B$36,N202+M203-V202)))</f>
        <v>307</v>
      </c>
      <c r="O203" s="150">
        <f>N203*VLOOKUP('Données projet'!$B$9,'Paramètres'!$A$1:$I$88,3,0)*VLOOKUP('Données projet'!$B$9,'Paramètres'!$A$1:$I$88,5,0)</f>
        <v>277.7736</v>
      </c>
      <c r="P203" s="150">
        <f t="shared" si="34"/>
        <v>66.49628818</v>
      </c>
      <c r="Q203" s="161">
        <f t="shared" si="2"/>
        <v>599.6033886</v>
      </c>
      <c r="R203" s="153">
        <f t="shared" si="3"/>
        <v>892.9367219</v>
      </c>
      <c r="S203" s="153">
        <f>AVERAGE(OFFSET($R$3,0,0,'Données projet'!$E$9+1,1))-AVERAGE(OFFSET($H$3,0,0,'Données projet'!$E$9+1,1))</f>
        <v>439.1985427</v>
      </c>
      <c r="T203" s="153">
        <f t="shared" si="35"/>
        <v>278.2174123</v>
      </c>
      <c r="U203" s="154">
        <f>IF(ISNA(VLOOKUP(A203,'Données projet'!$A$35:$I$55,3,0)),0,VLOOKUP(A203,'Données projet'!$A$35:$I$55,3,0))</f>
        <v>0</v>
      </c>
      <c r="V203" s="154">
        <f>IF(ISNA(VLOOKUP(A203,'Données projet'!$A$35:$I$55,4,0)),0,VLOOKUP(A203,'Données projet'!$A$35:$I$55,4,0))</f>
        <v>0</v>
      </c>
      <c r="W203" s="155">
        <f>IF(ISNA(VLOOKUP(A203,'Données projet'!$A$35:$I$55,5,0)),0%,VLOOKUP(A203,'Données projet'!$A$35:$I$55,5,0)*VLOOKUP('Données projet'!$B$9,'Paramètres'!$A$1:$I$88,7,0))</f>
        <v>0</v>
      </c>
      <c r="X203" s="155">
        <f>IF(ISNA(VLOOKUP(A203,'Données projet'!$A$35:$I$55,6,0)),0%,VLOOKUP(A203,'Données projet'!$A$35:$I$55,6,0)*VLOOKUP('Données projet'!$B$9,'Paramètres'!$A$1:$I$88,7,0))</f>
        <v>0</v>
      </c>
      <c r="Y203" s="155">
        <f>IF(ISNA(VLOOKUP(A203,'Données projet'!$A$35:$I$55,7,0)),0%,VLOOKUP(A203,'Données projet'!$A$35:$I$55,7,0))</f>
        <v>0</v>
      </c>
      <c r="Z203" s="162">
        <f>EXP(-LN(2)/35)*Z202+(1-EXP(-LN(2)/35))/(LN(2)/35)*V203*W203*VLOOKUP('Données projet'!$B$9,'Paramètres'!$A$1:$I$88,3,0)*0.475*44/12</f>
        <v>0</v>
      </c>
      <c r="AA203" s="162">
        <f>EXP(-LN(2)/25)*AA202+(1-EXP(-LN(2)/25))/(LN(2)/25)*Calculateur!V203*Calculateur!X203*VLOOKUP('Données projet'!$B$9,'Paramètres'!$A$1:$I$88,3,0)*0.475*44/12</f>
        <v>0.04027247387</v>
      </c>
      <c r="AB203" s="162">
        <f>EXP(-LN(2)/2)*AB202+(1-EXP(-LN(2)/2))/(LN(2)/2)*V203*Y203*VLOOKUP('Données projet'!$B$9,'Paramètres'!$A$1:$I$88,3,0)*0.475*44/12</f>
        <v>0</v>
      </c>
      <c r="AC203" s="163">
        <f t="shared" si="4"/>
        <v>0.04027247387</v>
      </c>
      <c r="AD203" s="150">
        <f>('Scénario référence'!$F$8+'Scénario référence'!$F$9+'Scénario référence'!$B$17+'Scénario référence'!$B$9+'Scénario référence'!$B$10)*70+IF((45+25*(1-EXP(-0.0175*A203)))&lt;70,'Scénario référence'!$B$16*(45+25*(1-EXP(-0.0175*A203))),70*'Scénario référence'!$B$16)+IF((32+38*(1-EXP(-0.0175*A203)))&lt;70,'Scénario référence'!$B$18*(32+38*(1-EXP(-0.0175*A203))),70*'Scénario référence'!$B$18)</f>
        <v>70</v>
      </c>
      <c r="AE203" s="150">
        <f>IF(A203&gt;30,10,('Scénario référence'!$B$16+'Scénario référence'!$B$17+'Scénario référence'!$B$18+'Scénario référence'!$B$9+'Scénario référence'!$B$10)*A203*10/30+('Scénario référence'!$F$8+'Scénario référence'!$F$9)*10)</f>
        <v>10</v>
      </c>
      <c r="AF203" s="151" t="str">
        <f>VLOOKUP(A203,'Données projet'!$A$61:$I$81,2,0)</f>
        <v>#N/A</v>
      </c>
      <c r="AG203" s="151" t="str">
        <f>VLOOKUP(A203,'Données projet'!$A$61:$I$81,9,0)</f>
        <v>#N/A</v>
      </c>
      <c r="AH203" s="151" t="str">
        <f t="array" ref="AH203">INDEX(AG:AG,MIN(IF(ISNUMBER(AG203:AG399),ROW(AG203:AG399),"")))</f>
        <v/>
      </c>
      <c r="AI203" s="150">
        <f>IF('Données projet'!$A$62&gt;35,AI202+AH203-AQ202,IF(A203&lt;'Données projet'!$A$62,$AF$205^A203,IF(A203='Données projet'!$A$62,'Données projet'!$B$62,AI202+AH203-AQ202)))</f>
        <v>369</v>
      </c>
      <c r="AJ203" s="150">
        <f>AI203*VLOOKUP('Données projet'!$B$10,'Paramètres'!$A$1:$I$88,3,0)*VLOOKUP('Données projet'!$B$10,'Paramètres'!$A$1:$I$88,5,0)</f>
        <v>293.5764</v>
      </c>
      <c r="AK203" s="150">
        <f t="shared" si="36"/>
        <v>69.82813851</v>
      </c>
      <c r="AL203" s="161">
        <f t="shared" si="5"/>
        <v>632.9295712</v>
      </c>
      <c r="AM203" s="153">
        <f t="shared" si="6"/>
        <v>926.2629046</v>
      </c>
      <c r="AN203" s="153">
        <f>AVERAGE(OFFSET($AM$3,0,0,'Données projet'!$E$10+1,1))-AVERAGE(OFFSET($H$3,0,0,'Données projet'!$E$10+1,1))</f>
        <v>405.6113614</v>
      </c>
      <c r="AO203" s="153">
        <f t="shared" si="37"/>
        <v>393.0787141</v>
      </c>
      <c r="AP203" s="154">
        <f>IF(ISNA(VLOOKUP(A203,'Données projet'!$A$61:$I$81,3,0)),0,VLOOKUP(A203,'Données projet'!$A$61:$I$81,3,0))</f>
        <v>0</v>
      </c>
      <c r="AQ203" s="154">
        <f>IF(ISNA(VLOOKUP(A203,'Données projet'!$A$61:$I$81,4,0)),0,VLOOKUP(A203,'Données projet'!$A$61:$I$81,4,0))</f>
        <v>0</v>
      </c>
      <c r="AR203" s="155">
        <f>IF(ISNA(VLOOKUP(A203,'Données projet'!$A$61:$I$81,5,0)),0%,VLOOKUP(A203,'Données projet'!$A$61:$I$81,5,0)*VLOOKUP('Données projet'!$B$10,'Paramètres'!$A$1:$I$88,7,0))</f>
        <v>0</v>
      </c>
      <c r="AS203" s="155">
        <f>IF(ISNA(VLOOKUP(A203,'Données projet'!$A$61:$I$81,6,0)),0%,VLOOKUP(A203,'Données projet'!$A$61:$I$81,6,0)*VLOOKUP('Données projet'!$B$10,'Paramètres'!$A$1:$I$88,7,0))</f>
        <v>0</v>
      </c>
      <c r="AT203" s="155">
        <f>IF(ISNA(VLOOKUP(A203,'Données projet'!$A$61:$I$81,7,0)),0%,VLOOKUP(A203,'Données projet'!$A$61:$I$81,7,0))</f>
        <v>0</v>
      </c>
      <c r="AU203" s="162">
        <f>EXP(-LN(2)/35)*AU202+(1-EXP(-LN(2)/35))/(LN(2)/35)*AQ203*AR203*VLOOKUP('Données projet'!$B$10,'Paramètres'!$A$1:$I$88,3,0)*0.475*44/12</f>
        <v>0</v>
      </c>
      <c r="AV203" s="162">
        <f>EXP(-LN(2)/25)*AV202+(1-EXP(-LN(2)/25))/(LN(2)/25)*Calculateur!AQ203*Calculateur!AS203*VLOOKUP('Données projet'!$B$10,'Paramètres'!$A$1:$I$88,3,0)*0.475*44/12</f>
        <v>0.1636775715</v>
      </c>
      <c r="AW203" s="162">
        <f>EXP(-LN(2)/2)*AW202+(1-EXP(-LN(2)/2))/(LN(2)/2)*AQ203*AT203*VLOOKUP('Données projet'!$B$10,'Paramètres'!$A$1:$I$88,3,0)*0.475*44/12</f>
        <v>0</v>
      </c>
      <c r="AX203" s="162">
        <f t="shared" si="7"/>
        <v>0.1636775715</v>
      </c>
      <c r="AY203" s="157">
        <f>('Scénario référence'!$F$8+'Scénario référence'!$F$9+'Scénario référence'!$B$17+'Scénario référence'!$B$9+'Scénario référence'!$B$10)*70+IF((45+25*(1-EXP(-0.0175*A203)))&lt;70,'Scénario référence'!$B$16*(45+25*(1-EXP(-0.0175*A203))),70*'Scénario référence'!$B$16)+IF((32+38*(1-EXP(-0.0175*A203)))&lt;70,'Scénario référence'!$B$18*(32+38*(1-EXP(-0.0175*A203))),70*'Scénario référence'!$B$18)</f>
        <v>70</v>
      </c>
      <c r="AZ203" s="151">
        <f>IF(A203&gt;30,10,('Scénario référence'!$B$16+'Scénario référence'!$B$17+'Scénario référence'!$B$18+'Scénario référence'!$B$9+'Scénario référence'!$B$10)*A203*10/30+('Scénario référence'!$F$8+'Scénario référence'!$F$9)*10)</f>
        <v>10</v>
      </c>
      <c r="BA203" s="151" t="str">
        <f>VLOOKUP(A203,'Données projet'!$A$87:$I$107,2,0)</f>
        <v>#N/A</v>
      </c>
      <c r="BB203" s="151" t="str">
        <f>VLOOKUP(A203,'Données projet'!$A$87:$I$107,9,0)</f>
        <v>#N/A</v>
      </c>
      <c r="BC203" s="151" t="str">
        <f t="array" ref="BC203">INDEX(BB:BB,MIN(IF(ISNUMBER(BB203:BB399),ROW(BB203:BB399),"")))</f>
        <v/>
      </c>
      <c r="BD203" s="150">
        <f>IF('Données projet'!$A$88&gt;35,BD202+BC203-BL202,IF(A203&lt;'Données projet'!$A$88,$BA$205^A203,IF(A203='Données projet'!$A$88,'Données projet'!$B$88,BD202+BC203-BL202)))</f>
        <v>0</v>
      </c>
      <c r="BE203" s="150">
        <f>BD203*VLOOKUP('Données projet'!$B$11,'Paramètres'!$A$1:$I$88,3,0)*VLOOKUP('Données projet'!$B$11,'Paramètres'!$A$1:$I$88,5,0)</f>
        <v>0</v>
      </c>
      <c r="BF203" s="150" t="str">
        <f t="shared" si="38"/>
        <v>#NUM!</v>
      </c>
      <c r="BG203" s="161" t="str">
        <f t="shared" si="8"/>
        <v>#NUM!</v>
      </c>
      <c r="BH203" s="153" t="str">
        <f t="shared" si="9"/>
        <v>#NUM!</v>
      </c>
      <c r="BI203" s="153">
        <f>AVERAGE(OFFSET($BH$3,0,0,'Données projet'!$E$11+1,1))-AVERAGE(OFFSET($H$3,0,0,'Données projet'!$E$11+1,1))</f>
        <v>0</v>
      </c>
      <c r="BJ203" s="153">
        <f t="shared" si="39"/>
        <v>0</v>
      </c>
      <c r="BK203" s="154">
        <f>IF(ISNA(VLOOKUP(A203,'Données projet'!$A$87:$I$107,3,0)),0,VLOOKUP(A203,'Données projet'!$A$87:$I$107,3,0))</f>
        <v>0</v>
      </c>
      <c r="BL203" s="154">
        <f>IF(ISNA(VLOOKUP(A203,'Données projet'!$A$87:$I$107,4,0)),0,VLOOKUP(A203,'Données projet'!$A$87:$I$107,4,0))</f>
        <v>0</v>
      </c>
      <c r="BM203" s="155">
        <f>IF(ISNA(VLOOKUP(A203,'Données projet'!$A$87:$I$107,5,0)),0%,VLOOKUP(A203,'Données projet'!$A$87:$I$107,5,0)*VLOOKUP('Données projet'!$B$11,'Paramètres'!$A$1:$I$88,7,0))</f>
        <v>0</v>
      </c>
      <c r="BN203" s="155">
        <f>IF(ISNA(VLOOKUP(A203,'Données projet'!$A$87:$I$107,6,0)),0%,VLOOKUP(A203,'Données projet'!$A$87:$I$107,6,0)*VLOOKUP('Données projet'!$B$11,'Paramètres'!$A$1:$I$88,7,0))</f>
        <v>0</v>
      </c>
      <c r="BO203" s="155">
        <f>IF(ISNA(VLOOKUP(A203,'Données projet'!$A$87:$I$107,7,0)),0%,VLOOKUP(A203,'Données projet'!$A$87:$I$107,7,0))</f>
        <v>0</v>
      </c>
      <c r="BP203" s="162">
        <f>EXP(-LN(2)/35)*BP202+(1-EXP(-LN(2)/35))/(LN(2)/35)*BL203*BM203*VLOOKUP('Données projet'!$B$11,'Paramètres'!$A$1:$I$88,3,0)*0.475*44/12</f>
        <v>0</v>
      </c>
      <c r="BQ203" s="162">
        <f>EXP(-LN(2)/25)*BQ202+(1-EXP(-LN(2)/25))/(LN(2)/25)*Calculateur!BL203*Calculateur!BN203*VLOOKUP('Données projet'!$B$11,'Paramètres'!$A$1:$I$88,3,0)*0.475*44/12</f>
        <v>0</v>
      </c>
      <c r="BR203" s="162">
        <f>EXP(-LN(2)/2)*BR202+(1-EXP(-LN(2)/2))/(LN(2)/2)*BL203*BO203*VLOOKUP('Données projet'!$B$11,'Paramètres'!$A$1:$I$88,3,0)*0.475*44/12</f>
        <v>0</v>
      </c>
      <c r="BS203" s="163">
        <f t="shared" si="10"/>
        <v>0</v>
      </c>
      <c r="BT203" s="159">
        <f>('Scénario référence'!$F$8+'Scénario référence'!$F$9+'Scénario référence'!$B$17+'Scénario référence'!$B$9+'Scénario référence'!$B$10)*70+IF((45+25*(1-EXP(-0.0175*A203)))&lt;70,'Scénario référence'!$B$16*(45+25*(1-EXP(-0.0175*A203))),70*'Scénario référence'!$B$16)+IF((32+38*(1-EXP(-0.0175*A203)))&lt;70,'Scénario référence'!$B$18*(32+38*(1-EXP(-0.0175*A203))),70*'Scénario référence'!$B$18)</f>
        <v>70</v>
      </c>
      <c r="BU203" s="151">
        <f>IF(A203&gt;30,10,('Scénario référence'!$B$16+'Scénario référence'!$B$17+'Scénario référence'!$B$18+'Scénario référence'!$B$9+'Scénario référence'!$B$10)*A203*10/30+('Scénario référence'!$F$8+'Scénario référence'!$F$9)*10)</f>
        <v>10</v>
      </c>
      <c r="BV203" s="151" t="str">
        <f>VLOOKUP(A203,'Données projet'!$A$113:$I$133,2,0)</f>
        <v>#N/A</v>
      </c>
      <c r="BW203" s="151" t="str">
        <f>VLOOKUP(A203,'Données projet'!$A$113:$I$133,9,0)</f>
        <v>#N/A</v>
      </c>
      <c r="BX203" s="151" t="str">
        <f t="array" ref="BX203">INDEX(BW:BW,MIN(IF(ISNUMBER(BW203:BW399),ROW(BW203:BW399),"")))</f>
        <v/>
      </c>
      <c r="BY203" s="150">
        <f>IF('Données projet'!$A$114&gt;35,BY202+BX203-CG202,IF(A203&lt;'Données projet'!$A$114,$BV$205^A203,IF(A203='Données projet'!$A$114,'Données projet'!$B$114,BY202+BX203-CG202)))</f>
        <v>0</v>
      </c>
      <c r="BZ203" s="150" t="str">
        <f>BY203*VLOOKUP('Données projet'!$B$12,'Paramètres'!$A$1:$I$88,3,0)*VLOOKUP('Données projet'!$B$12,'Paramètres'!$A$1:$I$88,5,0)</f>
        <v>#N/A</v>
      </c>
      <c r="CA203" s="150" t="str">
        <f t="shared" si="40"/>
        <v>#N/A</v>
      </c>
      <c r="CB203" s="161" t="str">
        <f t="shared" si="11"/>
        <v>#N/A</v>
      </c>
      <c r="CC203" s="153" t="str">
        <f t="shared" si="12"/>
        <v>#N/A</v>
      </c>
      <c r="CD203" s="153" t="str">
        <f>AVERAGE(OFFSET($CC$3,0,0,'Données projet'!$E$12+1,1))-AVERAGE(OFFSET($H$3,0,0,'Données projet'!$E$12+1,1))</f>
        <v>#N/A</v>
      </c>
      <c r="CE203" s="153" t="str">
        <f t="shared" si="41"/>
        <v>#N/A</v>
      </c>
      <c r="CF203" s="154">
        <f>IF(ISNA(VLOOKUP(A203,'Données projet'!$A$113:$I$133,3,0)),0,VLOOKUP(A203,'Données projet'!$A$113:$I$133,3,0))</f>
        <v>0</v>
      </c>
      <c r="CG203" s="154">
        <f>IF(ISNA(VLOOKUP(A203,'Données projet'!$A$113:$I$133,4,0)),0,VLOOKUP(A203,'Données projet'!$A$113:$I$133,4,0))</f>
        <v>0</v>
      </c>
      <c r="CH203" s="155">
        <f>IF(ISNA(VLOOKUP(A203,'Données projet'!$A$113:$I$133,5,0)),0%,VLOOKUP(A203,'Données projet'!$A$113:$I$133,5,0)*VLOOKUP('Données projet'!$B$12,'Paramètres'!$A$1:$I$88,7,0))</f>
        <v>0</v>
      </c>
      <c r="CI203" s="155">
        <f>IF(ISNA(VLOOKUP(A203,'Données projet'!$A$113:$I$133,6,0)),0%,VLOOKUP(A203,'Données projet'!$A$113:$I$133,6,0)*VLOOKUP('Données projet'!$B$12,'Paramètres'!$A$1:$I$88,7,0))</f>
        <v>0</v>
      </c>
      <c r="CJ203" s="155">
        <f>IF(ISNA(VLOOKUP(A203,'Données projet'!$A$113:$I$133,7,0)),0%,VLOOKUP(A203,'Données projet'!$A$113:$I$133,7,0))</f>
        <v>0</v>
      </c>
      <c r="CK203" s="162" t="str">
        <f>EXP(-LN(2)/35)*CK202+(1-EXP(-LN(2)/35))/(LN(2)/35)*CG203*CH203*VLOOKUP('Données projet'!$B$12,'Paramètres'!$A$1:$I$88,3,0)*0.475*44/12</f>
        <v>#N/A</v>
      </c>
      <c r="CL203" s="162" t="str">
        <f>EXP(-LN(2)/25)*CL202+(1-EXP(-LN(2)/25))/(LN(2)/25)*Calculateur!CG203*Calculateur!CI203*VLOOKUP('Données projet'!$B$12,'Paramètres'!$A$1:$I$88,3,0)*0.475*44/12</f>
        <v>#N/A</v>
      </c>
      <c r="CM203" s="162" t="str">
        <f>EXP(-LN(2)/2)*CM202+(1-EXP(-LN(2)/2))/(LN(2)/2)*CG203*CJ203*VLOOKUP('Données projet'!$B$12,'Paramètres'!$A$1:$I$88,3,0)*0.475*44/12</f>
        <v>#N/A</v>
      </c>
      <c r="CN203" s="163" t="str">
        <f t="shared" si="13"/>
        <v>#N/A</v>
      </c>
      <c r="CO203" s="159">
        <f>('Scénario référence'!$F$8+'Scénario référence'!$F$9+'Scénario référence'!$B$17+'Scénario référence'!$B$9+'Scénario référence'!$B$10)*70+IF((45+25*(1-EXP(-0.0175*A203)))&lt;70,'Scénario référence'!$B$16*(45+25*(1-EXP(-0.0175*A203))),70*'Scénario référence'!$B$16)+IF((32+38*(1-EXP(-0.0175*A203)))&lt;70,'Scénario référence'!$B$18*(32+38*(1-EXP(-0.0175*A203))),70*'Scénario référence'!$B$18)</f>
        <v>70</v>
      </c>
      <c r="CP203" s="151">
        <f>IF(A203&gt;30,10,('Scénario référence'!$B$16+'Scénario référence'!$B$17+'Scénario référence'!$B$18+'Scénario référence'!$B$9+'Scénario référence'!$B$10)*A203*10/30+('Scénario référence'!$F$8+'Scénario référence'!$F$9)*10)</f>
        <v>10</v>
      </c>
      <c r="CQ203" s="151" t="str">
        <f>VLOOKUP(A203,'Données projet'!$A$139:$I$159,2,0)</f>
        <v>#N/A</v>
      </c>
      <c r="CR203" s="151" t="str">
        <f>VLOOKUP(A203,'Données projet'!$A$139:$I$159,9,0)</f>
        <v>#N/A</v>
      </c>
      <c r="CS203" s="151" t="str">
        <f t="array" ref="CS203">INDEX(CR:CR,MIN(IF(ISNUMBER(CR203:CR399),ROW(CR203:CR399),"")))</f>
        <v/>
      </c>
      <c r="CT203" s="151">
        <f>IF('Données projet'!$A$140&gt;35,CT202+CS203-DB202,IF(A203&lt;'Données projet'!$A$140,$CQ$205^A203,IF(A203='Données projet'!$A$140,'Données projet'!$B$140,CT202+CS203-DB202)))</f>
        <v>0</v>
      </c>
      <c r="CU203" s="158" t="str">
        <f>CT203*VLOOKUP('Données projet'!$B$13,'Paramètres'!$A$1:$I$88,3,0)*VLOOKUP('Données projet'!$B$13,'Paramètres'!$A$1:$I$88,5,0)</f>
        <v>#N/A</v>
      </c>
      <c r="CV203" s="150" t="str">
        <f t="shared" si="42"/>
        <v>#N/A</v>
      </c>
      <c r="CW203" s="161" t="str">
        <f t="shared" si="14"/>
        <v>#N/A</v>
      </c>
      <c r="CX203" s="153" t="str">
        <f t="shared" si="15"/>
        <v>#N/A</v>
      </c>
      <c r="CY203" s="153" t="str">
        <f>AVERAGE(OFFSET($CX$3,0,0,'Données projet'!$E$13+1,1))-AVERAGE(OFFSET($H$3,0,0,'Données projet'!$E$13+1,1))</f>
        <v>#N/A</v>
      </c>
      <c r="CZ203" s="153" t="str">
        <f t="shared" si="43"/>
        <v>#N/A</v>
      </c>
      <c r="DA203" s="154">
        <f>IF(ISNA(VLOOKUP(A203,'Données projet'!$A$139:$I$159,3,0)),0,VLOOKUP(A203,'Données projet'!$A$139:$I$159,3,0))</f>
        <v>0</v>
      </c>
      <c r="DB203" s="154">
        <f>IF(ISNA(VLOOKUP(A203,'Données projet'!$A$139:$I$159,4,0)),0,VLOOKUP(A203,'Données projet'!$A$139:$I$159,4,0))</f>
        <v>0</v>
      </c>
      <c r="DC203" s="155">
        <f>IF(ISNA(VLOOKUP(A203,'Données projet'!$A$139:$I$159,5,0)),0%,VLOOKUP(A203,'Données projet'!$A$139:$I$159,5,0)*VLOOKUP('Données projet'!$B$13,'Paramètres'!$A$1:$I$88,7,0))</f>
        <v>0</v>
      </c>
      <c r="DD203" s="155">
        <f>IF(ISNA(VLOOKUP(A203,'Données projet'!$A$139:$I$159,6,0)),0%,VLOOKUP(A203,'Données projet'!$A$139:$I$159,6,0)*VLOOKUP('Données projet'!$B$13,'Paramètres'!$A$1:$I$88,7,0))</f>
        <v>0</v>
      </c>
      <c r="DE203" s="155">
        <f>IF(ISNA(VLOOKUP(A203,'Données projet'!$A$139:$I$159,7,0)),0%,VLOOKUP(A203,'Données projet'!$A$139:$I$159,7,0))</f>
        <v>0</v>
      </c>
      <c r="DF203" s="162" t="str">
        <f>EXP(-LN(2)/35)*DF202+(1-EXP(-LN(2)/35))/(LN(2)/35)*DB203*DC203*VLOOKUP('Données projet'!$B$13,'Paramètres'!$A$1:$I$88,3,0)*0.475*44/12</f>
        <v>#N/A</v>
      </c>
      <c r="DG203" s="162" t="str">
        <f>EXP(-LN(2)/25)*DG202+(1-EXP(-LN(2)/25))/(LN(2)/25)*Calculateur!DB203*Calculateur!DD203*VLOOKUP('Données projet'!$B$13,'Paramètres'!$A$1:$I$88,3,0)*0.475*44/12</f>
        <v>#N/A</v>
      </c>
      <c r="DH203" s="162" t="str">
        <f>EXP(-LN(2)/2)*DH202+(1-EXP(-LN(2)/2))/(LN(2)/2)*DB203*DE203*VLOOKUP('Données projet'!$B$13,'Paramètres'!$A$1:$I$88,3,0)*0.475*44/12</f>
        <v>#N/A</v>
      </c>
      <c r="DI203" s="163" t="str">
        <f t="shared" si="16"/>
        <v>#N/A</v>
      </c>
      <c r="DJ203" s="159">
        <f>('Scénario référence'!$F$8+'Scénario référence'!$F$9+'Scénario référence'!$B$17+'Scénario référence'!$B$9+'Scénario référence'!$B$10)*70+IF((45+25*(1-EXP(-0.0175*A203)))&lt;70,'Scénario référence'!$B$16*(45+25*(1-EXP(-0.0175*A203))),70*'Scénario référence'!$B$16)+IF((32+38*(1-EXP(-0.0175*A203)))&lt;70,'Scénario référence'!$B$18*(32+38*(1-EXP(-0.0175*A203))),70*'Scénario référence'!$B$18)</f>
        <v>70</v>
      </c>
      <c r="DK203" s="151">
        <f>IF(A203&gt;30,10,('Scénario référence'!$B$16+'Scénario référence'!$B$17+'Scénario référence'!$B$18+'Scénario référence'!$B$9+'Scénario référence'!$B$10)*A203*10/30+('Scénario référence'!$F$8+'Scénario référence'!$F$9)*10)</f>
        <v>10</v>
      </c>
      <c r="DL203" s="151" t="str">
        <f>VLOOKUP(A203,'Données projet'!$A$165:$I$185,2,0)</f>
        <v>#N/A</v>
      </c>
      <c r="DM203" s="151" t="str">
        <f>VLOOKUP(A203,'Données projet'!$A$165:$I$185,9,0)</f>
        <v>#N/A</v>
      </c>
      <c r="DN203" s="151" t="str">
        <f t="array" ref="DN203">INDEX(DM:DM,MIN(IF(ISNUMBER(DM203:DM399),ROW(DM203:DM399),"")))</f>
        <v/>
      </c>
      <c r="DO203" s="151">
        <f>IF('Données projet'!$A$166&gt;35,DO202+DN203-DW202,IF(A203&lt;'Données projet'!$A$166,$DL$205^A203,IF(A203='Données projet'!$A$166,'Données projet'!$B$166,DO202+DN203-DW202)))</f>
        <v>0</v>
      </c>
      <c r="DP203" s="158" t="str">
        <f>DO203*VLOOKUP('Données projet'!$B$14,'Paramètres'!$A$1:$I$88,3,0)*VLOOKUP('Données projet'!$B$14,'Paramètres'!$A$1:$I$88,5,0)</f>
        <v>#N/A</v>
      </c>
      <c r="DQ203" s="150" t="str">
        <f t="shared" si="44"/>
        <v>#N/A</v>
      </c>
      <c r="DR203" s="161" t="str">
        <f t="shared" si="17"/>
        <v>#N/A</v>
      </c>
      <c r="DS203" s="153" t="str">
        <f t="shared" si="18"/>
        <v>#N/A</v>
      </c>
      <c r="DT203" s="153" t="str">
        <f>AVERAGE(OFFSET($DS$3,0,0,'Données projet'!$E$14+1,1))-AVERAGE(OFFSET($H$3,0,0,'Données projet'!$E$14+1,1))</f>
        <v>#N/A</v>
      </c>
      <c r="DU203" s="153" t="str">
        <f t="shared" si="45"/>
        <v>#N/A</v>
      </c>
      <c r="DV203" s="154">
        <f>IF(ISNA(VLOOKUP(A203,'Données projet'!$A$165:$I$185,3,0)),0,VLOOKUP(A203,'Données projet'!$A$165:$I$185,3,0))</f>
        <v>0</v>
      </c>
      <c r="DW203" s="154">
        <f>IF(ISNA(VLOOKUP(A203,'Données projet'!$A$165:$I$185,4,0)),0,VLOOKUP(A203,'Données projet'!$A$165:$I$185,4,0))</f>
        <v>0</v>
      </c>
      <c r="DX203" s="155">
        <f>IF(ISNA(VLOOKUP(A203,'Données projet'!$A$165:$I$185,5,0)),0%,VLOOKUP(A203,'Données projet'!$A$165:$I$185,5,0)*VLOOKUP('Données projet'!$B$14,'Paramètres'!$A$1:$I$88,7,0))</f>
        <v>0</v>
      </c>
      <c r="DY203" s="155">
        <f>IF(ISNA(VLOOKUP(A203,'Données projet'!$A$165:$I$185,6,0)),0%,VLOOKUP(A203,'Données projet'!$A$165:$I$185,6,0)*VLOOKUP('Données projet'!$B$14,'Paramètres'!$A$1:$I$88,7,0))</f>
        <v>0</v>
      </c>
      <c r="DZ203" s="155">
        <f>IF(ISNA(VLOOKUP(A203,'Données projet'!$A$165:$I$185,7,0)),0%,VLOOKUP(A203,'Données projet'!$A$165:$I$185,7,0))</f>
        <v>0</v>
      </c>
      <c r="EA203" s="162" t="str">
        <f>EXP(-LN(2)/35)*EA202+(1-EXP(-LN(2)/35))/(LN(2)/35)*DW203*DX203*VLOOKUP('Données projet'!$B$14,'Paramètres'!$A$1:$I$88,3,0)*0.475*44/12</f>
        <v>#N/A</v>
      </c>
      <c r="EB203" s="162" t="str">
        <f>EXP(-LN(2)/25)*EB202+(1-EXP(-LN(2)/25))/(LN(2)/25)*Calculateur!DW203*Calculateur!DY203*VLOOKUP('Données projet'!$B$14,'Paramètres'!$A$1:$I$88,3,0)*0.475*44/12</f>
        <v>#N/A</v>
      </c>
      <c r="EC203" s="162" t="str">
        <f>EXP(-LN(2)/2)*EC202+(1-EXP(-LN(2)/2))/(LN(2)/2)*DW203*DZ203*VLOOKUP('Données projet'!$B$14,'Paramètres'!$A$1:$I$88,3,0)*0.475*44/12</f>
        <v>#N/A</v>
      </c>
      <c r="ED203" s="163" t="str">
        <f t="shared" si="19"/>
        <v>#N/A</v>
      </c>
      <c r="EE203" s="159">
        <f>('Scénario référence'!$F$8+'Scénario référence'!$F$9+'Scénario référence'!$B$17+'Scénario référence'!$B$9+'Scénario référence'!$B$10)*70+IF((45+25*(1-EXP(-0.0175*A203)))&lt;70,'Scénario référence'!$B$16*(45+25*(1-EXP(-0.0175*A203))),70*'Scénario référence'!$B$16)+IF((32+38*(1-EXP(-0.0175*A203)))&lt;70,'Scénario référence'!$B$18*(32+38*(1-EXP(-0.0175*A203))),70*'Scénario référence'!$B$18)</f>
        <v>70</v>
      </c>
      <c r="EF203" s="151">
        <f>IF(A203&gt;30,10,('Scénario référence'!$B$16+'Scénario référence'!$B$17+'Scénario référence'!$B$18+'Scénario référence'!$B$9+'Scénario référence'!$B$10)*A203*10/30+('Scénario référence'!$F$8+'Scénario référence'!$F$9)*10)</f>
        <v>10</v>
      </c>
      <c r="EG203" s="151" t="str">
        <f>VLOOKUP(A203,'Données projet'!$A$191:$I$211,2,0)</f>
        <v>#N/A</v>
      </c>
      <c r="EH203" s="151" t="str">
        <f>VLOOKUP(A203,'Données projet'!$A$191:$I$211,9,0)</f>
        <v>#N/A</v>
      </c>
      <c r="EI203" s="151" t="str">
        <f t="array" ref="EI203">INDEX(EH:EH,MIN(IF(ISNUMBER(EH203:EH399),ROW(EH203:EH399),"")))</f>
        <v/>
      </c>
      <c r="EJ203" s="151">
        <f>IF('Données projet'!$A$192&gt;35,EJ202+EI203-ER202,IF(A203&lt;'Données projet'!$A$192,$EG$205^A203,IF(A203='Données projet'!$A$192,'Données projet'!$B$192,EJ202+EI203-ER202)))</f>
        <v>0</v>
      </c>
      <c r="EK203" s="158" t="str">
        <f>EJ203*VLOOKUP('Données projet'!$B$15,'Paramètres'!$A$1:$I$88,3,0)*VLOOKUP('Données projet'!$B$15,'Paramètres'!$A$1:$I$88,5,0)</f>
        <v>#N/A</v>
      </c>
      <c r="EL203" s="150" t="str">
        <f t="shared" si="46"/>
        <v>#N/A</v>
      </c>
      <c r="EM203" s="161" t="str">
        <f t="shared" si="20"/>
        <v>#N/A</v>
      </c>
      <c r="EN203" s="153" t="str">
        <f t="shared" si="21"/>
        <v>#N/A</v>
      </c>
      <c r="EO203" s="153" t="str">
        <f>AVERAGE(OFFSET($EN$3,0,0,'Données projet'!$E$15+1,1))-AVERAGE(OFFSET($H$3,0,0,'Données projet'!$E$15+1,1))</f>
        <v>#N/A</v>
      </c>
      <c r="EP203" s="153" t="str">
        <f t="shared" si="47"/>
        <v>#N/A</v>
      </c>
      <c r="EQ203" s="154">
        <f>IF(ISNA(VLOOKUP(A203,'Données projet'!$A$191:$I$211,3,0)),0,VLOOKUP(A203,'Données projet'!$A$191:$I$211,3,0))</f>
        <v>0</v>
      </c>
      <c r="ER203" s="154">
        <f>IF(ISNA(VLOOKUP(A203,'Données projet'!$A$191:$I$211,4,0)),0,VLOOKUP(A203,'Données projet'!$A$191:$I$211,4,0))</f>
        <v>0</v>
      </c>
      <c r="ES203" s="155">
        <f>IF(ISNA(VLOOKUP(A203,'Données projet'!$A$191:$I$211,5,0)),0%,VLOOKUP(A203,'Données projet'!$A$191:$I$211,5,0)*VLOOKUP('Données projet'!$B$15,'Paramètres'!$A$1:$I$88,7,0))</f>
        <v>0</v>
      </c>
      <c r="ET203" s="155">
        <f>IF(ISNA(VLOOKUP(A203,'Données projet'!$A$191:$I$211,6,0)),0%,VLOOKUP(A203,'Données projet'!$A$191:$I$211,6,0)*VLOOKUP('Données projet'!$B$15,'Paramètres'!$A$1:$I$88,7,0))</f>
        <v>0</v>
      </c>
      <c r="EU203" s="155">
        <f>IF(ISNA(VLOOKUP(A203,'Données projet'!$A$191:$I$211,7,0)),0%,VLOOKUP(A203,'Données projet'!$A$191:$I$211,7,0))</f>
        <v>0</v>
      </c>
      <c r="EV203" s="162" t="str">
        <f>EXP(-LN(2)/35)*EV202+(1-EXP(-LN(2)/35))/(LN(2)/35)*ER203*ES203*VLOOKUP('Données projet'!$B$15,'Paramètres'!$A$1:$I$88,3,0)*0.475*44/12</f>
        <v>#N/A</v>
      </c>
      <c r="EW203" s="162" t="str">
        <f>EXP(-LN(2)/25)*EW202+(1-EXP(-LN(2)/25))/(LN(2)/25)*Calculateur!ER203*Calculateur!ET203*VLOOKUP('Données projet'!$B$15,'Paramètres'!$A$1:$I$88,3,0)*0.475*44/12</f>
        <v>#N/A</v>
      </c>
      <c r="EX203" s="162" t="str">
        <f>EXP(-LN(2)/2)*EX202+(1-EXP(-LN(2)/2))/(LN(2)/2)*ER203*EU203*VLOOKUP('Données projet'!$B$15,'Paramètres'!$A$1:$I$88,3,0)*0.475*44/12</f>
        <v>#N/A</v>
      </c>
      <c r="EY203" s="163" t="str">
        <f t="shared" si="22"/>
        <v>#N/A</v>
      </c>
      <c r="EZ203" s="159">
        <f>('Scénario référence'!$F$8+'Scénario référence'!$F$9+'Scénario référence'!$B$17+'Scénario référence'!$B$9+'Scénario référence'!$B$10)*70+IF((45+25*(1-EXP(-0.0175*A203)))&lt;70,'Scénario référence'!$B$16*(45+25*(1-EXP(-0.0175*A203))),70*'Scénario référence'!$B$16)+IF((32+38*(1-EXP(-0.0175*A203)))&lt;70,'Scénario référence'!$B$18*(32+38*(1-EXP(-0.0175*A203))),70*'Scénario référence'!$B$18)</f>
        <v>70</v>
      </c>
      <c r="FA203" s="151">
        <f>IF(A203&gt;30,10,('Scénario référence'!$B$16+'Scénario référence'!$B$17+'Scénario référence'!$B$18+'Scénario référence'!$B$9+'Scénario référence'!$B$10)*A203*10/30+('Scénario référence'!$F$8+'Scénario référence'!$F$9)*10)</f>
        <v>10</v>
      </c>
      <c r="FB203" s="151" t="str">
        <f>VLOOKUP(A203,'Données projet'!$A$217:$I$237,2,0)</f>
        <v>#N/A</v>
      </c>
      <c r="FC203" s="151" t="str">
        <f>VLOOKUP(A203,'Données projet'!$A$217:$I$237,9,0)</f>
        <v>#N/A</v>
      </c>
      <c r="FD203" s="151" t="str">
        <f t="array" ref="FD203">INDEX(FC:FC,MIN(IF(ISNUMBER(FC203:FC399),ROW(FC203:FC399),"")))</f>
        <v/>
      </c>
      <c r="FE203" s="151">
        <f>IF('Données projet'!$A$218&gt;35,FE202+FD203-FM202,IF(A203&lt;'Données projet'!$A$218,$FB$205^A203,IF(A203='Données projet'!$A$218,'Données projet'!$B$218,FE202+FD203-FM202)))</f>
        <v>0</v>
      </c>
      <c r="FF203" s="158" t="str">
        <f>FE203*VLOOKUP('Données projet'!$B$16,'Paramètres'!$A$1:$I$88,3,0)*VLOOKUP('Données projet'!$B$16,'Paramètres'!$A$1:$I$88,5,0)</f>
        <v>#N/A</v>
      </c>
      <c r="FG203" s="150" t="str">
        <f t="shared" si="48"/>
        <v>#N/A</v>
      </c>
      <c r="FH203" s="161" t="str">
        <f t="shared" si="23"/>
        <v>#N/A</v>
      </c>
      <c r="FI203" s="153" t="str">
        <f t="shared" si="24"/>
        <v>#N/A</v>
      </c>
      <c r="FJ203" s="153" t="str">
        <f>AVERAGE(OFFSET($FI$3,0,0,'Données projet'!$E$16+1,1))-AVERAGE(OFFSET($H$3,0,0,'Données projet'!$E$16+1,1))</f>
        <v>#N/A</v>
      </c>
      <c r="FK203" s="153" t="str">
        <f t="shared" si="49"/>
        <v>#N/A</v>
      </c>
      <c r="FL203" s="154">
        <f>IF(ISNA(VLOOKUP(A203,'Données projet'!$A$217:$I$237,3,0)),0,VLOOKUP(A203,'Données projet'!$A$217:$I$237,3,0))</f>
        <v>0</v>
      </c>
      <c r="FM203" s="154">
        <f>IF(ISNA(VLOOKUP(A203,'Données projet'!$A$217:$I$237,4,0)),0,VLOOKUP(A203,'Données projet'!$A$217:$I$237,4,0))</f>
        <v>0</v>
      </c>
      <c r="FN203" s="155">
        <f>IF(ISNA(VLOOKUP(A203,'Données projet'!$A$217:$I$237,5,0)),0%,VLOOKUP(A203,'Données projet'!$A$217:$I$237,5,0)*VLOOKUP('Données projet'!$B$16,'Paramètres'!$A$1:$I$88,7,0))</f>
        <v>0</v>
      </c>
      <c r="FO203" s="155">
        <f>IF(ISNA(VLOOKUP(A203,'Données projet'!$A$217:$I$237,6,0)),0%,VLOOKUP(A203,'Données projet'!$A$217:$I$237,6,0)*VLOOKUP('Données projet'!$B$16,'Paramètres'!$A$1:$I$88,7,0))</f>
        <v>0</v>
      </c>
      <c r="FP203" s="155">
        <f>IF(ISNA(VLOOKUP(A203,'Données projet'!$A$217:$I$237,7,0)),0%,VLOOKUP(A203,'Données projet'!$A$217:$I$237,7,0))</f>
        <v>0</v>
      </c>
      <c r="FQ203" s="162" t="str">
        <f>EXP(-LN(2)/35)*FQ202+(1-EXP(-LN(2)/35))/(LN(2)/35)*FM203*FN203*VLOOKUP('Données projet'!$B$16,'Paramètres'!$A$1:$I$88,3,0)*0.475*44/12</f>
        <v>#N/A</v>
      </c>
      <c r="FR203" s="162" t="str">
        <f>EXP(-LN(2)/25)*FR202+(1-EXP(-LN(2)/25))/(LN(2)/25)*Calculateur!FM203*Calculateur!FO203*VLOOKUP('Données projet'!$B$16,'Paramètres'!$A$1:$I$88,3,0)*0.475*44/12</f>
        <v>#N/A</v>
      </c>
      <c r="FS203" s="162" t="str">
        <f>EXP(-LN(2)/2)*FS202+(1-EXP(-LN(2)/2))/(LN(2)/2)*FM203*FP203*VLOOKUP('Données projet'!$B$16,'Paramètres'!$A$1:$I$88,3,0)*0.475*44/12</f>
        <v>#N/A</v>
      </c>
      <c r="FT203" s="163" t="str">
        <f t="shared" si="25"/>
        <v>#N/A</v>
      </c>
      <c r="FU203" s="159">
        <f>('Scénario référence'!$F$8+'Scénario référence'!$F$9+'Scénario référence'!$B$17+'Scénario référence'!$B$9+'Scénario référence'!$B$10)*70+IF((45+25*(1-EXP(-0.0175*A203)))&lt;70,'Scénario référence'!$B$16*(45+25*(1-EXP(-0.0175*A203))),70*'Scénario référence'!$B$16)+IF((32+38*(1-EXP(-0.0175*A203)))&lt;70,'Scénario référence'!$B$18*(32+38*(1-EXP(-0.0175*A203))),70*'Scénario référence'!$B$18)</f>
        <v>70</v>
      </c>
      <c r="FV203" s="151">
        <f>IF(A203&gt;30,10,('Scénario référence'!$B$16+'Scénario référence'!$B$17+'Scénario référence'!$B$18+'Scénario référence'!$B$9+'Scénario référence'!$B$10)*A203*10/30+('Scénario référence'!$F$8+'Scénario référence'!$F$9)*10)</f>
        <v>10</v>
      </c>
      <c r="FW203" s="151" t="str">
        <f>VLOOKUP(A203,'Données projet'!$A$243:$I$263,2,0)</f>
        <v>#N/A</v>
      </c>
      <c r="FX203" s="151" t="str">
        <f>VLOOKUP(A203,'Données projet'!$A$243:$I$263,9,0)</f>
        <v>#N/A</v>
      </c>
      <c r="FY203" s="151" t="str">
        <f t="array" ref="FY203">INDEX(FX:FX,MIN(IF(ISNUMBER(FX203:FX399),ROW(FX203:FX399),"")))</f>
        <v/>
      </c>
      <c r="FZ203" s="151">
        <f>IF('Données projet'!$A$244&gt;35,FZ202+FY203-GH202,IF(A203&lt;'Données projet'!$A$244,$FW$205^A203,IF(A203='Données projet'!$A$244,'Données projet'!$B$244,FZ202+FY203-GH202)))</f>
        <v>0</v>
      </c>
      <c r="GA203" s="158" t="str">
        <f>FZ203*VLOOKUP('Données projet'!$B$17,'Paramètres'!$A$1:$I$88,3,0)*VLOOKUP('Données projet'!$B$17,'Paramètres'!$A$1:$I$88,5,0)</f>
        <v>#N/A</v>
      </c>
      <c r="GB203" s="150" t="str">
        <f t="shared" si="50"/>
        <v>#N/A</v>
      </c>
      <c r="GC203" s="161" t="str">
        <f t="shared" si="26"/>
        <v>#N/A</v>
      </c>
      <c r="GD203" s="153" t="str">
        <f t="shared" si="27"/>
        <v>#N/A</v>
      </c>
      <c r="GE203" s="153" t="str">
        <f>AVERAGE(OFFSET($GD$3,0,0,'Données projet'!$E$17+1,1))-AVERAGE(OFFSET($H$3,0,0,'Données projet'!$E$17+1,1))</f>
        <v>#N/A</v>
      </c>
      <c r="GF203" s="153" t="str">
        <f t="shared" si="51"/>
        <v>#N/A</v>
      </c>
      <c r="GG203" s="154">
        <f>IF(ISNA(VLOOKUP(A203,'Données projet'!$A$243:$I$263,3,0)),0,VLOOKUP(A203,'Données projet'!$A$243:$I$263,3,0))</f>
        <v>0</v>
      </c>
      <c r="GH203" s="154">
        <f>IF(ISNA(VLOOKUP(A203,'Données projet'!$A$243:$I$263,4,0)),0,VLOOKUP(A203,'Données projet'!$A$243:$I$263,4,0))</f>
        <v>0</v>
      </c>
      <c r="GI203" s="155">
        <f>IF(ISNA(VLOOKUP(A203,'Données projet'!$A$243:$I$263,5,0)),0%,VLOOKUP(A203,'Données projet'!$A$243:$I$263,5,0)*VLOOKUP('Données projet'!$B$17,'Paramètres'!$A$1:$I$88,7,0))</f>
        <v>0</v>
      </c>
      <c r="GJ203" s="155">
        <f>IF(ISNA(VLOOKUP(A203,'Données projet'!$A$243:$I$263,6,0)),0%,VLOOKUP(A203,'Données projet'!$A$243:$I$263,6,0)*VLOOKUP('Données projet'!$B$17,'Paramètres'!$A$1:$I$88,7,0))</f>
        <v>0</v>
      </c>
      <c r="GK203" s="155">
        <f>IF(ISNA(VLOOKUP(A203,'Données projet'!$A$243:$I$263,7,0)),0%,VLOOKUP(A203,'Données projet'!$A$243:$I$263,7,0))</f>
        <v>0</v>
      </c>
      <c r="GL203" s="162" t="str">
        <f>EXP(-LN(2)/35)*GL202+(1-EXP(-LN(2)/35))/(LN(2)/35)*GH203*GI203*VLOOKUP('Données projet'!$B$17,'Paramètres'!$A$1:$I$88,3,0)*0.475*44/12</f>
        <v>#N/A</v>
      </c>
      <c r="GM203" s="162" t="str">
        <f>EXP(-LN(2)/25)*GM202+(1-EXP(-LN(2)/25))/(LN(2)/25)*Calculateur!GH203*Calculateur!GJ203*VLOOKUP('Données projet'!$B$17,'Paramètres'!$A$1:$I$88,3,0)*0.475*44/12</f>
        <v>#N/A</v>
      </c>
      <c r="GN203" s="162" t="str">
        <f>EXP(-LN(2)/2)*GN202+(1-EXP(-LN(2)/2))/(LN(2)/2)*GH203*GK203*VLOOKUP('Données projet'!$B$17,'Paramètres'!$A$1:$I$88,3,0)*0.475*44/12</f>
        <v>#N/A</v>
      </c>
      <c r="GO203" s="162" t="str">
        <f t="shared" si="28"/>
        <v>#N/A</v>
      </c>
      <c r="GP203" s="159">
        <f>('Scénario référence'!$F$8+'Scénario référence'!$F$9+'Scénario référence'!$B$17+'Scénario référence'!$B$9+'Scénario référence'!$B$10)*70+IF((45+25*(1-EXP(-0.0175*A203)))&lt;70,'Scénario référence'!$B$16*(45+25*(1-EXP(-0.0175*A203))),70*'Scénario référence'!$B$16)+IF((32+38*(1-EXP(-0.0175*A203)))&lt;70,'Scénario référence'!$B$18*(32+38*(1-EXP(-0.0175*A203))),70*'Scénario référence'!$B$18)</f>
        <v>70</v>
      </c>
      <c r="GQ203" s="151">
        <f>IF(A203&gt;30,10,('Scénario référence'!$B$16+'Scénario référence'!$B$17+'Scénario référence'!$B$18+'Scénario référence'!$B$9+'Scénario référence'!$B$10)*A203*10/30+('Scénario référence'!$F$8+'Scénario référence'!$F$9)*10)</f>
        <v>10</v>
      </c>
      <c r="GR203" s="151" t="str">
        <f>VLOOKUP(A203,'Données projet'!$A$269:$I$289,2,0)</f>
        <v>#N/A</v>
      </c>
      <c r="GS203" s="151" t="str">
        <f>VLOOKUP(A203,'Données projet'!$A$269:$I$289,9,0)</f>
        <v>#N/A</v>
      </c>
      <c r="GT203" s="151" t="str">
        <f t="array" ref="GT203">INDEX(GS:GS,MIN(IF(ISNUMBER(GS203:GS399),ROW(GS203:GS399),"")))</f>
        <v/>
      </c>
      <c r="GU203" s="151">
        <f>IF('Données projet'!$A$270&gt;35,GU202+GT203-HC202,IF(A203&lt;'Données projet'!$A$270,$GR$205^A203,IF(A203='Données projet'!$A$270,'Données projet'!$B$270,GU202+GT203-HC202)))</f>
        <v>0</v>
      </c>
      <c r="GV203" s="158" t="str">
        <f>GU203*VLOOKUP('Données projet'!$B$18,'Paramètres'!$A$1:$I$88,3,0)*VLOOKUP('Données projet'!$B$18,'Paramètres'!$A$1:$I$88,5,0)</f>
        <v>#N/A</v>
      </c>
      <c r="GW203" s="150" t="str">
        <f t="shared" si="52"/>
        <v>#N/A</v>
      </c>
      <c r="GX203" s="161" t="str">
        <f t="shared" si="29"/>
        <v>#N/A</v>
      </c>
      <c r="GY203" s="153" t="str">
        <f t="shared" si="30"/>
        <v>#N/A</v>
      </c>
      <c r="GZ203" s="153" t="str">
        <f>AVERAGE(OFFSET($GY$3,0,0,'Données projet'!$E$18+1,1))-AVERAGE(OFFSET($H$3,0,0,'Données projet'!$E$18+1,1))</f>
        <v>#N/A</v>
      </c>
      <c r="HA203" s="153" t="str">
        <f t="shared" si="53"/>
        <v>#N/A</v>
      </c>
      <c r="HB203" s="154">
        <f>IF(ISNA(VLOOKUP(A203,'Données projet'!$A$269:$I$289,3,0)),0,VLOOKUP(A203,'Données projet'!$A$269:$I$289,3,0))</f>
        <v>0</v>
      </c>
      <c r="HC203" s="154">
        <f>IF(ISNA(VLOOKUP(A203,'Données projet'!$A$269:$I$289,4,0)),0,VLOOKUP(A203,'Données projet'!$A$269:$I$289,4,0))</f>
        <v>0</v>
      </c>
      <c r="HD203" s="155">
        <f>IF(ISNA(VLOOKUP(A203,'Données projet'!$A$269:$I$289,5,0)),0%,VLOOKUP(A203,'Données projet'!$A$269:$I$289,5,0)*VLOOKUP('Données projet'!$B$18,'Paramètres'!$A$1:$I$88,7,0))</f>
        <v>0</v>
      </c>
      <c r="HE203" s="155">
        <f>IF(ISNA(VLOOKUP(A203,'Données projet'!$A$269:$I$289,6,0)),0%,VLOOKUP(A203,'Données projet'!$A$269:$I$289,6,0)*VLOOKUP('Données projet'!$B$18,'Paramètres'!$A$1:$I$88,7,0))</f>
        <v>0</v>
      </c>
      <c r="HF203" s="155">
        <f>IF(ISNA(VLOOKUP(A203,'Données projet'!$A$269:$I$289,7,0)),0%,VLOOKUP(A203,'Données projet'!$A$269:$I$289,7,0))</f>
        <v>0</v>
      </c>
      <c r="HG203" s="162" t="str">
        <f>EXP(-LN(2)/35)*HG202+(1-EXP(-LN(2)/35))/(LN(2)/35)*HC203*HD203*VLOOKUP('Données projet'!$B$18,'Paramètres'!$A$1:$I$88,3,0)*0.475*44/12</f>
        <v>#N/A</v>
      </c>
      <c r="HH203" s="162" t="str">
        <f>EXP(-LN(2)/25)*HH202+(1-EXP(-LN(2)/25))/(LN(2)/25)*Calculateur!HC203*Calculateur!HE203*VLOOKUP('Données projet'!$B$18,'Paramètres'!$A$1:$I$88,3,0)*0.475*44/12</f>
        <v>#N/A</v>
      </c>
      <c r="HI203" s="162" t="str">
        <f>EXP(-LN(2)/2)*HI202+(1-EXP(-LN(2)/2))/(LN(2)/2)*HC203*HF203*VLOOKUP('Données projet'!$B$18,'Paramètres'!$A$1:$I$88,3,0)*0.475*44/12</f>
        <v>#N/A</v>
      </c>
      <c r="HJ203" s="163" t="str">
        <f t="shared" si="31"/>
        <v>#N/A</v>
      </c>
    </row>
    <row r="204" ht="15.75" customHeight="1">
      <c r="A204" s="4"/>
      <c r="B204" s="145"/>
      <c r="C204" s="166"/>
      <c r="D204" s="167"/>
      <c r="E204" s="167"/>
      <c r="F204" s="167"/>
      <c r="G204" s="147">
        <f>'Scénario référence'!$B$8*B204*44/12+'Scénario référence'!$B$9*(C204+D204)/0.475*44/12+'Scénario référence'!$B$10*(C204+D204)/0.475*44/12+'Scénario référence'!$F$8*(C204+D204)/0.475*44/12+'Scénario référence'!$F$9*(C204+D204)/0.475*44/12</f>
        <v>0</v>
      </c>
      <c r="H204" s="166"/>
      <c r="I204" s="166"/>
      <c r="J204" s="166"/>
      <c r="K204" s="97" t="s">
        <v>137</v>
      </c>
      <c r="L204" s="32"/>
      <c r="M204" s="32"/>
      <c r="N204" s="32"/>
      <c r="O204" s="166"/>
      <c r="P204" s="166"/>
      <c r="Q204" s="167"/>
      <c r="R204" s="120"/>
      <c r="S204" s="120"/>
      <c r="T204" s="120"/>
      <c r="U204" s="32"/>
      <c r="V204" s="32"/>
      <c r="W204" s="168"/>
      <c r="X204" s="168"/>
      <c r="Y204" s="168"/>
      <c r="Z204" s="166"/>
      <c r="AA204" s="166"/>
      <c r="AB204" s="166"/>
      <c r="AC204" s="166"/>
      <c r="AD204" s="166"/>
      <c r="AE204" s="166"/>
      <c r="AF204" s="169" t="s">
        <v>137</v>
      </c>
      <c r="AG204" s="4"/>
      <c r="AH204" s="4"/>
      <c r="AI204" s="4"/>
      <c r="AJ204" s="4"/>
      <c r="AK204" s="4"/>
      <c r="AL204" s="4"/>
      <c r="AM204" s="4"/>
      <c r="AN204" s="4"/>
      <c r="AO204" s="4"/>
      <c r="AP204" s="4"/>
      <c r="AQ204" s="4"/>
      <c r="AR204" s="4"/>
      <c r="AS204" s="4"/>
      <c r="AT204" s="4"/>
      <c r="AU204" s="4"/>
      <c r="AV204" s="4"/>
      <c r="AW204" s="4"/>
      <c r="AX204" s="4"/>
      <c r="AY204" s="4"/>
      <c r="AZ204" s="4"/>
      <c r="BA204" s="169" t="s">
        <v>137</v>
      </c>
      <c r="BB204" s="4"/>
      <c r="BC204" s="4"/>
      <c r="BD204" s="4"/>
      <c r="BE204" s="4"/>
      <c r="BF204" s="4"/>
      <c r="BG204" s="4"/>
      <c r="BH204" s="4"/>
      <c r="BI204" s="4"/>
      <c r="BJ204" s="4"/>
      <c r="BK204" s="4"/>
      <c r="BL204" s="4"/>
      <c r="BM204" s="4"/>
      <c r="BN204" s="4"/>
      <c r="BO204" s="4"/>
      <c r="BP204" s="4"/>
      <c r="BQ204" s="4"/>
      <c r="BR204" s="4"/>
      <c r="BS204" s="4"/>
      <c r="BT204" s="4"/>
      <c r="BU204" s="4"/>
      <c r="BV204" s="169" t="s">
        <v>137</v>
      </c>
      <c r="BW204" s="4"/>
      <c r="BX204" s="4"/>
      <c r="BY204" s="4"/>
      <c r="BZ204" s="4"/>
      <c r="CA204" s="4"/>
      <c r="CB204" s="4"/>
      <c r="CC204" s="4"/>
      <c r="CD204" s="4"/>
      <c r="CE204" s="4"/>
      <c r="CF204" s="4"/>
      <c r="CG204" s="4"/>
      <c r="CH204" s="4"/>
      <c r="CI204" s="4"/>
      <c r="CJ204" s="4"/>
      <c r="CK204" s="4"/>
      <c r="CL204" s="4"/>
      <c r="CM204" s="4"/>
      <c r="CN204" s="4"/>
      <c r="CO204" s="4"/>
      <c r="CP204" s="4"/>
      <c r="CQ204" s="169" t="s">
        <v>137</v>
      </c>
      <c r="CR204" s="4"/>
      <c r="CS204" s="4"/>
      <c r="CT204" s="4"/>
      <c r="CU204" s="4"/>
      <c r="CV204" s="4"/>
      <c r="CW204" s="4"/>
      <c r="CX204" s="4"/>
      <c r="CY204" s="4"/>
      <c r="CZ204" s="4"/>
      <c r="DA204" s="4"/>
      <c r="DB204" s="4"/>
      <c r="DC204" s="4"/>
      <c r="DD204" s="4"/>
      <c r="DE204" s="4"/>
      <c r="DF204" s="4"/>
      <c r="DG204" s="4"/>
      <c r="DH204" s="4"/>
      <c r="DI204" s="4"/>
      <c r="DJ204" s="4"/>
      <c r="DK204" s="4"/>
      <c r="DL204" s="169" t="s">
        <v>137</v>
      </c>
      <c r="DM204" s="4"/>
      <c r="DN204" s="4"/>
      <c r="DO204" s="4"/>
      <c r="DP204" s="4"/>
      <c r="DQ204" s="4"/>
      <c r="DR204" s="4"/>
      <c r="DS204" s="4"/>
      <c r="DT204" s="4"/>
      <c r="DU204" s="4"/>
      <c r="DV204" s="4"/>
      <c r="DW204" s="4"/>
      <c r="DX204" s="4"/>
      <c r="DY204" s="4"/>
      <c r="DZ204" s="4"/>
      <c r="EA204" s="4"/>
      <c r="EB204" s="4"/>
      <c r="EC204" s="4"/>
      <c r="ED204" s="4"/>
      <c r="EE204" s="4"/>
      <c r="EF204" s="4"/>
      <c r="EG204" s="169" t="s">
        <v>137</v>
      </c>
      <c r="EH204" s="4"/>
      <c r="EI204" s="4"/>
      <c r="EJ204" s="4"/>
      <c r="EK204" s="4"/>
      <c r="EL204" s="4"/>
      <c r="EM204" s="4"/>
      <c r="EN204" s="4"/>
      <c r="EO204" s="4"/>
      <c r="EP204" s="4"/>
      <c r="EQ204" s="4"/>
      <c r="ER204" s="4"/>
      <c r="ES204" s="4"/>
      <c r="ET204" s="4"/>
      <c r="EU204" s="4"/>
      <c r="EV204" s="4"/>
      <c r="EW204" s="4"/>
      <c r="EX204" s="4"/>
      <c r="EY204" s="4"/>
      <c r="EZ204" s="4"/>
      <c r="FA204" s="4"/>
      <c r="FB204" s="169" t="s">
        <v>137</v>
      </c>
      <c r="FC204" s="4"/>
      <c r="FD204" s="4"/>
      <c r="FE204" s="4"/>
      <c r="FF204" s="4"/>
      <c r="FG204" s="4"/>
      <c r="FH204" s="4"/>
      <c r="FI204" s="4"/>
      <c r="FJ204" s="4"/>
      <c r="FK204" s="4"/>
      <c r="FL204" s="4"/>
      <c r="FM204" s="4"/>
      <c r="FN204" s="4"/>
      <c r="FO204" s="4"/>
      <c r="FP204" s="4"/>
      <c r="FQ204" s="4"/>
      <c r="FR204" s="4"/>
      <c r="FS204" s="4"/>
      <c r="FT204" s="4"/>
      <c r="FU204" s="4"/>
      <c r="FV204" s="4"/>
      <c r="FW204" s="169" t="s">
        <v>137</v>
      </c>
      <c r="FX204" s="4"/>
      <c r="FY204" s="4"/>
      <c r="FZ204" s="4"/>
      <c r="GA204" s="4"/>
      <c r="GB204" s="4"/>
      <c r="GC204" s="4"/>
      <c r="GD204" s="4"/>
      <c r="GE204" s="4"/>
      <c r="GF204" s="4"/>
      <c r="GG204" s="4"/>
      <c r="GH204" s="4"/>
      <c r="GI204" s="4"/>
      <c r="GJ204" s="4"/>
      <c r="GK204" s="4"/>
      <c r="GL204" s="4"/>
      <c r="GM204" s="4"/>
      <c r="GN204" s="4"/>
      <c r="GO204" s="4"/>
      <c r="GP204" s="4"/>
      <c r="GQ204" s="4"/>
      <c r="GR204" s="169" t="s">
        <v>137</v>
      </c>
      <c r="GS204" s="4"/>
      <c r="GT204" s="4"/>
      <c r="GU204" s="4"/>
      <c r="GV204" s="4"/>
      <c r="GW204" s="4"/>
      <c r="GX204" s="4"/>
      <c r="GY204" s="4"/>
      <c r="GZ204" s="4"/>
      <c r="HA204" s="4"/>
      <c r="HB204" s="4"/>
      <c r="HC204" s="4"/>
      <c r="HD204" s="4"/>
      <c r="HE204" s="4"/>
      <c r="HF204" s="4"/>
      <c r="HG204" s="4"/>
      <c r="HH204" s="4"/>
      <c r="HI204" s="4"/>
      <c r="HJ204" s="4"/>
    </row>
    <row r="205" ht="15.75" customHeight="1">
      <c r="A205" s="4"/>
      <c r="B205" s="145"/>
      <c r="C205" s="166"/>
      <c r="D205" s="167"/>
      <c r="E205" s="167"/>
      <c r="F205" s="167"/>
      <c r="G205" s="147">
        <f>'Scénario référence'!$B$8*B205*44/12+'Scénario référence'!$B$9*(C205+D205)/0.475*44/12+'Scénario référence'!$B$10*(C205+D205)/0.475*44/12+'Scénario référence'!$F$8*(C205+D205)/0.475*44/12+'Scénario référence'!$F$9*(C205+D205)/0.475*44/12</f>
        <v>0</v>
      </c>
      <c r="H205" s="166"/>
      <c r="I205" s="166"/>
      <c r="J205" s="166"/>
      <c r="K205" s="170">
        <f>EXP(LN('Données projet'!B36)/'Données projet'!A36)</f>
        <v>1.239270589</v>
      </c>
      <c r="L205" s="32"/>
      <c r="M205" s="32"/>
      <c r="N205" s="32"/>
      <c r="O205" s="166"/>
      <c r="P205" s="166"/>
      <c r="Q205" s="167"/>
      <c r="R205" s="120"/>
      <c r="S205" s="120"/>
      <c r="T205" s="120"/>
      <c r="U205" s="32"/>
      <c r="V205" s="32"/>
      <c r="W205" s="168"/>
      <c r="X205" s="168"/>
      <c r="Y205" s="168"/>
      <c r="Z205" s="166"/>
      <c r="AA205" s="166"/>
      <c r="AB205" s="166"/>
      <c r="AC205" s="166"/>
      <c r="AD205" s="166"/>
      <c r="AE205" s="166"/>
      <c r="AF205" s="171">
        <f>EXP(LN('Données projet'!B62)/'Données projet'!A62)</f>
        <v>1.342379651</v>
      </c>
      <c r="AG205" s="4"/>
      <c r="AH205" s="4"/>
      <c r="AI205" s="4"/>
      <c r="AJ205" s="4"/>
      <c r="AK205" s="4"/>
      <c r="AL205" s="4"/>
      <c r="AM205" s="4"/>
      <c r="AN205" s="4"/>
      <c r="AO205" s="4"/>
      <c r="AP205" s="4"/>
      <c r="AQ205" s="4"/>
      <c r="AR205" s="4"/>
      <c r="AS205" s="4"/>
      <c r="AT205" s="4"/>
      <c r="AU205" s="4"/>
      <c r="AV205" s="4"/>
      <c r="AW205" s="4"/>
      <c r="AX205" s="4"/>
      <c r="AY205" s="4"/>
      <c r="AZ205" s="4"/>
      <c r="BA205" s="170" t="str">
        <f>EXP(LN('Données projet'!B88)/'Données projet'!A88)</f>
        <v>#NUM!</v>
      </c>
      <c r="BB205" s="4"/>
      <c r="BC205" s="4"/>
      <c r="BD205" s="4"/>
      <c r="BE205" s="4"/>
      <c r="BF205" s="4"/>
      <c r="BG205" s="4"/>
      <c r="BH205" s="4"/>
      <c r="BI205" s="4"/>
      <c r="BJ205" s="4"/>
      <c r="BK205" s="4"/>
      <c r="BL205" s="4"/>
      <c r="BM205" s="4"/>
      <c r="BN205" s="4"/>
      <c r="BO205" s="4"/>
      <c r="BP205" s="4"/>
      <c r="BQ205" s="4"/>
      <c r="BR205" s="4"/>
      <c r="BS205" s="4"/>
      <c r="BT205" s="4"/>
      <c r="BU205" s="4"/>
      <c r="BV205" s="170" t="str">
        <f>EXP(LN('Données projet'!B114)/'Données projet'!A114)</f>
        <v>#NUM!</v>
      </c>
      <c r="BW205" s="4"/>
      <c r="BX205" s="4"/>
      <c r="BY205" s="4"/>
      <c r="BZ205" s="4"/>
      <c r="CA205" s="4"/>
      <c r="CB205" s="4"/>
      <c r="CC205" s="4"/>
      <c r="CD205" s="4"/>
      <c r="CE205" s="4"/>
      <c r="CF205" s="4"/>
      <c r="CG205" s="4"/>
      <c r="CH205" s="4"/>
      <c r="CI205" s="4"/>
      <c r="CJ205" s="4"/>
      <c r="CK205" s="4"/>
      <c r="CL205" s="4"/>
      <c r="CM205" s="4"/>
      <c r="CN205" s="4"/>
      <c r="CO205" s="4"/>
      <c r="CP205" s="4"/>
      <c r="CQ205" s="170" t="str">
        <f>EXP(LN('Données projet'!B140)/'Données projet'!A140)</f>
        <v>#NUM!</v>
      </c>
      <c r="CR205" s="4"/>
      <c r="CS205" s="4"/>
      <c r="CT205" s="4"/>
      <c r="CU205" s="4"/>
      <c r="CV205" s="4"/>
      <c r="CW205" s="4"/>
      <c r="CX205" s="4"/>
      <c r="CY205" s="4"/>
      <c r="CZ205" s="4"/>
      <c r="DA205" s="4"/>
      <c r="DB205" s="4"/>
      <c r="DC205" s="4"/>
      <c r="DD205" s="4"/>
      <c r="DE205" s="4"/>
      <c r="DF205" s="4"/>
      <c r="DG205" s="4"/>
      <c r="DH205" s="4"/>
      <c r="DI205" s="4"/>
      <c r="DJ205" s="4"/>
      <c r="DK205" s="4"/>
      <c r="DL205" s="170" t="str">
        <f>EXP(LN('Données projet'!B166)/'Données projet'!A166)</f>
        <v>#NUM!</v>
      </c>
      <c r="DM205" s="4"/>
      <c r="DN205" s="4"/>
      <c r="DO205" s="4"/>
      <c r="DP205" s="4"/>
      <c r="DQ205" s="4"/>
      <c r="DR205" s="4"/>
      <c r="DS205" s="4"/>
      <c r="DT205" s="4"/>
      <c r="DU205" s="4"/>
      <c r="DV205" s="4"/>
      <c r="DW205" s="4"/>
      <c r="DX205" s="4"/>
      <c r="DY205" s="4"/>
      <c r="DZ205" s="4"/>
      <c r="EA205" s="4"/>
      <c r="EB205" s="4"/>
      <c r="EC205" s="4"/>
      <c r="ED205" s="4"/>
      <c r="EE205" s="4"/>
      <c r="EF205" s="4"/>
      <c r="EG205" s="170" t="str">
        <f>EXP(LN('Données projet'!B192)/'Données projet'!A192)</f>
        <v>#NUM!</v>
      </c>
      <c r="EH205" s="4"/>
      <c r="EI205" s="4"/>
      <c r="EJ205" s="4"/>
      <c r="EK205" s="4"/>
      <c r="EL205" s="4"/>
      <c r="EM205" s="4"/>
      <c r="EN205" s="4"/>
      <c r="EO205" s="4"/>
      <c r="EP205" s="4"/>
      <c r="EQ205" s="4"/>
      <c r="ER205" s="4"/>
      <c r="ES205" s="4"/>
      <c r="ET205" s="4"/>
      <c r="EU205" s="4"/>
      <c r="EV205" s="4"/>
      <c r="EW205" s="4"/>
      <c r="EX205" s="4"/>
      <c r="EY205" s="4"/>
      <c r="EZ205" s="4"/>
      <c r="FA205" s="4"/>
      <c r="FB205" s="170" t="str">
        <f>EXP(LN('Données projet'!B218)/'Données projet'!A218)</f>
        <v>#NUM!</v>
      </c>
      <c r="FC205" s="4"/>
      <c r="FD205" s="4"/>
      <c r="FE205" s="4"/>
      <c r="FF205" s="4"/>
      <c r="FG205" s="4"/>
      <c r="FH205" s="4"/>
      <c r="FI205" s="4"/>
      <c r="FJ205" s="4"/>
      <c r="FK205" s="4"/>
      <c r="FL205" s="4"/>
      <c r="FM205" s="4"/>
      <c r="FN205" s="4"/>
      <c r="FO205" s="4"/>
      <c r="FP205" s="4"/>
      <c r="FQ205" s="4"/>
      <c r="FR205" s="4"/>
      <c r="FS205" s="4"/>
      <c r="FT205" s="4"/>
      <c r="FU205" s="4"/>
      <c r="FV205" s="4"/>
      <c r="FW205" s="170" t="str">
        <f>EXP(LN('Données projet'!B244)/'Données projet'!A244)</f>
        <v>#NUM!</v>
      </c>
      <c r="FX205" s="4"/>
      <c r="FY205" s="4"/>
      <c r="FZ205" s="4"/>
      <c r="GA205" s="4"/>
      <c r="GB205" s="4"/>
      <c r="GC205" s="4"/>
      <c r="GD205" s="4"/>
      <c r="GE205" s="4"/>
      <c r="GF205" s="4"/>
      <c r="GG205" s="4"/>
      <c r="GH205" s="4"/>
      <c r="GI205" s="4"/>
      <c r="GJ205" s="4"/>
      <c r="GK205" s="4"/>
      <c r="GL205" s="4"/>
      <c r="GM205" s="4"/>
      <c r="GN205" s="4"/>
      <c r="GO205" s="4"/>
      <c r="GP205" s="4"/>
      <c r="GQ205" s="4"/>
      <c r="GR205" s="170" t="str">
        <f>EXP(LN('Données projet'!B270)/'Données projet'!A270)</f>
        <v>#NUM!</v>
      </c>
      <c r="GS205" s="4"/>
      <c r="GT205" s="4"/>
      <c r="GU205" s="4"/>
      <c r="GV205" s="4"/>
      <c r="GW205" s="4"/>
      <c r="GX205" s="4"/>
      <c r="GY205" s="4"/>
      <c r="GZ205" s="4"/>
      <c r="HA205" s="4"/>
      <c r="HB205" s="4"/>
      <c r="HC205" s="4"/>
      <c r="HD205" s="4"/>
      <c r="HE205" s="4"/>
      <c r="HF205" s="4"/>
      <c r="HG205" s="4"/>
      <c r="HH205" s="4"/>
      <c r="HI205" s="4"/>
      <c r="HJ205" s="4"/>
    </row>
  </sheetData>
  <mergeCells count="11">
    <mergeCell ref="EE1:EY1"/>
    <mergeCell ref="EZ1:FT1"/>
    <mergeCell ref="FU1:GO1"/>
    <mergeCell ref="GP1:HJ1"/>
    <mergeCell ref="B1:H1"/>
    <mergeCell ref="I1:AC1"/>
    <mergeCell ref="AD1:AX1"/>
    <mergeCell ref="AY1:BS1"/>
    <mergeCell ref="BT1:CN1"/>
    <mergeCell ref="CO1:DI1"/>
    <mergeCell ref="DJ1:ED1"/>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3.43"/>
    <col customWidth="1" min="2" max="2" width="27.71"/>
    <col customWidth="1" min="3" max="3" width="11.86"/>
    <col customWidth="1" min="4" max="4" width="40.0"/>
    <col customWidth="1" min="5" max="5" width="11.86"/>
    <col customWidth="1" min="6" max="6" width="13.71"/>
    <col customWidth="1" min="7" max="7" width="11.43"/>
    <col customWidth="1" min="8" max="8" width="39.0"/>
    <col customWidth="1" min="9" max="9" width="16.71"/>
    <col customWidth="1" min="10" max="14" width="10.57"/>
    <col customWidth="1" min="15" max="15" width="23.43"/>
    <col customWidth="1" min="16" max="16" width="10.57"/>
    <col customWidth="1" min="17" max="26" width="10.71"/>
  </cols>
  <sheetData>
    <row r="1">
      <c r="A1" s="172" t="s">
        <v>138</v>
      </c>
      <c r="B1" s="173" t="s">
        <v>139</v>
      </c>
      <c r="C1" s="174" t="s">
        <v>140</v>
      </c>
      <c r="D1" s="173" t="s">
        <v>141</v>
      </c>
      <c r="E1" s="174" t="s">
        <v>142</v>
      </c>
      <c r="F1" s="174" t="s">
        <v>141</v>
      </c>
      <c r="G1" s="174" t="s">
        <v>143</v>
      </c>
      <c r="H1" s="174" t="s">
        <v>141</v>
      </c>
      <c r="I1" s="175" t="s">
        <v>144</v>
      </c>
      <c r="J1" s="32"/>
      <c r="K1" s="32"/>
      <c r="L1" s="32"/>
      <c r="M1" s="32"/>
      <c r="N1" s="32"/>
      <c r="O1" s="4"/>
      <c r="P1" s="4"/>
      <c r="Q1" s="4"/>
      <c r="R1" s="4"/>
      <c r="S1" s="4"/>
      <c r="T1" s="4"/>
      <c r="U1" s="4"/>
      <c r="V1" s="4"/>
      <c r="W1" s="4"/>
      <c r="X1" s="4"/>
      <c r="Y1" s="4"/>
      <c r="Z1" s="4"/>
    </row>
    <row r="2">
      <c r="A2" s="176" t="s">
        <v>22</v>
      </c>
      <c r="B2" s="177" t="s">
        <v>145</v>
      </c>
      <c r="C2" s="178">
        <v>0.62</v>
      </c>
      <c r="D2" s="178" t="s">
        <v>146</v>
      </c>
      <c r="E2" s="178">
        <v>1.56</v>
      </c>
      <c r="F2" s="178" t="s">
        <v>147</v>
      </c>
      <c r="G2" s="179">
        <v>0.43</v>
      </c>
      <c r="H2" s="180" t="s">
        <v>148</v>
      </c>
      <c r="I2" s="181">
        <v>0.25</v>
      </c>
      <c r="J2" s="32"/>
      <c r="K2" s="32"/>
      <c r="L2" s="32"/>
      <c r="M2" s="32"/>
      <c r="N2" s="32"/>
      <c r="O2" s="182" t="s">
        <v>149</v>
      </c>
      <c r="P2" s="183">
        <v>0.0</v>
      </c>
      <c r="Q2" s="4"/>
      <c r="R2" s="4"/>
      <c r="S2" s="4"/>
      <c r="T2" s="4"/>
      <c r="U2" s="4"/>
      <c r="V2" s="4"/>
      <c r="W2" s="4"/>
      <c r="X2" s="4"/>
      <c r="Y2" s="4"/>
      <c r="Z2" s="4"/>
    </row>
    <row r="3">
      <c r="A3" s="184" t="s">
        <v>150</v>
      </c>
      <c r="B3" s="185" t="s">
        <v>151</v>
      </c>
      <c r="C3" s="186">
        <v>0.64</v>
      </c>
      <c r="D3" s="186" t="s">
        <v>146</v>
      </c>
      <c r="E3" s="186">
        <v>1.56</v>
      </c>
      <c r="F3" s="187" t="s">
        <v>147</v>
      </c>
      <c r="G3" s="188">
        <v>0.43</v>
      </c>
      <c r="H3" s="186" t="s">
        <v>148</v>
      </c>
      <c r="I3" s="189">
        <v>0.25</v>
      </c>
      <c r="J3" s="32"/>
      <c r="K3" s="32"/>
      <c r="L3" s="32"/>
      <c r="M3" s="32"/>
      <c r="N3" s="32"/>
      <c r="O3" s="190"/>
      <c r="P3" s="191">
        <v>0.2</v>
      </c>
      <c r="Q3" s="4"/>
      <c r="R3" s="4"/>
      <c r="S3" s="4"/>
      <c r="T3" s="4"/>
      <c r="U3" s="4"/>
      <c r="V3" s="4"/>
      <c r="W3" s="4"/>
      <c r="X3" s="4"/>
      <c r="Y3" s="4"/>
      <c r="Z3" s="4"/>
    </row>
    <row r="4">
      <c r="A4" s="184" t="s">
        <v>152</v>
      </c>
      <c r="B4" s="185" t="s">
        <v>153</v>
      </c>
      <c r="C4" s="186">
        <v>0.42</v>
      </c>
      <c r="D4" s="186" t="s">
        <v>146</v>
      </c>
      <c r="E4" s="186">
        <v>1.56</v>
      </c>
      <c r="F4" s="187" t="s">
        <v>147</v>
      </c>
      <c r="G4" s="188">
        <v>0.43</v>
      </c>
      <c r="H4" s="186" t="s">
        <v>148</v>
      </c>
      <c r="I4" s="189">
        <v>0.25</v>
      </c>
      <c r="J4" s="32"/>
      <c r="K4" s="32"/>
      <c r="L4" s="32"/>
      <c r="M4" s="32"/>
      <c r="N4" s="32"/>
      <c r="O4" s="4"/>
      <c r="P4" s="4"/>
      <c r="Q4" s="4"/>
      <c r="R4" s="4"/>
      <c r="S4" s="4"/>
      <c r="T4" s="4"/>
      <c r="U4" s="4"/>
      <c r="V4" s="4"/>
      <c r="W4" s="4"/>
      <c r="X4" s="4"/>
      <c r="Y4" s="4"/>
      <c r="Z4" s="4"/>
    </row>
    <row r="5">
      <c r="A5" s="184" t="s">
        <v>154</v>
      </c>
      <c r="B5" s="185" t="s">
        <v>155</v>
      </c>
      <c r="C5" s="186">
        <v>0.42</v>
      </c>
      <c r="D5" s="186" t="s">
        <v>146</v>
      </c>
      <c r="E5" s="186">
        <v>1.56</v>
      </c>
      <c r="F5" s="187" t="s">
        <v>147</v>
      </c>
      <c r="G5" s="188">
        <v>0.43</v>
      </c>
      <c r="H5" s="186" t="s">
        <v>148</v>
      </c>
      <c r="I5" s="189">
        <v>0.25</v>
      </c>
      <c r="J5" s="32"/>
      <c r="K5" s="32"/>
      <c r="L5" s="32"/>
      <c r="M5" s="32"/>
      <c r="N5" s="32"/>
      <c r="O5" s="182" t="s">
        <v>156</v>
      </c>
      <c r="P5" s="183">
        <v>0.0</v>
      </c>
      <c r="Q5" s="4"/>
      <c r="R5" s="4"/>
      <c r="S5" s="4"/>
      <c r="T5" s="4"/>
      <c r="U5" s="4"/>
      <c r="V5" s="4"/>
      <c r="W5" s="4"/>
      <c r="X5" s="4"/>
      <c r="Y5" s="4"/>
      <c r="Z5" s="4"/>
    </row>
    <row r="6">
      <c r="A6" s="184" t="s">
        <v>157</v>
      </c>
      <c r="B6" s="185" t="s">
        <v>158</v>
      </c>
      <c r="C6" s="186">
        <v>0.42</v>
      </c>
      <c r="D6" s="186" t="s">
        <v>146</v>
      </c>
      <c r="E6" s="186">
        <v>1.56</v>
      </c>
      <c r="F6" s="187" t="s">
        <v>147</v>
      </c>
      <c r="G6" s="188">
        <v>0.43</v>
      </c>
      <c r="H6" s="186" t="s">
        <v>148</v>
      </c>
      <c r="I6" s="189">
        <v>0.25</v>
      </c>
      <c r="J6" s="32"/>
      <c r="K6" s="32"/>
      <c r="L6" s="32"/>
      <c r="M6" s="32"/>
      <c r="N6" s="32"/>
      <c r="O6" s="192"/>
      <c r="P6" s="193">
        <v>0.05</v>
      </c>
      <c r="Q6" s="4"/>
      <c r="R6" s="4"/>
      <c r="S6" s="4"/>
      <c r="T6" s="4"/>
      <c r="U6" s="4"/>
      <c r="V6" s="4"/>
      <c r="W6" s="4"/>
      <c r="X6" s="4"/>
      <c r="Y6" s="4"/>
      <c r="Z6" s="4"/>
    </row>
    <row r="7">
      <c r="A7" s="184" t="s">
        <v>159</v>
      </c>
      <c r="B7" s="185" t="s">
        <v>160</v>
      </c>
      <c r="C7" s="186">
        <v>0.52</v>
      </c>
      <c r="D7" s="186" t="s">
        <v>146</v>
      </c>
      <c r="E7" s="186">
        <v>1.56</v>
      </c>
      <c r="F7" s="187" t="s">
        <v>147</v>
      </c>
      <c r="G7" s="188">
        <v>0.43</v>
      </c>
      <c r="H7" s="186" t="s">
        <v>148</v>
      </c>
      <c r="I7" s="189">
        <v>0.25</v>
      </c>
      <c r="J7" s="32"/>
      <c r="K7" s="32"/>
      <c r="L7" s="32"/>
      <c r="M7" s="32"/>
      <c r="N7" s="32"/>
      <c r="O7" s="192"/>
      <c r="P7" s="193">
        <v>0.1</v>
      </c>
      <c r="Q7" s="4"/>
      <c r="R7" s="4"/>
      <c r="S7" s="4"/>
      <c r="T7" s="4"/>
      <c r="U7" s="4"/>
      <c r="V7" s="4"/>
      <c r="W7" s="4"/>
      <c r="X7" s="4"/>
      <c r="Y7" s="4"/>
      <c r="Z7" s="4"/>
    </row>
    <row r="8">
      <c r="A8" s="184" t="s">
        <v>161</v>
      </c>
      <c r="B8" s="185" t="s">
        <v>162</v>
      </c>
      <c r="C8" s="186">
        <v>0.36</v>
      </c>
      <c r="D8" s="186" t="s">
        <v>146</v>
      </c>
      <c r="E8" s="186">
        <v>1.3</v>
      </c>
      <c r="F8" s="187" t="s">
        <v>147</v>
      </c>
      <c r="G8" s="188">
        <v>0.55</v>
      </c>
      <c r="H8" s="186" t="s">
        <v>163</v>
      </c>
      <c r="I8" s="189">
        <v>0.43</v>
      </c>
      <c r="J8" s="32"/>
      <c r="K8" s="32"/>
      <c r="L8" s="32"/>
      <c r="M8" s="32"/>
      <c r="N8" s="32"/>
      <c r="O8" s="190"/>
      <c r="P8" s="191">
        <v>0.15</v>
      </c>
      <c r="Q8" s="4"/>
      <c r="R8" s="4"/>
      <c r="S8" s="4"/>
      <c r="T8" s="4"/>
      <c r="U8" s="4"/>
      <c r="V8" s="4"/>
      <c r="W8" s="4"/>
      <c r="X8" s="4"/>
      <c r="Y8" s="4"/>
      <c r="Z8" s="4"/>
    </row>
    <row r="9">
      <c r="A9" s="184" t="s">
        <v>164</v>
      </c>
      <c r="B9" s="185" t="s">
        <v>165</v>
      </c>
      <c r="C9" s="186">
        <v>0.61</v>
      </c>
      <c r="D9" s="186" t="s">
        <v>146</v>
      </c>
      <c r="E9" s="186">
        <v>1.56</v>
      </c>
      <c r="F9" s="187" t="s">
        <v>147</v>
      </c>
      <c r="G9" s="188">
        <v>0.43</v>
      </c>
      <c r="H9" s="186" t="s">
        <v>148</v>
      </c>
      <c r="I9" s="189">
        <v>0.25</v>
      </c>
      <c r="J9" s="32"/>
      <c r="K9" s="32"/>
      <c r="L9" s="32"/>
      <c r="M9" s="32"/>
      <c r="N9" s="32"/>
      <c r="O9" s="4"/>
      <c r="P9" s="4"/>
      <c r="Q9" s="4"/>
      <c r="R9" s="4"/>
      <c r="S9" s="4"/>
      <c r="T9" s="4"/>
      <c r="U9" s="4"/>
      <c r="V9" s="4"/>
      <c r="W9" s="4"/>
      <c r="X9" s="4"/>
      <c r="Y9" s="4"/>
      <c r="Z9" s="4"/>
    </row>
    <row r="10">
      <c r="A10" s="184" t="s">
        <v>166</v>
      </c>
      <c r="B10" s="185" t="s">
        <v>167</v>
      </c>
      <c r="C10" s="186">
        <v>0.66</v>
      </c>
      <c r="D10" s="186" t="s">
        <v>146</v>
      </c>
      <c r="E10" s="186">
        <v>1.56</v>
      </c>
      <c r="F10" s="187" t="s">
        <v>147</v>
      </c>
      <c r="G10" s="188">
        <v>0.43</v>
      </c>
      <c r="H10" s="186" t="s">
        <v>148</v>
      </c>
      <c r="I10" s="189">
        <v>0.25</v>
      </c>
      <c r="J10" s="32"/>
      <c r="K10" s="32"/>
      <c r="L10" s="32"/>
      <c r="M10" s="32"/>
      <c r="N10" s="32"/>
      <c r="O10" s="182" t="s">
        <v>168</v>
      </c>
      <c r="P10" s="183">
        <v>0.0</v>
      </c>
      <c r="Q10" s="4"/>
      <c r="R10" s="4"/>
      <c r="S10" s="4"/>
      <c r="T10" s="4"/>
      <c r="U10" s="4"/>
      <c r="V10" s="4"/>
      <c r="W10" s="4"/>
      <c r="X10" s="4"/>
      <c r="Y10" s="4"/>
      <c r="Z10" s="4"/>
    </row>
    <row r="11">
      <c r="A11" s="184" t="s">
        <v>169</v>
      </c>
      <c r="B11" s="185" t="s">
        <v>170</v>
      </c>
      <c r="C11" s="186">
        <v>0.47</v>
      </c>
      <c r="D11" s="186" t="s">
        <v>146</v>
      </c>
      <c r="E11" s="186">
        <v>1.56</v>
      </c>
      <c r="F11" s="187" t="s">
        <v>147</v>
      </c>
      <c r="G11" s="188">
        <v>0.43</v>
      </c>
      <c r="H11" s="186" t="s">
        <v>148</v>
      </c>
      <c r="I11" s="189">
        <v>0.25</v>
      </c>
      <c r="J11" s="32"/>
      <c r="K11" s="32"/>
      <c r="L11" s="32"/>
      <c r="M11" s="32"/>
      <c r="N11" s="32"/>
      <c r="O11" s="190"/>
      <c r="P11" s="191">
        <v>0.1</v>
      </c>
      <c r="Q11" s="4"/>
      <c r="R11" s="4"/>
      <c r="S11" s="4"/>
      <c r="T11" s="4"/>
      <c r="U11" s="4"/>
      <c r="V11" s="4"/>
      <c r="W11" s="4"/>
      <c r="X11" s="4"/>
      <c r="Y11" s="4"/>
      <c r="Z11" s="4"/>
    </row>
    <row r="12">
      <c r="A12" s="184" t="s">
        <v>171</v>
      </c>
      <c r="B12" s="185" t="s">
        <v>172</v>
      </c>
      <c r="C12" s="186">
        <v>0.67</v>
      </c>
      <c r="D12" s="186" t="s">
        <v>146</v>
      </c>
      <c r="E12" s="186">
        <v>1.56</v>
      </c>
      <c r="F12" s="187" t="s">
        <v>147</v>
      </c>
      <c r="G12" s="188">
        <v>0.43</v>
      </c>
      <c r="H12" s="186" t="s">
        <v>173</v>
      </c>
      <c r="I12" s="189">
        <v>0.25</v>
      </c>
      <c r="J12" s="32"/>
      <c r="K12" s="32"/>
      <c r="L12" s="32"/>
      <c r="M12" s="32"/>
      <c r="N12" s="32"/>
      <c r="O12" s="4"/>
      <c r="P12" s="4"/>
      <c r="Q12" s="4"/>
      <c r="R12" s="4"/>
      <c r="S12" s="4"/>
      <c r="T12" s="4"/>
      <c r="U12" s="4"/>
      <c r="V12" s="4"/>
      <c r="W12" s="4"/>
      <c r="X12" s="4"/>
      <c r="Y12" s="4"/>
      <c r="Z12" s="4"/>
    </row>
    <row r="13">
      <c r="A13" s="184" t="s">
        <v>174</v>
      </c>
      <c r="B13" s="185" t="s">
        <v>175</v>
      </c>
      <c r="C13" s="186">
        <v>0.7</v>
      </c>
      <c r="D13" s="186" t="s">
        <v>146</v>
      </c>
      <c r="E13" s="186">
        <v>1.56</v>
      </c>
      <c r="F13" s="187" t="s">
        <v>147</v>
      </c>
      <c r="G13" s="188">
        <v>0.43</v>
      </c>
      <c r="H13" s="186" t="s">
        <v>173</v>
      </c>
      <c r="I13" s="189">
        <v>0.25</v>
      </c>
      <c r="J13" s="32"/>
      <c r="K13" s="32"/>
      <c r="L13" s="32"/>
      <c r="M13" s="32"/>
      <c r="N13" s="32"/>
      <c r="O13" s="4"/>
      <c r="P13" s="4"/>
      <c r="Q13" s="4"/>
      <c r="R13" s="4"/>
      <c r="S13" s="4"/>
      <c r="T13" s="4"/>
      <c r="U13" s="4"/>
      <c r="V13" s="4"/>
      <c r="W13" s="4"/>
      <c r="X13" s="4"/>
      <c r="Y13" s="4"/>
      <c r="Z13" s="4"/>
    </row>
    <row r="14">
      <c r="A14" s="184" t="s">
        <v>176</v>
      </c>
      <c r="B14" s="185" t="s">
        <v>177</v>
      </c>
      <c r="C14" s="186">
        <v>0.54</v>
      </c>
      <c r="D14" s="186" t="s">
        <v>146</v>
      </c>
      <c r="E14" s="186">
        <v>1.56</v>
      </c>
      <c r="F14" s="187" t="s">
        <v>147</v>
      </c>
      <c r="G14" s="188">
        <v>0.43</v>
      </c>
      <c r="H14" s="186" t="s">
        <v>173</v>
      </c>
      <c r="I14" s="189">
        <v>0.25</v>
      </c>
      <c r="J14" s="32"/>
      <c r="K14" s="32"/>
      <c r="L14" s="32"/>
      <c r="M14" s="32"/>
      <c r="N14" s="32"/>
      <c r="O14" s="4"/>
      <c r="P14" s="4"/>
      <c r="Q14" s="4"/>
      <c r="R14" s="4"/>
      <c r="S14" s="4"/>
      <c r="T14" s="4"/>
      <c r="U14" s="4"/>
      <c r="V14" s="4"/>
      <c r="W14" s="4"/>
      <c r="X14" s="4"/>
      <c r="Y14" s="4"/>
      <c r="Z14" s="4"/>
    </row>
    <row r="15">
      <c r="A15" s="184" t="s">
        <v>178</v>
      </c>
      <c r="B15" s="185" t="s">
        <v>179</v>
      </c>
      <c r="C15" s="186">
        <v>0.65</v>
      </c>
      <c r="D15" s="186" t="s">
        <v>146</v>
      </c>
      <c r="E15" s="186">
        <v>1.56</v>
      </c>
      <c r="F15" s="187" t="s">
        <v>147</v>
      </c>
      <c r="G15" s="188">
        <v>0.43</v>
      </c>
      <c r="H15" s="186" t="s">
        <v>173</v>
      </c>
      <c r="I15" s="189">
        <v>0.25</v>
      </c>
      <c r="J15" s="32"/>
      <c r="K15" s="32"/>
      <c r="L15" s="32"/>
      <c r="M15" s="32"/>
      <c r="N15" s="32"/>
      <c r="O15" s="4"/>
      <c r="P15" s="4"/>
      <c r="Q15" s="4"/>
      <c r="R15" s="4"/>
      <c r="S15" s="4"/>
      <c r="T15" s="4"/>
      <c r="U15" s="4"/>
      <c r="V15" s="4"/>
      <c r="W15" s="4"/>
      <c r="X15" s="4"/>
      <c r="Y15" s="4"/>
      <c r="Z15" s="4"/>
    </row>
    <row r="16">
      <c r="A16" s="184" t="s">
        <v>180</v>
      </c>
      <c r="B16" s="185" t="s">
        <v>181</v>
      </c>
      <c r="C16" s="186">
        <v>0.56</v>
      </c>
      <c r="D16" s="186" t="s">
        <v>146</v>
      </c>
      <c r="E16" s="186">
        <v>1.56</v>
      </c>
      <c r="F16" s="187" t="s">
        <v>147</v>
      </c>
      <c r="G16" s="188">
        <v>0.43</v>
      </c>
      <c r="H16" s="186" t="s">
        <v>173</v>
      </c>
      <c r="I16" s="189">
        <v>0.25</v>
      </c>
      <c r="J16" s="32"/>
      <c r="K16" s="32"/>
      <c r="L16" s="32"/>
      <c r="M16" s="32"/>
      <c r="N16" s="32"/>
      <c r="O16" s="4"/>
      <c r="P16" s="4"/>
      <c r="Q16" s="4"/>
      <c r="R16" s="4"/>
      <c r="S16" s="4"/>
      <c r="T16" s="4"/>
      <c r="U16" s="4"/>
      <c r="V16" s="4"/>
      <c r="W16" s="4"/>
      <c r="X16" s="4"/>
      <c r="Y16" s="4"/>
      <c r="Z16" s="4"/>
    </row>
    <row r="17">
      <c r="A17" s="184" t="s">
        <v>17</v>
      </c>
      <c r="B17" s="185" t="s">
        <v>182</v>
      </c>
      <c r="C17" s="186">
        <v>0.58</v>
      </c>
      <c r="D17" s="186" t="s">
        <v>146</v>
      </c>
      <c r="E17" s="186">
        <v>1.56</v>
      </c>
      <c r="F17" s="187" t="s">
        <v>147</v>
      </c>
      <c r="G17" s="188">
        <v>0.43</v>
      </c>
      <c r="H17" s="186" t="s">
        <v>173</v>
      </c>
      <c r="I17" s="189">
        <v>0.25</v>
      </c>
      <c r="J17" s="32"/>
      <c r="K17" s="32"/>
      <c r="L17" s="32"/>
      <c r="M17" s="32"/>
      <c r="N17" s="32"/>
      <c r="O17" s="4"/>
      <c r="P17" s="4"/>
      <c r="Q17" s="4"/>
      <c r="R17" s="4"/>
      <c r="S17" s="4"/>
      <c r="T17" s="4"/>
      <c r="U17" s="4"/>
      <c r="V17" s="4"/>
      <c r="W17" s="4"/>
      <c r="X17" s="4"/>
      <c r="Y17" s="4"/>
      <c r="Z17" s="4"/>
    </row>
    <row r="18">
      <c r="A18" s="184" t="s">
        <v>183</v>
      </c>
      <c r="B18" s="185" t="s">
        <v>184</v>
      </c>
      <c r="C18" s="186">
        <v>0.64</v>
      </c>
      <c r="D18" s="186" t="s">
        <v>146</v>
      </c>
      <c r="E18" s="186">
        <v>1.56</v>
      </c>
      <c r="F18" s="187" t="s">
        <v>147</v>
      </c>
      <c r="G18" s="188">
        <v>0.43</v>
      </c>
      <c r="H18" s="186" t="s">
        <v>173</v>
      </c>
      <c r="I18" s="189">
        <v>0.25</v>
      </c>
      <c r="J18" s="32"/>
      <c r="K18" s="32"/>
      <c r="L18" s="32"/>
      <c r="M18" s="32"/>
      <c r="N18" s="32"/>
      <c r="O18" s="4"/>
      <c r="P18" s="4"/>
      <c r="Q18" s="4"/>
      <c r="R18" s="4"/>
      <c r="S18" s="4"/>
      <c r="T18" s="4"/>
      <c r="U18" s="4"/>
      <c r="V18" s="4"/>
      <c r="W18" s="4"/>
      <c r="X18" s="4"/>
      <c r="Y18" s="4"/>
      <c r="Z18" s="4"/>
    </row>
    <row r="19">
      <c r="A19" s="184" t="s">
        <v>185</v>
      </c>
      <c r="B19" s="185" t="s">
        <v>186</v>
      </c>
      <c r="C19" s="186">
        <v>0.73</v>
      </c>
      <c r="D19" s="186" t="s">
        <v>146</v>
      </c>
      <c r="E19" s="186">
        <v>1.56</v>
      </c>
      <c r="F19" s="187" t="s">
        <v>147</v>
      </c>
      <c r="G19" s="188">
        <v>0.43</v>
      </c>
      <c r="H19" s="186" t="s">
        <v>173</v>
      </c>
      <c r="I19" s="189">
        <v>0.25</v>
      </c>
      <c r="J19" s="32"/>
      <c r="K19" s="32"/>
      <c r="L19" s="32"/>
      <c r="M19" s="32"/>
      <c r="N19" s="32"/>
      <c r="O19" s="4"/>
      <c r="P19" s="4"/>
      <c r="Q19" s="4"/>
      <c r="R19" s="4"/>
      <c r="S19" s="4"/>
      <c r="T19" s="4"/>
      <c r="U19" s="4"/>
      <c r="V19" s="4"/>
      <c r="W19" s="4"/>
      <c r="X19" s="4"/>
      <c r="Y19" s="4"/>
      <c r="Z19" s="4"/>
    </row>
    <row r="20">
      <c r="A20" s="184" t="s">
        <v>187</v>
      </c>
      <c r="B20" s="185" t="s">
        <v>188</v>
      </c>
      <c r="C20" s="186">
        <v>0.69</v>
      </c>
      <c r="D20" s="186" t="s">
        <v>189</v>
      </c>
      <c r="E20" s="186">
        <v>1.56</v>
      </c>
      <c r="F20" s="187" t="s">
        <v>147</v>
      </c>
      <c r="G20" s="188">
        <v>0.43</v>
      </c>
      <c r="H20" s="186" t="s">
        <v>190</v>
      </c>
      <c r="I20" s="189">
        <v>0.25</v>
      </c>
      <c r="J20" s="32"/>
      <c r="K20" s="32"/>
      <c r="L20" s="32"/>
      <c r="M20" s="32"/>
      <c r="N20" s="32"/>
      <c r="O20" s="4"/>
      <c r="P20" s="4"/>
      <c r="Q20" s="4"/>
      <c r="R20" s="4"/>
      <c r="S20" s="4"/>
      <c r="T20" s="4"/>
      <c r="U20" s="4"/>
      <c r="V20" s="4"/>
      <c r="W20" s="4"/>
      <c r="X20" s="4"/>
      <c r="Y20" s="4"/>
      <c r="Z20" s="4"/>
    </row>
    <row r="21" ht="15.75" customHeight="1">
      <c r="A21" s="184" t="s">
        <v>191</v>
      </c>
      <c r="B21" s="185" t="s">
        <v>192</v>
      </c>
      <c r="C21" s="186">
        <v>0.36</v>
      </c>
      <c r="D21" s="186" t="s">
        <v>146</v>
      </c>
      <c r="E21" s="186">
        <v>1.3</v>
      </c>
      <c r="F21" s="187" t="s">
        <v>147</v>
      </c>
      <c r="G21" s="188">
        <v>0.55</v>
      </c>
      <c r="H21" s="186" t="s">
        <v>163</v>
      </c>
      <c r="I21" s="189">
        <v>0.43</v>
      </c>
      <c r="J21" s="32"/>
      <c r="K21" s="32"/>
      <c r="L21" s="32"/>
      <c r="M21" s="32"/>
      <c r="N21" s="32"/>
      <c r="O21" s="4"/>
      <c r="P21" s="4"/>
      <c r="Q21" s="4"/>
      <c r="R21" s="4"/>
      <c r="S21" s="4"/>
      <c r="T21" s="4"/>
      <c r="U21" s="4"/>
      <c r="V21" s="4"/>
      <c r="W21" s="4"/>
      <c r="X21" s="4"/>
      <c r="Y21" s="4"/>
      <c r="Z21" s="4"/>
    </row>
    <row r="22" ht="15.75" customHeight="1">
      <c r="A22" s="184" t="s">
        <v>193</v>
      </c>
      <c r="B22" s="185" t="s">
        <v>194</v>
      </c>
      <c r="C22" s="186">
        <v>0.4</v>
      </c>
      <c r="D22" s="186" t="s">
        <v>146</v>
      </c>
      <c r="E22" s="186">
        <v>1.3</v>
      </c>
      <c r="F22" s="187" t="s">
        <v>147</v>
      </c>
      <c r="G22" s="188">
        <v>0.55</v>
      </c>
      <c r="H22" s="186" t="s">
        <v>163</v>
      </c>
      <c r="I22" s="189">
        <v>0.43</v>
      </c>
      <c r="J22" s="32"/>
      <c r="K22" s="32"/>
      <c r="L22" s="32"/>
      <c r="M22" s="32"/>
      <c r="N22" s="32"/>
      <c r="O22" s="4"/>
      <c r="P22" s="4"/>
      <c r="Q22" s="4"/>
      <c r="R22" s="4"/>
      <c r="S22" s="4"/>
      <c r="T22" s="4"/>
      <c r="U22" s="4"/>
      <c r="V22" s="4"/>
      <c r="W22" s="4"/>
      <c r="X22" s="4"/>
      <c r="Y22" s="4"/>
      <c r="Z22" s="4"/>
    </row>
    <row r="23" ht="15.75" customHeight="1">
      <c r="A23" s="184" t="s">
        <v>195</v>
      </c>
      <c r="B23" s="185" t="s">
        <v>196</v>
      </c>
      <c r="C23" s="186">
        <v>0.43</v>
      </c>
      <c r="D23" s="186" t="s">
        <v>146</v>
      </c>
      <c r="E23" s="186">
        <v>1.3</v>
      </c>
      <c r="F23" s="187" t="s">
        <v>147</v>
      </c>
      <c r="G23" s="188">
        <v>0.55</v>
      </c>
      <c r="H23" s="186" t="s">
        <v>163</v>
      </c>
      <c r="I23" s="189">
        <v>0.43</v>
      </c>
      <c r="J23" s="32"/>
      <c r="K23" s="32"/>
      <c r="L23" s="32"/>
      <c r="M23" s="32"/>
      <c r="N23" s="32"/>
      <c r="O23" s="4"/>
      <c r="P23" s="4"/>
      <c r="Q23" s="4"/>
      <c r="R23" s="4"/>
      <c r="S23" s="4"/>
      <c r="T23" s="4"/>
      <c r="U23" s="4"/>
      <c r="V23" s="4"/>
      <c r="W23" s="4"/>
      <c r="X23" s="4"/>
      <c r="Y23" s="4"/>
      <c r="Z23" s="4"/>
    </row>
    <row r="24" ht="15.75" customHeight="1">
      <c r="A24" s="184" t="s">
        <v>197</v>
      </c>
      <c r="B24" s="185" t="s">
        <v>198</v>
      </c>
      <c r="C24" s="186">
        <v>0.37</v>
      </c>
      <c r="D24" s="186" t="s">
        <v>146</v>
      </c>
      <c r="E24" s="186">
        <v>1.3</v>
      </c>
      <c r="F24" s="187" t="s">
        <v>147</v>
      </c>
      <c r="G24" s="188">
        <v>0.55</v>
      </c>
      <c r="H24" s="186" t="s">
        <v>173</v>
      </c>
      <c r="I24" s="189">
        <v>0.43</v>
      </c>
      <c r="J24" s="32"/>
      <c r="K24" s="32"/>
      <c r="L24" s="32"/>
      <c r="M24" s="32"/>
      <c r="N24" s="32"/>
      <c r="O24" s="4"/>
      <c r="P24" s="4"/>
      <c r="Q24" s="4"/>
      <c r="R24" s="4"/>
      <c r="S24" s="4"/>
      <c r="T24" s="4"/>
      <c r="U24" s="4"/>
      <c r="V24" s="4"/>
      <c r="W24" s="4"/>
      <c r="X24" s="4"/>
      <c r="Y24" s="4"/>
      <c r="Z24" s="4"/>
    </row>
    <row r="25" ht="15.75" customHeight="1">
      <c r="A25" s="184" t="s">
        <v>199</v>
      </c>
      <c r="B25" s="185" t="s">
        <v>200</v>
      </c>
      <c r="C25" s="186">
        <v>0.36</v>
      </c>
      <c r="D25" s="186" t="s">
        <v>146</v>
      </c>
      <c r="E25" s="186">
        <v>1.3</v>
      </c>
      <c r="F25" s="187" t="s">
        <v>147</v>
      </c>
      <c r="G25" s="188">
        <v>0.55</v>
      </c>
      <c r="H25" s="186" t="s">
        <v>173</v>
      </c>
      <c r="I25" s="189">
        <v>0.43</v>
      </c>
      <c r="J25" s="32"/>
      <c r="K25" s="32"/>
      <c r="L25" s="32"/>
      <c r="M25" s="32"/>
      <c r="N25" s="32"/>
      <c r="O25" s="4"/>
      <c r="P25" s="4"/>
      <c r="Q25" s="4"/>
      <c r="R25" s="4"/>
      <c r="S25" s="4"/>
      <c r="T25" s="4"/>
      <c r="U25" s="4"/>
      <c r="V25" s="4"/>
      <c r="W25" s="4"/>
      <c r="X25" s="4"/>
      <c r="Y25" s="4"/>
      <c r="Z25" s="4"/>
    </row>
    <row r="26" ht="15.75" customHeight="1">
      <c r="A26" s="184" t="s">
        <v>201</v>
      </c>
      <c r="B26" s="185" t="s">
        <v>202</v>
      </c>
      <c r="C26" s="186">
        <v>0.56</v>
      </c>
      <c r="D26" s="186" t="s">
        <v>146</v>
      </c>
      <c r="E26" s="186">
        <v>1.56</v>
      </c>
      <c r="F26" s="187" t="s">
        <v>147</v>
      </c>
      <c r="G26" s="188">
        <v>0.53</v>
      </c>
      <c r="H26" s="186" t="s">
        <v>203</v>
      </c>
      <c r="I26" s="189">
        <v>0.25</v>
      </c>
      <c r="J26" s="32"/>
      <c r="K26" s="32"/>
      <c r="L26" s="32"/>
      <c r="M26" s="32"/>
      <c r="N26" s="32"/>
      <c r="O26" s="4"/>
      <c r="P26" s="4"/>
      <c r="Q26" s="4"/>
      <c r="R26" s="4"/>
      <c r="S26" s="4"/>
      <c r="T26" s="4"/>
      <c r="U26" s="4"/>
      <c r="V26" s="4"/>
      <c r="W26" s="4"/>
      <c r="X26" s="4"/>
      <c r="Y26" s="4"/>
      <c r="Z26" s="4"/>
    </row>
    <row r="27" ht="15.75" customHeight="1">
      <c r="A27" s="184" t="s">
        <v>204</v>
      </c>
      <c r="B27" s="185" t="s">
        <v>205</v>
      </c>
      <c r="C27" s="186">
        <v>0.51</v>
      </c>
      <c r="D27" s="186" t="s">
        <v>146</v>
      </c>
      <c r="E27" s="186">
        <v>1.56</v>
      </c>
      <c r="F27" s="187" t="s">
        <v>147</v>
      </c>
      <c r="G27" s="188">
        <v>0.53</v>
      </c>
      <c r="H27" s="186" t="s">
        <v>203</v>
      </c>
      <c r="I27" s="189">
        <v>0.25</v>
      </c>
      <c r="J27" s="32"/>
      <c r="K27" s="32"/>
      <c r="L27" s="32"/>
      <c r="M27" s="32"/>
      <c r="N27" s="32"/>
      <c r="O27" s="4"/>
      <c r="P27" s="4"/>
      <c r="Q27" s="4"/>
      <c r="R27" s="4"/>
      <c r="S27" s="4"/>
      <c r="T27" s="4"/>
      <c r="U27" s="4"/>
      <c r="V27" s="4"/>
      <c r="W27" s="4"/>
      <c r="X27" s="4"/>
      <c r="Y27" s="4"/>
      <c r="Z27" s="4"/>
    </row>
    <row r="28" ht="15.75" customHeight="1">
      <c r="A28" s="184" t="s">
        <v>20</v>
      </c>
      <c r="B28" s="185" t="s">
        <v>206</v>
      </c>
      <c r="C28" s="186">
        <v>0.51</v>
      </c>
      <c r="D28" s="186" t="s">
        <v>146</v>
      </c>
      <c r="E28" s="186">
        <v>1.56</v>
      </c>
      <c r="F28" s="187" t="s">
        <v>147</v>
      </c>
      <c r="G28" s="188">
        <v>0.53</v>
      </c>
      <c r="H28" s="186" t="s">
        <v>203</v>
      </c>
      <c r="I28" s="189">
        <v>0.25</v>
      </c>
      <c r="J28" s="32"/>
      <c r="K28" s="32"/>
      <c r="L28" s="32"/>
      <c r="M28" s="32"/>
      <c r="N28" s="32"/>
      <c r="O28" s="4"/>
      <c r="P28" s="4"/>
      <c r="Q28" s="4"/>
      <c r="R28" s="4"/>
      <c r="S28" s="4"/>
      <c r="T28" s="4"/>
      <c r="U28" s="4"/>
      <c r="V28" s="4"/>
      <c r="W28" s="4"/>
      <c r="X28" s="4"/>
      <c r="Y28" s="4"/>
      <c r="Z28" s="4"/>
    </row>
    <row r="29" ht="15.75" customHeight="1">
      <c r="A29" s="184" t="s">
        <v>207</v>
      </c>
      <c r="B29" s="185" t="s">
        <v>207</v>
      </c>
      <c r="C29" s="186">
        <v>0.56</v>
      </c>
      <c r="D29" s="186" t="s">
        <v>146</v>
      </c>
      <c r="E29" s="186">
        <v>1.56</v>
      </c>
      <c r="F29" s="187" t="s">
        <v>147</v>
      </c>
      <c r="G29" s="188">
        <v>0.53</v>
      </c>
      <c r="H29" s="186" t="s">
        <v>203</v>
      </c>
      <c r="I29" s="189">
        <v>0.25</v>
      </c>
      <c r="J29" s="32"/>
      <c r="K29" s="32"/>
      <c r="L29" s="32"/>
      <c r="M29" s="32"/>
      <c r="N29" s="32"/>
      <c r="O29" s="4"/>
      <c r="P29" s="4"/>
      <c r="Q29" s="4"/>
      <c r="R29" s="4"/>
      <c r="S29" s="4"/>
      <c r="T29" s="4"/>
      <c r="U29" s="4"/>
      <c r="V29" s="4"/>
      <c r="W29" s="4"/>
      <c r="X29" s="4"/>
      <c r="Y29" s="4"/>
      <c r="Z29" s="4"/>
    </row>
    <row r="30" ht="15.75" customHeight="1">
      <c r="A30" s="184" t="s">
        <v>208</v>
      </c>
      <c r="B30" s="185" t="s">
        <v>209</v>
      </c>
      <c r="C30" s="186">
        <v>0.55</v>
      </c>
      <c r="D30" s="186" t="s">
        <v>146</v>
      </c>
      <c r="E30" s="186">
        <v>1.56</v>
      </c>
      <c r="F30" s="187" t="s">
        <v>147</v>
      </c>
      <c r="G30" s="188">
        <v>0.53</v>
      </c>
      <c r="H30" s="186" t="s">
        <v>173</v>
      </c>
      <c r="I30" s="189">
        <v>0.25</v>
      </c>
      <c r="J30" s="32"/>
      <c r="K30" s="32"/>
      <c r="L30" s="32"/>
      <c r="M30" s="32"/>
      <c r="N30" s="32"/>
      <c r="O30" s="4"/>
      <c r="P30" s="4"/>
      <c r="Q30" s="4"/>
      <c r="R30" s="4"/>
      <c r="S30" s="4"/>
      <c r="T30" s="4"/>
      <c r="U30" s="4"/>
      <c r="V30" s="4"/>
      <c r="W30" s="4"/>
      <c r="X30" s="4"/>
      <c r="Y30" s="4"/>
      <c r="Z30" s="4"/>
    </row>
    <row r="31" ht="15.75" customHeight="1">
      <c r="A31" s="184" t="s">
        <v>210</v>
      </c>
      <c r="B31" s="185" t="s">
        <v>211</v>
      </c>
      <c r="C31" s="186">
        <v>0.56</v>
      </c>
      <c r="D31" s="186" t="s">
        <v>146</v>
      </c>
      <c r="E31" s="186">
        <v>1.56</v>
      </c>
      <c r="F31" s="187" t="s">
        <v>147</v>
      </c>
      <c r="G31" s="188">
        <v>0.43</v>
      </c>
      <c r="H31" s="186" t="s">
        <v>148</v>
      </c>
      <c r="I31" s="189">
        <v>0.25</v>
      </c>
      <c r="J31" s="32"/>
      <c r="K31" s="32"/>
      <c r="L31" s="32"/>
      <c r="M31" s="32"/>
      <c r="N31" s="32"/>
      <c r="O31" s="4"/>
      <c r="P31" s="4"/>
      <c r="Q31" s="4"/>
      <c r="R31" s="4"/>
      <c r="S31" s="4"/>
      <c r="T31" s="4"/>
      <c r="U31" s="4"/>
      <c r="V31" s="4"/>
      <c r="W31" s="4"/>
      <c r="X31" s="4"/>
      <c r="Y31" s="4"/>
      <c r="Z31" s="4"/>
    </row>
    <row r="32" ht="15.75" customHeight="1">
      <c r="A32" s="184" t="s">
        <v>212</v>
      </c>
      <c r="B32" s="185" t="s">
        <v>213</v>
      </c>
      <c r="C32" s="186">
        <v>0.48</v>
      </c>
      <c r="D32" s="186" t="s">
        <v>146</v>
      </c>
      <c r="E32" s="186">
        <v>1.3</v>
      </c>
      <c r="F32" s="187" t="s">
        <v>147</v>
      </c>
      <c r="G32" s="188">
        <v>0.6</v>
      </c>
      <c r="H32" s="186" t="s">
        <v>214</v>
      </c>
      <c r="I32" s="189">
        <v>0.43</v>
      </c>
      <c r="J32" s="32"/>
      <c r="K32" s="32"/>
      <c r="L32" s="32"/>
      <c r="M32" s="32"/>
      <c r="N32" s="32"/>
      <c r="O32" s="4"/>
      <c r="P32" s="4"/>
      <c r="Q32" s="4"/>
      <c r="R32" s="4"/>
      <c r="S32" s="4"/>
      <c r="T32" s="4"/>
      <c r="U32" s="4"/>
      <c r="V32" s="4"/>
      <c r="W32" s="4"/>
      <c r="X32" s="4"/>
      <c r="Y32" s="4"/>
      <c r="Z32" s="4"/>
    </row>
    <row r="33" ht="15.75" customHeight="1">
      <c r="A33" s="184" t="s">
        <v>215</v>
      </c>
      <c r="B33" s="185" t="s">
        <v>216</v>
      </c>
      <c r="C33" s="186">
        <v>0.42</v>
      </c>
      <c r="D33" s="186" t="s">
        <v>146</v>
      </c>
      <c r="E33" s="186">
        <v>1.3</v>
      </c>
      <c r="F33" s="187" t="s">
        <v>147</v>
      </c>
      <c r="G33" s="188">
        <v>0.6</v>
      </c>
      <c r="H33" s="186" t="s">
        <v>217</v>
      </c>
      <c r="I33" s="189">
        <v>0.43</v>
      </c>
      <c r="J33" s="32"/>
      <c r="K33" s="32"/>
      <c r="L33" s="32"/>
      <c r="M33" s="32"/>
      <c r="N33" s="32"/>
      <c r="O33" s="4"/>
      <c r="P33" s="4"/>
      <c r="Q33" s="4"/>
      <c r="R33" s="4"/>
      <c r="S33" s="4"/>
      <c r="T33" s="4"/>
      <c r="U33" s="4"/>
      <c r="V33" s="4"/>
      <c r="W33" s="4"/>
      <c r="X33" s="4"/>
      <c r="Y33" s="4"/>
      <c r="Z33" s="4"/>
    </row>
    <row r="34" ht="15.75" customHeight="1">
      <c r="A34" s="184" t="s">
        <v>218</v>
      </c>
      <c r="B34" s="185" t="s">
        <v>219</v>
      </c>
      <c r="C34" s="186">
        <v>0.42</v>
      </c>
      <c r="D34" s="186" t="s">
        <v>220</v>
      </c>
      <c r="E34" s="186">
        <v>1.3</v>
      </c>
      <c r="F34" s="187" t="s">
        <v>147</v>
      </c>
      <c r="G34" s="188">
        <v>0.6</v>
      </c>
      <c r="H34" s="185" t="s">
        <v>221</v>
      </c>
      <c r="I34" s="189">
        <v>0.43</v>
      </c>
      <c r="J34" s="32"/>
      <c r="K34" s="32"/>
      <c r="L34" s="32"/>
      <c r="M34" s="32"/>
      <c r="N34" s="32"/>
      <c r="O34" s="4"/>
      <c r="P34" s="4"/>
      <c r="Q34" s="4"/>
      <c r="R34" s="4"/>
      <c r="S34" s="4"/>
      <c r="T34" s="4"/>
      <c r="U34" s="4"/>
      <c r="V34" s="4"/>
      <c r="W34" s="4"/>
      <c r="X34" s="4"/>
      <c r="Y34" s="4"/>
      <c r="Z34" s="4"/>
    </row>
    <row r="35" ht="15.75" customHeight="1">
      <c r="A35" s="184" t="s">
        <v>222</v>
      </c>
      <c r="B35" s="185" t="s">
        <v>223</v>
      </c>
      <c r="C35" s="186">
        <v>0.5</v>
      </c>
      <c r="D35" s="186" t="s">
        <v>146</v>
      </c>
      <c r="E35" s="186">
        <v>1.56</v>
      </c>
      <c r="F35" s="187" t="s">
        <v>147</v>
      </c>
      <c r="G35" s="188">
        <v>0.43</v>
      </c>
      <c r="H35" s="186" t="s">
        <v>148</v>
      </c>
      <c r="I35" s="189">
        <v>0.25</v>
      </c>
      <c r="J35" s="32"/>
      <c r="K35" s="32"/>
      <c r="L35" s="32"/>
      <c r="M35" s="32"/>
      <c r="N35" s="32"/>
      <c r="O35" s="4"/>
      <c r="P35" s="4"/>
      <c r="Q35" s="4"/>
      <c r="R35" s="4"/>
      <c r="S35" s="4"/>
      <c r="T35" s="4"/>
      <c r="U35" s="4"/>
      <c r="V35" s="4"/>
      <c r="W35" s="4"/>
      <c r="X35" s="4"/>
      <c r="Y35" s="4"/>
      <c r="Z35" s="4"/>
    </row>
    <row r="36" ht="15.75" customHeight="1">
      <c r="A36" s="184" t="s">
        <v>224</v>
      </c>
      <c r="B36" s="185" t="s">
        <v>225</v>
      </c>
      <c r="C36" s="186">
        <v>0.55</v>
      </c>
      <c r="D36" s="186" t="s">
        <v>146</v>
      </c>
      <c r="E36" s="186">
        <v>1.56</v>
      </c>
      <c r="F36" s="187" t="s">
        <v>147</v>
      </c>
      <c r="G36" s="188">
        <v>0.53</v>
      </c>
      <c r="H36" s="186" t="s">
        <v>203</v>
      </c>
      <c r="I36" s="189">
        <v>0.25</v>
      </c>
      <c r="J36" s="32"/>
      <c r="K36" s="32"/>
      <c r="L36" s="32"/>
      <c r="M36" s="32"/>
      <c r="N36" s="32"/>
      <c r="O36" s="4"/>
      <c r="P36" s="4"/>
      <c r="Q36" s="4"/>
      <c r="R36" s="4"/>
      <c r="S36" s="4"/>
      <c r="T36" s="4"/>
      <c r="U36" s="4"/>
      <c r="V36" s="4"/>
      <c r="W36" s="4"/>
      <c r="X36" s="4"/>
      <c r="Y36" s="4"/>
      <c r="Z36" s="4"/>
    </row>
    <row r="37" ht="15.75" customHeight="1">
      <c r="A37" s="184" t="s">
        <v>226</v>
      </c>
      <c r="B37" s="185" t="s">
        <v>227</v>
      </c>
      <c r="C37" s="186">
        <v>0.52</v>
      </c>
      <c r="D37" s="186" t="s">
        <v>146</v>
      </c>
      <c r="E37" s="186">
        <v>1.56</v>
      </c>
      <c r="F37" s="187" t="s">
        <v>147</v>
      </c>
      <c r="G37" s="188">
        <v>0.53</v>
      </c>
      <c r="H37" s="186" t="s">
        <v>203</v>
      </c>
      <c r="I37" s="189">
        <v>0.25</v>
      </c>
      <c r="J37" s="32"/>
      <c r="K37" s="32"/>
      <c r="L37" s="32"/>
      <c r="M37" s="32"/>
      <c r="N37" s="32"/>
      <c r="O37" s="4"/>
      <c r="P37" s="4"/>
      <c r="Q37" s="4"/>
      <c r="R37" s="4"/>
      <c r="S37" s="4"/>
      <c r="T37" s="4"/>
      <c r="U37" s="4"/>
      <c r="V37" s="4"/>
      <c r="W37" s="4"/>
      <c r="X37" s="4"/>
      <c r="Y37" s="4"/>
      <c r="Z37" s="4"/>
    </row>
    <row r="38" ht="15.75" customHeight="1">
      <c r="A38" s="184" t="s">
        <v>228</v>
      </c>
      <c r="B38" s="185" t="s">
        <v>229</v>
      </c>
      <c r="C38" s="186">
        <v>0.52</v>
      </c>
      <c r="D38" s="186" t="s">
        <v>146</v>
      </c>
      <c r="E38" s="186">
        <v>1.56</v>
      </c>
      <c r="F38" s="187" t="s">
        <v>147</v>
      </c>
      <c r="G38" s="188">
        <v>0.43</v>
      </c>
      <c r="H38" s="186" t="s">
        <v>148</v>
      </c>
      <c r="I38" s="189">
        <v>0.25</v>
      </c>
      <c r="J38" s="32"/>
      <c r="K38" s="32"/>
      <c r="L38" s="32"/>
      <c r="M38" s="32"/>
      <c r="N38" s="32"/>
      <c r="O38" s="4"/>
      <c r="P38" s="4"/>
      <c r="Q38" s="4"/>
      <c r="R38" s="4"/>
      <c r="S38" s="4"/>
      <c r="T38" s="4"/>
      <c r="U38" s="4"/>
      <c r="V38" s="4"/>
      <c r="W38" s="4"/>
      <c r="X38" s="4"/>
      <c r="Y38" s="4"/>
      <c r="Z38" s="4"/>
    </row>
    <row r="39" ht="15.75" customHeight="1">
      <c r="A39" s="184" t="s">
        <v>230</v>
      </c>
      <c r="B39" s="185" t="s">
        <v>231</v>
      </c>
      <c r="C39" s="186">
        <v>0.313</v>
      </c>
      <c r="D39" s="186" t="s">
        <v>232</v>
      </c>
      <c r="E39" s="186">
        <v>1.56</v>
      </c>
      <c r="F39" s="187" t="s">
        <v>147</v>
      </c>
      <c r="G39" s="188">
        <v>0.6</v>
      </c>
      <c r="H39" s="186" t="s">
        <v>233</v>
      </c>
      <c r="I39" s="189">
        <v>1.03</v>
      </c>
      <c r="J39" s="32"/>
      <c r="K39" s="32"/>
      <c r="L39" s="32"/>
      <c r="M39" s="32"/>
      <c r="N39" s="32"/>
      <c r="O39" s="4"/>
      <c r="P39" s="4"/>
      <c r="Q39" s="4"/>
      <c r="R39" s="4"/>
      <c r="S39" s="4"/>
      <c r="T39" s="4"/>
      <c r="U39" s="4"/>
      <c r="V39" s="4"/>
      <c r="W39" s="4"/>
      <c r="X39" s="4"/>
      <c r="Y39" s="4"/>
      <c r="Z39" s="4"/>
    </row>
    <row r="40" ht="15.75" customHeight="1">
      <c r="A40" s="184" t="s">
        <v>234</v>
      </c>
      <c r="B40" s="185" t="s">
        <v>231</v>
      </c>
      <c r="C40" s="186">
        <v>0.352</v>
      </c>
      <c r="D40" s="186" t="s">
        <v>232</v>
      </c>
      <c r="E40" s="186">
        <v>1.56</v>
      </c>
      <c r="F40" s="187" t="s">
        <v>147</v>
      </c>
      <c r="G40" s="188">
        <v>0.6</v>
      </c>
      <c r="H40" s="186" t="s">
        <v>233</v>
      </c>
      <c r="I40" s="189">
        <v>1.03</v>
      </c>
      <c r="J40" s="32"/>
      <c r="K40" s="32"/>
      <c r="L40" s="32"/>
      <c r="M40" s="32"/>
      <c r="N40" s="32"/>
      <c r="O40" s="4"/>
      <c r="P40" s="4"/>
      <c r="Q40" s="4"/>
      <c r="R40" s="4"/>
      <c r="S40" s="4"/>
      <c r="T40" s="4"/>
      <c r="U40" s="4"/>
      <c r="V40" s="4"/>
      <c r="W40" s="4"/>
      <c r="X40" s="4"/>
      <c r="Y40" s="4"/>
      <c r="Z40" s="4"/>
    </row>
    <row r="41" ht="15.75" customHeight="1">
      <c r="A41" s="184" t="s">
        <v>235</v>
      </c>
      <c r="B41" s="185" t="s">
        <v>231</v>
      </c>
      <c r="C41" s="186">
        <v>0.322</v>
      </c>
      <c r="D41" s="186" t="s">
        <v>232</v>
      </c>
      <c r="E41" s="186">
        <v>1.56</v>
      </c>
      <c r="F41" s="187" t="s">
        <v>147</v>
      </c>
      <c r="G41" s="188">
        <v>0.6</v>
      </c>
      <c r="H41" s="186" t="s">
        <v>233</v>
      </c>
      <c r="I41" s="189">
        <v>1.03</v>
      </c>
      <c r="J41" s="32"/>
      <c r="K41" s="32"/>
      <c r="L41" s="32"/>
      <c r="M41" s="32"/>
      <c r="N41" s="32"/>
      <c r="O41" s="4"/>
      <c r="P41" s="4"/>
      <c r="Q41" s="4"/>
      <c r="R41" s="4"/>
      <c r="S41" s="4"/>
      <c r="T41" s="4"/>
      <c r="U41" s="4"/>
      <c r="V41" s="4"/>
      <c r="W41" s="4"/>
      <c r="X41" s="4"/>
      <c r="Y41" s="4"/>
      <c r="Z41" s="4"/>
    </row>
    <row r="42" ht="15.75" customHeight="1">
      <c r="A42" s="184" t="s">
        <v>236</v>
      </c>
      <c r="B42" s="185" t="s">
        <v>231</v>
      </c>
      <c r="C42" s="186">
        <v>0.311</v>
      </c>
      <c r="D42" s="186" t="s">
        <v>232</v>
      </c>
      <c r="E42" s="186">
        <v>1.56</v>
      </c>
      <c r="F42" s="187" t="s">
        <v>147</v>
      </c>
      <c r="G42" s="188">
        <v>0.6</v>
      </c>
      <c r="H42" s="186" t="s">
        <v>233</v>
      </c>
      <c r="I42" s="189">
        <v>1.03</v>
      </c>
      <c r="J42" s="32"/>
      <c r="K42" s="32"/>
      <c r="L42" s="32"/>
      <c r="M42" s="32"/>
      <c r="N42" s="32"/>
      <c r="O42" s="4"/>
      <c r="P42" s="4"/>
      <c r="Q42" s="4"/>
      <c r="R42" s="4"/>
      <c r="S42" s="4"/>
      <c r="T42" s="4"/>
      <c r="U42" s="4"/>
      <c r="V42" s="4"/>
      <c r="W42" s="4"/>
      <c r="X42" s="4"/>
      <c r="Y42" s="4"/>
      <c r="Z42" s="4"/>
    </row>
    <row r="43" ht="15.75" customHeight="1">
      <c r="A43" s="184" t="s">
        <v>237</v>
      </c>
      <c r="B43" s="185" t="s">
        <v>231</v>
      </c>
      <c r="C43" s="186">
        <v>0.339</v>
      </c>
      <c r="D43" s="186" t="s">
        <v>232</v>
      </c>
      <c r="E43" s="186">
        <v>1.56</v>
      </c>
      <c r="F43" s="187" t="s">
        <v>147</v>
      </c>
      <c r="G43" s="188">
        <v>0.6</v>
      </c>
      <c r="H43" s="186" t="s">
        <v>233</v>
      </c>
      <c r="I43" s="189">
        <v>1.03</v>
      </c>
      <c r="J43" s="32"/>
      <c r="K43" s="32"/>
      <c r="L43" s="32"/>
      <c r="M43" s="32"/>
      <c r="N43" s="32"/>
      <c r="O43" s="4"/>
      <c r="P43" s="4"/>
      <c r="Q43" s="4"/>
      <c r="R43" s="4"/>
      <c r="S43" s="4"/>
      <c r="T43" s="4"/>
      <c r="U43" s="4"/>
      <c r="V43" s="4"/>
      <c r="W43" s="4"/>
      <c r="X43" s="4"/>
      <c r="Y43" s="4"/>
      <c r="Z43" s="4"/>
    </row>
    <row r="44" ht="15.75" customHeight="1">
      <c r="A44" s="184" t="s">
        <v>238</v>
      </c>
      <c r="B44" s="185" t="s">
        <v>231</v>
      </c>
      <c r="C44" s="186">
        <v>0.336</v>
      </c>
      <c r="D44" s="186" t="s">
        <v>232</v>
      </c>
      <c r="E44" s="186">
        <v>1.56</v>
      </c>
      <c r="F44" s="187" t="s">
        <v>147</v>
      </c>
      <c r="G44" s="188">
        <v>0.6</v>
      </c>
      <c r="H44" s="186" t="s">
        <v>233</v>
      </c>
      <c r="I44" s="189">
        <v>1.03</v>
      </c>
      <c r="J44" s="32"/>
      <c r="K44" s="32"/>
      <c r="L44" s="32"/>
      <c r="M44" s="32"/>
      <c r="N44" s="32"/>
      <c r="O44" s="4"/>
      <c r="P44" s="4"/>
      <c r="Q44" s="4"/>
      <c r="R44" s="4"/>
      <c r="S44" s="4"/>
      <c r="T44" s="4"/>
      <c r="U44" s="4"/>
      <c r="V44" s="4"/>
      <c r="W44" s="4"/>
      <c r="X44" s="4"/>
      <c r="Y44" s="4"/>
      <c r="Z44" s="4"/>
    </row>
    <row r="45" ht="15.75" customHeight="1">
      <c r="A45" s="184" t="s">
        <v>239</v>
      </c>
      <c r="B45" s="185" t="s">
        <v>231</v>
      </c>
      <c r="C45" s="186">
        <v>0.329</v>
      </c>
      <c r="D45" s="186" t="s">
        <v>232</v>
      </c>
      <c r="E45" s="186">
        <v>1.56</v>
      </c>
      <c r="F45" s="187" t="s">
        <v>147</v>
      </c>
      <c r="G45" s="188">
        <v>0.6</v>
      </c>
      <c r="H45" s="186" t="s">
        <v>233</v>
      </c>
      <c r="I45" s="189">
        <v>1.03</v>
      </c>
      <c r="J45" s="32"/>
      <c r="K45" s="32"/>
      <c r="L45" s="32"/>
      <c r="M45" s="32"/>
      <c r="N45" s="32"/>
      <c r="O45" s="4"/>
      <c r="P45" s="4"/>
      <c r="Q45" s="4"/>
      <c r="R45" s="4"/>
      <c r="S45" s="4"/>
      <c r="T45" s="4"/>
      <c r="U45" s="4"/>
      <c r="V45" s="4"/>
      <c r="W45" s="4"/>
      <c r="X45" s="4"/>
      <c r="Y45" s="4"/>
      <c r="Z45" s="4"/>
    </row>
    <row r="46" ht="15.75" customHeight="1">
      <c r="A46" s="184" t="s">
        <v>240</v>
      </c>
      <c r="B46" s="185" t="s">
        <v>231</v>
      </c>
      <c r="C46" s="186">
        <v>0.343</v>
      </c>
      <c r="D46" s="186" t="s">
        <v>232</v>
      </c>
      <c r="E46" s="186">
        <v>1.56</v>
      </c>
      <c r="F46" s="187" t="s">
        <v>147</v>
      </c>
      <c r="G46" s="188">
        <v>0.6</v>
      </c>
      <c r="H46" s="186" t="s">
        <v>233</v>
      </c>
      <c r="I46" s="189">
        <v>1.03</v>
      </c>
      <c r="J46" s="32"/>
      <c r="K46" s="32"/>
      <c r="L46" s="32"/>
      <c r="M46" s="32"/>
      <c r="N46" s="32"/>
      <c r="O46" s="4"/>
      <c r="P46" s="4"/>
      <c r="Q46" s="4"/>
      <c r="R46" s="4"/>
      <c r="S46" s="4"/>
      <c r="T46" s="4"/>
      <c r="U46" s="4"/>
      <c r="V46" s="4"/>
      <c r="W46" s="4"/>
      <c r="X46" s="4"/>
      <c r="Y46" s="4"/>
      <c r="Z46" s="4"/>
    </row>
    <row r="47" ht="15.75" customHeight="1">
      <c r="A47" s="184" t="s">
        <v>241</v>
      </c>
      <c r="B47" s="185" t="s">
        <v>231</v>
      </c>
      <c r="C47" s="186">
        <v>0.325</v>
      </c>
      <c r="D47" s="186" t="s">
        <v>232</v>
      </c>
      <c r="E47" s="186">
        <v>1.56</v>
      </c>
      <c r="F47" s="187" t="s">
        <v>147</v>
      </c>
      <c r="G47" s="188">
        <v>0.6</v>
      </c>
      <c r="H47" s="186" t="s">
        <v>233</v>
      </c>
      <c r="I47" s="189">
        <v>1.03</v>
      </c>
      <c r="J47" s="32"/>
      <c r="K47" s="32"/>
      <c r="L47" s="32"/>
      <c r="M47" s="32"/>
      <c r="N47" s="32"/>
      <c r="O47" s="4"/>
      <c r="P47" s="4"/>
      <c r="Q47" s="4"/>
      <c r="R47" s="4"/>
      <c r="S47" s="4"/>
      <c r="T47" s="4"/>
      <c r="U47" s="4"/>
      <c r="V47" s="4"/>
      <c r="W47" s="4"/>
      <c r="X47" s="4"/>
      <c r="Y47" s="4"/>
      <c r="Z47" s="4"/>
    </row>
    <row r="48" ht="15.75" customHeight="1">
      <c r="A48" s="184" t="s">
        <v>242</v>
      </c>
      <c r="B48" s="185" t="s">
        <v>231</v>
      </c>
      <c r="C48" s="186">
        <v>0.32</v>
      </c>
      <c r="D48" s="186" t="s">
        <v>232</v>
      </c>
      <c r="E48" s="186">
        <v>1.56</v>
      </c>
      <c r="F48" s="187" t="s">
        <v>147</v>
      </c>
      <c r="G48" s="188">
        <v>0.6</v>
      </c>
      <c r="H48" s="186" t="s">
        <v>233</v>
      </c>
      <c r="I48" s="189">
        <v>1.03</v>
      </c>
      <c r="J48" s="32"/>
      <c r="K48" s="32"/>
      <c r="L48" s="32"/>
      <c r="M48" s="32"/>
      <c r="N48" s="32"/>
      <c r="O48" s="4"/>
      <c r="P48" s="4"/>
      <c r="Q48" s="4"/>
      <c r="R48" s="4"/>
      <c r="S48" s="4"/>
      <c r="T48" s="4"/>
      <c r="U48" s="4"/>
      <c r="V48" s="4"/>
      <c r="W48" s="4"/>
      <c r="X48" s="4"/>
      <c r="Y48" s="4"/>
      <c r="Z48" s="4"/>
    </row>
    <row r="49" ht="15.75" customHeight="1">
      <c r="A49" s="184" t="s">
        <v>243</v>
      </c>
      <c r="B49" s="185" t="s">
        <v>231</v>
      </c>
      <c r="C49" s="186">
        <v>0.282</v>
      </c>
      <c r="D49" s="186" t="s">
        <v>232</v>
      </c>
      <c r="E49" s="186">
        <v>1.56</v>
      </c>
      <c r="F49" s="187" t="s">
        <v>147</v>
      </c>
      <c r="G49" s="188">
        <v>0.6</v>
      </c>
      <c r="H49" s="186" t="s">
        <v>233</v>
      </c>
      <c r="I49" s="189">
        <v>1.03</v>
      </c>
      <c r="J49" s="32"/>
      <c r="K49" s="32"/>
      <c r="L49" s="32"/>
      <c r="M49" s="32"/>
      <c r="N49" s="32"/>
      <c r="O49" s="4"/>
      <c r="P49" s="4"/>
      <c r="Q49" s="4"/>
      <c r="R49" s="4"/>
      <c r="S49" s="4"/>
      <c r="T49" s="4"/>
      <c r="U49" s="4"/>
      <c r="V49" s="4"/>
      <c r="W49" s="4"/>
      <c r="X49" s="4"/>
      <c r="Y49" s="4"/>
      <c r="Z49" s="4"/>
    </row>
    <row r="50" ht="15.75" customHeight="1">
      <c r="A50" s="184" t="s">
        <v>244</v>
      </c>
      <c r="B50" s="185" t="s">
        <v>231</v>
      </c>
      <c r="C50" s="186">
        <v>0.328</v>
      </c>
      <c r="D50" s="186" t="s">
        <v>232</v>
      </c>
      <c r="E50" s="186">
        <v>1.56</v>
      </c>
      <c r="F50" s="187" t="s">
        <v>147</v>
      </c>
      <c r="G50" s="188">
        <v>0.6</v>
      </c>
      <c r="H50" s="186" t="s">
        <v>233</v>
      </c>
      <c r="I50" s="189">
        <v>1.03</v>
      </c>
      <c r="J50" s="32"/>
      <c r="K50" s="32"/>
      <c r="L50" s="32"/>
      <c r="M50" s="32"/>
      <c r="N50" s="32"/>
      <c r="O50" s="4"/>
      <c r="P50" s="4"/>
      <c r="Q50" s="4"/>
      <c r="R50" s="4"/>
      <c r="S50" s="4"/>
      <c r="T50" s="4"/>
      <c r="U50" s="4"/>
      <c r="V50" s="4"/>
      <c r="W50" s="4"/>
      <c r="X50" s="4"/>
      <c r="Y50" s="4"/>
      <c r="Z50" s="4"/>
    </row>
    <row r="51" ht="15.75" customHeight="1">
      <c r="A51" s="184" t="s">
        <v>245</v>
      </c>
      <c r="B51" s="185" t="s">
        <v>231</v>
      </c>
      <c r="C51" s="186">
        <v>0.326</v>
      </c>
      <c r="D51" s="186" t="s">
        <v>232</v>
      </c>
      <c r="E51" s="186">
        <v>1.56</v>
      </c>
      <c r="F51" s="187" t="s">
        <v>147</v>
      </c>
      <c r="G51" s="188">
        <v>0.6</v>
      </c>
      <c r="H51" s="186" t="s">
        <v>233</v>
      </c>
      <c r="I51" s="189">
        <v>1.03</v>
      </c>
      <c r="J51" s="32"/>
      <c r="K51" s="32"/>
      <c r="L51" s="32"/>
      <c r="M51" s="32"/>
      <c r="N51" s="32"/>
      <c r="O51" s="4"/>
      <c r="P51" s="4"/>
      <c r="Q51" s="4"/>
      <c r="R51" s="4"/>
      <c r="S51" s="4"/>
      <c r="T51" s="4"/>
      <c r="U51" s="4"/>
      <c r="V51" s="4"/>
      <c r="W51" s="4"/>
      <c r="X51" s="4"/>
      <c r="Y51" s="4"/>
      <c r="Z51" s="4"/>
    </row>
    <row r="52" ht="15.75" customHeight="1">
      <c r="A52" s="184" t="s">
        <v>246</v>
      </c>
      <c r="B52" s="185" t="s">
        <v>231</v>
      </c>
      <c r="C52" s="186">
        <v>0.359</v>
      </c>
      <c r="D52" s="186" t="s">
        <v>232</v>
      </c>
      <c r="E52" s="186">
        <v>1.56</v>
      </c>
      <c r="F52" s="187" t="s">
        <v>147</v>
      </c>
      <c r="G52" s="188">
        <v>0.6</v>
      </c>
      <c r="H52" s="186" t="s">
        <v>233</v>
      </c>
      <c r="I52" s="189">
        <v>1.03</v>
      </c>
      <c r="J52" s="32"/>
      <c r="K52" s="32"/>
      <c r="L52" s="32"/>
      <c r="M52" s="32"/>
      <c r="N52" s="32"/>
      <c r="O52" s="4"/>
      <c r="P52" s="4"/>
      <c r="Q52" s="4"/>
      <c r="R52" s="4"/>
      <c r="S52" s="4"/>
      <c r="T52" s="4"/>
      <c r="U52" s="4"/>
      <c r="V52" s="4"/>
      <c r="W52" s="4"/>
      <c r="X52" s="4"/>
      <c r="Y52" s="4"/>
      <c r="Z52" s="4"/>
    </row>
    <row r="53" ht="15.75" customHeight="1">
      <c r="A53" s="184" t="s">
        <v>247</v>
      </c>
      <c r="B53" s="185" t="s">
        <v>231</v>
      </c>
      <c r="C53" s="186">
        <v>0.346</v>
      </c>
      <c r="D53" s="186" t="s">
        <v>232</v>
      </c>
      <c r="E53" s="186">
        <v>1.56</v>
      </c>
      <c r="F53" s="187" t="s">
        <v>147</v>
      </c>
      <c r="G53" s="188">
        <v>0.6</v>
      </c>
      <c r="H53" s="186" t="s">
        <v>233</v>
      </c>
      <c r="I53" s="189">
        <v>1.03</v>
      </c>
      <c r="J53" s="32"/>
      <c r="K53" s="32"/>
      <c r="L53" s="32"/>
      <c r="M53" s="32"/>
      <c r="N53" s="32"/>
      <c r="O53" s="4"/>
      <c r="P53" s="4"/>
      <c r="Q53" s="4"/>
      <c r="R53" s="4"/>
      <c r="S53" s="4"/>
      <c r="T53" s="4"/>
      <c r="U53" s="4"/>
      <c r="V53" s="4"/>
      <c r="W53" s="4"/>
      <c r="X53" s="4"/>
      <c r="Y53" s="4"/>
      <c r="Z53" s="4"/>
    </row>
    <row r="54" ht="15.75" customHeight="1">
      <c r="A54" s="184" t="s">
        <v>248</v>
      </c>
      <c r="B54" s="185" t="s">
        <v>231</v>
      </c>
      <c r="C54" s="186">
        <v>0.326</v>
      </c>
      <c r="D54" s="186" t="s">
        <v>232</v>
      </c>
      <c r="E54" s="186">
        <v>1.56</v>
      </c>
      <c r="F54" s="187" t="s">
        <v>147</v>
      </c>
      <c r="G54" s="188">
        <v>0.6</v>
      </c>
      <c r="H54" s="186" t="s">
        <v>233</v>
      </c>
      <c r="I54" s="189">
        <v>1.03</v>
      </c>
      <c r="J54" s="32"/>
      <c r="K54" s="32"/>
      <c r="L54" s="32"/>
      <c r="M54" s="32"/>
      <c r="N54" s="32"/>
      <c r="O54" s="4"/>
      <c r="P54" s="4"/>
      <c r="Q54" s="4"/>
      <c r="R54" s="4"/>
      <c r="S54" s="4"/>
      <c r="T54" s="4"/>
      <c r="U54" s="4"/>
      <c r="V54" s="4"/>
      <c r="W54" s="4"/>
      <c r="X54" s="4"/>
      <c r="Y54" s="4"/>
      <c r="Z54" s="4"/>
    </row>
    <row r="55" ht="15.75" customHeight="1">
      <c r="A55" s="184" t="s">
        <v>249</v>
      </c>
      <c r="B55" s="185" t="s">
        <v>231</v>
      </c>
      <c r="C55" s="186">
        <v>0.305</v>
      </c>
      <c r="D55" s="186" t="s">
        <v>232</v>
      </c>
      <c r="E55" s="186">
        <v>1.56</v>
      </c>
      <c r="F55" s="187" t="s">
        <v>147</v>
      </c>
      <c r="G55" s="188">
        <v>0.6</v>
      </c>
      <c r="H55" s="186" t="s">
        <v>233</v>
      </c>
      <c r="I55" s="189">
        <v>1.03</v>
      </c>
      <c r="J55" s="32"/>
      <c r="K55" s="32"/>
      <c r="L55" s="32"/>
      <c r="M55" s="32"/>
      <c r="N55" s="32"/>
      <c r="O55" s="4"/>
      <c r="P55" s="4"/>
      <c r="Q55" s="4"/>
      <c r="R55" s="4"/>
      <c r="S55" s="4"/>
      <c r="T55" s="4"/>
      <c r="U55" s="4"/>
      <c r="V55" s="4"/>
      <c r="W55" s="4"/>
      <c r="X55" s="4"/>
      <c r="Y55" s="4"/>
      <c r="Z55" s="4"/>
    </row>
    <row r="56" ht="15.75" customHeight="1">
      <c r="A56" s="184" t="s">
        <v>250</v>
      </c>
      <c r="B56" s="185" t="s">
        <v>231</v>
      </c>
      <c r="C56" s="186">
        <v>0.323</v>
      </c>
      <c r="D56" s="186" t="s">
        <v>232</v>
      </c>
      <c r="E56" s="186">
        <v>1.56</v>
      </c>
      <c r="F56" s="187" t="s">
        <v>147</v>
      </c>
      <c r="G56" s="188">
        <v>0.6</v>
      </c>
      <c r="H56" s="186" t="s">
        <v>233</v>
      </c>
      <c r="I56" s="189">
        <v>1.03</v>
      </c>
      <c r="J56" s="32"/>
      <c r="K56" s="32"/>
      <c r="L56" s="32"/>
      <c r="M56" s="32"/>
      <c r="N56" s="32"/>
      <c r="O56" s="4"/>
      <c r="P56" s="4"/>
      <c r="Q56" s="4"/>
      <c r="R56" s="4"/>
      <c r="S56" s="4"/>
      <c r="T56" s="4"/>
      <c r="U56" s="4"/>
      <c r="V56" s="4"/>
      <c r="W56" s="4"/>
      <c r="X56" s="4"/>
      <c r="Y56" s="4"/>
      <c r="Z56" s="4"/>
    </row>
    <row r="57" ht="15.75" customHeight="1">
      <c r="A57" s="184" t="s">
        <v>251</v>
      </c>
      <c r="B57" s="185" t="s">
        <v>231</v>
      </c>
      <c r="C57" s="186">
        <v>0.367</v>
      </c>
      <c r="D57" s="186" t="s">
        <v>232</v>
      </c>
      <c r="E57" s="186">
        <v>1.56</v>
      </c>
      <c r="F57" s="187" t="s">
        <v>147</v>
      </c>
      <c r="G57" s="188">
        <v>0.6</v>
      </c>
      <c r="H57" s="186" t="s">
        <v>233</v>
      </c>
      <c r="I57" s="189">
        <v>1.03</v>
      </c>
      <c r="J57" s="32"/>
      <c r="K57" s="32"/>
      <c r="L57" s="32"/>
      <c r="M57" s="32"/>
      <c r="N57" s="32"/>
      <c r="O57" s="4"/>
      <c r="P57" s="4"/>
      <c r="Q57" s="4"/>
      <c r="R57" s="4"/>
      <c r="S57" s="4"/>
      <c r="T57" s="4"/>
      <c r="U57" s="4"/>
      <c r="V57" s="4"/>
      <c r="W57" s="4"/>
      <c r="X57" s="4"/>
      <c r="Y57" s="4"/>
      <c r="Z57" s="4"/>
    </row>
    <row r="58" ht="15.75" customHeight="1">
      <c r="A58" s="184" t="s">
        <v>252</v>
      </c>
      <c r="B58" s="185" t="s">
        <v>231</v>
      </c>
      <c r="C58" s="186">
        <v>0.36</v>
      </c>
      <c r="D58" s="186" t="s">
        <v>232</v>
      </c>
      <c r="E58" s="186">
        <v>1.56</v>
      </c>
      <c r="F58" s="187" t="s">
        <v>147</v>
      </c>
      <c r="G58" s="188">
        <v>0.6</v>
      </c>
      <c r="H58" s="186" t="s">
        <v>233</v>
      </c>
      <c r="I58" s="189">
        <v>1.03</v>
      </c>
      <c r="J58" s="32"/>
      <c r="K58" s="32"/>
      <c r="L58" s="32"/>
      <c r="M58" s="32"/>
      <c r="N58" s="32"/>
      <c r="O58" s="4"/>
      <c r="P58" s="4"/>
      <c r="Q58" s="4"/>
      <c r="R58" s="4"/>
      <c r="S58" s="4"/>
      <c r="T58" s="4"/>
      <c r="U58" s="4"/>
      <c r="V58" s="4"/>
      <c r="W58" s="4"/>
      <c r="X58" s="4"/>
      <c r="Y58" s="4"/>
      <c r="Z58" s="4"/>
    </row>
    <row r="59" ht="15.75" customHeight="1">
      <c r="A59" s="184" t="s">
        <v>253</v>
      </c>
      <c r="B59" s="185" t="s">
        <v>231</v>
      </c>
      <c r="C59" s="186">
        <v>0.368</v>
      </c>
      <c r="D59" s="186" t="s">
        <v>232</v>
      </c>
      <c r="E59" s="186">
        <v>1.56</v>
      </c>
      <c r="F59" s="187" t="s">
        <v>147</v>
      </c>
      <c r="G59" s="188">
        <v>0.6</v>
      </c>
      <c r="H59" s="186" t="s">
        <v>233</v>
      </c>
      <c r="I59" s="189">
        <v>1.03</v>
      </c>
      <c r="J59" s="32"/>
      <c r="K59" s="32"/>
      <c r="L59" s="32"/>
      <c r="M59" s="32"/>
      <c r="N59" s="32"/>
      <c r="O59" s="4"/>
      <c r="P59" s="4"/>
      <c r="Q59" s="4"/>
      <c r="R59" s="4"/>
      <c r="S59" s="4"/>
      <c r="T59" s="4"/>
      <c r="U59" s="4"/>
      <c r="V59" s="4"/>
      <c r="W59" s="4"/>
      <c r="X59" s="4"/>
      <c r="Y59" s="4"/>
      <c r="Z59" s="4"/>
    </row>
    <row r="60" ht="15.75" customHeight="1">
      <c r="A60" s="184" t="s">
        <v>254</v>
      </c>
      <c r="B60" s="185" t="s">
        <v>231</v>
      </c>
      <c r="C60" s="186">
        <v>0.306</v>
      </c>
      <c r="D60" s="186" t="s">
        <v>232</v>
      </c>
      <c r="E60" s="186">
        <v>1.56</v>
      </c>
      <c r="F60" s="187" t="s">
        <v>147</v>
      </c>
      <c r="G60" s="188">
        <v>0.6</v>
      </c>
      <c r="H60" s="186" t="s">
        <v>233</v>
      </c>
      <c r="I60" s="189">
        <v>1.03</v>
      </c>
      <c r="J60" s="32"/>
      <c r="K60" s="32"/>
      <c r="L60" s="32"/>
      <c r="M60" s="32"/>
      <c r="N60" s="32"/>
      <c r="O60" s="4"/>
      <c r="P60" s="4"/>
      <c r="Q60" s="4"/>
      <c r="R60" s="4"/>
      <c r="S60" s="4"/>
      <c r="T60" s="4"/>
      <c r="U60" s="4"/>
      <c r="V60" s="4"/>
      <c r="W60" s="4"/>
      <c r="X60" s="4"/>
      <c r="Y60" s="4"/>
      <c r="Z60" s="4"/>
    </row>
    <row r="61" ht="15.75" customHeight="1">
      <c r="A61" s="184" t="s">
        <v>255</v>
      </c>
      <c r="B61" s="185" t="s">
        <v>231</v>
      </c>
      <c r="C61" s="186">
        <v>0.313</v>
      </c>
      <c r="D61" s="186" t="s">
        <v>232</v>
      </c>
      <c r="E61" s="186">
        <v>1.56</v>
      </c>
      <c r="F61" s="187" t="s">
        <v>147</v>
      </c>
      <c r="G61" s="188">
        <v>0.6</v>
      </c>
      <c r="H61" s="186" t="s">
        <v>233</v>
      </c>
      <c r="I61" s="189">
        <v>1.03</v>
      </c>
      <c r="J61" s="32"/>
      <c r="K61" s="32"/>
      <c r="L61" s="32"/>
      <c r="M61" s="32"/>
      <c r="N61" s="32"/>
      <c r="O61" s="4"/>
      <c r="P61" s="4"/>
      <c r="Q61" s="4"/>
      <c r="R61" s="4"/>
      <c r="S61" s="4"/>
      <c r="T61" s="4"/>
      <c r="U61" s="4"/>
      <c r="V61" s="4"/>
      <c r="W61" s="4"/>
      <c r="X61" s="4"/>
      <c r="Y61" s="4"/>
      <c r="Z61" s="4"/>
    </row>
    <row r="62" ht="15.75" customHeight="1">
      <c r="A62" s="184" t="s">
        <v>256</v>
      </c>
      <c r="B62" s="185" t="s">
        <v>257</v>
      </c>
      <c r="C62" s="186">
        <v>0.37</v>
      </c>
      <c r="D62" s="186" t="s">
        <v>146</v>
      </c>
      <c r="E62" s="186">
        <v>1.56</v>
      </c>
      <c r="F62" s="187" t="s">
        <v>147</v>
      </c>
      <c r="G62" s="188">
        <v>0.6</v>
      </c>
      <c r="H62" s="186" t="s">
        <v>233</v>
      </c>
      <c r="I62" s="189">
        <v>1.03</v>
      </c>
      <c r="J62" s="32"/>
      <c r="K62" s="32"/>
      <c r="L62" s="32"/>
      <c r="M62" s="32"/>
      <c r="N62" s="32"/>
      <c r="O62" s="4"/>
      <c r="P62" s="4"/>
      <c r="Q62" s="4"/>
      <c r="R62" s="4"/>
      <c r="S62" s="4"/>
      <c r="T62" s="4"/>
      <c r="U62" s="4"/>
      <c r="V62" s="4"/>
      <c r="W62" s="4"/>
      <c r="X62" s="4"/>
      <c r="Y62" s="4"/>
      <c r="Z62" s="4"/>
    </row>
    <row r="63" ht="15.75" customHeight="1">
      <c r="A63" s="184" t="s">
        <v>258</v>
      </c>
      <c r="B63" s="185" t="s">
        <v>259</v>
      </c>
      <c r="C63" s="186">
        <v>0.45</v>
      </c>
      <c r="D63" s="186" t="s">
        <v>146</v>
      </c>
      <c r="E63" s="186">
        <v>1.3</v>
      </c>
      <c r="F63" s="187" t="s">
        <v>147</v>
      </c>
      <c r="G63" s="188">
        <v>0.45</v>
      </c>
      <c r="H63" s="186" t="s">
        <v>260</v>
      </c>
      <c r="I63" s="189">
        <v>0.43</v>
      </c>
      <c r="J63" s="32"/>
      <c r="K63" s="32"/>
      <c r="L63" s="32"/>
      <c r="M63" s="32"/>
      <c r="N63" s="32"/>
      <c r="O63" s="4"/>
      <c r="P63" s="4"/>
      <c r="Q63" s="4"/>
      <c r="R63" s="4"/>
      <c r="S63" s="4"/>
      <c r="T63" s="4"/>
      <c r="U63" s="4"/>
      <c r="V63" s="4"/>
      <c r="W63" s="4"/>
      <c r="X63" s="4"/>
      <c r="Y63" s="4"/>
      <c r="Z63" s="4"/>
    </row>
    <row r="64" ht="15.75" customHeight="1">
      <c r="A64" s="184" t="s">
        <v>261</v>
      </c>
      <c r="B64" s="185" t="s">
        <v>262</v>
      </c>
      <c r="C64" s="186">
        <v>0.39</v>
      </c>
      <c r="D64" s="186" t="s">
        <v>146</v>
      </c>
      <c r="E64" s="186">
        <v>1.3</v>
      </c>
      <c r="F64" s="187" t="s">
        <v>147</v>
      </c>
      <c r="G64" s="188">
        <v>0.45</v>
      </c>
      <c r="H64" s="186" t="s">
        <v>260</v>
      </c>
      <c r="I64" s="189">
        <v>0.43</v>
      </c>
      <c r="J64" s="32"/>
      <c r="K64" s="32"/>
      <c r="L64" s="32"/>
      <c r="M64" s="32"/>
      <c r="N64" s="32"/>
      <c r="O64" s="4"/>
      <c r="P64" s="4"/>
      <c r="Q64" s="4"/>
      <c r="R64" s="4"/>
      <c r="S64" s="4"/>
      <c r="T64" s="4"/>
      <c r="U64" s="4"/>
      <c r="V64" s="4"/>
      <c r="W64" s="4"/>
      <c r="X64" s="4"/>
      <c r="Y64" s="4"/>
      <c r="Z64" s="4"/>
    </row>
    <row r="65" ht="15.75" customHeight="1">
      <c r="A65" s="184" t="s">
        <v>263</v>
      </c>
      <c r="B65" s="185" t="s">
        <v>264</v>
      </c>
      <c r="C65" s="186">
        <v>0.44</v>
      </c>
      <c r="D65" s="186" t="s">
        <v>146</v>
      </c>
      <c r="E65" s="186">
        <v>1.3</v>
      </c>
      <c r="F65" s="187" t="s">
        <v>147</v>
      </c>
      <c r="G65" s="188">
        <v>0.45</v>
      </c>
      <c r="H65" s="186" t="s">
        <v>260</v>
      </c>
      <c r="I65" s="189">
        <v>0.43</v>
      </c>
      <c r="J65" s="32"/>
      <c r="K65" s="32"/>
      <c r="L65" s="32"/>
      <c r="M65" s="32"/>
      <c r="N65" s="32"/>
      <c r="O65" s="4"/>
      <c r="P65" s="4"/>
      <c r="Q65" s="4"/>
      <c r="R65" s="4"/>
      <c r="S65" s="4"/>
      <c r="T65" s="4"/>
      <c r="U65" s="4"/>
      <c r="V65" s="4"/>
      <c r="W65" s="4"/>
      <c r="X65" s="4"/>
      <c r="Y65" s="4"/>
      <c r="Z65" s="4"/>
    </row>
    <row r="66" ht="15.75" customHeight="1">
      <c r="A66" s="184" t="s">
        <v>265</v>
      </c>
      <c r="B66" s="185" t="s">
        <v>266</v>
      </c>
      <c r="C66" s="186">
        <v>0.46</v>
      </c>
      <c r="D66" s="186" t="s">
        <v>146</v>
      </c>
      <c r="E66" s="186">
        <v>1.3</v>
      </c>
      <c r="F66" s="187" t="s">
        <v>147</v>
      </c>
      <c r="G66" s="188">
        <v>0.45</v>
      </c>
      <c r="H66" s="186" t="s">
        <v>260</v>
      </c>
      <c r="I66" s="189">
        <v>0.43</v>
      </c>
      <c r="J66" s="32"/>
      <c r="K66" s="32"/>
      <c r="L66" s="32"/>
      <c r="M66" s="32"/>
      <c r="N66" s="32"/>
      <c r="O66" s="4"/>
      <c r="P66" s="4"/>
      <c r="Q66" s="4"/>
      <c r="R66" s="4"/>
      <c r="S66" s="4"/>
      <c r="T66" s="4"/>
      <c r="U66" s="4"/>
      <c r="V66" s="4"/>
      <c r="W66" s="4"/>
      <c r="X66" s="4"/>
      <c r="Y66" s="4"/>
      <c r="Z66" s="4"/>
    </row>
    <row r="67" ht="15.75" customHeight="1">
      <c r="A67" s="184" t="s">
        <v>267</v>
      </c>
      <c r="B67" s="185" t="s">
        <v>268</v>
      </c>
      <c r="C67" s="186">
        <v>0.46</v>
      </c>
      <c r="D67" s="186" t="s">
        <v>146</v>
      </c>
      <c r="E67" s="186">
        <v>1.3</v>
      </c>
      <c r="F67" s="187" t="s">
        <v>147</v>
      </c>
      <c r="G67" s="188">
        <v>0.45</v>
      </c>
      <c r="H67" s="186" t="s">
        <v>173</v>
      </c>
      <c r="I67" s="189">
        <v>0.59</v>
      </c>
      <c r="J67" s="32"/>
      <c r="K67" s="32"/>
      <c r="L67" s="32"/>
      <c r="M67" s="32"/>
      <c r="N67" s="32"/>
      <c r="O67" s="4"/>
      <c r="P67" s="4"/>
      <c r="Q67" s="4"/>
      <c r="R67" s="4"/>
      <c r="S67" s="4"/>
      <c r="T67" s="4"/>
      <c r="U67" s="4"/>
      <c r="V67" s="4"/>
      <c r="W67" s="4"/>
      <c r="X67" s="4"/>
      <c r="Y67" s="4"/>
      <c r="Z67" s="4"/>
    </row>
    <row r="68" ht="15.75" customHeight="1">
      <c r="A68" s="184" t="s">
        <v>269</v>
      </c>
      <c r="B68" s="185" t="s">
        <v>270</v>
      </c>
      <c r="C68" s="186">
        <v>0.44</v>
      </c>
      <c r="D68" s="186" t="s">
        <v>146</v>
      </c>
      <c r="E68" s="186">
        <v>1.3</v>
      </c>
      <c r="F68" s="187" t="s">
        <v>147</v>
      </c>
      <c r="G68" s="188">
        <v>0.45</v>
      </c>
      <c r="H68" s="186" t="s">
        <v>260</v>
      </c>
      <c r="I68" s="189">
        <v>0.43</v>
      </c>
      <c r="J68" s="32"/>
      <c r="K68" s="32"/>
      <c r="L68" s="32"/>
      <c r="M68" s="32"/>
      <c r="N68" s="32"/>
      <c r="O68" s="4"/>
      <c r="P68" s="4"/>
      <c r="Q68" s="4"/>
      <c r="R68" s="4"/>
      <c r="S68" s="4"/>
      <c r="T68" s="4"/>
      <c r="U68" s="4"/>
      <c r="V68" s="4"/>
      <c r="W68" s="4"/>
      <c r="X68" s="4"/>
      <c r="Y68" s="4"/>
      <c r="Z68" s="4"/>
    </row>
    <row r="69" ht="15.75" customHeight="1">
      <c r="A69" s="184" t="s">
        <v>271</v>
      </c>
      <c r="B69" s="185" t="s">
        <v>272</v>
      </c>
      <c r="C69" s="186">
        <v>0.46</v>
      </c>
      <c r="D69" s="186" t="s">
        <v>146</v>
      </c>
      <c r="E69" s="186">
        <v>1.3</v>
      </c>
      <c r="F69" s="187" t="s">
        <v>147</v>
      </c>
      <c r="G69" s="188">
        <v>0.45</v>
      </c>
      <c r="H69" s="186" t="s">
        <v>260</v>
      </c>
      <c r="I69" s="189">
        <v>0.43</v>
      </c>
      <c r="J69" s="32"/>
      <c r="K69" s="32"/>
      <c r="L69" s="32"/>
      <c r="M69" s="32"/>
      <c r="N69" s="32"/>
      <c r="O69" s="4"/>
      <c r="P69" s="4"/>
      <c r="Q69" s="4"/>
      <c r="R69" s="4"/>
      <c r="S69" s="4"/>
      <c r="T69" s="4"/>
      <c r="U69" s="4"/>
      <c r="V69" s="4"/>
      <c r="W69" s="4"/>
      <c r="X69" s="4"/>
      <c r="Y69" s="4"/>
      <c r="Z69" s="4"/>
    </row>
    <row r="70" ht="15.75" customHeight="1">
      <c r="A70" s="184" t="s">
        <v>273</v>
      </c>
      <c r="B70" s="185" t="s">
        <v>274</v>
      </c>
      <c r="C70" s="186">
        <v>0.48</v>
      </c>
      <c r="D70" s="186" t="s">
        <v>146</v>
      </c>
      <c r="E70" s="186">
        <v>2.4</v>
      </c>
      <c r="F70" s="186" t="s">
        <v>275</v>
      </c>
      <c r="G70" s="188">
        <v>0.45</v>
      </c>
      <c r="H70" s="186" t="s">
        <v>260</v>
      </c>
      <c r="I70" s="189">
        <v>0.43</v>
      </c>
      <c r="J70" s="32"/>
      <c r="K70" s="32"/>
      <c r="L70" s="32"/>
      <c r="M70" s="32"/>
      <c r="N70" s="32"/>
      <c r="O70" s="4"/>
      <c r="P70" s="4"/>
      <c r="Q70" s="4"/>
      <c r="R70" s="4"/>
      <c r="S70" s="4"/>
      <c r="T70" s="4"/>
      <c r="U70" s="4"/>
      <c r="V70" s="4"/>
      <c r="W70" s="4"/>
      <c r="X70" s="4"/>
      <c r="Y70" s="4"/>
      <c r="Z70" s="4"/>
    </row>
    <row r="71" ht="15.75" customHeight="1">
      <c r="A71" s="184" t="s">
        <v>276</v>
      </c>
      <c r="B71" s="185" t="s">
        <v>277</v>
      </c>
      <c r="C71" s="186">
        <v>0.46</v>
      </c>
      <c r="D71" s="186" t="s">
        <v>278</v>
      </c>
      <c r="E71" s="186">
        <v>1.3</v>
      </c>
      <c r="F71" s="187" t="s">
        <v>147</v>
      </c>
      <c r="G71" s="188">
        <v>0.45</v>
      </c>
      <c r="H71" s="186" t="s">
        <v>260</v>
      </c>
      <c r="I71" s="189">
        <v>0.43</v>
      </c>
      <c r="J71" s="32"/>
      <c r="K71" s="32"/>
      <c r="L71" s="32"/>
      <c r="M71" s="32"/>
      <c r="N71" s="32"/>
      <c r="O71" s="4"/>
      <c r="P71" s="4"/>
      <c r="Q71" s="4"/>
      <c r="R71" s="4"/>
      <c r="S71" s="4"/>
      <c r="T71" s="4"/>
      <c r="U71" s="4"/>
      <c r="V71" s="4"/>
      <c r="W71" s="4"/>
      <c r="X71" s="4"/>
      <c r="Y71" s="4"/>
      <c r="Z71" s="4"/>
    </row>
    <row r="72" ht="15.75" customHeight="1">
      <c r="A72" s="184" t="s">
        <v>279</v>
      </c>
      <c r="B72" s="185" t="s">
        <v>280</v>
      </c>
      <c r="C72" s="186">
        <v>0.44</v>
      </c>
      <c r="D72" s="186" t="s">
        <v>146</v>
      </c>
      <c r="E72" s="186">
        <v>1.3</v>
      </c>
      <c r="F72" s="187" t="s">
        <v>147</v>
      </c>
      <c r="G72" s="188">
        <v>0.45</v>
      </c>
      <c r="H72" s="186" t="s">
        <v>260</v>
      </c>
      <c r="I72" s="189">
        <v>0.43</v>
      </c>
      <c r="J72" s="32"/>
      <c r="K72" s="32"/>
      <c r="L72" s="32"/>
      <c r="M72" s="32"/>
      <c r="N72" s="32"/>
      <c r="O72" s="4"/>
      <c r="P72" s="4"/>
      <c r="Q72" s="4"/>
      <c r="R72" s="4"/>
      <c r="S72" s="4"/>
      <c r="T72" s="4"/>
      <c r="U72" s="4"/>
      <c r="V72" s="4"/>
      <c r="W72" s="4"/>
      <c r="X72" s="4"/>
      <c r="Y72" s="4"/>
      <c r="Z72" s="4"/>
    </row>
    <row r="73" ht="15.75" customHeight="1">
      <c r="A73" s="184" t="s">
        <v>281</v>
      </c>
      <c r="B73" s="185" t="s">
        <v>282</v>
      </c>
      <c r="C73" s="186">
        <v>0.46</v>
      </c>
      <c r="D73" s="186" t="s">
        <v>283</v>
      </c>
      <c r="E73" s="186">
        <v>1.3</v>
      </c>
      <c r="F73" s="187" t="s">
        <v>147</v>
      </c>
      <c r="G73" s="188">
        <v>0.45</v>
      </c>
      <c r="H73" s="186" t="s">
        <v>260</v>
      </c>
      <c r="I73" s="189">
        <v>0.43</v>
      </c>
      <c r="J73" s="32"/>
      <c r="K73" s="32"/>
      <c r="L73" s="32"/>
      <c r="M73" s="32"/>
      <c r="N73" s="32"/>
      <c r="O73" s="4"/>
      <c r="P73" s="4"/>
      <c r="Q73" s="4"/>
      <c r="R73" s="4"/>
      <c r="S73" s="4"/>
      <c r="T73" s="4"/>
      <c r="U73" s="4"/>
      <c r="V73" s="4"/>
      <c r="W73" s="4"/>
      <c r="X73" s="4"/>
      <c r="Y73" s="4"/>
      <c r="Z73" s="4"/>
    </row>
    <row r="74" ht="15.75" customHeight="1">
      <c r="A74" s="184" t="s">
        <v>284</v>
      </c>
      <c r="B74" s="185" t="s">
        <v>285</v>
      </c>
      <c r="C74" s="186">
        <v>0.34</v>
      </c>
      <c r="D74" s="186" t="s">
        <v>146</v>
      </c>
      <c r="E74" s="186">
        <v>1.3</v>
      </c>
      <c r="F74" s="187" t="s">
        <v>147</v>
      </c>
      <c r="G74" s="188">
        <v>0.45</v>
      </c>
      <c r="H74" s="186" t="s">
        <v>260</v>
      </c>
      <c r="I74" s="189">
        <v>0.43</v>
      </c>
      <c r="J74" s="32"/>
      <c r="K74" s="32"/>
      <c r="L74" s="32"/>
      <c r="M74" s="32"/>
      <c r="N74" s="32"/>
      <c r="O74" s="4"/>
      <c r="P74" s="4"/>
      <c r="Q74" s="4"/>
      <c r="R74" s="4"/>
      <c r="S74" s="4"/>
      <c r="T74" s="4"/>
      <c r="U74" s="4"/>
      <c r="V74" s="4"/>
      <c r="W74" s="4"/>
      <c r="X74" s="4"/>
      <c r="Y74" s="4"/>
      <c r="Z74" s="4"/>
    </row>
    <row r="75" ht="15.75" customHeight="1">
      <c r="A75" s="184" t="s">
        <v>286</v>
      </c>
      <c r="B75" s="185" t="s">
        <v>287</v>
      </c>
      <c r="C75" s="186">
        <v>0.5</v>
      </c>
      <c r="D75" s="186" t="s">
        <v>146</v>
      </c>
      <c r="E75" s="186">
        <v>1.56</v>
      </c>
      <c r="F75" s="187" t="s">
        <v>147</v>
      </c>
      <c r="G75" s="188">
        <v>0.53</v>
      </c>
      <c r="H75" s="186" t="s">
        <v>203</v>
      </c>
      <c r="I75" s="189">
        <v>0.25</v>
      </c>
      <c r="J75" s="32"/>
      <c r="K75" s="32"/>
      <c r="L75" s="32"/>
      <c r="M75" s="32"/>
      <c r="N75" s="32"/>
      <c r="O75" s="4"/>
      <c r="P75" s="4"/>
      <c r="Q75" s="4"/>
      <c r="R75" s="4"/>
      <c r="S75" s="4"/>
      <c r="T75" s="4"/>
      <c r="U75" s="4"/>
      <c r="V75" s="4"/>
      <c r="W75" s="4"/>
      <c r="X75" s="4"/>
      <c r="Y75" s="4"/>
      <c r="Z75" s="4"/>
    </row>
    <row r="76" ht="15.75" customHeight="1">
      <c r="A76" s="184" t="s">
        <v>288</v>
      </c>
      <c r="B76" s="185" t="s">
        <v>289</v>
      </c>
      <c r="C76" s="186">
        <v>0.58</v>
      </c>
      <c r="D76" s="186" t="s">
        <v>146</v>
      </c>
      <c r="E76" s="186">
        <v>1.56</v>
      </c>
      <c r="F76" s="187" t="s">
        <v>147</v>
      </c>
      <c r="G76" s="188">
        <v>0.3</v>
      </c>
      <c r="H76" s="186" t="s">
        <v>290</v>
      </c>
      <c r="I76" s="189">
        <v>0.25</v>
      </c>
      <c r="J76" s="32"/>
      <c r="K76" s="32"/>
      <c r="L76" s="32"/>
      <c r="M76" s="32"/>
      <c r="N76" s="32"/>
      <c r="O76" s="4"/>
      <c r="P76" s="4"/>
      <c r="Q76" s="4"/>
      <c r="R76" s="4"/>
      <c r="S76" s="4"/>
      <c r="T76" s="4"/>
      <c r="U76" s="4"/>
      <c r="V76" s="4"/>
      <c r="W76" s="4"/>
      <c r="X76" s="4"/>
      <c r="Y76" s="4"/>
      <c r="Z76" s="4"/>
    </row>
    <row r="77" ht="15.75" customHeight="1">
      <c r="A77" s="184" t="s">
        <v>291</v>
      </c>
      <c r="B77" s="185" t="s">
        <v>292</v>
      </c>
      <c r="C77" s="186">
        <v>0.37</v>
      </c>
      <c r="D77" s="186" t="s">
        <v>146</v>
      </c>
      <c r="E77" s="186">
        <v>1.3</v>
      </c>
      <c r="F77" s="187" t="s">
        <v>147</v>
      </c>
      <c r="G77" s="188">
        <v>0.55</v>
      </c>
      <c r="H77" s="186" t="s">
        <v>173</v>
      </c>
      <c r="I77" s="189">
        <v>0.43</v>
      </c>
      <c r="J77" s="32"/>
      <c r="K77" s="32"/>
      <c r="L77" s="32"/>
      <c r="M77" s="32"/>
      <c r="N77" s="32"/>
      <c r="O77" s="4"/>
      <c r="P77" s="4"/>
      <c r="Q77" s="4"/>
      <c r="R77" s="4"/>
      <c r="S77" s="4"/>
      <c r="T77" s="4"/>
      <c r="U77" s="4"/>
      <c r="V77" s="4"/>
      <c r="W77" s="4"/>
      <c r="X77" s="4"/>
      <c r="Y77" s="4"/>
      <c r="Z77" s="4"/>
    </row>
    <row r="78" ht="15.75" customHeight="1">
      <c r="A78" s="184" t="s">
        <v>293</v>
      </c>
      <c r="B78" s="185" t="s">
        <v>294</v>
      </c>
      <c r="C78" s="186">
        <v>0.37</v>
      </c>
      <c r="D78" s="186" t="s">
        <v>146</v>
      </c>
      <c r="E78" s="186">
        <v>1.3</v>
      </c>
      <c r="F78" s="187" t="s">
        <v>147</v>
      </c>
      <c r="G78" s="188">
        <v>0.55</v>
      </c>
      <c r="H78" s="186" t="s">
        <v>173</v>
      </c>
      <c r="I78" s="189">
        <v>0.43</v>
      </c>
      <c r="J78" s="32"/>
      <c r="K78" s="32"/>
      <c r="L78" s="32"/>
      <c r="M78" s="32"/>
      <c r="N78" s="32"/>
      <c r="O78" s="4"/>
      <c r="P78" s="4"/>
      <c r="Q78" s="4"/>
      <c r="R78" s="4"/>
      <c r="S78" s="4"/>
      <c r="T78" s="4"/>
      <c r="U78" s="4"/>
      <c r="V78" s="4"/>
      <c r="W78" s="4"/>
      <c r="X78" s="4"/>
      <c r="Y78" s="4"/>
      <c r="Z78" s="4"/>
    </row>
    <row r="79" ht="15.75" customHeight="1">
      <c r="A79" s="184" t="s">
        <v>295</v>
      </c>
      <c r="B79" s="185" t="s">
        <v>296</v>
      </c>
      <c r="C79" s="186">
        <v>0.38</v>
      </c>
      <c r="D79" s="186" t="s">
        <v>146</v>
      </c>
      <c r="E79" s="186">
        <v>1.3</v>
      </c>
      <c r="F79" s="187" t="s">
        <v>147</v>
      </c>
      <c r="G79" s="188">
        <v>0.55</v>
      </c>
      <c r="H79" s="186" t="s">
        <v>163</v>
      </c>
      <c r="I79" s="189">
        <v>0.43</v>
      </c>
      <c r="J79" s="32"/>
      <c r="K79" s="32"/>
      <c r="L79" s="32"/>
      <c r="M79" s="32"/>
      <c r="N79" s="32"/>
      <c r="O79" s="4"/>
      <c r="P79" s="4"/>
      <c r="Q79" s="4"/>
      <c r="R79" s="4"/>
      <c r="S79" s="4"/>
      <c r="T79" s="4"/>
      <c r="U79" s="4"/>
      <c r="V79" s="4"/>
      <c r="W79" s="4"/>
      <c r="X79" s="4"/>
      <c r="Y79" s="4"/>
      <c r="Z79" s="4"/>
    </row>
    <row r="80" ht="15.75" customHeight="1">
      <c r="A80" s="184" t="s">
        <v>297</v>
      </c>
      <c r="B80" s="185" t="s">
        <v>298</v>
      </c>
      <c r="C80" s="186">
        <v>0.36</v>
      </c>
      <c r="D80" s="186" t="s">
        <v>146</v>
      </c>
      <c r="E80" s="186">
        <v>1.3</v>
      </c>
      <c r="F80" s="187" t="s">
        <v>147</v>
      </c>
      <c r="G80" s="188">
        <v>0.55</v>
      </c>
      <c r="H80" s="186" t="s">
        <v>163</v>
      </c>
      <c r="I80" s="189">
        <v>0.43</v>
      </c>
      <c r="J80" s="32"/>
      <c r="K80" s="32"/>
      <c r="L80" s="32"/>
      <c r="M80" s="32"/>
      <c r="N80" s="32"/>
      <c r="O80" s="4"/>
      <c r="P80" s="4"/>
      <c r="Q80" s="4"/>
      <c r="R80" s="4"/>
      <c r="S80" s="4"/>
      <c r="T80" s="4"/>
      <c r="U80" s="4"/>
      <c r="V80" s="4"/>
      <c r="W80" s="4"/>
      <c r="X80" s="4"/>
      <c r="Y80" s="4"/>
      <c r="Z80" s="4"/>
    </row>
    <row r="81" ht="15.75" customHeight="1">
      <c r="A81" s="184" t="s">
        <v>299</v>
      </c>
      <c r="B81" s="185" t="s">
        <v>300</v>
      </c>
      <c r="C81" s="186">
        <v>0.37</v>
      </c>
      <c r="D81" s="186" t="s">
        <v>146</v>
      </c>
      <c r="E81" s="186">
        <v>1.56</v>
      </c>
      <c r="F81" s="187" t="s">
        <v>147</v>
      </c>
      <c r="G81" s="188">
        <v>0.43</v>
      </c>
      <c r="H81" s="186" t="s">
        <v>148</v>
      </c>
      <c r="I81" s="189">
        <v>0.25</v>
      </c>
      <c r="J81" s="32"/>
      <c r="K81" s="32"/>
      <c r="L81" s="32"/>
      <c r="M81" s="32"/>
      <c r="N81" s="32"/>
      <c r="O81" s="4"/>
      <c r="P81" s="4"/>
      <c r="Q81" s="4"/>
      <c r="R81" s="4"/>
      <c r="S81" s="4"/>
      <c r="T81" s="4"/>
      <c r="U81" s="4"/>
      <c r="V81" s="4"/>
      <c r="W81" s="4"/>
      <c r="X81" s="4"/>
      <c r="Y81" s="4"/>
      <c r="Z81" s="4"/>
    </row>
    <row r="82" ht="15.75" customHeight="1">
      <c r="A82" s="184" t="s">
        <v>301</v>
      </c>
      <c r="B82" s="185" t="s">
        <v>302</v>
      </c>
      <c r="C82" s="186">
        <v>0.35</v>
      </c>
      <c r="D82" s="186" t="s">
        <v>303</v>
      </c>
      <c r="E82" s="186">
        <v>1.3</v>
      </c>
      <c r="F82" s="187" t="s">
        <v>147</v>
      </c>
      <c r="G82" s="188">
        <v>0.55</v>
      </c>
      <c r="H82" s="186" t="s">
        <v>163</v>
      </c>
      <c r="I82" s="189">
        <v>0.43</v>
      </c>
      <c r="J82" s="32"/>
      <c r="K82" s="32"/>
      <c r="L82" s="32"/>
      <c r="M82" s="32"/>
      <c r="N82" s="32"/>
      <c r="O82" s="4"/>
      <c r="P82" s="4"/>
      <c r="Q82" s="4"/>
      <c r="R82" s="4"/>
      <c r="S82" s="4"/>
      <c r="T82" s="4"/>
      <c r="U82" s="4"/>
      <c r="V82" s="4"/>
      <c r="W82" s="4"/>
      <c r="X82" s="4"/>
      <c r="Y82" s="4"/>
      <c r="Z82" s="4"/>
    </row>
    <row r="83" ht="15.75" customHeight="1">
      <c r="A83" s="184" t="s">
        <v>304</v>
      </c>
      <c r="B83" s="185" t="s">
        <v>305</v>
      </c>
      <c r="C83" s="186">
        <v>0.34</v>
      </c>
      <c r="D83" s="186" t="s">
        <v>146</v>
      </c>
      <c r="E83" s="186">
        <v>1.3</v>
      </c>
      <c r="F83" s="187" t="s">
        <v>147</v>
      </c>
      <c r="G83" s="188">
        <v>0.55</v>
      </c>
      <c r="H83" s="186" t="s">
        <v>163</v>
      </c>
      <c r="I83" s="189">
        <v>0.43</v>
      </c>
      <c r="J83" s="32"/>
      <c r="K83" s="32"/>
      <c r="L83" s="32"/>
      <c r="M83" s="32"/>
      <c r="N83" s="32"/>
      <c r="O83" s="4"/>
      <c r="P83" s="4"/>
      <c r="Q83" s="4"/>
      <c r="R83" s="4"/>
      <c r="S83" s="4"/>
      <c r="T83" s="4"/>
      <c r="U83" s="4"/>
      <c r="V83" s="4"/>
      <c r="W83" s="4"/>
      <c r="X83" s="4"/>
      <c r="Y83" s="4"/>
      <c r="Z83" s="4"/>
    </row>
    <row r="84" ht="15.75" customHeight="1">
      <c r="A84" s="184" t="s">
        <v>306</v>
      </c>
      <c r="B84" s="185" t="s">
        <v>307</v>
      </c>
      <c r="C84" s="186">
        <v>0.31</v>
      </c>
      <c r="D84" s="186" t="s">
        <v>146</v>
      </c>
      <c r="E84" s="186">
        <v>1.3</v>
      </c>
      <c r="F84" s="187" t="s">
        <v>147</v>
      </c>
      <c r="G84" s="188">
        <v>0.55</v>
      </c>
      <c r="H84" s="186" t="s">
        <v>163</v>
      </c>
      <c r="I84" s="189">
        <v>0.43</v>
      </c>
      <c r="J84" s="32"/>
      <c r="K84" s="32"/>
      <c r="L84" s="32"/>
      <c r="M84" s="32"/>
      <c r="N84" s="32"/>
      <c r="O84" s="4"/>
      <c r="P84" s="4"/>
      <c r="Q84" s="4"/>
      <c r="R84" s="4"/>
      <c r="S84" s="4"/>
      <c r="T84" s="4"/>
      <c r="U84" s="4"/>
      <c r="V84" s="4"/>
      <c r="W84" s="4"/>
      <c r="X84" s="4"/>
      <c r="Y84" s="4"/>
      <c r="Z84" s="4"/>
    </row>
    <row r="85" ht="15.75" customHeight="1">
      <c r="A85" s="184" t="s">
        <v>95</v>
      </c>
      <c r="B85" s="185" t="s">
        <v>308</v>
      </c>
      <c r="C85" s="186">
        <v>0.43</v>
      </c>
      <c r="D85" s="186" t="s">
        <v>146</v>
      </c>
      <c r="E85" s="186">
        <v>1.56</v>
      </c>
      <c r="F85" s="187" t="s">
        <v>147</v>
      </c>
      <c r="G85" s="188">
        <v>0.53</v>
      </c>
      <c r="H85" s="186" t="s">
        <v>203</v>
      </c>
      <c r="I85" s="189">
        <v>0.25</v>
      </c>
      <c r="J85" s="32"/>
      <c r="K85" s="32"/>
      <c r="L85" s="32"/>
      <c r="M85" s="32"/>
      <c r="N85" s="32"/>
      <c r="O85" s="4"/>
      <c r="P85" s="4"/>
      <c r="Q85" s="4"/>
      <c r="R85" s="4"/>
      <c r="S85" s="4"/>
      <c r="T85" s="4"/>
      <c r="U85" s="4"/>
      <c r="V85" s="4"/>
      <c r="W85" s="4"/>
      <c r="X85" s="4"/>
      <c r="Y85" s="4"/>
      <c r="Z85" s="4"/>
    </row>
    <row r="86" ht="15.75" customHeight="1">
      <c r="A86" s="184" t="s">
        <v>309</v>
      </c>
      <c r="B86" s="185" t="s">
        <v>310</v>
      </c>
      <c r="C86" s="186">
        <v>0.38</v>
      </c>
      <c r="D86" s="186" t="s">
        <v>146</v>
      </c>
      <c r="E86" s="186">
        <v>1.56</v>
      </c>
      <c r="F86" s="187" t="s">
        <v>147</v>
      </c>
      <c r="G86" s="188">
        <v>0.6</v>
      </c>
      <c r="H86" s="186" t="s">
        <v>311</v>
      </c>
      <c r="I86" s="189">
        <v>0.25</v>
      </c>
      <c r="J86" s="32"/>
      <c r="K86" s="32"/>
      <c r="L86" s="32"/>
      <c r="M86" s="32"/>
      <c r="N86" s="32"/>
      <c r="O86" s="4"/>
      <c r="P86" s="4"/>
      <c r="Q86" s="4"/>
      <c r="R86" s="4"/>
      <c r="S86" s="4"/>
      <c r="T86" s="4"/>
      <c r="U86" s="4"/>
      <c r="V86" s="4"/>
      <c r="W86" s="4"/>
      <c r="X86" s="4"/>
      <c r="Y86" s="4"/>
      <c r="Z86" s="4"/>
    </row>
    <row r="87" ht="15.75" customHeight="1">
      <c r="A87" s="184" t="s">
        <v>312</v>
      </c>
      <c r="B87" s="194"/>
      <c r="C87" s="186">
        <v>0.42</v>
      </c>
      <c r="D87" s="186" t="s">
        <v>146</v>
      </c>
      <c r="E87" s="186">
        <v>1.3</v>
      </c>
      <c r="F87" s="187" t="s">
        <v>147</v>
      </c>
      <c r="G87" s="195"/>
      <c r="H87" s="194"/>
      <c r="I87" s="196"/>
      <c r="J87" s="4"/>
      <c r="K87" s="4"/>
      <c r="L87" s="4"/>
      <c r="M87" s="4"/>
      <c r="N87" s="4"/>
      <c r="O87" s="4"/>
      <c r="P87" s="4"/>
      <c r="Q87" s="4"/>
      <c r="R87" s="4"/>
      <c r="S87" s="4"/>
      <c r="T87" s="4"/>
      <c r="U87" s="4"/>
      <c r="V87" s="4"/>
      <c r="W87" s="4"/>
      <c r="X87" s="4"/>
      <c r="Y87" s="4"/>
      <c r="Z87" s="4"/>
    </row>
    <row r="88" ht="15.75" customHeight="1">
      <c r="A88" s="197" t="s">
        <v>313</v>
      </c>
      <c r="B88" s="198"/>
      <c r="C88" s="199">
        <v>0.57</v>
      </c>
      <c r="D88" s="200" t="s">
        <v>146</v>
      </c>
      <c r="E88" s="199">
        <v>1.56</v>
      </c>
      <c r="F88" s="199" t="s">
        <v>147</v>
      </c>
      <c r="G88" s="198"/>
      <c r="H88" s="198"/>
      <c r="I88" s="201"/>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184" t="s">
        <v>96</v>
      </c>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184" t="s">
        <v>97</v>
      </c>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184" t="s">
        <v>98</v>
      </c>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3">
    <mergeCell ref="O2:O3"/>
    <mergeCell ref="O5:O8"/>
    <mergeCell ref="O10:O11"/>
  </mergeCells>
  <printOptions/>
  <pageMargins bottom="0.75" footer="0.0" header="0.0" left="0.7" right="0.7" top="0.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30.86"/>
    <col customWidth="1" min="3" max="3" width="18.14"/>
    <col customWidth="1" min="4" max="5" width="11.43"/>
    <col customWidth="1" min="6" max="6" width="14.0"/>
    <col customWidth="1" min="7" max="7" width="17.57"/>
    <col customWidth="1" min="8" max="8" width="21.71"/>
    <col customWidth="1" min="9" max="9" width="37.0"/>
    <col customWidth="1" min="10" max="10" width="11.43"/>
    <col customWidth="1" min="11" max="11" width="8.86"/>
    <col customWidth="1" min="12" max="12" width="11.43"/>
    <col customWidth="1" min="13" max="13" width="21.0"/>
    <col customWidth="1" min="14" max="16" width="11.43"/>
    <col customWidth="1" min="17" max="17" width="8.0"/>
    <col customWidth="1" min="18" max="18" width="11.43"/>
    <col customWidth="1" min="19" max="19" width="31.0"/>
    <col customWidth="1" min="20" max="20" width="18.14"/>
    <col customWidth="1" min="21" max="21" width="16.43"/>
    <col customWidth="1" min="22" max="22" width="17.86"/>
    <col customWidth="1" min="23" max="42" width="11.43"/>
  </cols>
  <sheetData>
    <row r="1">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row>
    <row r="2">
      <c r="A2" s="4"/>
      <c r="B2" s="75" t="s">
        <v>314</v>
      </c>
      <c r="C2" s="9"/>
      <c r="D2" s="9"/>
      <c r="E2" s="9"/>
      <c r="F2" s="9"/>
      <c r="G2" s="9"/>
      <c r="H2" s="9"/>
      <c r="I2" s="9"/>
      <c r="J2" s="9"/>
      <c r="K2" s="9"/>
      <c r="L2" s="9"/>
      <c r="M2" s="9"/>
      <c r="N2" s="9"/>
      <c r="O2" s="9"/>
      <c r="P2" s="10"/>
      <c r="Q2" s="4"/>
      <c r="R2" s="4"/>
      <c r="S2" s="4"/>
      <c r="T2" s="4"/>
      <c r="U2" s="4"/>
      <c r="V2" s="4"/>
      <c r="W2" s="4"/>
      <c r="X2" s="4"/>
      <c r="Y2" s="4"/>
      <c r="Z2" s="4"/>
      <c r="AA2" s="4"/>
      <c r="AB2" s="4"/>
      <c r="AC2" s="4"/>
      <c r="AD2" s="4"/>
      <c r="AE2" s="4"/>
      <c r="AF2" s="4"/>
      <c r="AG2" s="4"/>
      <c r="AH2" s="4"/>
      <c r="AI2" s="4"/>
      <c r="AJ2" s="4"/>
      <c r="AK2" s="4"/>
      <c r="AL2" s="4"/>
      <c r="AM2" s="4"/>
      <c r="AN2" s="4"/>
      <c r="AO2" s="4"/>
      <c r="AP2" s="4"/>
    </row>
    <row r="3">
      <c r="A3" s="4"/>
      <c r="B3" s="4"/>
      <c r="C3" s="4"/>
      <c r="D3" s="4"/>
      <c r="E3" s="4"/>
      <c r="F3" s="4"/>
      <c r="G3" s="4"/>
      <c r="H3" s="118"/>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row>
    <row r="4">
      <c r="A4" s="4"/>
      <c r="B4" s="4"/>
      <c r="C4" s="4"/>
      <c r="D4" s="4"/>
      <c r="E4" s="4"/>
      <c r="F4" s="4"/>
      <c r="G4" s="4"/>
      <c r="H4" s="5" t="s">
        <v>315</v>
      </c>
      <c r="I4" s="6"/>
      <c r="J4" s="4"/>
      <c r="K4" s="202" t="s">
        <v>316</v>
      </c>
      <c r="L4" s="54"/>
      <c r="M4" s="203">
        <v>0.045</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row>
    <row r="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row>
    <row r="6">
      <c r="A6" s="4"/>
      <c r="B6" s="4"/>
      <c r="C6" s="4"/>
      <c r="D6" s="4"/>
      <c r="E6" s="4"/>
      <c r="F6" s="4"/>
      <c r="G6" s="4"/>
      <c r="H6" s="204"/>
      <c r="I6" s="204"/>
      <c r="J6" s="20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row>
    <row r="7" ht="27.75" customHeight="1">
      <c r="A7" s="205"/>
      <c r="B7" s="206"/>
      <c r="C7" s="206"/>
      <c r="D7" s="206"/>
      <c r="E7" s="207"/>
      <c r="F7" s="207" t="s">
        <v>4</v>
      </c>
      <c r="G7" s="206"/>
      <c r="H7" s="206"/>
      <c r="I7" s="206"/>
      <c r="J7" s="208"/>
      <c r="K7" s="209"/>
      <c r="L7" s="210"/>
      <c r="M7" s="210"/>
      <c r="N7" s="211" t="s">
        <v>317</v>
      </c>
      <c r="O7" s="211"/>
      <c r="P7" s="210"/>
      <c r="Q7" s="212"/>
      <c r="R7" s="213" t="s">
        <v>318</v>
      </c>
      <c r="S7" s="9"/>
      <c r="T7" s="9"/>
      <c r="U7" s="9"/>
      <c r="V7" s="10"/>
      <c r="W7" s="4"/>
      <c r="X7" s="4"/>
      <c r="Y7" s="4"/>
      <c r="Z7" s="4"/>
      <c r="AA7" s="4"/>
      <c r="AB7" s="4"/>
      <c r="AC7" s="4"/>
      <c r="AD7" s="4"/>
      <c r="AE7" s="4"/>
      <c r="AF7" s="4"/>
      <c r="AG7" s="4"/>
      <c r="AH7" s="4"/>
      <c r="AI7" s="4"/>
      <c r="AJ7" s="4"/>
      <c r="AK7" s="4"/>
      <c r="AL7" s="4"/>
      <c r="AM7" s="4"/>
      <c r="AN7" s="4"/>
      <c r="AO7" s="4"/>
      <c r="AP7" s="4"/>
    </row>
    <row r="8">
      <c r="A8" s="4"/>
      <c r="B8" s="4"/>
      <c r="C8" s="4"/>
      <c r="D8" s="4"/>
      <c r="E8" s="4"/>
      <c r="F8" s="4"/>
      <c r="G8" s="4"/>
      <c r="H8" s="4"/>
      <c r="I8" s="4"/>
      <c r="J8" s="214"/>
      <c r="K8" s="215"/>
      <c r="L8" s="4"/>
      <c r="M8" s="4"/>
      <c r="N8" s="4"/>
      <c r="O8" s="4"/>
      <c r="P8" s="4"/>
      <c r="Q8" s="216"/>
      <c r="R8" s="4"/>
      <c r="S8" s="4"/>
      <c r="T8" s="4"/>
      <c r="U8" s="4"/>
      <c r="V8" s="4"/>
      <c r="W8" s="4"/>
      <c r="X8" s="4"/>
      <c r="Y8" s="4"/>
      <c r="Z8" s="4"/>
      <c r="AA8" s="4"/>
      <c r="AB8" s="4"/>
      <c r="AC8" s="4"/>
      <c r="AD8" s="4"/>
      <c r="AE8" s="4"/>
      <c r="AF8" s="4"/>
      <c r="AG8" s="4"/>
      <c r="AH8" s="4"/>
      <c r="AI8" s="4"/>
      <c r="AJ8" s="4"/>
      <c r="AK8" s="4"/>
      <c r="AL8" s="4"/>
      <c r="AM8" s="4"/>
      <c r="AN8" s="4"/>
      <c r="AO8" s="4"/>
      <c r="AP8" s="4"/>
    </row>
    <row r="9">
      <c r="A9" s="45" t="s">
        <v>319</v>
      </c>
      <c r="B9" s="4"/>
      <c r="C9" s="4"/>
      <c r="D9" s="4"/>
      <c r="E9" s="4"/>
      <c r="F9" s="216"/>
      <c r="G9" s="45" t="s">
        <v>320</v>
      </c>
      <c r="H9" s="4"/>
      <c r="I9" s="4"/>
      <c r="J9" s="214"/>
      <c r="K9" s="215"/>
      <c r="L9" s="4"/>
      <c r="M9" s="4"/>
      <c r="N9" s="4"/>
      <c r="O9" s="4"/>
      <c r="P9" s="4"/>
      <c r="Q9" s="216"/>
      <c r="R9" s="4"/>
      <c r="S9" s="4"/>
      <c r="T9" s="33" t="s">
        <v>321</v>
      </c>
      <c r="U9" s="217" t="s">
        <v>322</v>
      </c>
      <c r="V9" s="33" t="s">
        <v>323</v>
      </c>
      <c r="W9" s="4"/>
      <c r="X9" s="4"/>
      <c r="Y9" s="4"/>
      <c r="Z9" s="4"/>
      <c r="AA9" s="4"/>
      <c r="AB9" s="4"/>
      <c r="AC9" s="4"/>
      <c r="AD9" s="4"/>
      <c r="AE9" s="4"/>
      <c r="AF9" s="4"/>
      <c r="AG9" s="4"/>
      <c r="AH9" s="4"/>
      <c r="AI9" s="4"/>
      <c r="AJ9" s="4"/>
      <c r="AK9" s="4"/>
      <c r="AL9" s="4"/>
      <c r="AM9" s="4"/>
      <c r="AN9" s="4"/>
      <c r="AO9" s="4"/>
      <c r="AP9" s="4"/>
    </row>
    <row r="10">
      <c r="A10" s="45" t="s">
        <v>324</v>
      </c>
      <c r="B10" s="4"/>
      <c r="C10" s="4"/>
      <c r="D10" s="4"/>
      <c r="E10" s="4"/>
      <c r="F10" s="216"/>
      <c r="G10" s="45" t="s">
        <v>325</v>
      </c>
      <c r="H10" s="4"/>
      <c r="I10" s="4"/>
      <c r="J10" s="214"/>
      <c r="K10" s="215"/>
      <c r="L10" s="4"/>
      <c r="M10" s="4"/>
      <c r="N10" s="4"/>
      <c r="O10" s="4"/>
      <c r="P10" s="4"/>
      <c r="Q10" s="216"/>
      <c r="R10" s="4"/>
      <c r="S10" s="33" t="str">
        <f>B14</f>
        <v>Chêne sessile</v>
      </c>
      <c r="T10" s="218">
        <f>IF(B14&lt;&gt;"",-E17-E18/(1+$M$4)^A18-E19/(1+$M$4)^A19-E20/(1+$M$4)^A20-E21/(1+$M$4)^A21-E22/(1+$M$4)^A22+(D23-E23)/(1+$M$4)^A23+(D24-E24)/(1+$M$4)^A24+(D25-E25)/(1+$M$4)^A25+(D26-E26)/(1+$M$4)^A26+(D27-E27)/(1+$M$4)^A27+(D28-E28)/(1+$M$4)^A28+(D29-E29)/(1+$M$4)^A29+(D30-E30)/(1+$M$4)^A30+(D31-E31)/(1+$M$4)^A31+(D32-E32)/(1+$M$4)^A32+(D33-E33)/(1+$M$4)^A33+(D34-E34)/(1+$M$4)^A34+(D35-E35)/(1+$M$4)^A35+(D36-E36)/(1+$M$4)^A36+(D37-E37)/(1+$M$4)^A37+(D38-E38)/(1+$M$4)^A38+(D39-E39)/(1+$M$4)^A39+(D40-E40)/(1+$M$4)^A40+(D41-E41)/(1+$M$4)^A41+(D42-E42)/(1+$M$4)^A42,0)</f>
        <v>-10794.52535</v>
      </c>
      <c r="U10" s="219">
        <f>'Données projet'!D9</f>
        <v>0.612</v>
      </c>
      <c r="V10" s="218">
        <f t="shared" ref="V10:V19" si="1">U10*T10</f>
        <v>-6606.249514</v>
      </c>
      <c r="W10" s="4"/>
      <c r="X10" s="4"/>
      <c r="Y10" s="4"/>
      <c r="Z10" s="4"/>
      <c r="AA10" s="4"/>
      <c r="AB10" s="4"/>
      <c r="AC10" s="4"/>
      <c r="AD10" s="4"/>
      <c r="AE10" s="4"/>
      <c r="AF10" s="4"/>
      <c r="AG10" s="4"/>
      <c r="AH10" s="4"/>
      <c r="AI10" s="4"/>
      <c r="AJ10" s="4"/>
      <c r="AK10" s="4"/>
      <c r="AL10" s="4"/>
      <c r="AM10" s="4"/>
      <c r="AN10" s="4"/>
      <c r="AO10" s="4"/>
      <c r="AP10" s="4"/>
    </row>
    <row r="11">
      <c r="A11" s="45" t="s">
        <v>326</v>
      </c>
      <c r="B11" s="4"/>
      <c r="C11" s="4"/>
      <c r="D11" s="4"/>
      <c r="E11" s="4"/>
      <c r="F11" s="216"/>
      <c r="G11" s="45" t="s">
        <v>327</v>
      </c>
      <c r="H11" s="4"/>
      <c r="I11" s="4"/>
      <c r="J11" s="214"/>
      <c r="K11" s="215"/>
      <c r="L11" s="4"/>
      <c r="M11" s="4"/>
      <c r="N11" s="4"/>
      <c r="O11" s="4"/>
      <c r="P11" s="4"/>
      <c r="Q11" s="216"/>
      <c r="R11" s="4"/>
      <c r="S11" s="33" t="str">
        <f>B45</f>
        <v>Erable sycomore</v>
      </c>
      <c r="T11" s="218">
        <f>IF(B45&lt;&gt;"",-E48-E49/(1+$M$4)^A49-E50/(1+$M$4)^A50-E51/(1+$M$4)^A51-E52/(1+$M$4)^A52-E53/(1+$M$4)^A53+(D54-E54)/(1+$M$4)^A54+(D55-D55)/(1+$M$4)^A55+(D56-E56)/(1+$M$4)^A56+(D57-E57)/(1+$M$4)^A57+(D58-E58)/(1+$M$4)^A58+(D59-E59)/(1+$M$4)^A59+(D60-E60)/(1+$M$4)^A60+(D61-E61)/(1+$M$4)^A61+(D62-E62)/(1+$M$4)^A62+(D63-E63)/(1+$M$4)^A63+(D64-E64)/(1+$M$4)^A64+(D65-E65)/(1+$M$4)^A65+(D66-E66)/(1+$M$4)^A66+(D67-E67)/(1+$M$4)^A67+(D68-E68)/(1+$M$4)^A68+(D69-E69)/(1+$M$4)^A69+(D70-E70)/(1+$M$4)^A70+(D71-E71)/(1+$M$4)^A71+(D72-E72)/(1+$M$4)^A72+(D73-E73)/(1+$M$4)^A73,0)</f>
        <v>-10509.2072</v>
      </c>
      <c r="U11" s="219">
        <f>'Données projet'!D10</f>
        <v>0.054</v>
      </c>
      <c r="V11" s="218">
        <f t="shared" si="1"/>
        <v>-567.4971886</v>
      </c>
      <c r="W11" s="4"/>
      <c r="X11" s="4"/>
      <c r="Y11" s="4"/>
      <c r="Z11" s="4"/>
      <c r="AA11" s="4"/>
      <c r="AB11" s="4"/>
      <c r="AC11" s="4"/>
      <c r="AD11" s="4"/>
      <c r="AE11" s="4"/>
      <c r="AF11" s="4"/>
      <c r="AG11" s="4"/>
      <c r="AH11" s="4"/>
      <c r="AI11" s="4"/>
      <c r="AJ11" s="4"/>
      <c r="AK11" s="4"/>
      <c r="AL11" s="4"/>
      <c r="AM11" s="4"/>
      <c r="AN11" s="4"/>
      <c r="AO11" s="4"/>
      <c r="AP11" s="4"/>
    </row>
    <row r="12">
      <c r="A12" s="4"/>
      <c r="B12" s="4"/>
      <c r="C12" s="4"/>
      <c r="D12" s="4"/>
      <c r="E12" s="4"/>
      <c r="F12" s="216"/>
      <c r="G12" s="4"/>
      <c r="H12" s="4"/>
      <c r="I12" s="4"/>
      <c r="J12" s="214"/>
      <c r="K12" s="215"/>
      <c r="L12" s="45"/>
      <c r="M12" s="4"/>
      <c r="N12" s="4"/>
      <c r="O12" s="4"/>
      <c r="P12" s="4"/>
      <c r="Q12" s="216"/>
      <c r="R12" s="4"/>
      <c r="S12" s="33" t="str">
        <f>B76</f>
        <v>Alisier torminal</v>
      </c>
      <c r="T12" s="218">
        <f>IF(B76&lt;&gt;"",-E79-E80/(1+$M$4)^A80-E81/(1+$M$4)^A81-E82/(1+$M$4)^A82-E83/(1+$M$4)^A83-E84/(1+$M$4)^A84+(D85-E85)/(1+$M$4)^A85+(D86-E86)/(1+$M$4)^A86+(D87-E87)/(1+$M$4)^A87+(D88-E88)/(1+$M$4)^A88+(D89-E89)/(1+$M$4)^A89+(D90-E90)/(1+$M$4)^A90+(D91-E91)/(1+$M$4)^A91+(D92-E92)/(1+$M$4)^A92+(D93-E93)/(1+$M$4)^A93+(D94-E94)/(1+$M$4)^A94+(D95-E95)/(1+$M$4)^A95+(D96-E96)/(1+$M$4)^A96+(D97-E97)/(1+$M$4)^A97+(D98-E98)/(1+$M$4)^A98+(D99-E99)/(1+$M$4)^A99+(D100-E100)/(1+$M$4)^A100+(D101-E101)/(1+$M$4)^A101+(D102-E102)/(1+$M$4)^A102+(D103-E103)/(1+$M$4)^A103+(D104-E104)/(1+$M$4)^A104,0)</f>
        <v>-11377.02314</v>
      </c>
      <c r="U12" s="219">
        <f>'Données projet'!D11</f>
        <v>0.054</v>
      </c>
      <c r="V12" s="218">
        <f t="shared" si="1"/>
        <v>-614.3592495</v>
      </c>
      <c r="W12" s="4"/>
      <c r="X12" s="4"/>
      <c r="Y12" s="4"/>
      <c r="Z12" s="4"/>
      <c r="AA12" s="4"/>
      <c r="AB12" s="4"/>
      <c r="AC12" s="4"/>
      <c r="AD12" s="4"/>
      <c r="AE12" s="4"/>
      <c r="AF12" s="4"/>
      <c r="AG12" s="4"/>
      <c r="AH12" s="4"/>
      <c r="AI12" s="4"/>
      <c r="AJ12" s="4"/>
      <c r="AK12" s="4"/>
      <c r="AL12" s="4"/>
      <c r="AM12" s="4"/>
      <c r="AN12" s="4"/>
      <c r="AO12" s="4"/>
      <c r="AP12" s="4"/>
    </row>
    <row r="13">
      <c r="A13" s="4"/>
      <c r="B13" s="4"/>
      <c r="C13" s="4"/>
      <c r="D13" s="4"/>
      <c r="E13" s="4"/>
      <c r="F13" s="216"/>
      <c r="G13" s="4"/>
      <c r="H13" s="4"/>
      <c r="I13" s="4"/>
      <c r="J13" s="4"/>
      <c r="K13" s="215"/>
      <c r="L13" s="45" t="s">
        <v>328</v>
      </c>
      <c r="M13" s="4"/>
      <c r="N13" s="4"/>
      <c r="O13" s="4"/>
      <c r="P13" s="4"/>
      <c r="Q13" s="216"/>
      <c r="R13" s="4"/>
      <c r="S13" s="33" t="str">
        <f>B107</f>
        <v/>
      </c>
      <c r="T13" s="218">
        <f>IF(B107&lt;&gt;"",-E110+(D116-E116)/(1+$M$4)^A116+(D117-E117)/(1+$M$4)^A117+(D118-E118)/(1+$M$4)^A118+(D119-E119)/(1+$M$4)^A119+(D120-E120)/(1+$M$4)^A120+(D121-E121)/(1+$M$4)^A121+(D122-E122)/(1+$M$4)^A122+(D123-E123)/(1+$M$4)^A123+(D124-E124)/(1+$M$4)^A124+(D125-E125)/(1+$M$4)^A125+(D126-E126)/(1+$M$4)^A126+(D127-E127)/(1+$M$4)^A127+(D128-E128)/(1+$M$4)^A128+(D129-E129)/(1+$M$4)^A129+(D130-E130)/(1+$M$4)^A130+(D131-E131)/(1+$M$4)^A131+(D132-E132)/(1+$M$4)^A132+(D133-E133)/(1+$M$4)^A133+(D134-E134)/(1+$M$4)^A134+(D135-E135)/(1+$M$4)^A135,0)</f>
        <v>0</v>
      </c>
      <c r="U13" s="219">
        <f>'Données projet'!D12</f>
        <v>0</v>
      </c>
      <c r="V13" s="218">
        <f t="shared" si="1"/>
        <v>0</v>
      </c>
      <c r="W13" s="4"/>
      <c r="X13" s="4"/>
      <c r="Y13" s="4"/>
      <c r="Z13" s="4"/>
      <c r="AA13" s="4"/>
      <c r="AB13" s="4"/>
      <c r="AC13" s="4"/>
      <c r="AD13" s="4"/>
      <c r="AE13" s="4"/>
      <c r="AF13" s="4"/>
      <c r="AG13" s="4"/>
      <c r="AH13" s="4"/>
      <c r="AI13" s="4"/>
      <c r="AJ13" s="4"/>
      <c r="AK13" s="4"/>
      <c r="AL13" s="4"/>
      <c r="AM13" s="4"/>
      <c r="AN13" s="4"/>
      <c r="AO13" s="4"/>
      <c r="AP13" s="4"/>
    </row>
    <row r="14">
      <c r="A14" s="49" t="s">
        <v>16</v>
      </c>
      <c r="B14" s="220" t="str">
        <f>IF('Données projet'!$B$9="","",'Données projet'!$B$9)</f>
        <v>Chêne sessile</v>
      </c>
      <c r="C14" s="4"/>
      <c r="D14" s="4"/>
      <c r="E14" s="4"/>
      <c r="F14" s="216"/>
      <c r="G14" s="4"/>
      <c r="H14" s="33" t="s">
        <v>112</v>
      </c>
      <c r="I14" s="33" t="s">
        <v>329</v>
      </c>
      <c r="J14" s="44"/>
      <c r="K14" s="215"/>
      <c r="L14" s="45"/>
      <c r="M14" s="4"/>
      <c r="N14" s="4"/>
      <c r="O14" s="4"/>
      <c r="P14" s="4"/>
      <c r="Q14" s="216"/>
      <c r="R14" s="4"/>
      <c r="S14" s="33" t="str">
        <f>B138</f>
        <v/>
      </c>
      <c r="T14" s="218">
        <f>IF(B138&lt;&gt;"",-E141-E142/(1+$M$4)^A142-E14/(1+$M$4)^A143-E144/(1+$M$4)^A144-E145/(1+$M$4)^A145-E146/(1+$M$4)^A146+(D147-E147)/(1+$M$4)^A147+(D148-E148)/(1+$M$4)^A148+(D149-E149)/(1+$M$4)^A149+(D150-E150)/(1+$M$4)^A150+(D151-E151)/(1+$M$4)^A151+(D152-E152)/(1+$M$4)^A152+(D153-E153)/(1+$M$4)^A153+(D154-E154)/(1+$M$4)^A154+(D155-E155)/(1+$M$4)^A155+(D156-E156)/(1+$M$4)^A156+(D157-E157)/(1+$M$4)^A157+(D158-E158)/(1+$M$4)^A158+(D159-E159)/(1+$M$4)^A159+(D160-E160)/(1+$M$4)^A160+(D161-E161)/(1+$M$4)^A161+(D162-E162)/(1+$M$4)^A162+(D163-E163)/(1+$M$4)^A163+(D164-E164)/(1+$M$4)^A164+(D165-E165)/(1+$M$4)^A165+(D166-E166)/(1+$M$4)^A166,0)</f>
        <v>0</v>
      </c>
      <c r="U14" s="219">
        <f>'Données projet'!D13</f>
        <v>0</v>
      </c>
      <c r="V14" s="218">
        <f t="shared" si="1"/>
        <v>0</v>
      </c>
      <c r="W14" s="4"/>
      <c r="X14" s="4"/>
      <c r="Y14" s="4"/>
      <c r="Z14" s="4"/>
      <c r="AA14" s="4"/>
      <c r="AB14" s="4"/>
      <c r="AC14" s="4"/>
      <c r="AD14" s="4"/>
      <c r="AE14" s="4"/>
      <c r="AF14" s="4"/>
      <c r="AG14" s="4"/>
      <c r="AH14" s="4"/>
      <c r="AI14" s="4"/>
      <c r="AJ14" s="4"/>
      <c r="AK14" s="4"/>
      <c r="AL14" s="4"/>
      <c r="AM14" s="4"/>
      <c r="AN14" s="4"/>
      <c r="AO14" s="4"/>
      <c r="AP14" s="4"/>
    </row>
    <row r="15" ht="15.0" customHeight="1">
      <c r="A15" s="4"/>
      <c r="B15" s="4"/>
      <c r="C15" s="4"/>
      <c r="D15" s="4"/>
      <c r="E15" s="4"/>
      <c r="F15" s="216"/>
      <c r="G15" s="221" t="s">
        <v>330</v>
      </c>
      <c r="H15" s="27"/>
      <c r="I15" s="222"/>
      <c r="J15" s="45"/>
      <c r="K15" s="215"/>
      <c r="L15" s="45"/>
      <c r="M15" s="4"/>
      <c r="N15" s="4"/>
      <c r="O15" s="4"/>
      <c r="P15" s="4"/>
      <c r="Q15" s="216"/>
      <c r="R15" s="4"/>
      <c r="S15" s="33" t="str">
        <f>B169</f>
        <v/>
      </c>
      <c r="T15" s="218">
        <f>IF(B169&lt;&gt;"",-E172-E173/(1+$M$4)^A173-E174/(1+$M$4)^A174-E175/(1+$M$4)^A175-E176/(1+$M$4)^A176-E177/(1+$M$4)^A177+(D178-E178)/(1+$M$4)^A178+(D179-E179)/(1+$M$4)^A179+(D180-E180)/(1+$M$4)^A180+(D181-E181)/(1+$M$4)^A181+(D182-E182)/(1+$M$4)^A182+(D183-E183)/(1+$M$4)^A183+(D184-E184)/(1+$M$4)^A184+(D185-E185)/(1+$M$4)^A185+(D186-E186)/(1+$M$4)^A186+(D187-E187)/(1+$M$4)^A187+(D188-E188)/(1+$M$4)^A188+(D189-E189)/(1+$M$4)^A189+(D190-E190)/(1+$M$4)^A190+(D191-E191)/(1+$M$4)^A191+(D192-E192)/(1+$M$4)^A192+(D193-E193)/(1+$M$4)^A193+(D194-E194)/(1+$M$4)^A194+(D195-E195)/(1+$M$4)^A195+(D196-E196)/(1+$M$4)^A196+(D197-E197)/(1+$M$4)^A197,0)</f>
        <v>0</v>
      </c>
      <c r="U15" s="219">
        <f>'Données projet'!D14</f>
        <v>0</v>
      </c>
      <c r="V15" s="218">
        <f t="shared" si="1"/>
        <v>0</v>
      </c>
      <c r="W15" s="4"/>
      <c r="X15" s="4"/>
      <c r="Y15" s="4"/>
      <c r="Z15" s="4"/>
      <c r="AA15" s="4"/>
      <c r="AB15" s="4"/>
      <c r="AC15" s="4"/>
      <c r="AD15" s="4"/>
      <c r="AE15" s="4"/>
      <c r="AF15" s="4"/>
      <c r="AG15" s="4"/>
      <c r="AH15" s="4"/>
      <c r="AI15" s="4"/>
      <c r="AJ15" s="4"/>
      <c r="AK15" s="4"/>
      <c r="AL15" s="4"/>
      <c r="AM15" s="4"/>
      <c r="AN15" s="4"/>
      <c r="AO15" s="4"/>
      <c r="AP15" s="4"/>
    </row>
    <row r="16" ht="15.0" customHeight="1">
      <c r="A16" s="33" t="s">
        <v>52</v>
      </c>
      <c r="B16" s="57" t="s">
        <v>331</v>
      </c>
      <c r="C16" s="57" t="s">
        <v>332</v>
      </c>
      <c r="D16" s="33" t="s">
        <v>333</v>
      </c>
      <c r="E16" s="33" t="s">
        <v>334</v>
      </c>
      <c r="F16" s="216"/>
      <c r="G16" s="223"/>
      <c r="H16" s="27"/>
      <c r="I16" s="222"/>
      <c r="J16" s="45"/>
      <c r="K16" s="215"/>
      <c r="L16" s="202" t="s">
        <v>335</v>
      </c>
      <c r="M16" s="54"/>
      <c r="N16" s="24"/>
      <c r="O16" s="4"/>
      <c r="P16" s="4"/>
      <c r="Q16" s="216"/>
      <c r="R16" s="4"/>
      <c r="S16" s="33" t="str">
        <f>B200</f>
        <v/>
      </c>
      <c r="T16" s="218">
        <f>IF(B200&lt;&gt;"",-E203-E204/(1+$M$4)^A204-E205/(1+$M$4)^A205-E206/(1+$M$4)^A206-E207/(1+$M$4)^A207-E208/(1+$M$4)^A208+(D209-E209)/(1+$M$4)^A209+(D210-E210)/(1+$M$4)^A210+(D211-E211)/(1+$M$4)^A211+(D212-E212)/(1+$M$4)^A212+(D213-E213)/(1+$M$4)^A213+(D214-E214)/(1+$M$4)^A214+(D215-E215)/(1+$M$4)^A215+(D216-E216)/(1+$M$4)^A216+(D217-E217)/(1+$M$4)^A217+(D218-E218)/(1+$M$4)^A218+(D219-E219)/(1+$M$4)^A219+(D220-E220)/(1+$M$4)^A220+(D221-E221)/(1+$M$4)^A221+(D222-E222)/(1+$M$4)^A222+(D223-E223)/(1+$M$4)^A223+(D224-E224)/(1+$M$4)^A224+(D225-E225)/(1+$M$4)^A225+(D226-E226)/(1+$M$4)^A226+(D227-E227)/(1+$M$4)^A227+(D228-E228)/(1+$M$4)^A228,0)</f>
        <v>0</v>
      </c>
      <c r="U16" s="219">
        <f>'Données projet'!D15</f>
        <v>0</v>
      </c>
      <c r="V16" s="218">
        <f t="shared" si="1"/>
        <v>0</v>
      </c>
      <c r="W16" s="4"/>
      <c r="X16" s="4"/>
      <c r="Y16" s="4"/>
      <c r="Z16" s="4"/>
      <c r="AA16" s="4"/>
      <c r="AB16" s="4"/>
      <c r="AC16" s="4"/>
      <c r="AD16" s="4"/>
      <c r="AE16" s="4"/>
      <c r="AF16" s="4"/>
      <c r="AG16" s="4"/>
      <c r="AH16" s="4"/>
      <c r="AI16" s="4"/>
      <c r="AJ16" s="4"/>
      <c r="AK16" s="4"/>
      <c r="AL16" s="4"/>
      <c r="AM16" s="4"/>
      <c r="AN16" s="4"/>
      <c r="AO16" s="4"/>
      <c r="AP16" s="4"/>
    </row>
    <row r="17">
      <c r="A17" s="43">
        <v>0.0</v>
      </c>
      <c r="B17" s="224" t="s">
        <v>231</v>
      </c>
      <c r="C17" s="225" t="s">
        <v>231</v>
      </c>
      <c r="D17" s="226" t="s">
        <v>231</v>
      </c>
      <c r="E17" s="227">
        <f>1238/0.5</f>
        <v>2476</v>
      </c>
      <c r="F17" s="216"/>
      <c r="G17" s="223"/>
      <c r="H17" s="4"/>
      <c r="I17" s="4"/>
      <c r="J17" s="45"/>
      <c r="K17" s="215"/>
      <c r="L17" s="53" t="s">
        <v>336</v>
      </c>
      <c r="M17" s="54"/>
      <c r="N17" s="228">
        <f>VLOOKUP(N16,Calculateur!$A$2:$H$153,3,0)/VLOOKUP('Scénario référence'!$G$15,'Paramètres'!A1:I88,3,0)/VLOOKUP('Scénario référence'!$G$15,'Paramètres'!A1:I88,5,0)</f>
        <v>0</v>
      </c>
      <c r="O17" s="4"/>
      <c r="P17" s="4"/>
      <c r="Q17" s="216"/>
      <c r="R17" s="4"/>
      <c r="S17" s="33" t="str">
        <f>B231</f>
        <v/>
      </c>
      <c r="T17" s="218">
        <f>IF(B231&lt;&gt;"",-E234-E235/(1+$M$4)^A235-E236/(1+$M$4)^A236-E237/(1+$M$4)^A237-E238/(1+$M$4)^A238-E239/(1+$M$4)^A239+(D240-E240)/(1+$M$4)^A240+(D241-E241)/(1+$M$4)^A241+(D242-E242)/(1+$M$4)^A242+(D243-E243)/(1+$M$4)^A243+(D244-E244)/(1+$M$4)^A244+(D245-E245)/(1+$M$4)^A245+(D246-E246)/(1+$M$4)^A246+(D247-E247)/(1+$M$4)^A247+(D248-E248)/(1+$M$4)^A248+(D249-E249)/(1+$M$4)^A249+(D250-E250)/(1+$M$4)^A250+(D251-E251)/(1+$M$4)^A251+(D252-E252)/(1+$M$4)^A252+(D253-E253)/(1+$M$4)^A253+(D254-E254)/(1+$M$4)^A254+(D255-E255)/(1+$M$4)^A255+(D256-E256)/(1+$M$4)^A256+(D257-E257)/(1+$M$4)^A257+(D258-E258)/(1+$M$4)^A258+(D259-E259)/(1+$M$4)^A259,0)</f>
        <v>0</v>
      </c>
      <c r="U17" s="219">
        <f>'Données projet'!D16</f>
        <v>0</v>
      </c>
      <c r="V17" s="218">
        <f t="shared" si="1"/>
        <v>0</v>
      </c>
      <c r="W17" s="4"/>
      <c r="X17" s="4"/>
      <c r="Y17" s="4"/>
      <c r="Z17" s="4"/>
      <c r="AA17" s="4"/>
      <c r="AB17" s="4"/>
      <c r="AC17" s="4"/>
      <c r="AD17" s="4"/>
      <c r="AE17" s="4"/>
      <c r="AF17" s="4"/>
      <c r="AG17" s="4"/>
      <c r="AH17" s="4"/>
      <c r="AI17" s="4"/>
      <c r="AJ17" s="4"/>
      <c r="AK17" s="4"/>
      <c r="AL17" s="4"/>
      <c r="AM17" s="4"/>
      <c r="AN17" s="4"/>
      <c r="AO17" s="4"/>
      <c r="AP17" s="4"/>
    </row>
    <row r="18">
      <c r="A18" s="43">
        <v>1.0</v>
      </c>
      <c r="B18" s="224" t="s">
        <v>231</v>
      </c>
      <c r="C18" s="225" t="s">
        <v>231</v>
      </c>
      <c r="D18" s="226" t="s">
        <v>231</v>
      </c>
      <c r="E18" s="227">
        <f>960/0.5</f>
        <v>1920</v>
      </c>
      <c r="F18" s="216"/>
      <c r="G18" s="223"/>
      <c r="H18" s="4"/>
      <c r="I18" s="4"/>
      <c r="J18" s="45"/>
      <c r="K18" s="215"/>
      <c r="L18" s="53" t="s">
        <v>332</v>
      </c>
      <c r="M18" s="54"/>
      <c r="N18" s="229"/>
      <c r="O18" s="4"/>
      <c r="P18" s="4"/>
      <c r="Q18" s="216"/>
      <c r="R18" s="4"/>
      <c r="S18" s="33" t="str">
        <f>B262</f>
        <v/>
      </c>
      <c r="T18" s="218">
        <f>IF(B262&lt;&gt;"",-E265-E266/(1+$M$4)^A266-E267/(1+$M$4)^A267-E268/(1+$M$4)^A268-E269/(1+$M$4)^A269-E270/(1+$M$4)^A270+(D271-E271)/(1+$M$4)^A271+(D272-E272)/(1+$M$4)^A272+(D273-E273)/(1+$M$4)^A273+(D274-E274)/(1+$M$4)^A274+(D275-E275)/(1+$M$4)^A275+(D276-E276)/(1+$M$4)^A276+(D277-E277)/(1+$M$4)^A277+(D278-E278)/(1+$M$4)^A278+(D279-E279)/(1+$M$4)^A279+(D280-E280)/(1+$M$4)^A280+(D281-E281)/(1+$M$4)^A281+(D282-E282)/(1+$M$4)^A282+(D283-E283)/(1+$M$4)^A283+(D284-E284)/(1+$M$4)^A284+(D285-E285)/(1+$M$4)^A285+(D286-E286)/(1+$M$4)^A286+(D287-E287)/(1+$M$4)^A287+(D288-E288)/(1+$M$4)^A288+(D289-E289)/(1+$M$4)^A289+(D290-E290)/(1+$M$4)^A290,0)</f>
        <v>0</v>
      </c>
      <c r="U18" s="219">
        <f>'Données projet'!D17</f>
        <v>0</v>
      </c>
      <c r="V18" s="218">
        <f t="shared" si="1"/>
        <v>0</v>
      </c>
      <c r="W18" s="4"/>
      <c r="X18" s="4"/>
      <c r="Y18" s="4"/>
      <c r="Z18" s="4"/>
      <c r="AA18" s="4"/>
      <c r="AB18" s="4"/>
      <c r="AC18" s="4"/>
      <c r="AD18" s="4"/>
      <c r="AE18" s="4"/>
      <c r="AF18" s="4"/>
      <c r="AG18" s="4"/>
      <c r="AH18" s="4"/>
      <c r="AI18" s="4"/>
      <c r="AJ18" s="4"/>
      <c r="AK18" s="4"/>
      <c r="AL18" s="4"/>
      <c r="AM18" s="4"/>
      <c r="AN18" s="4"/>
      <c r="AO18" s="4"/>
      <c r="AP18" s="4"/>
    </row>
    <row r="19" ht="17.25" customHeight="1">
      <c r="A19" s="43">
        <v>2.0</v>
      </c>
      <c r="B19" s="224" t="s">
        <v>231</v>
      </c>
      <c r="C19" s="225" t="s">
        <v>231</v>
      </c>
      <c r="D19" s="226" t="s">
        <v>231</v>
      </c>
      <c r="E19" s="227">
        <f>1031/0.5</f>
        <v>2062</v>
      </c>
      <c r="F19" s="216"/>
      <c r="G19" s="223"/>
      <c r="H19" s="33" t="s">
        <v>112</v>
      </c>
      <c r="I19" s="33" t="s">
        <v>337</v>
      </c>
      <c r="J19" s="45"/>
      <c r="K19" s="215"/>
      <c r="L19" s="202" t="s">
        <v>338</v>
      </c>
      <c r="M19" s="54"/>
      <c r="N19" s="230">
        <f>N17*N18</f>
        <v>0</v>
      </c>
      <c r="O19" s="4"/>
      <c r="P19" s="4"/>
      <c r="Q19" s="216"/>
      <c r="R19" s="4"/>
      <c r="S19" s="33" t="str">
        <f>B293</f>
        <v/>
      </c>
      <c r="T19" s="218">
        <f>IF(B293&lt;&gt;"",-E296-E297/(1+$M$4)^A297-E298/(1+$M$4)^A298-E299/(1+$M$4)^A299-E300/(1+$M$4)^A300-E301/(1+$M$4)^A301+(D302-E302)/(1+$M$4)^A302+(D303-D303)/(1+$M$4)^A303+(D304-E304)/(1+$M$4)^A304+(D305-E305)/(1+$M$4)^A305+(D306-E306)/(1+$M$4)^A306+(D307-E307)/(1+$M$4)^A307+(D308-E308)/(1+$M$4)^A308+(D309-E309)/(1+$M$4)^A309+(D310-E310)/(1+$M$4)^A310+(D311-E311)/(1+$M$4)^A311+(D312-E312)/(1+$M$4)^A312+(D313-E313)/(1+$M$4)^A313+(D314-E314)/(1+$M$4)^A314+(D315-E315)/(1+$M$4)^A315+(D316-E316)/(1+$M$4)^A316+(D317-E317)/(1+$M$4)^A317+(D318-E318)/(1+$M$4)^A318+(D319-E319)/(1+$M$4)^A319+(D320-E320)/(1+$M$4)^A320+(D321-E321)/(1+$M$4)^A321,0)</f>
        <v>0</v>
      </c>
      <c r="U19" s="219">
        <f>'Données projet'!D18</f>
        <v>0</v>
      </c>
      <c r="V19" s="218">
        <f t="shared" si="1"/>
        <v>0</v>
      </c>
      <c r="W19" s="4"/>
      <c r="X19" s="4"/>
      <c r="Y19" s="4"/>
      <c r="Z19" s="4"/>
      <c r="AA19" s="4"/>
      <c r="AB19" s="4"/>
      <c r="AC19" s="4"/>
      <c r="AD19" s="4"/>
      <c r="AE19" s="4"/>
      <c r="AF19" s="4"/>
      <c r="AG19" s="4"/>
      <c r="AH19" s="4"/>
      <c r="AI19" s="4"/>
      <c r="AJ19" s="4"/>
      <c r="AK19" s="4"/>
      <c r="AL19" s="4"/>
      <c r="AM19" s="4"/>
      <c r="AN19" s="4"/>
      <c r="AO19" s="4"/>
      <c r="AP19" s="4"/>
    </row>
    <row r="20">
      <c r="A20" s="43">
        <v>3.0</v>
      </c>
      <c r="B20" s="224" t="s">
        <v>231</v>
      </c>
      <c r="C20" s="225" t="s">
        <v>231</v>
      </c>
      <c r="D20" s="226" t="s">
        <v>231</v>
      </c>
      <c r="E20" s="227">
        <f>1080/0.5</f>
        <v>2160</v>
      </c>
      <c r="F20" s="216"/>
      <c r="G20" s="223"/>
      <c r="H20" s="27">
        <v>0.0</v>
      </c>
      <c r="I20" s="222">
        <f>2992/0.5</f>
        <v>5984</v>
      </c>
      <c r="J20" s="4"/>
      <c r="K20" s="215"/>
      <c r="L20" s="4"/>
      <c r="M20" s="4"/>
      <c r="N20" s="4"/>
      <c r="O20" s="4"/>
      <c r="P20" s="4"/>
      <c r="Q20" s="216"/>
      <c r="R20" s="4"/>
      <c r="S20" s="4"/>
      <c r="T20" s="4"/>
      <c r="U20" s="4"/>
      <c r="V20" s="4"/>
      <c r="W20" s="4"/>
      <c r="X20" s="4"/>
      <c r="Y20" s="4"/>
      <c r="Z20" s="4"/>
      <c r="AA20" s="4"/>
      <c r="AB20" s="4"/>
      <c r="AC20" s="4"/>
      <c r="AD20" s="4"/>
      <c r="AE20" s="4"/>
      <c r="AF20" s="4"/>
      <c r="AG20" s="4"/>
      <c r="AH20" s="4"/>
      <c r="AI20" s="4"/>
      <c r="AJ20" s="4"/>
      <c r="AK20" s="4"/>
      <c r="AL20" s="4"/>
      <c r="AM20" s="4"/>
      <c r="AN20" s="4"/>
      <c r="AO20" s="4"/>
      <c r="AP20" s="4"/>
    </row>
    <row r="21" ht="15.75" customHeight="1">
      <c r="A21" s="43">
        <v>4.0</v>
      </c>
      <c r="B21" s="224" t="s">
        <v>231</v>
      </c>
      <c r="C21" s="225" t="s">
        <v>231</v>
      </c>
      <c r="D21" s="226" t="s">
        <v>231</v>
      </c>
      <c r="E21" s="227">
        <f>1120/0.5</f>
        <v>2240</v>
      </c>
      <c r="F21" s="216"/>
      <c r="G21" s="4"/>
      <c r="H21" s="27">
        <v>7.0</v>
      </c>
      <c r="I21" s="222">
        <f>1000/0.5</f>
        <v>2000</v>
      </c>
      <c r="J21" s="4"/>
      <c r="K21" s="215"/>
      <c r="L21" s="4"/>
      <c r="M21" s="4"/>
      <c r="N21" s="4"/>
      <c r="O21" s="4"/>
      <c r="P21" s="4"/>
      <c r="Q21" s="216"/>
      <c r="R21" s="4"/>
      <c r="S21" s="4"/>
      <c r="T21" s="4"/>
      <c r="U21" s="4"/>
      <c r="V21" s="4"/>
      <c r="W21" s="4"/>
      <c r="X21" s="4"/>
      <c r="Y21" s="4"/>
      <c r="Z21" s="4"/>
      <c r="AA21" s="4"/>
      <c r="AB21" s="4"/>
      <c r="AC21" s="4"/>
      <c r="AD21" s="4"/>
      <c r="AE21" s="4"/>
      <c r="AF21" s="4"/>
      <c r="AG21" s="4"/>
      <c r="AH21" s="4"/>
      <c r="AI21" s="4"/>
      <c r="AJ21" s="4"/>
      <c r="AK21" s="4"/>
      <c r="AL21" s="4"/>
      <c r="AM21" s="4"/>
      <c r="AN21" s="4"/>
      <c r="AO21" s="4"/>
      <c r="AP21" s="4"/>
    </row>
    <row r="22" ht="15.75" customHeight="1">
      <c r="A22" s="43">
        <v>7.0</v>
      </c>
      <c r="B22" s="224" t="s">
        <v>231</v>
      </c>
      <c r="C22" s="225" t="s">
        <v>231</v>
      </c>
      <c r="D22" s="226" t="s">
        <v>231</v>
      </c>
      <c r="E22" s="227">
        <f>3500/4/0.5</f>
        <v>1750</v>
      </c>
      <c r="F22" s="216"/>
      <c r="G22" s="4"/>
      <c r="H22" s="27"/>
      <c r="I22" s="222"/>
      <c r="J22" s="4"/>
      <c r="K22" s="215"/>
      <c r="L22" s="4"/>
      <c r="M22" s="4"/>
      <c r="N22" s="4"/>
      <c r="O22" s="4"/>
      <c r="P22" s="4"/>
      <c r="Q22" s="216"/>
      <c r="R22" s="4"/>
      <c r="S22" s="4"/>
      <c r="T22" s="4"/>
      <c r="U22" s="4"/>
      <c r="V22" s="4"/>
      <c r="W22" s="4"/>
      <c r="X22" s="4"/>
      <c r="Y22" s="4"/>
      <c r="Z22" s="4"/>
      <c r="AA22" s="4"/>
      <c r="AB22" s="4"/>
      <c r="AC22" s="4"/>
      <c r="AD22" s="4"/>
      <c r="AE22" s="4"/>
      <c r="AF22" s="4"/>
      <c r="AG22" s="4"/>
      <c r="AH22" s="4"/>
      <c r="AI22" s="4"/>
      <c r="AJ22" s="4"/>
      <c r="AK22" s="4"/>
      <c r="AL22" s="4"/>
      <c r="AM22" s="4"/>
      <c r="AN22" s="4"/>
      <c r="AO22" s="4"/>
      <c r="AP22" s="4"/>
    </row>
    <row r="23" ht="15.75" customHeight="1">
      <c r="A23" s="231">
        <f>'Données projet'!A36</f>
        <v>20</v>
      </c>
      <c r="B23" s="228">
        <f>'Données projet'!D36</f>
        <v>6</v>
      </c>
      <c r="C23" s="232">
        <v>4.0</v>
      </c>
      <c r="D23" s="233">
        <f t="shared" ref="D23:D42" si="2">B23*C23</f>
        <v>24</v>
      </c>
      <c r="E23" s="227">
        <f t="shared" ref="E23:E42" si="3">20*B23</f>
        <v>120</v>
      </c>
      <c r="F23" s="216"/>
      <c r="G23" s="4"/>
      <c r="H23" s="27"/>
      <c r="I23" s="222"/>
      <c r="J23" s="4"/>
      <c r="K23" s="215"/>
      <c r="L23" s="234" t="s">
        <v>339</v>
      </c>
      <c r="O23" s="4"/>
      <c r="P23" s="4"/>
      <c r="Q23" s="216"/>
      <c r="R23" s="4"/>
      <c r="S23" s="33" t="s">
        <v>340</v>
      </c>
      <c r="T23" s="235">
        <f>SUM(V10:V19) + (I15/(1+M4)^H15 + I16/(16+M4)^H16)*'Données projet'!C5 - (I20/(1+M4)^H20 + I21/(1+M4)^H21 + I22/(1+M4)^H22 + I23/(1+M4)^H23 + I24/(1+M4)^H24+ I25/(1+M4)^H25 + I26/(1+M4)^H26 + I27/(1+M4)^H27 + I28/(1+M4)^H28 + I29/(1+M4)^H29 + I30/(1+M4)^H30 + I31/(1+M4)^H31 + I32/(1+M4)^H32 + I33/(1+M4)^H33 + I34/(1+M4)^H34 + I35/(1+M4)^H35 + I36/(1+M4)^H36 + I37/(1+M4)^H37 + I38/(1+M4)^H38 + I39/(1+M4)^H39 + I40/(1+M4)^H40 + I41/(1+M4)^H41 + I42/(1+M4)^H42 + I43/(1+M4)^H43 + I44/(1+M4)^H44 + I45/(1+M4)^H45 + I46/(1+M4)^H46 + I47/(1+M4)^H47 + I48/(1+M4)^H48 + I49/(1+M4)^H49 + I60/(1+M4)^H60 + I61/(1+M4)^H61 + I62/(1+M4)^H62 + I63/(1+M4)^H63 + I64/(1+M4)^H64 + I65/(1+M4)^H65 + I66/(1+M4)^H66 + I67/(1+M4)^H67 + I68/(1+M4)^H68 + I69/(1+M4)^H69 + I70/(1+M4)^H70 + I71/(1+M4)^H71 + I72/(1+M4)^H72 + I73/(1+M4)^H73 + I74/(1+M4)^H74 + I75/(1+M4)^H75 + I76/(1+M4)^H76 + I77/(1+M4)^H77 + I78/(1+M4)^H78 + I79/(1+M4)^H79 + I80/(1+M4)^H80 + I81/(1+M4)^H81 + I820/(1+M4)^H82 + I83/(1+M4)^H83 + I84/(1+M4)^H84 + I85/(1+M4)^H85 + I86/(1+M4)^H86 + I87/(1+M4)^H87 + I88/(1+M4)^H88 + I89/(1+M4)^H89 + I90/(1+M4)^H90 + I91/(1+M4)^H91 + I91/(1+M4)^H91 + I92/(1+M4)^H92 + I93/(1+M4)^H93 + I94/(1+M4)^H94 + I95/(1+M4)^H95 + I96/(1+M4)^H96 + I97/(1+M4)^H97 + I98/(1+M4)^H98 + I99/(1+M4)^H99 + I100/(1+M4)^H100 + I101/(1+M4)^H101 + I102/(1+M4)^H102 + I103/(1+M4)^H103 + I104/(1+M4)^H104 + I105/(1+M4)^H105 + I106/(1+M4)^H106 + I107/(1+M4)^H107 + I108/(1+M4)^H108 + I109/(1+M4)^H109 + I110/(1+M4)^H110 + I111/(1+M4)^H111 + I112/(1+M4)^H112 + I113/(1+M4)^H113 + I114/(1+M4)^H114 + I115/(1+M4)^H115 + I116/(1+M4)^H116 + I117/(1+M4)^H117 + I118/(1+M4)^H118 + I119/(1+M4)^H119 + I120/(1+M4)^H120 + I121/(1+M4)^H121 + I122/(1+M4)^H122 + I123/(1+M4)^H123 + I124/(1+M4)^H124 + I125/(1+M4)^H125 + I126/(1+M4)^H126 + I127/(1+M4)^H127 + I128/(1+M4)^H128 + I129/(1+M4)^H129 + I130/(1+M4)^H130 + I131/(1+M4)^H132 + I133/(1+M4)^H133 + I134/(1+M4)^H134  + I135/(1+M4)^H135 + I136/(1+M4)^H136 + I137/(1+M4)^H137 + I138/(1+M4)^H138 + I139/(1+M4)^H139 + I140/(1+M4)^H140 + I141/(1+M4)^H141 + I142/(1+M4)^H142 + I143/(1+M4)^H143 + I144/(1+M4)^H144 + I145/(1+M4)^H145 + I146/(1+M4)^H146 + I147/(1+M4)^H147 + I148/(1+M4)^H148 + I149/(1+M4)^H149 + I150/(1+M4)^H150 + I151/(1+M4)^H151 + I152/(1+M4)^H152 + I153/(1+M4)^H153 + I154/(1+M4)^H154 + I155/(1+M4)^H155 + I156/(1+M4)^H156 + I157/(1+M4)^H157 + I158/(1+M4)^H158 + I159/(1+M4)^H159 + I160/(1+M4)^H160 + I161/(1+M4)^H161 + I162/(1+M4)^H162 + I163/(1+M4)^H163 + I164/(1+M4)^H164 + I165/(1+M4)^H165 + I166/(1+M4)^H166 + I167/(1+M4)^H167 + I168/(1+M4)^H168 + I169/(1+M4)^H169 + I170/(1+M4)^H170 + I171/(1+M4)^H171 + I172/(1+M4)^H172 + I173/(1+M4)^H173 + I174/(1+M4)^H174 + I175/(1+M4)^H175 + I176/(1+M4)^H176 + I177/(1+M4)^H177 + I178/(1+M4)^H178 + I179/(1+M4)^H179 + I180/(1+M4)^H180 + I181/(1+M4)^H181 + I182/(1+M4)^H182 + I183/(1+M4)^H183 + I184/(1+M4)^H184 + I185/(1+M4)^H185 + I186/(1+M4)^H186 + I187/(1+M4)^H187 + I188/(1+M4)^H188 + I189/(1+M4)^H189 + I190/(1+M4)^H190 + I191/(1+M4)^H191 + I192/(1+M4)^H192 + I193/(1+M4)^H193 + I194/(1+M4)^H194 + I195/(1+M4)^H195 + I196/(1+M4)^H196 + I197/(1+M4)^H197 + I198/(1+M4)^H198 + I199/(1+M4)^H199 + I200/(1+M4)^H200 + I201/(1+M4)^H201 + I202/(1+M4)^H202 + I203/(1+M4)^H203 + I204/(1+M4)^H204 + I205/(1+M4)^H205 + I206/(1+M4)^H206 + I207/(1+M4)^H207 + I208/(1+M4)^H208 + I209/(1+M4)^H209 + I210/(1+M4)^H210 + I211/(1+M4)^H211 + I212/(1+M4)^H212 + I213/(1+M4)^H213 + I214/(1+M4)^H214 + I215/(1+M4)^H215 + I216/(1+M4)^H216 + I217/(1+M4)^H217 + I218/(1+M4)^H218 + I219/(1+M4)^H219)*'Données projet'!C5</f>
        <v>-13154.73893</v>
      </c>
      <c r="U23" s="55"/>
      <c r="V23" s="54"/>
      <c r="W23" s="4"/>
      <c r="X23" s="4"/>
      <c r="Y23" s="4"/>
      <c r="Z23" s="4"/>
      <c r="AA23" s="4"/>
      <c r="AB23" s="4"/>
      <c r="AC23" s="4"/>
      <c r="AD23" s="4"/>
      <c r="AE23" s="4"/>
      <c r="AF23" s="4"/>
      <c r="AG23" s="4"/>
      <c r="AH23" s="4"/>
      <c r="AI23" s="4"/>
      <c r="AJ23" s="4"/>
      <c r="AK23" s="4"/>
      <c r="AL23" s="4"/>
      <c r="AM23" s="4"/>
      <c r="AN23" s="4"/>
      <c r="AO23" s="4"/>
      <c r="AP23" s="4"/>
    </row>
    <row r="24" ht="15.75" customHeight="1">
      <c r="A24" s="231">
        <f>'Données projet'!A37</f>
        <v>25</v>
      </c>
      <c r="B24" s="228">
        <f>'Données projet'!D37</f>
        <v>28</v>
      </c>
      <c r="C24" s="227">
        <v>9.0</v>
      </c>
      <c r="D24" s="233">
        <f t="shared" si="2"/>
        <v>252</v>
      </c>
      <c r="E24" s="227">
        <f t="shared" si="3"/>
        <v>560</v>
      </c>
      <c r="F24" s="236"/>
      <c r="G24" s="4"/>
      <c r="H24" s="27"/>
      <c r="I24" s="222"/>
      <c r="J24" s="4"/>
      <c r="K24" s="215"/>
      <c r="L24" s="4"/>
      <c r="M24" s="4"/>
      <c r="N24" s="4"/>
      <c r="O24" s="4"/>
      <c r="P24" s="4"/>
      <c r="Q24" s="216"/>
      <c r="R24" s="4"/>
      <c r="S24" s="33" t="s">
        <v>341</v>
      </c>
      <c r="T24" s="237">
        <f>'Scénario référence'!$B$8*$M$30*'Données projet'!$C$5+('Scénario référence'!B9+'Scénario référence'!B10+'Scénario référence'!F8+'Scénario référence'!F9)*$N$19/(1+M4)^N16*'Données projet'!$C$5</f>
        <v>3249.40967</v>
      </c>
      <c r="U24" s="55"/>
      <c r="V24" s="54"/>
      <c r="W24" s="4"/>
      <c r="X24" s="4"/>
      <c r="Y24" s="4"/>
      <c r="Z24" s="4"/>
      <c r="AA24" s="4"/>
      <c r="AB24" s="4"/>
      <c r="AC24" s="4"/>
      <c r="AD24" s="4"/>
      <c r="AE24" s="4"/>
      <c r="AF24" s="4"/>
      <c r="AG24" s="4"/>
      <c r="AH24" s="4"/>
      <c r="AI24" s="4"/>
      <c r="AJ24" s="4"/>
      <c r="AK24" s="4"/>
      <c r="AL24" s="4"/>
      <c r="AM24" s="4"/>
      <c r="AN24" s="4"/>
      <c r="AO24" s="4"/>
      <c r="AP24" s="4"/>
    </row>
    <row r="25" ht="15.75" customHeight="1">
      <c r="A25" s="231">
        <f>'Données projet'!A38</f>
        <v>30</v>
      </c>
      <c r="B25" s="228">
        <f>'Données projet'!D38</f>
        <v>28</v>
      </c>
      <c r="C25" s="227">
        <v>9.0</v>
      </c>
      <c r="D25" s="233">
        <f t="shared" si="2"/>
        <v>252</v>
      </c>
      <c r="E25" s="227">
        <f t="shared" si="3"/>
        <v>560</v>
      </c>
      <c r="F25" s="236"/>
      <c r="G25" s="4"/>
      <c r="H25" s="27"/>
      <c r="I25" s="222"/>
      <c r="J25" s="4"/>
      <c r="K25" s="215"/>
      <c r="L25" s="194" t="s">
        <v>342</v>
      </c>
      <c r="M25" s="194"/>
      <c r="N25" s="194"/>
      <c r="O25" s="194"/>
      <c r="P25" s="229">
        <v>200.0</v>
      </c>
      <c r="Q25" s="216"/>
      <c r="R25" s="4"/>
      <c r="S25" s="52" t="s">
        <v>343</v>
      </c>
      <c r="T25" s="238">
        <f>T23-T24</f>
        <v>-16404.1486</v>
      </c>
      <c r="U25" s="55"/>
      <c r="V25" s="54"/>
      <c r="W25" s="4"/>
      <c r="X25" s="4"/>
      <c r="Y25" s="4"/>
      <c r="Z25" s="4"/>
      <c r="AA25" s="4"/>
      <c r="AB25" s="4"/>
      <c r="AC25" s="4"/>
      <c r="AD25" s="4"/>
      <c r="AE25" s="4"/>
      <c r="AF25" s="4"/>
      <c r="AG25" s="4"/>
      <c r="AH25" s="4"/>
      <c r="AI25" s="4"/>
      <c r="AJ25" s="4"/>
      <c r="AK25" s="4"/>
      <c r="AL25" s="4"/>
      <c r="AM25" s="4"/>
      <c r="AN25" s="4"/>
      <c r="AO25" s="4"/>
      <c r="AP25" s="4"/>
    </row>
    <row r="26" ht="15.75" customHeight="1">
      <c r="A26" s="231">
        <f>'Données projet'!A39</f>
        <v>35</v>
      </c>
      <c r="B26" s="228">
        <f>'Données projet'!D39</f>
        <v>28</v>
      </c>
      <c r="C26" s="227">
        <v>9.0</v>
      </c>
      <c r="D26" s="233">
        <f t="shared" si="2"/>
        <v>252</v>
      </c>
      <c r="E26" s="227">
        <f t="shared" si="3"/>
        <v>560</v>
      </c>
      <c r="F26" s="236"/>
      <c r="G26" s="51"/>
      <c r="H26" s="27"/>
      <c r="I26" s="222"/>
      <c r="J26" s="4"/>
      <c r="K26" s="215"/>
      <c r="L26" s="239" t="s">
        <v>344</v>
      </c>
      <c r="M26" s="240"/>
      <c r="N26" s="240"/>
      <c r="O26" s="240"/>
      <c r="P26" s="241"/>
      <c r="Q26" s="216"/>
      <c r="R26" s="4"/>
      <c r="S26" s="52" t="s">
        <v>345</v>
      </c>
      <c r="T26" s="242" t="str">
        <f>IF(T25&lt;0,"Votre projet est additionnel","Votre projet n'est pas additionnel")</f>
        <v>Votre projet est additionnel</v>
      </c>
      <c r="U26" s="55"/>
      <c r="V26" s="54"/>
      <c r="W26" s="4"/>
      <c r="X26" s="4"/>
      <c r="Y26" s="4"/>
      <c r="Z26" s="4"/>
      <c r="AA26" s="4"/>
      <c r="AB26" s="4"/>
      <c r="AC26" s="4"/>
      <c r="AD26" s="4"/>
      <c r="AE26" s="4"/>
      <c r="AF26" s="4"/>
      <c r="AG26" s="4"/>
      <c r="AH26" s="4"/>
      <c r="AI26" s="4"/>
      <c r="AJ26" s="4"/>
      <c r="AK26" s="4"/>
      <c r="AL26" s="4"/>
      <c r="AM26" s="4"/>
      <c r="AN26" s="4"/>
      <c r="AO26" s="4"/>
      <c r="AP26" s="4"/>
    </row>
    <row r="27" ht="15.75" customHeight="1">
      <c r="A27" s="231">
        <f>'Données projet'!A40</f>
        <v>40</v>
      </c>
      <c r="B27" s="228">
        <f>'Données projet'!D40</f>
        <v>28</v>
      </c>
      <c r="C27" s="227">
        <v>34.0</v>
      </c>
      <c r="D27" s="233">
        <f t="shared" si="2"/>
        <v>952</v>
      </c>
      <c r="E27" s="227">
        <f t="shared" si="3"/>
        <v>560</v>
      </c>
      <c r="F27" s="236"/>
      <c r="G27" s="51"/>
      <c r="H27" s="27"/>
      <c r="I27" s="222"/>
      <c r="J27" s="4"/>
      <c r="K27" s="215"/>
      <c r="L27" s="243"/>
      <c r="M27" s="244"/>
      <c r="N27" s="244"/>
      <c r="O27" s="244"/>
      <c r="P27" s="245"/>
      <c r="Q27" s="216"/>
      <c r="R27" s="4"/>
      <c r="S27" s="246" t="s">
        <v>346</v>
      </c>
      <c r="T27" s="240"/>
      <c r="U27" s="240"/>
      <c r="V27" s="240"/>
      <c r="W27" s="4"/>
      <c r="X27" s="4"/>
      <c r="Y27" s="4"/>
      <c r="Z27" s="4"/>
      <c r="AA27" s="4"/>
      <c r="AB27" s="4"/>
      <c r="AC27" s="4"/>
      <c r="AD27" s="4"/>
      <c r="AE27" s="4"/>
      <c r="AF27" s="4"/>
      <c r="AG27" s="4"/>
      <c r="AH27" s="4"/>
      <c r="AI27" s="4"/>
      <c r="AJ27" s="4"/>
      <c r="AK27" s="4"/>
      <c r="AL27" s="4"/>
      <c r="AM27" s="4"/>
      <c r="AN27" s="4"/>
      <c r="AO27" s="4"/>
      <c r="AP27" s="4"/>
    </row>
    <row r="28" ht="15.75" customHeight="1">
      <c r="A28" s="231">
        <f>'Données projet'!A41</f>
        <v>45</v>
      </c>
      <c r="B28" s="228">
        <f>'Données projet'!D41</f>
        <v>28</v>
      </c>
      <c r="C28" s="227">
        <v>34.0</v>
      </c>
      <c r="D28" s="233">
        <f t="shared" si="2"/>
        <v>952</v>
      </c>
      <c r="E28" s="227">
        <f t="shared" si="3"/>
        <v>560</v>
      </c>
      <c r="F28" s="236"/>
      <c r="G28" s="19"/>
      <c r="H28" s="27"/>
      <c r="I28" s="222"/>
      <c r="J28" s="4"/>
      <c r="K28" s="215"/>
      <c r="L28" s="4"/>
      <c r="M28" s="4"/>
      <c r="N28" s="4"/>
      <c r="O28" s="4"/>
      <c r="P28" s="4"/>
      <c r="Q28" s="216"/>
      <c r="R28" s="4"/>
      <c r="S28" s="4"/>
      <c r="T28" s="4"/>
      <c r="U28" s="4"/>
      <c r="V28" s="4"/>
      <c r="W28" s="4"/>
      <c r="X28" s="4"/>
      <c r="Y28" s="4"/>
      <c r="Z28" s="4"/>
      <c r="AA28" s="4"/>
      <c r="AB28" s="4"/>
      <c r="AC28" s="4"/>
      <c r="AD28" s="4"/>
      <c r="AE28" s="4"/>
      <c r="AF28" s="4"/>
      <c r="AG28" s="4"/>
      <c r="AH28" s="4"/>
      <c r="AI28" s="4"/>
      <c r="AJ28" s="4"/>
      <c r="AK28" s="4"/>
      <c r="AL28" s="4"/>
      <c r="AM28" s="4"/>
      <c r="AN28" s="4"/>
      <c r="AO28" s="4"/>
      <c r="AP28" s="4"/>
    </row>
    <row r="29" ht="15.75" customHeight="1">
      <c r="A29" s="231">
        <f>'Données projet'!A42</f>
        <v>50</v>
      </c>
      <c r="B29" s="228">
        <f>'Données projet'!D42</f>
        <v>28</v>
      </c>
      <c r="C29" s="227">
        <v>34.0</v>
      </c>
      <c r="D29" s="233">
        <f t="shared" si="2"/>
        <v>952</v>
      </c>
      <c r="E29" s="227">
        <f t="shared" si="3"/>
        <v>560</v>
      </c>
      <c r="F29" s="236"/>
      <c r="G29" s="247"/>
      <c r="H29" s="27"/>
      <c r="I29" s="222"/>
      <c r="J29" s="4"/>
      <c r="K29" s="215"/>
      <c r="L29" s="4"/>
      <c r="M29" s="4"/>
      <c r="N29" s="4"/>
      <c r="O29" s="4"/>
      <c r="P29" s="4"/>
      <c r="Q29" s="216"/>
      <c r="R29" s="4"/>
      <c r="S29" s="4"/>
      <c r="T29" s="4"/>
      <c r="U29" s="4"/>
      <c r="V29" s="4"/>
      <c r="W29" s="4"/>
      <c r="X29" s="4"/>
      <c r="Y29" s="4"/>
      <c r="Z29" s="4"/>
      <c r="AA29" s="4"/>
      <c r="AB29" s="4"/>
      <c r="AC29" s="4"/>
      <c r="AD29" s="4"/>
      <c r="AE29" s="4"/>
      <c r="AF29" s="4"/>
      <c r="AG29" s="4"/>
      <c r="AH29" s="4"/>
      <c r="AI29" s="4"/>
      <c r="AJ29" s="4"/>
      <c r="AK29" s="4"/>
      <c r="AL29" s="4"/>
      <c r="AM29" s="4"/>
      <c r="AN29" s="4"/>
      <c r="AO29" s="4"/>
      <c r="AP29" s="4"/>
    </row>
    <row r="30" ht="15.75" customHeight="1">
      <c r="A30" s="231">
        <f>'Données projet'!A43</f>
        <v>55</v>
      </c>
      <c r="B30" s="228">
        <f>'Données projet'!D43</f>
        <v>28</v>
      </c>
      <c r="C30" s="227">
        <v>48.0</v>
      </c>
      <c r="D30" s="233">
        <f t="shared" si="2"/>
        <v>1344</v>
      </c>
      <c r="E30" s="227">
        <f t="shared" si="3"/>
        <v>560</v>
      </c>
      <c r="F30" s="236"/>
      <c r="G30" s="247"/>
      <c r="H30" s="27"/>
      <c r="I30" s="222"/>
      <c r="J30" s="4"/>
      <c r="K30" s="248"/>
      <c r="L30" s="33" t="s">
        <v>347</v>
      </c>
      <c r="M30" s="249">
        <f>SUM(OFFSET($P$33,0,0,MIN('Données projet'!$E$9:$E$18)+1,1))</f>
        <v>4513.068986</v>
      </c>
      <c r="N30" s="4"/>
      <c r="O30" s="4"/>
      <c r="P30" s="4"/>
      <c r="Q30" s="216"/>
      <c r="R30" s="4"/>
      <c r="S30" s="4"/>
      <c r="T30" s="4"/>
      <c r="U30" s="4"/>
      <c r="V30" s="4"/>
      <c r="W30" s="4"/>
      <c r="X30" s="4"/>
      <c r="Y30" s="4"/>
      <c r="Z30" s="4"/>
      <c r="AA30" s="4"/>
      <c r="AB30" s="4"/>
      <c r="AC30" s="4"/>
      <c r="AD30" s="4"/>
      <c r="AE30" s="4"/>
      <c r="AF30" s="4"/>
      <c r="AG30" s="4"/>
      <c r="AH30" s="4"/>
      <c r="AI30" s="4"/>
      <c r="AJ30" s="4"/>
      <c r="AK30" s="4"/>
      <c r="AL30" s="4"/>
      <c r="AM30" s="4"/>
      <c r="AN30" s="4"/>
      <c r="AO30" s="4"/>
      <c r="AP30" s="4"/>
    </row>
    <row r="31" ht="15.75" customHeight="1">
      <c r="A31" s="231">
        <f>'Données projet'!A44</f>
        <v>60</v>
      </c>
      <c r="B31" s="228">
        <f>'Données projet'!D44</f>
        <v>28</v>
      </c>
      <c r="C31" s="227">
        <v>48.0</v>
      </c>
      <c r="D31" s="233">
        <f t="shared" si="2"/>
        <v>1344</v>
      </c>
      <c r="E31" s="227">
        <f t="shared" si="3"/>
        <v>560</v>
      </c>
      <c r="F31" s="236"/>
      <c r="G31" s="247"/>
      <c r="H31" s="27"/>
      <c r="I31" s="222"/>
      <c r="J31" s="4"/>
      <c r="K31" s="215"/>
      <c r="L31" s="4"/>
      <c r="M31" s="4"/>
      <c r="N31" s="4"/>
      <c r="O31" s="4"/>
      <c r="P31" s="4"/>
      <c r="Q31" s="216"/>
      <c r="R31" s="4"/>
      <c r="S31" s="4"/>
      <c r="T31" s="4"/>
      <c r="U31" s="4"/>
      <c r="V31" s="4"/>
      <c r="W31" s="4"/>
      <c r="X31" s="4"/>
      <c r="Y31" s="4"/>
      <c r="Z31" s="4"/>
      <c r="AA31" s="4"/>
      <c r="AB31" s="4"/>
      <c r="AC31" s="4"/>
      <c r="AD31" s="4"/>
      <c r="AE31" s="4"/>
      <c r="AF31" s="4"/>
      <c r="AG31" s="4"/>
      <c r="AH31" s="4"/>
      <c r="AI31" s="4"/>
      <c r="AJ31" s="4"/>
      <c r="AK31" s="4"/>
      <c r="AL31" s="4"/>
      <c r="AM31" s="4"/>
      <c r="AN31" s="4"/>
      <c r="AO31" s="4"/>
      <c r="AP31" s="4"/>
    </row>
    <row r="32" ht="15.0" customHeight="1">
      <c r="A32" s="231">
        <f>'Données projet'!A45</f>
        <v>65</v>
      </c>
      <c r="B32" s="228">
        <f>'Données projet'!D45</f>
        <v>28</v>
      </c>
      <c r="C32" s="227">
        <v>48.0</v>
      </c>
      <c r="D32" s="233">
        <f t="shared" si="2"/>
        <v>1344</v>
      </c>
      <c r="E32" s="227">
        <f t="shared" si="3"/>
        <v>560</v>
      </c>
      <c r="F32" s="236"/>
      <c r="G32" s="247"/>
      <c r="H32" s="27"/>
      <c r="I32" s="222"/>
      <c r="J32" s="4"/>
      <c r="K32" s="215"/>
      <c r="L32" s="4"/>
      <c r="M32" s="4"/>
      <c r="N32" s="4"/>
      <c r="O32" s="52" t="s">
        <v>112</v>
      </c>
      <c r="P32" s="52" t="s">
        <v>333</v>
      </c>
      <c r="Q32" s="216"/>
      <c r="R32" s="4"/>
      <c r="S32" s="4"/>
      <c r="T32" s="4"/>
      <c r="U32" s="4"/>
      <c r="V32" s="4"/>
      <c r="W32" s="4"/>
      <c r="X32" s="4"/>
      <c r="Y32" s="4"/>
      <c r="Z32" s="4"/>
      <c r="AA32" s="4"/>
      <c r="AB32" s="4"/>
      <c r="AC32" s="4"/>
      <c r="AD32" s="4"/>
      <c r="AE32" s="4"/>
      <c r="AF32" s="4"/>
      <c r="AG32" s="4"/>
      <c r="AH32" s="4"/>
      <c r="AI32" s="4"/>
      <c r="AJ32" s="4"/>
      <c r="AK32" s="4"/>
      <c r="AL32" s="4"/>
      <c r="AM32" s="4"/>
      <c r="AN32" s="4"/>
      <c r="AO32" s="4"/>
      <c r="AP32" s="4"/>
    </row>
    <row r="33" ht="15.75" customHeight="1">
      <c r="A33" s="231">
        <f>'Données projet'!A46</f>
        <v>70</v>
      </c>
      <c r="B33" s="228">
        <f>'Données projet'!D46</f>
        <v>28</v>
      </c>
      <c r="C33" s="227">
        <v>76.0</v>
      </c>
      <c r="D33" s="233">
        <f t="shared" si="2"/>
        <v>2128</v>
      </c>
      <c r="E33" s="227">
        <f t="shared" si="3"/>
        <v>560</v>
      </c>
      <c r="F33" s="236"/>
      <c r="G33" s="247"/>
      <c r="H33" s="27"/>
      <c r="I33" s="222"/>
      <c r="J33" s="4"/>
      <c r="K33" s="215"/>
      <c r="L33" s="4"/>
      <c r="M33" s="4"/>
      <c r="N33" s="4"/>
      <c r="O33" s="186">
        <v>0.0</v>
      </c>
      <c r="P33" s="250">
        <f t="shared" ref="P33:P132" si="4">$P$25/(1+$M$4)^O33</f>
        <v>200</v>
      </c>
      <c r="Q33" s="216"/>
      <c r="R33" s="4"/>
      <c r="S33" s="4"/>
      <c r="T33" s="4"/>
      <c r="U33" s="4"/>
      <c r="V33" s="4"/>
      <c r="W33" s="4"/>
      <c r="X33" s="4"/>
      <c r="Y33" s="4"/>
      <c r="Z33" s="4"/>
      <c r="AA33" s="4"/>
      <c r="AB33" s="4"/>
      <c r="AC33" s="4"/>
      <c r="AD33" s="4"/>
      <c r="AE33" s="4"/>
      <c r="AF33" s="4"/>
      <c r="AG33" s="4"/>
      <c r="AH33" s="4"/>
      <c r="AI33" s="4"/>
      <c r="AJ33" s="4"/>
      <c r="AK33" s="4"/>
      <c r="AL33" s="4"/>
      <c r="AM33" s="4"/>
      <c r="AN33" s="4"/>
      <c r="AO33" s="4"/>
      <c r="AP33" s="4"/>
    </row>
    <row r="34" ht="15.75" customHeight="1">
      <c r="A34" s="231">
        <f>'Données projet'!A47</f>
        <v>75</v>
      </c>
      <c r="B34" s="228">
        <f>'Données projet'!D47</f>
        <v>28</v>
      </c>
      <c r="C34" s="227">
        <v>76.0</v>
      </c>
      <c r="D34" s="233">
        <f t="shared" si="2"/>
        <v>2128</v>
      </c>
      <c r="E34" s="227">
        <f t="shared" si="3"/>
        <v>560</v>
      </c>
      <c r="F34" s="236"/>
      <c r="G34" s="247"/>
      <c r="H34" s="27"/>
      <c r="I34" s="222"/>
      <c r="J34" s="4"/>
      <c r="K34" s="215"/>
      <c r="L34" s="77"/>
      <c r="M34" s="77"/>
      <c r="N34" s="251"/>
      <c r="O34" s="186">
        <f>IF(O33+1&lt;=MIN('Données projet'!$E$9:$E$18),O33+1,"STOP")</f>
        <v>1</v>
      </c>
      <c r="P34" s="250">
        <f t="shared" si="4"/>
        <v>191.3875598</v>
      </c>
      <c r="Q34" s="216"/>
      <c r="R34" s="4"/>
      <c r="S34" s="4"/>
      <c r="T34" s="4"/>
      <c r="U34" s="4"/>
      <c r="V34" s="4"/>
      <c r="W34" s="4"/>
      <c r="X34" s="4"/>
      <c r="Y34" s="4"/>
      <c r="Z34" s="4"/>
      <c r="AA34" s="4"/>
      <c r="AB34" s="4"/>
      <c r="AC34" s="4"/>
      <c r="AD34" s="4"/>
      <c r="AE34" s="4"/>
      <c r="AF34" s="4"/>
      <c r="AG34" s="4"/>
      <c r="AH34" s="4"/>
      <c r="AI34" s="4"/>
      <c r="AJ34" s="4"/>
      <c r="AK34" s="4"/>
      <c r="AL34" s="4"/>
      <c r="AM34" s="4"/>
      <c r="AN34" s="4"/>
      <c r="AO34" s="4"/>
      <c r="AP34" s="4"/>
    </row>
    <row r="35" ht="15.75" customHeight="1">
      <c r="A35" s="231">
        <f>'Données projet'!A48</f>
        <v>80</v>
      </c>
      <c r="B35" s="228">
        <f>'Données projet'!D48</f>
        <v>28</v>
      </c>
      <c r="C35" s="227">
        <v>76.0</v>
      </c>
      <c r="D35" s="233">
        <f t="shared" si="2"/>
        <v>2128</v>
      </c>
      <c r="E35" s="227">
        <f t="shared" si="3"/>
        <v>560</v>
      </c>
      <c r="F35" s="236"/>
      <c r="G35" s="247"/>
      <c r="H35" s="27"/>
      <c r="I35" s="222"/>
      <c r="J35" s="4"/>
      <c r="K35" s="215"/>
      <c r="L35" s="77"/>
      <c r="M35" s="77"/>
      <c r="N35" s="251"/>
      <c r="O35" s="186">
        <f>IF(O34+1&lt;=MIN('Données projet'!$E$9:$E$18),O34+1,"STOP")</f>
        <v>2</v>
      </c>
      <c r="P35" s="250">
        <f t="shared" si="4"/>
        <v>183.1459902</v>
      </c>
      <c r="Q35" s="216"/>
      <c r="R35" s="4"/>
      <c r="S35" s="4"/>
      <c r="T35" s="4"/>
      <c r="U35" s="4"/>
      <c r="V35" s="4"/>
      <c r="W35" s="4"/>
      <c r="X35" s="4"/>
      <c r="Y35" s="4"/>
      <c r="Z35" s="4"/>
      <c r="AA35" s="4"/>
      <c r="AB35" s="4"/>
      <c r="AC35" s="4"/>
      <c r="AD35" s="4"/>
      <c r="AE35" s="4"/>
      <c r="AF35" s="4"/>
      <c r="AG35" s="4"/>
      <c r="AH35" s="4"/>
      <c r="AI35" s="4"/>
      <c r="AJ35" s="4"/>
      <c r="AK35" s="4"/>
      <c r="AL35" s="4"/>
      <c r="AM35" s="4"/>
      <c r="AN35" s="4"/>
      <c r="AO35" s="4"/>
      <c r="AP35" s="4"/>
    </row>
    <row r="36" ht="15.75" customHeight="1">
      <c r="A36" s="231">
        <f>'Données projet'!A49</f>
        <v>85</v>
      </c>
      <c r="B36" s="228">
        <f>'Données projet'!D49</f>
        <v>28</v>
      </c>
      <c r="C36" s="227">
        <v>76.0</v>
      </c>
      <c r="D36" s="233">
        <f t="shared" si="2"/>
        <v>2128</v>
      </c>
      <c r="E36" s="227">
        <f t="shared" si="3"/>
        <v>560</v>
      </c>
      <c r="F36" s="236"/>
      <c r="G36" s="247"/>
      <c r="H36" s="27"/>
      <c r="I36" s="222"/>
      <c r="J36" s="4"/>
      <c r="K36" s="215"/>
      <c r="L36" s="4"/>
      <c r="M36" s="4"/>
      <c r="N36" s="4"/>
      <c r="O36" s="186">
        <f>IF(O35+1&lt;=MIN('Données projet'!$E$9:$E$18),O35+1,"STOP")</f>
        <v>3</v>
      </c>
      <c r="P36" s="250">
        <f t="shared" si="4"/>
        <v>175.2593208</v>
      </c>
      <c r="Q36" s="216"/>
      <c r="R36" s="4"/>
      <c r="S36" s="4"/>
      <c r="T36" s="4"/>
      <c r="U36" s="4"/>
      <c r="V36" s="4"/>
      <c r="W36" s="4"/>
      <c r="X36" s="4"/>
      <c r="Y36" s="4"/>
      <c r="Z36" s="4"/>
      <c r="AA36" s="4"/>
      <c r="AB36" s="4"/>
      <c r="AC36" s="4"/>
      <c r="AD36" s="4"/>
      <c r="AE36" s="4"/>
      <c r="AF36" s="4"/>
      <c r="AG36" s="4"/>
      <c r="AH36" s="4"/>
      <c r="AI36" s="4"/>
      <c r="AJ36" s="4"/>
      <c r="AK36" s="4"/>
      <c r="AL36" s="4"/>
      <c r="AM36" s="4"/>
      <c r="AN36" s="4"/>
      <c r="AO36" s="4"/>
      <c r="AP36" s="4"/>
    </row>
    <row r="37" ht="15.75" customHeight="1">
      <c r="A37" s="231">
        <f>'Données projet'!A50</f>
        <v>90</v>
      </c>
      <c r="B37" s="228">
        <f>'Données projet'!D50</f>
        <v>28</v>
      </c>
      <c r="C37" s="227">
        <v>100.0</v>
      </c>
      <c r="D37" s="233">
        <f t="shared" si="2"/>
        <v>2800</v>
      </c>
      <c r="E37" s="227">
        <f t="shared" si="3"/>
        <v>560</v>
      </c>
      <c r="F37" s="236"/>
      <c r="G37" s="247"/>
      <c r="H37" s="27"/>
      <c r="I37" s="222"/>
      <c r="J37" s="4"/>
      <c r="K37" s="215"/>
      <c r="L37" s="4"/>
      <c r="M37" s="4"/>
      <c r="N37" s="4"/>
      <c r="O37" s="186">
        <f>IF(O36+1&lt;=MIN('Données projet'!$E$9:$E$18),O36+1,"STOP")</f>
        <v>4</v>
      </c>
      <c r="P37" s="250">
        <f t="shared" si="4"/>
        <v>167.7122687</v>
      </c>
      <c r="Q37" s="216"/>
      <c r="R37" s="4"/>
      <c r="S37" s="4"/>
      <c r="T37" s="4"/>
      <c r="U37" s="4"/>
      <c r="V37" s="4"/>
      <c r="W37" s="4"/>
      <c r="X37" s="4"/>
      <c r="Y37" s="4"/>
      <c r="Z37" s="4"/>
      <c r="AA37" s="4"/>
      <c r="AB37" s="4"/>
      <c r="AC37" s="4"/>
      <c r="AD37" s="4"/>
      <c r="AE37" s="4"/>
      <c r="AF37" s="4"/>
      <c r="AG37" s="4"/>
      <c r="AH37" s="4"/>
      <c r="AI37" s="4"/>
      <c r="AJ37" s="4"/>
      <c r="AK37" s="4"/>
      <c r="AL37" s="4"/>
      <c r="AM37" s="4"/>
      <c r="AN37" s="4"/>
      <c r="AO37" s="4"/>
      <c r="AP37" s="4"/>
    </row>
    <row r="38" ht="15.75" customHeight="1">
      <c r="A38" s="231">
        <f>'Données projet'!A51</f>
        <v>95</v>
      </c>
      <c r="B38" s="228">
        <f>'Données projet'!D51</f>
        <v>28</v>
      </c>
      <c r="C38" s="227">
        <v>100.0</v>
      </c>
      <c r="D38" s="233">
        <f t="shared" si="2"/>
        <v>2800</v>
      </c>
      <c r="E38" s="227">
        <f t="shared" si="3"/>
        <v>560</v>
      </c>
      <c r="F38" s="236"/>
      <c r="G38" s="247"/>
      <c r="H38" s="27"/>
      <c r="I38" s="222"/>
      <c r="J38" s="4"/>
      <c r="K38" s="215"/>
      <c r="L38" s="4"/>
      <c r="M38" s="4"/>
      <c r="N38" s="4"/>
      <c r="O38" s="186">
        <f>IF(O37+1&lt;=MIN('Données projet'!$E$9:$E$18),O37+1,"STOP")</f>
        <v>5</v>
      </c>
      <c r="P38" s="250">
        <f t="shared" si="4"/>
        <v>160.4902093</v>
      </c>
      <c r="Q38" s="216"/>
      <c r="R38" s="4"/>
      <c r="S38" s="4"/>
      <c r="T38" s="4"/>
      <c r="U38" s="4"/>
      <c r="V38" s="4"/>
      <c r="W38" s="4"/>
      <c r="X38" s="4"/>
      <c r="Y38" s="4"/>
      <c r="Z38" s="4"/>
      <c r="AA38" s="4"/>
      <c r="AB38" s="4"/>
      <c r="AC38" s="4"/>
      <c r="AD38" s="4"/>
      <c r="AE38" s="4"/>
      <c r="AF38" s="4"/>
      <c r="AG38" s="4"/>
      <c r="AH38" s="4"/>
      <c r="AI38" s="4"/>
      <c r="AJ38" s="4"/>
      <c r="AK38" s="4"/>
      <c r="AL38" s="4"/>
      <c r="AM38" s="4"/>
      <c r="AN38" s="4"/>
      <c r="AO38" s="4"/>
      <c r="AP38" s="4"/>
    </row>
    <row r="39" ht="15.75" customHeight="1">
      <c r="A39" s="231">
        <f>'Données projet'!A52</f>
        <v>100</v>
      </c>
      <c r="B39" s="228">
        <f>'Données projet'!D52</f>
        <v>27</v>
      </c>
      <c r="C39" s="227">
        <v>150.0</v>
      </c>
      <c r="D39" s="233">
        <f t="shared" si="2"/>
        <v>4050</v>
      </c>
      <c r="E39" s="227">
        <f t="shared" si="3"/>
        <v>540</v>
      </c>
      <c r="F39" s="236"/>
      <c r="G39" s="247"/>
      <c r="H39" s="27"/>
      <c r="I39" s="222"/>
      <c r="J39" s="4"/>
      <c r="K39" s="215"/>
      <c r="L39" s="4"/>
      <c r="M39" s="4"/>
      <c r="N39" s="4"/>
      <c r="O39" s="186">
        <f>IF(O38+1&lt;=MIN('Données projet'!$E$9:$E$18),O38+1,"STOP")</f>
        <v>6</v>
      </c>
      <c r="P39" s="250">
        <f t="shared" si="4"/>
        <v>153.5791477</v>
      </c>
      <c r="Q39" s="216"/>
      <c r="R39" s="4"/>
      <c r="S39" s="4"/>
      <c r="T39" s="4"/>
      <c r="U39" s="4"/>
      <c r="V39" s="4"/>
      <c r="W39" s="4"/>
      <c r="X39" s="4"/>
      <c r="Y39" s="4"/>
      <c r="Z39" s="4"/>
      <c r="AA39" s="4"/>
      <c r="AB39" s="4"/>
      <c r="AC39" s="4"/>
      <c r="AD39" s="4"/>
      <c r="AE39" s="4"/>
      <c r="AF39" s="4"/>
      <c r="AG39" s="4"/>
      <c r="AH39" s="4"/>
      <c r="AI39" s="4"/>
      <c r="AJ39" s="4"/>
      <c r="AK39" s="4"/>
      <c r="AL39" s="4"/>
      <c r="AM39" s="4"/>
      <c r="AN39" s="4"/>
      <c r="AO39" s="4"/>
      <c r="AP39" s="4"/>
    </row>
    <row r="40" ht="15.75" customHeight="1">
      <c r="A40" s="231">
        <f>'Données projet'!A53</f>
        <v>105</v>
      </c>
      <c r="B40" s="228">
        <f>'Données projet'!D53</f>
        <v>26</v>
      </c>
      <c r="C40" s="227">
        <v>150.0</v>
      </c>
      <c r="D40" s="233">
        <f t="shared" si="2"/>
        <v>3900</v>
      </c>
      <c r="E40" s="227">
        <f t="shared" si="3"/>
        <v>520</v>
      </c>
      <c r="F40" s="236"/>
      <c r="G40" s="247"/>
      <c r="H40" s="27"/>
      <c r="I40" s="222"/>
      <c r="J40" s="4"/>
      <c r="K40" s="215"/>
      <c r="L40" s="4"/>
      <c r="M40" s="4"/>
      <c r="N40" s="4"/>
      <c r="O40" s="186">
        <f>IF(O39+1&lt;=MIN('Données projet'!$E$9:$E$18),O39+1,"STOP")</f>
        <v>7</v>
      </c>
      <c r="P40" s="250">
        <f t="shared" si="4"/>
        <v>146.9656915</v>
      </c>
      <c r="Q40" s="216"/>
      <c r="R40" s="4"/>
      <c r="S40" s="4"/>
      <c r="T40" s="4"/>
      <c r="U40" s="4"/>
      <c r="V40" s="4"/>
      <c r="W40" s="4"/>
      <c r="X40" s="4"/>
      <c r="Y40" s="4"/>
      <c r="Z40" s="4"/>
      <c r="AA40" s="4"/>
      <c r="AB40" s="4"/>
      <c r="AC40" s="4"/>
      <c r="AD40" s="4"/>
      <c r="AE40" s="4"/>
      <c r="AF40" s="4"/>
      <c r="AG40" s="4"/>
      <c r="AH40" s="4"/>
      <c r="AI40" s="4"/>
      <c r="AJ40" s="4"/>
      <c r="AK40" s="4"/>
      <c r="AL40" s="4"/>
      <c r="AM40" s="4"/>
      <c r="AN40" s="4"/>
      <c r="AO40" s="4"/>
      <c r="AP40" s="4"/>
    </row>
    <row r="41" ht="15.75" customHeight="1">
      <c r="A41" s="231">
        <f>'Données projet'!A54</f>
        <v>110</v>
      </c>
      <c r="B41" s="228">
        <f>'Données projet'!D54</f>
        <v>25</v>
      </c>
      <c r="C41" s="227">
        <v>150.0</v>
      </c>
      <c r="D41" s="233">
        <f t="shared" si="2"/>
        <v>3750</v>
      </c>
      <c r="E41" s="227">
        <f t="shared" si="3"/>
        <v>500</v>
      </c>
      <c r="F41" s="236"/>
      <c r="G41" s="247"/>
      <c r="H41" s="27"/>
      <c r="I41" s="222"/>
      <c r="J41" s="4"/>
      <c r="K41" s="215"/>
      <c r="L41" s="4"/>
      <c r="M41" s="4"/>
      <c r="N41" s="4"/>
      <c r="O41" s="186">
        <f>IF(O40+1&lt;=MIN('Données projet'!$E$9:$E$18),O40+1,"STOP")</f>
        <v>8</v>
      </c>
      <c r="P41" s="250">
        <f t="shared" si="4"/>
        <v>140.6370254</v>
      </c>
      <c r="Q41" s="216"/>
      <c r="R41" s="4"/>
      <c r="S41" s="4"/>
      <c r="T41" s="4"/>
      <c r="U41" s="4"/>
      <c r="V41" s="4"/>
      <c r="W41" s="4"/>
      <c r="X41" s="4"/>
      <c r="Y41" s="4"/>
      <c r="Z41" s="4"/>
      <c r="AA41" s="4"/>
      <c r="AB41" s="4"/>
      <c r="AC41" s="4"/>
      <c r="AD41" s="4"/>
      <c r="AE41" s="4"/>
      <c r="AF41" s="4"/>
      <c r="AG41" s="4"/>
      <c r="AH41" s="4"/>
      <c r="AI41" s="4"/>
      <c r="AJ41" s="4"/>
      <c r="AK41" s="4"/>
      <c r="AL41" s="4"/>
      <c r="AM41" s="4"/>
      <c r="AN41" s="4"/>
      <c r="AO41" s="4"/>
      <c r="AP41" s="4"/>
    </row>
    <row r="42" ht="15.75" customHeight="1">
      <c r="A42" s="231">
        <f>'Données projet'!A55</f>
        <v>115</v>
      </c>
      <c r="B42" s="228">
        <f>'Données projet'!D55</f>
        <v>24</v>
      </c>
      <c r="C42" s="227">
        <v>200.0</v>
      </c>
      <c r="D42" s="233">
        <f t="shared" si="2"/>
        <v>4800</v>
      </c>
      <c r="E42" s="227">
        <f t="shared" si="3"/>
        <v>480</v>
      </c>
      <c r="F42" s="236"/>
      <c r="G42" s="247"/>
      <c r="H42" s="27"/>
      <c r="I42" s="222"/>
      <c r="J42" s="4"/>
      <c r="K42" s="215"/>
      <c r="L42" s="4"/>
      <c r="M42" s="4"/>
      <c r="N42" s="4"/>
      <c r="O42" s="186">
        <f>IF(O41+1&lt;=MIN('Données projet'!$E$9:$E$18),O41+1,"STOP")</f>
        <v>9</v>
      </c>
      <c r="P42" s="250">
        <f t="shared" si="4"/>
        <v>134.5808855</v>
      </c>
      <c r="Q42" s="216"/>
      <c r="R42" s="4"/>
      <c r="S42" s="4"/>
      <c r="T42" s="4"/>
      <c r="U42" s="4"/>
      <c r="V42" s="4"/>
      <c r="W42" s="4"/>
      <c r="X42" s="4"/>
      <c r="Y42" s="4"/>
      <c r="Z42" s="4"/>
      <c r="AA42" s="4"/>
      <c r="AB42" s="4"/>
      <c r="AC42" s="4"/>
      <c r="AD42" s="4"/>
      <c r="AE42" s="4"/>
      <c r="AF42" s="4"/>
      <c r="AG42" s="4"/>
      <c r="AH42" s="4"/>
      <c r="AI42" s="4"/>
      <c r="AJ42" s="4"/>
      <c r="AK42" s="4"/>
      <c r="AL42" s="4"/>
      <c r="AM42" s="4"/>
      <c r="AN42" s="4"/>
      <c r="AO42" s="4"/>
      <c r="AP42" s="4"/>
    </row>
    <row r="43" ht="15.75" customHeight="1">
      <c r="A43" s="252"/>
      <c r="B43" s="252"/>
      <c r="C43" s="252"/>
      <c r="D43" s="76"/>
      <c r="E43" s="76"/>
      <c r="F43" s="253"/>
      <c r="G43" s="247"/>
      <c r="H43" s="27"/>
      <c r="I43" s="222"/>
      <c r="J43" s="4"/>
      <c r="K43" s="215"/>
      <c r="L43" s="4"/>
      <c r="M43" s="4"/>
      <c r="N43" s="4"/>
      <c r="O43" s="186">
        <f>IF(O42+1&lt;=MIN('Données projet'!$E$9:$E$18),O42+1,"STOP")</f>
        <v>10</v>
      </c>
      <c r="P43" s="250">
        <f t="shared" si="4"/>
        <v>128.7855364</v>
      </c>
      <c r="Q43" s="216"/>
      <c r="R43" s="4"/>
      <c r="S43" s="4"/>
      <c r="T43" s="4"/>
      <c r="U43" s="4"/>
      <c r="V43" s="4"/>
      <c r="W43" s="4"/>
      <c r="X43" s="4"/>
      <c r="Y43" s="4"/>
      <c r="Z43" s="4"/>
      <c r="AA43" s="4"/>
      <c r="AB43" s="4"/>
      <c r="AC43" s="4"/>
      <c r="AD43" s="4"/>
      <c r="AE43" s="4"/>
      <c r="AF43" s="4"/>
      <c r="AG43" s="4"/>
      <c r="AH43" s="4"/>
      <c r="AI43" s="4"/>
      <c r="AJ43" s="4"/>
      <c r="AK43" s="4"/>
      <c r="AL43" s="4"/>
      <c r="AM43" s="4"/>
      <c r="AN43" s="4"/>
      <c r="AO43" s="4"/>
      <c r="AP43" s="4"/>
    </row>
    <row r="44" ht="15.75" customHeight="1">
      <c r="A44" s="4"/>
      <c r="B44" s="4"/>
      <c r="C44" s="4"/>
      <c r="D44" s="4"/>
      <c r="E44" s="4"/>
      <c r="F44" s="216"/>
      <c r="G44" s="247"/>
      <c r="H44" s="27"/>
      <c r="I44" s="222"/>
      <c r="J44" s="4"/>
      <c r="K44" s="215"/>
      <c r="L44" s="4"/>
      <c r="M44" s="4"/>
      <c r="N44" s="4"/>
      <c r="O44" s="186">
        <f>IF(O43+1&lt;=MIN('Données projet'!$E$9:$E$18),O43+1,"STOP")</f>
        <v>11</v>
      </c>
      <c r="P44" s="250">
        <f t="shared" si="4"/>
        <v>123.2397478</v>
      </c>
      <c r="Q44" s="216"/>
      <c r="R44" s="4"/>
      <c r="S44" s="4"/>
      <c r="T44" s="4"/>
      <c r="U44" s="4"/>
      <c r="V44" s="4"/>
      <c r="W44" s="4"/>
      <c r="X44" s="4"/>
      <c r="Y44" s="4"/>
      <c r="Z44" s="4"/>
      <c r="AA44" s="4"/>
      <c r="AB44" s="4"/>
      <c r="AC44" s="4"/>
      <c r="AD44" s="4"/>
      <c r="AE44" s="4"/>
      <c r="AF44" s="4"/>
      <c r="AG44" s="4"/>
      <c r="AH44" s="4"/>
      <c r="AI44" s="4"/>
      <c r="AJ44" s="4"/>
      <c r="AK44" s="4"/>
      <c r="AL44" s="4"/>
      <c r="AM44" s="4"/>
      <c r="AN44" s="4"/>
      <c r="AO44" s="4"/>
      <c r="AP44" s="4"/>
    </row>
    <row r="45" ht="15.75" customHeight="1">
      <c r="A45" s="49" t="s">
        <v>19</v>
      </c>
      <c r="B45" s="220" t="str">
        <f>IF('Données projet'!$B$10="","",'Données projet'!$B$10)</f>
        <v>Erable sycomore</v>
      </c>
      <c r="C45" s="4"/>
      <c r="D45" s="4"/>
      <c r="E45" s="4"/>
      <c r="F45" s="216"/>
      <c r="G45" s="247"/>
      <c r="H45" s="27"/>
      <c r="I45" s="222"/>
      <c r="J45" s="4"/>
      <c r="K45" s="215"/>
      <c r="L45" s="4"/>
      <c r="M45" s="4"/>
      <c r="N45" s="4"/>
      <c r="O45" s="186">
        <f>IF(O44+1&lt;=MIN('Données projet'!$E$9:$E$18),O44+1,"STOP")</f>
        <v>12</v>
      </c>
      <c r="P45" s="250">
        <f t="shared" si="4"/>
        <v>117.932773</v>
      </c>
      <c r="Q45" s="216"/>
      <c r="R45" s="4"/>
      <c r="S45" s="4"/>
      <c r="T45" s="4"/>
      <c r="U45" s="4"/>
      <c r="V45" s="4"/>
      <c r="W45" s="4"/>
      <c r="X45" s="4"/>
      <c r="Y45" s="4"/>
      <c r="Z45" s="4"/>
      <c r="AA45" s="4"/>
      <c r="AB45" s="4"/>
      <c r="AC45" s="4"/>
      <c r="AD45" s="4"/>
      <c r="AE45" s="4"/>
      <c r="AF45" s="4"/>
      <c r="AG45" s="4"/>
      <c r="AH45" s="4"/>
      <c r="AI45" s="4"/>
      <c r="AJ45" s="4"/>
      <c r="AK45" s="4"/>
      <c r="AL45" s="4"/>
      <c r="AM45" s="4"/>
      <c r="AN45" s="4"/>
      <c r="AO45" s="4"/>
      <c r="AP45" s="4"/>
    </row>
    <row r="46" ht="15.75" customHeight="1">
      <c r="A46" s="4"/>
      <c r="B46" s="4"/>
      <c r="C46" s="4"/>
      <c r="D46" s="4"/>
      <c r="E46" s="4"/>
      <c r="F46" s="216"/>
      <c r="G46" s="247"/>
      <c r="H46" s="27"/>
      <c r="I46" s="222"/>
      <c r="J46" s="4"/>
      <c r="K46" s="215"/>
      <c r="L46" s="252"/>
      <c r="M46" s="252"/>
      <c r="N46" s="252"/>
      <c r="O46" s="186">
        <f>IF(O45+1&lt;=MIN('Données projet'!$E$9:$E$18),O45+1,"STOP")</f>
        <v>13</v>
      </c>
      <c r="P46" s="254">
        <f t="shared" si="4"/>
        <v>112.8543282</v>
      </c>
      <c r="Q46" s="216"/>
      <c r="R46" s="4"/>
      <c r="S46" s="4"/>
      <c r="T46" s="4"/>
      <c r="U46" s="4"/>
      <c r="V46" s="4"/>
      <c r="W46" s="4"/>
      <c r="X46" s="4"/>
      <c r="Y46" s="4"/>
      <c r="Z46" s="4"/>
      <c r="AA46" s="4"/>
      <c r="AB46" s="4"/>
      <c r="AC46" s="4"/>
      <c r="AD46" s="4"/>
      <c r="AE46" s="4"/>
      <c r="AF46" s="4"/>
      <c r="AG46" s="4"/>
      <c r="AH46" s="4"/>
      <c r="AI46" s="4"/>
      <c r="AJ46" s="4"/>
      <c r="AK46" s="4"/>
      <c r="AL46" s="4"/>
      <c r="AM46" s="4"/>
      <c r="AN46" s="4"/>
      <c r="AO46" s="4"/>
      <c r="AP46" s="4"/>
    </row>
    <row r="47" ht="19.5" customHeight="1">
      <c r="A47" s="33" t="s">
        <v>52</v>
      </c>
      <c r="B47" s="57" t="s">
        <v>331</v>
      </c>
      <c r="C47" s="57" t="s">
        <v>332</v>
      </c>
      <c r="D47" s="33" t="s">
        <v>333</v>
      </c>
      <c r="E47" s="33" t="s">
        <v>334</v>
      </c>
      <c r="F47" s="255"/>
      <c r="G47" s="247"/>
      <c r="H47" s="27"/>
      <c r="I47" s="222"/>
      <c r="J47" s="4"/>
      <c r="K47" s="215"/>
      <c r="L47" s="4"/>
      <c r="M47" s="4"/>
      <c r="N47" s="4"/>
      <c r="O47" s="186">
        <f>IF(O46+1&lt;=MIN('Données projet'!$E$9:$E$18),O46+1,"STOP")</f>
        <v>14</v>
      </c>
      <c r="P47" s="250">
        <f t="shared" si="4"/>
        <v>107.9945724</v>
      </c>
      <c r="Q47" s="216"/>
      <c r="R47" s="4"/>
      <c r="S47" s="4"/>
      <c r="T47" s="4"/>
      <c r="U47" s="4"/>
      <c r="V47" s="4"/>
      <c r="W47" s="4"/>
      <c r="X47" s="4"/>
      <c r="Y47" s="4"/>
      <c r="Z47" s="4"/>
      <c r="AA47" s="4"/>
      <c r="AB47" s="4"/>
      <c r="AC47" s="4"/>
      <c r="AD47" s="4"/>
      <c r="AE47" s="4"/>
      <c r="AF47" s="4"/>
      <c r="AG47" s="4"/>
      <c r="AH47" s="4"/>
      <c r="AI47" s="4"/>
      <c r="AJ47" s="4"/>
      <c r="AK47" s="4"/>
      <c r="AL47" s="4"/>
      <c r="AM47" s="4"/>
      <c r="AN47" s="4"/>
      <c r="AO47" s="4"/>
      <c r="AP47" s="4"/>
    </row>
    <row r="48" ht="15.75" customHeight="1">
      <c r="A48" s="43">
        <v>0.0</v>
      </c>
      <c r="B48" s="224" t="s">
        <v>231</v>
      </c>
      <c r="C48" s="225" t="s">
        <v>231</v>
      </c>
      <c r="D48" s="226" t="s">
        <v>231</v>
      </c>
      <c r="E48" s="227">
        <f>1238/0.5</f>
        <v>2476</v>
      </c>
      <c r="F48" s="255"/>
      <c r="G48" s="247"/>
      <c r="H48" s="27"/>
      <c r="I48" s="222"/>
      <c r="J48" s="4"/>
      <c r="K48" s="215"/>
      <c r="L48" s="4"/>
      <c r="M48" s="4"/>
      <c r="N48" s="4"/>
      <c r="O48" s="186">
        <f>IF(O47+1&lt;=MIN('Données projet'!$E$9:$E$18),O47+1,"STOP")</f>
        <v>15</v>
      </c>
      <c r="P48" s="250">
        <f t="shared" si="4"/>
        <v>103.3440885</v>
      </c>
      <c r="Q48" s="216"/>
      <c r="R48" s="4"/>
      <c r="S48" s="4"/>
      <c r="T48" s="4"/>
      <c r="U48" s="4"/>
      <c r="V48" s="4"/>
      <c r="W48" s="4"/>
      <c r="X48" s="4"/>
      <c r="Y48" s="4"/>
      <c r="Z48" s="4"/>
      <c r="AA48" s="4"/>
      <c r="AB48" s="4"/>
      <c r="AC48" s="4"/>
      <c r="AD48" s="4"/>
      <c r="AE48" s="4"/>
      <c r="AF48" s="4"/>
      <c r="AG48" s="4"/>
      <c r="AH48" s="4"/>
      <c r="AI48" s="4"/>
      <c r="AJ48" s="4"/>
      <c r="AK48" s="4"/>
      <c r="AL48" s="4"/>
      <c r="AM48" s="4"/>
      <c r="AN48" s="4"/>
      <c r="AO48" s="4"/>
      <c r="AP48" s="4"/>
    </row>
    <row r="49" ht="17.25" customHeight="1">
      <c r="A49" s="43">
        <v>1.0</v>
      </c>
      <c r="B49" s="224" t="s">
        <v>231</v>
      </c>
      <c r="C49" s="225" t="s">
        <v>231</v>
      </c>
      <c r="D49" s="226" t="s">
        <v>231</v>
      </c>
      <c r="E49" s="227">
        <f>960/0.5</f>
        <v>1920</v>
      </c>
      <c r="F49" s="255"/>
      <c r="G49" s="252"/>
      <c r="H49" s="27"/>
      <c r="I49" s="222"/>
      <c r="J49" s="252"/>
      <c r="K49" s="256"/>
      <c r="L49" s="4"/>
      <c r="M49" s="4"/>
      <c r="N49" s="4"/>
      <c r="O49" s="186">
        <f>IF(O48+1&lt;=MIN('Données projet'!$E$9:$E$18),O48+1,"STOP")</f>
        <v>16</v>
      </c>
      <c r="P49" s="250">
        <f t="shared" si="4"/>
        <v>98.89386456</v>
      </c>
      <c r="Q49" s="257"/>
      <c r="R49" s="252"/>
      <c r="S49" s="252"/>
      <c r="T49" s="252"/>
      <c r="U49" s="252"/>
      <c r="V49" s="252"/>
      <c r="W49" s="252"/>
      <c r="X49" s="252"/>
      <c r="Y49" s="252"/>
      <c r="Z49" s="252"/>
      <c r="AA49" s="252"/>
      <c r="AB49" s="252"/>
      <c r="AC49" s="252"/>
      <c r="AD49" s="252"/>
      <c r="AE49" s="252"/>
      <c r="AF49" s="252"/>
      <c r="AG49" s="252"/>
      <c r="AH49" s="252"/>
      <c r="AI49" s="252"/>
      <c r="AJ49" s="252"/>
      <c r="AK49" s="252"/>
      <c r="AL49" s="252"/>
      <c r="AM49" s="252"/>
      <c r="AN49" s="252"/>
      <c r="AO49" s="252"/>
      <c r="AP49" s="252"/>
    </row>
    <row r="50" ht="15.75" customHeight="1">
      <c r="A50" s="43">
        <v>2.0</v>
      </c>
      <c r="B50" s="224" t="s">
        <v>231</v>
      </c>
      <c r="C50" s="225" t="s">
        <v>231</v>
      </c>
      <c r="D50" s="226" t="s">
        <v>231</v>
      </c>
      <c r="E50" s="227">
        <f>1031/0.5</f>
        <v>2062</v>
      </c>
      <c r="F50" s="255"/>
      <c r="G50" s="4"/>
      <c r="H50" s="27"/>
      <c r="I50" s="222"/>
      <c r="J50" s="4"/>
      <c r="K50" s="215"/>
      <c r="L50" s="4"/>
      <c r="M50" s="4"/>
      <c r="N50" s="4"/>
      <c r="O50" s="186">
        <f>IF(O49+1&lt;=MIN('Données projet'!$E$9:$E$18),O49+1,"STOP")</f>
        <v>17</v>
      </c>
      <c r="P50" s="250">
        <f t="shared" si="4"/>
        <v>94.63527709</v>
      </c>
      <c r="Q50" s="216"/>
      <c r="R50" s="4"/>
      <c r="S50" s="4"/>
      <c r="T50" s="4"/>
      <c r="U50" s="4"/>
      <c r="V50" s="4"/>
      <c r="W50" s="4"/>
      <c r="X50" s="4"/>
      <c r="Y50" s="4"/>
      <c r="Z50" s="4"/>
      <c r="AA50" s="4"/>
      <c r="AB50" s="4"/>
      <c r="AC50" s="4"/>
      <c r="AD50" s="4"/>
      <c r="AE50" s="4"/>
      <c r="AF50" s="4"/>
      <c r="AG50" s="4"/>
      <c r="AH50" s="4"/>
      <c r="AI50" s="4"/>
      <c r="AJ50" s="4"/>
      <c r="AK50" s="4"/>
      <c r="AL50" s="4"/>
      <c r="AM50" s="4"/>
      <c r="AN50" s="4"/>
      <c r="AO50" s="4"/>
      <c r="AP50" s="4"/>
    </row>
    <row r="51" ht="15.75" customHeight="1">
      <c r="A51" s="43">
        <v>3.0</v>
      </c>
      <c r="B51" s="224" t="s">
        <v>231</v>
      </c>
      <c r="C51" s="225" t="s">
        <v>231</v>
      </c>
      <c r="D51" s="226" t="s">
        <v>231</v>
      </c>
      <c r="E51" s="227">
        <f>1080/0.5</f>
        <v>2160</v>
      </c>
      <c r="F51" s="255"/>
      <c r="G51" s="4"/>
      <c r="H51" s="27"/>
      <c r="I51" s="222"/>
      <c r="J51" s="4"/>
      <c r="K51" s="215"/>
      <c r="L51" s="4"/>
      <c r="M51" s="4"/>
      <c r="N51" s="4"/>
      <c r="O51" s="186">
        <f>IF(O50+1&lt;=MIN('Données projet'!$E$9:$E$18),O50+1,"STOP")</f>
        <v>18</v>
      </c>
      <c r="P51" s="250">
        <f t="shared" si="4"/>
        <v>90.56007377</v>
      </c>
      <c r="Q51" s="216"/>
      <c r="R51" s="4"/>
      <c r="S51" s="4"/>
      <c r="T51" s="4"/>
      <c r="U51" s="4"/>
      <c r="V51" s="4"/>
      <c r="W51" s="4"/>
      <c r="X51" s="4"/>
      <c r="Y51" s="4"/>
      <c r="Z51" s="4"/>
      <c r="AA51" s="4"/>
      <c r="AB51" s="4"/>
      <c r="AC51" s="4"/>
      <c r="AD51" s="4"/>
      <c r="AE51" s="4"/>
      <c r="AF51" s="4"/>
      <c r="AG51" s="4"/>
      <c r="AH51" s="4"/>
      <c r="AI51" s="4"/>
      <c r="AJ51" s="4"/>
      <c r="AK51" s="4"/>
      <c r="AL51" s="4"/>
      <c r="AM51" s="4"/>
      <c r="AN51" s="4"/>
      <c r="AO51" s="4"/>
      <c r="AP51" s="4"/>
    </row>
    <row r="52" ht="15.75" customHeight="1">
      <c r="A52" s="43">
        <v>4.0</v>
      </c>
      <c r="B52" s="224" t="s">
        <v>231</v>
      </c>
      <c r="C52" s="225" t="s">
        <v>231</v>
      </c>
      <c r="D52" s="226" t="s">
        <v>231</v>
      </c>
      <c r="E52" s="227">
        <f>1120/0.5</f>
        <v>2240</v>
      </c>
      <c r="F52" s="255"/>
      <c r="G52" s="4"/>
      <c r="H52" s="27"/>
      <c r="I52" s="222"/>
      <c r="J52" s="4"/>
      <c r="K52" s="215"/>
      <c r="L52" s="4"/>
      <c r="M52" s="4"/>
      <c r="N52" s="4"/>
      <c r="O52" s="186">
        <f>IF(O51+1&lt;=MIN('Données projet'!$E$9:$E$18),O51+1,"STOP")</f>
        <v>19</v>
      </c>
      <c r="P52" s="250">
        <f t="shared" si="4"/>
        <v>86.66035767</v>
      </c>
      <c r="Q52" s="216"/>
      <c r="R52" s="4"/>
      <c r="S52" s="4"/>
      <c r="T52" s="4"/>
      <c r="U52" s="4"/>
      <c r="V52" s="4"/>
      <c r="W52" s="4"/>
      <c r="X52" s="4"/>
      <c r="Y52" s="4"/>
      <c r="Z52" s="4"/>
      <c r="AA52" s="4"/>
      <c r="AB52" s="4"/>
      <c r="AC52" s="4"/>
      <c r="AD52" s="4"/>
      <c r="AE52" s="4"/>
      <c r="AF52" s="4"/>
      <c r="AG52" s="4"/>
      <c r="AH52" s="4"/>
      <c r="AI52" s="4"/>
      <c r="AJ52" s="4"/>
      <c r="AK52" s="4"/>
      <c r="AL52" s="4"/>
      <c r="AM52" s="4"/>
      <c r="AN52" s="4"/>
      <c r="AO52" s="4"/>
      <c r="AP52" s="4"/>
    </row>
    <row r="53" ht="15.0" customHeight="1">
      <c r="A53" s="43">
        <v>5.0</v>
      </c>
      <c r="B53" s="224" t="s">
        <v>231</v>
      </c>
      <c r="C53" s="225" t="s">
        <v>231</v>
      </c>
      <c r="D53" s="226" t="s">
        <v>231</v>
      </c>
      <c r="E53" s="227">
        <f>3500/4/0.5</f>
        <v>1750</v>
      </c>
      <c r="F53" s="255"/>
      <c r="G53" s="19"/>
      <c r="H53" s="27"/>
      <c r="I53" s="222"/>
      <c r="J53" s="4"/>
      <c r="K53" s="215"/>
      <c r="L53" s="4"/>
      <c r="M53" s="4"/>
      <c r="N53" s="4"/>
      <c r="O53" s="186">
        <f>IF(O52+1&lt;=MIN('Données projet'!$E$9:$E$18),O52+1,"STOP")</f>
        <v>20</v>
      </c>
      <c r="P53" s="250">
        <f t="shared" si="4"/>
        <v>82.92857194</v>
      </c>
      <c r="Q53" s="216"/>
      <c r="R53" s="4"/>
      <c r="S53" s="4"/>
      <c r="T53" s="4"/>
      <c r="U53" s="4"/>
      <c r="V53" s="4"/>
      <c r="W53" s="4"/>
      <c r="X53" s="4"/>
      <c r="Y53" s="4"/>
      <c r="Z53" s="4"/>
      <c r="AA53" s="4"/>
      <c r="AB53" s="4"/>
      <c r="AC53" s="4"/>
      <c r="AD53" s="4"/>
      <c r="AE53" s="4"/>
      <c r="AF53" s="4"/>
      <c r="AG53" s="4"/>
      <c r="AH53" s="4"/>
      <c r="AI53" s="4"/>
      <c r="AJ53" s="4"/>
      <c r="AK53" s="4"/>
      <c r="AL53" s="4"/>
      <c r="AM53" s="4"/>
      <c r="AN53" s="4"/>
      <c r="AO53" s="4"/>
      <c r="AP53" s="4"/>
    </row>
    <row r="54" ht="15.0" customHeight="1">
      <c r="A54" s="231">
        <f>'Données projet'!A62</f>
        <v>10</v>
      </c>
      <c r="B54" s="228">
        <f>'Données projet'!D62</f>
        <v>7</v>
      </c>
      <c r="C54" s="232">
        <v>4.0</v>
      </c>
      <c r="D54" s="230">
        <f t="shared" ref="D54:D73" si="5">B54*C54</f>
        <v>28</v>
      </c>
      <c r="E54" s="227">
        <f t="shared" ref="E54:E68" si="6">20*B54</f>
        <v>140</v>
      </c>
      <c r="F54" s="258"/>
      <c r="G54" s="19"/>
      <c r="H54" s="27"/>
      <c r="I54" s="222"/>
      <c r="J54" s="4"/>
      <c r="K54" s="215"/>
      <c r="L54" s="4"/>
      <c r="M54" s="4"/>
      <c r="N54" s="4"/>
      <c r="O54" s="186">
        <f>IF(O53+1&lt;=MIN('Données projet'!$E$9:$E$18),O53+1,"STOP")</f>
        <v>21</v>
      </c>
      <c r="P54" s="250">
        <f t="shared" si="4"/>
        <v>79.35748511</v>
      </c>
      <c r="Q54" s="216"/>
      <c r="R54" s="4"/>
      <c r="S54" s="4"/>
      <c r="T54" s="4"/>
      <c r="U54" s="4"/>
      <c r="V54" s="4"/>
      <c r="W54" s="4"/>
      <c r="X54" s="4"/>
      <c r="Y54" s="4"/>
      <c r="Z54" s="4"/>
      <c r="AA54" s="4"/>
      <c r="AB54" s="4"/>
      <c r="AC54" s="4"/>
      <c r="AD54" s="4"/>
      <c r="AE54" s="4"/>
      <c r="AF54" s="4"/>
      <c r="AG54" s="4"/>
      <c r="AH54" s="4"/>
      <c r="AI54" s="4"/>
      <c r="AJ54" s="4"/>
      <c r="AK54" s="4"/>
      <c r="AL54" s="4"/>
      <c r="AM54" s="4"/>
      <c r="AN54" s="4"/>
      <c r="AO54" s="4"/>
      <c r="AP54" s="4"/>
    </row>
    <row r="55" ht="15.0" customHeight="1">
      <c r="A55" s="231">
        <f>'Données projet'!A63</f>
        <v>15</v>
      </c>
      <c r="B55" s="228">
        <f>'Données projet'!D63</f>
        <v>42</v>
      </c>
      <c r="C55" s="227">
        <v>4.0</v>
      </c>
      <c r="D55" s="230">
        <f t="shared" si="5"/>
        <v>168</v>
      </c>
      <c r="E55" s="227">
        <f t="shared" si="6"/>
        <v>840</v>
      </c>
      <c r="F55" s="258"/>
      <c r="G55" s="19"/>
      <c r="H55" s="27"/>
      <c r="I55" s="222"/>
      <c r="J55" s="4"/>
      <c r="K55" s="215"/>
      <c r="L55" s="4"/>
      <c r="M55" s="4"/>
      <c r="N55" s="4"/>
      <c r="O55" s="186">
        <f>IF(O54+1&lt;=MIN('Données projet'!$E$9:$E$18),O54+1,"STOP")</f>
        <v>22</v>
      </c>
      <c r="P55" s="250">
        <f t="shared" si="4"/>
        <v>75.94017714</v>
      </c>
      <c r="Q55" s="216"/>
      <c r="R55" s="4"/>
      <c r="S55" s="4"/>
      <c r="T55" s="4"/>
      <c r="U55" s="4"/>
      <c r="V55" s="4"/>
      <c r="W55" s="4"/>
      <c r="X55" s="4"/>
      <c r="Y55" s="4"/>
      <c r="Z55" s="4"/>
      <c r="AA55" s="4"/>
      <c r="AB55" s="4"/>
      <c r="AC55" s="4"/>
      <c r="AD55" s="4"/>
      <c r="AE55" s="4"/>
      <c r="AF55" s="4"/>
      <c r="AG55" s="4"/>
      <c r="AH55" s="4"/>
      <c r="AI55" s="4"/>
      <c r="AJ55" s="4"/>
      <c r="AK55" s="4"/>
      <c r="AL55" s="4"/>
      <c r="AM55" s="4"/>
      <c r="AN55" s="4"/>
      <c r="AO55" s="4"/>
      <c r="AP55" s="4"/>
    </row>
    <row r="56" ht="15.0" customHeight="1">
      <c r="A56" s="231">
        <f>'Données projet'!A64</f>
        <v>20</v>
      </c>
      <c r="B56" s="228">
        <f>'Données projet'!D64</f>
        <v>42</v>
      </c>
      <c r="C56" s="227">
        <v>27.0</v>
      </c>
      <c r="D56" s="230">
        <f t="shared" si="5"/>
        <v>1134</v>
      </c>
      <c r="E56" s="227">
        <f t="shared" si="6"/>
        <v>840</v>
      </c>
      <c r="F56" s="258"/>
      <c r="G56" s="19"/>
      <c r="H56" s="27"/>
      <c r="I56" s="222"/>
      <c r="J56" s="4"/>
      <c r="K56" s="215"/>
      <c r="L56" s="4"/>
      <c r="M56" s="4"/>
      <c r="N56" s="4"/>
      <c r="O56" s="186">
        <f>IF(O55+1&lt;=MIN('Données projet'!$E$9:$E$18),O55+1,"STOP")</f>
        <v>23</v>
      </c>
      <c r="P56" s="250">
        <f t="shared" si="4"/>
        <v>72.67002597</v>
      </c>
      <c r="Q56" s="216"/>
      <c r="R56" s="4"/>
      <c r="S56" s="4"/>
      <c r="T56" s="4"/>
      <c r="U56" s="4"/>
      <c r="V56" s="4"/>
      <c r="W56" s="4"/>
      <c r="X56" s="4"/>
      <c r="Y56" s="4"/>
      <c r="Z56" s="4"/>
      <c r="AA56" s="4"/>
      <c r="AB56" s="4"/>
      <c r="AC56" s="4"/>
      <c r="AD56" s="4"/>
      <c r="AE56" s="4"/>
      <c r="AF56" s="4"/>
      <c r="AG56" s="4"/>
      <c r="AH56" s="4"/>
      <c r="AI56" s="4"/>
      <c r="AJ56" s="4"/>
      <c r="AK56" s="4"/>
      <c r="AL56" s="4"/>
      <c r="AM56" s="4"/>
      <c r="AN56" s="4"/>
      <c r="AO56" s="4"/>
      <c r="AP56" s="4"/>
    </row>
    <row r="57" ht="15.0" customHeight="1">
      <c r="A57" s="231">
        <f>'Données projet'!A65</f>
        <v>25</v>
      </c>
      <c r="B57" s="228">
        <f>'Données projet'!D65</f>
        <v>42</v>
      </c>
      <c r="C57" s="227">
        <v>27.0</v>
      </c>
      <c r="D57" s="230">
        <f t="shared" si="5"/>
        <v>1134</v>
      </c>
      <c r="E57" s="227">
        <f t="shared" si="6"/>
        <v>840</v>
      </c>
      <c r="F57" s="258"/>
      <c r="G57" s="19"/>
      <c r="H57" s="27"/>
      <c r="I57" s="222"/>
      <c r="J57" s="4"/>
      <c r="K57" s="215"/>
      <c r="L57" s="4"/>
      <c r="M57" s="4"/>
      <c r="N57" s="4"/>
      <c r="O57" s="186">
        <f>IF(O56+1&lt;=MIN('Données projet'!$E$9:$E$18),O56+1,"STOP")</f>
        <v>24</v>
      </c>
      <c r="P57" s="250">
        <f t="shared" si="4"/>
        <v>69.54069471</v>
      </c>
      <c r="Q57" s="216"/>
      <c r="R57" s="4"/>
      <c r="S57" s="4"/>
      <c r="T57" s="4"/>
      <c r="U57" s="4"/>
      <c r="V57" s="4"/>
      <c r="W57" s="4"/>
      <c r="X57" s="4"/>
      <c r="Y57" s="4"/>
      <c r="Z57" s="4"/>
      <c r="AA57" s="4"/>
      <c r="AB57" s="4"/>
      <c r="AC57" s="4"/>
      <c r="AD57" s="4"/>
      <c r="AE57" s="4"/>
      <c r="AF57" s="4"/>
      <c r="AG57" s="4"/>
      <c r="AH57" s="4"/>
      <c r="AI57" s="4"/>
      <c r="AJ57" s="4"/>
      <c r="AK57" s="4"/>
      <c r="AL57" s="4"/>
      <c r="AM57" s="4"/>
      <c r="AN57" s="4"/>
      <c r="AO57" s="4"/>
      <c r="AP57" s="4"/>
    </row>
    <row r="58" ht="15.0" customHeight="1">
      <c r="A58" s="231">
        <f>'Données projet'!A66</f>
        <v>30</v>
      </c>
      <c r="B58" s="228">
        <f>'Données projet'!D66</f>
        <v>42</v>
      </c>
      <c r="C58" s="227">
        <v>27.0</v>
      </c>
      <c r="D58" s="230">
        <f t="shared" si="5"/>
        <v>1134</v>
      </c>
      <c r="E58" s="227">
        <f t="shared" si="6"/>
        <v>840</v>
      </c>
      <c r="F58" s="258"/>
      <c r="G58" s="19"/>
      <c r="H58" s="27"/>
      <c r="I58" s="222"/>
      <c r="J58" s="4"/>
      <c r="K58" s="215"/>
      <c r="L58" s="4"/>
      <c r="M58" s="4"/>
      <c r="N58" s="4"/>
      <c r="O58" s="186">
        <f>IF(O57+1&lt;=MIN('Données projet'!$E$9:$E$18),O57+1,"STOP")</f>
        <v>25</v>
      </c>
      <c r="P58" s="250">
        <f t="shared" si="4"/>
        <v>66.54611934</v>
      </c>
      <c r="Q58" s="216"/>
      <c r="R58" s="4"/>
      <c r="S58" s="4"/>
      <c r="T58" s="4"/>
      <c r="U58" s="4"/>
      <c r="V58" s="4"/>
      <c r="W58" s="4"/>
      <c r="X58" s="4"/>
      <c r="Y58" s="4"/>
      <c r="Z58" s="4"/>
      <c r="AA58" s="4"/>
      <c r="AB58" s="4"/>
      <c r="AC58" s="4"/>
      <c r="AD58" s="4"/>
      <c r="AE58" s="4"/>
      <c r="AF58" s="4"/>
      <c r="AG58" s="4"/>
      <c r="AH58" s="4"/>
      <c r="AI58" s="4"/>
      <c r="AJ58" s="4"/>
      <c r="AK58" s="4"/>
      <c r="AL58" s="4"/>
      <c r="AM58" s="4"/>
      <c r="AN58" s="4"/>
      <c r="AO58" s="4"/>
      <c r="AP58" s="4"/>
    </row>
    <row r="59" ht="15.0" customHeight="1">
      <c r="A59" s="231">
        <f>'Données projet'!A67</f>
        <v>35</v>
      </c>
      <c r="B59" s="228">
        <f>'Données projet'!D67</f>
        <v>42</v>
      </c>
      <c r="C59" s="227">
        <v>27.0</v>
      </c>
      <c r="D59" s="230">
        <f t="shared" si="5"/>
        <v>1134</v>
      </c>
      <c r="E59" s="227">
        <f t="shared" si="6"/>
        <v>840</v>
      </c>
      <c r="F59" s="258"/>
      <c r="G59" s="19"/>
      <c r="H59" s="27"/>
      <c r="I59" s="222"/>
      <c r="J59" s="4"/>
      <c r="K59" s="215"/>
      <c r="L59" s="4"/>
      <c r="M59" s="4"/>
      <c r="N59" s="4"/>
      <c r="O59" s="186">
        <f>IF(O58+1&lt;=MIN('Données projet'!$E$9:$E$18),O58+1,"STOP")</f>
        <v>26</v>
      </c>
      <c r="P59" s="250">
        <f t="shared" si="4"/>
        <v>63.68049697</v>
      </c>
      <c r="Q59" s="216"/>
      <c r="R59" s="4"/>
      <c r="S59" s="4"/>
      <c r="T59" s="4"/>
      <c r="U59" s="4"/>
      <c r="V59" s="4"/>
      <c r="W59" s="4"/>
      <c r="X59" s="4"/>
      <c r="Y59" s="4"/>
      <c r="Z59" s="4"/>
      <c r="AA59" s="4"/>
      <c r="AB59" s="4"/>
      <c r="AC59" s="4"/>
      <c r="AD59" s="4"/>
      <c r="AE59" s="4"/>
      <c r="AF59" s="4"/>
      <c r="AG59" s="4"/>
      <c r="AH59" s="4"/>
      <c r="AI59" s="4"/>
      <c r="AJ59" s="4"/>
      <c r="AK59" s="4"/>
      <c r="AL59" s="4"/>
      <c r="AM59" s="4"/>
      <c r="AN59" s="4"/>
      <c r="AO59" s="4"/>
      <c r="AP59" s="4"/>
    </row>
    <row r="60" ht="15.75" customHeight="1">
      <c r="A60" s="231">
        <f>'Données projet'!A68</f>
        <v>40</v>
      </c>
      <c r="B60" s="228">
        <f>'Données projet'!D68</f>
        <v>40</v>
      </c>
      <c r="C60" s="222">
        <v>27.0</v>
      </c>
      <c r="D60" s="230">
        <f t="shared" si="5"/>
        <v>1080</v>
      </c>
      <c r="E60" s="227">
        <f t="shared" si="6"/>
        <v>800</v>
      </c>
      <c r="F60" s="258"/>
      <c r="G60" s="259"/>
      <c r="H60" s="27"/>
      <c r="I60" s="222"/>
      <c r="J60" s="4"/>
      <c r="K60" s="215"/>
      <c r="L60" s="4"/>
      <c r="M60" s="4"/>
      <c r="N60" s="4"/>
      <c r="O60" s="186">
        <f>IF(O59+1&lt;=MIN('Données projet'!$E$9:$E$18),O59+1,"STOP")</f>
        <v>27</v>
      </c>
      <c r="P60" s="250">
        <f t="shared" si="4"/>
        <v>60.93827461</v>
      </c>
      <c r="Q60" s="216"/>
      <c r="R60" s="4"/>
      <c r="S60" s="4"/>
      <c r="T60" s="4"/>
      <c r="U60" s="4"/>
      <c r="V60" s="4"/>
      <c r="W60" s="4"/>
      <c r="X60" s="4"/>
      <c r="Y60" s="4"/>
      <c r="Z60" s="4"/>
      <c r="AA60" s="4"/>
      <c r="AB60" s="4"/>
      <c r="AC60" s="4"/>
      <c r="AD60" s="4"/>
      <c r="AE60" s="4"/>
      <c r="AF60" s="4"/>
      <c r="AG60" s="4"/>
      <c r="AH60" s="4"/>
      <c r="AI60" s="4"/>
      <c r="AJ60" s="4"/>
      <c r="AK60" s="4"/>
      <c r="AL60" s="4"/>
      <c r="AM60" s="4"/>
      <c r="AN60" s="4"/>
      <c r="AO60" s="4"/>
      <c r="AP60" s="4"/>
    </row>
    <row r="61" ht="15.75" customHeight="1">
      <c r="A61" s="231">
        <f>'Données projet'!A69</f>
        <v>45</v>
      </c>
      <c r="B61" s="228">
        <f>'Données projet'!D69</f>
        <v>26</v>
      </c>
      <c r="C61" s="227">
        <v>41.0</v>
      </c>
      <c r="D61" s="230">
        <f t="shared" si="5"/>
        <v>1066</v>
      </c>
      <c r="E61" s="227">
        <f t="shared" si="6"/>
        <v>520</v>
      </c>
      <c r="F61" s="258"/>
      <c r="G61" s="259"/>
      <c r="H61" s="27"/>
      <c r="I61" s="222"/>
      <c r="J61" s="4"/>
      <c r="K61" s="215"/>
      <c r="L61" s="4"/>
      <c r="M61" s="4"/>
      <c r="N61" s="4"/>
      <c r="O61" s="186">
        <f>IF(O60+1&lt;=MIN('Données projet'!$E$9:$E$18),O60+1,"STOP")</f>
        <v>28</v>
      </c>
      <c r="P61" s="250">
        <f t="shared" si="4"/>
        <v>58.31413839</v>
      </c>
      <c r="Q61" s="216"/>
      <c r="R61" s="4"/>
      <c r="S61" s="4"/>
      <c r="T61" s="4"/>
      <c r="U61" s="4"/>
      <c r="V61" s="4"/>
      <c r="W61" s="4"/>
      <c r="X61" s="4"/>
      <c r="Y61" s="4"/>
      <c r="Z61" s="4"/>
      <c r="AA61" s="4"/>
      <c r="AB61" s="4"/>
      <c r="AC61" s="4"/>
      <c r="AD61" s="4"/>
      <c r="AE61" s="4"/>
      <c r="AF61" s="4"/>
      <c r="AG61" s="4"/>
      <c r="AH61" s="4"/>
      <c r="AI61" s="4"/>
      <c r="AJ61" s="4"/>
      <c r="AK61" s="4"/>
      <c r="AL61" s="4"/>
      <c r="AM61" s="4"/>
      <c r="AN61" s="4"/>
      <c r="AO61" s="4"/>
      <c r="AP61" s="4"/>
    </row>
    <row r="62" ht="15.75" customHeight="1">
      <c r="A62" s="231">
        <f>'Données projet'!A70</f>
        <v>50</v>
      </c>
      <c r="B62" s="228">
        <f>'Données projet'!D70</f>
        <v>21</v>
      </c>
      <c r="C62" s="227">
        <v>41.0</v>
      </c>
      <c r="D62" s="230">
        <f t="shared" si="5"/>
        <v>861</v>
      </c>
      <c r="E62" s="227">
        <f t="shared" si="6"/>
        <v>420</v>
      </c>
      <c r="F62" s="258"/>
      <c r="G62" s="259"/>
      <c r="H62" s="27"/>
      <c r="I62" s="222"/>
      <c r="J62" s="4"/>
      <c r="K62" s="215"/>
      <c r="L62" s="4"/>
      <c r="M62" s="4"/>
      <c r="N62" s="4"/>
      <c r="O62" s="186">
        <f>IF(O61+1&lt;=MIN('Données projet'!$E$9:$E$18),O61+1,"STOP")</f>
        <v>29</v>
      </c>
      <c r="P62" s="250">
        <f t="shared" si="4"/>
        <v>55.80300324</v>
      </c>
      <c r="Q62" s="216"/>
      <c r="R62" s="4"/>
      <c r="S62" s="4"/>
      <c r="T62" s="4"/>
      <c r="U62" s="4"/>
      <c r="V62" s="4"/>
      <c r="W62" s="4"/>
      <c r="X62" s="4"/>
      <c r="Y62" s="4"/>
      <c r="Z62" s="4"/>
      <c r="AA62" s="4"/>
      <c r="AB62" s="4"/>
      <c r="AC62" s="4"/>
      <c r="AD62" s="4"/>
      <c r="AE62" s="4"/>
      <c r="AF62" s="4"/>
      <c r="AG62" s="4"/>
      <c r="AH62" s="4"/>
      <c r="AI62" s="4"/>
      <c r="AJ62" s="4"/>
      <c r="AK62" s="4"/>
      <c r="AL62" s="4"/>
      <c r="AM62" s="4"/>
      <c r="AN62" s="4"/>
      <c r="AO62" s="4"/>
      <c r="AP62" s="4"/>
    </row>
    <row r="63" ht="15.75" customHeight="1">
      <c r="A63" s="231">
        <f>'Données projet'!A71</f>
        <v>55</v>
      </c>
      <c r="B63" s="228">
        <f>'Données projet'!D71</f>
        <v>18</v>
      </c>
      <c r="C63" s="227">
        <v>41.0</v>
      </c>
      <c r="D63" s="230">
        <f t="shared" si="5"/>
        <v>738</v>
      </c>
      <c r="E63" s="227">
        <f t="shared" si="6"/>
        <v>360</v>
      </c>
      <c r="F63" s="258"/>
      <c r="G63" s="259"/>
      <c r="H63" s="27"/>
      <c r="I63" s="222"/>
      <c r="J63" s="4"/>
      <c r="K63" s="215"/>
      <c r="L63" s="4"/>
      <c r="M63" s="4"/>
      <c r="N63" s="4"/>
      <c r="O63" s="186">
        <f>IF(O62+1&lt;=MIN('Données projet'!$E$9:$E$18),O62+1,"STOP")</f>
        <v>30</v>
      </c>
      <c r="P63" s="250">
        <f t="shared" si="4"/>
        <v>53.4000031</v>
      </c>
      <c r="Q63" s="216"/>
      <c r="R63" s="4"/>
      <c r="S63" s="4"/>
      <c r="T63" s="4"/>
      <c r="U63" s="4"/>
      <c r="V63" s="4"/>
      <c r="W63" s="4"/>
      <c r="X63" s="4"/>
      <c r="Y63" s="4"/>
      <c r="Z63" s="4"/>
      <c r="AA63" s="4"/>
      <c r="AB63" s="4"/>
      <c r="AC63" s="4"/>
      <c r="AD63" s="4"/>
      <c r="AE63" s="4"/>
      <c r="AF63" s="4"/>
      <c r="AG63" s="4"/>
      <c r="AH63" s="4"/>
      <c r="AI63" s="4"/>
      <c r="AJ63" s="4"/>
      <c r="AK63" s="4"/>
      <c r="AL63" s="4"/>
      <c r="AM63" s="4"/>
      <c r="AN63" s="4"/>
      <c r="AO63" s="4"/>
      <c r="AP63" s="4"/>
    </row>
    <row r="64" ht="15.75" customHeight="1">
      <c r="A64" s="231">
        <f>'Données projet'!A72</f>
        <v>60</v>
      </c>
      <c r="B64" s="228">
        <f>'Données projet'!D72</f>
        <v>17</v>
      </c>
      <c r="C64" s="227">
        <v>100.0</v>
      </c>
      <c r="D64" s="230">
        <f t="shared" si="5"/>
        <v>1700</v>
      </c>
      <c r="E64" s="227">
        <f t="shared" si="6"/>
        <v>340</v>
      </c>
      <c r="F64" s="258"/>
      <c r="G64" s="259"/>
      <c r="H64" s="27"/>
      <c r="I64" s="222"/>
      <c r="J64" s="260"/>
      <c r="K64" s="215"/>
      <c r="L64" s="4"/>
      <c r="M64" s="4"/>
      <c r="N64" s="4"/>
      <c r="O64" s="186">
        <f>IF(O63+1&lt;=MIN('Données projet'!$E$9:$E$18),O63+1,"STOP")</f>
        <v>31</v>
      </c>
      <c r="P64" s="250">
        <f t="shared" si="4"/>
        <v>51.10048144</v>
      </c>
      <c r="Q64" s="216"/>
      <c r="R64" s="4"/>
      <c r="S64" s="4"/>
      <c r="T64" s="4"/>
      <c r="U64" s="4"/>
      <c r="V64" s="4"/>
      <c r="W64" s="4"/>
      <c r="X64" s="4"/>
      <c r="Y64" s="4"/>
      <c r="Z64" s="4"/>
      <c r="AA64" s="4"/>
      <c r="AB64" s="4"/>
      <c r="AC64" s="4"/>
      <c r="AD64" s="4"/>
      <c r="AE64" s="4"/>
      <c r="AF64" s="4"/>
      <c r="AG64" s="4"/>
      <c r="AH64" s="4"/>
      <c r="AI64" s="4"/>
      <c r="AJ64" s="4"/>
      <c r="AK64" s="4"/>
      <c r="AL64" s="4"/>
      <c r="AM64" s="4"/>
      <c r="AN64" s="4"/>
      <c r="AO64" s="4"/>
      <c r="AP64" s="4"/>
    </row>
    <row r="65" ht="15.75" customHeight="1">
      <c r="A65" s="231">
        <f>'Données projet'!A73</f>
        <v>65</v>
      </c>
      <c r="B65" s="228">
        <f>'Données projet'!D73</f>
        <v>16</v>
      </c>
      <c r="C65" s="227">
        <v>100.0</v>
      </c>
      <c r="D65" s="230">
        <f t="shared" si="5"/>
        <v>1600</v>
      </c>
      <c r="E65" s="227">
        <f t="shared" si="6"/>
        <v>320</v>
      </c>
      <c r="F65" s="258"/>
      <c r="G65" s="259"/>
      <c r="H65" s="27"/>
      <c r="I65" s="222"/>
      <c r="J65" s="260"/>
      <c r="K65" s="215"/>
      <c r="L65" s="4"/>
      <c r="M65" s="4"/>
      <c r="N65" s="4"/>
      <c r="O65" s="186">
        <f>IF(O64+1&lt;=MIN('Données projet'!$E$9:$E$18),O64+1,"STOP")</f>
        <v>32</v>
      </c>
      <c r="P65" s="250">
        <f t="shared" si="4"/>
        <v>48.89998224</v>
      </c>
      <c r="Q65" s="216"/>
      <c r="R65" s="4"/>
      <c r="S65" s="4"/>
      <c r="T65" s="4"/>
      <c r="U65" s="4"/>
      <c r="V65" s="4"/>
      <c r="W65" s="4"/>
      <c r="X65" s="4"/>
      <c r="Y65" s="4"/>
      <c r="Z65" s="4"/>
      <c r="AA65" s="4"/>
      <c r="AB65" s="4"/>
      <c r="AC65" s="4"/>
      <c r="AD65" s="4"/>
      <c r="AE65" s="4"/>
      <c r="AF65" s="4"/>
      <c r="AG65" s="4"/>
      <c r="AH65" s="4"/>
      <c r="AI65" s="4"/>
      <c r="AJ65" s="4"/>
      <c r="AK65" s="4"/>
      <c r="AL65" s="4"/>
      <c r="AM65" s="4"/>
      <c r="AN65" s="4"/>
      <c r="AO65" s="4"/>
      <c r="AP65" s="4"/>
    </row>
    <row r="66" ht="15.75" customHeight="1">
      <c r="A66" s="231">
        <f>'Données projet'!A74</f>
        <v>70</v>
      </c>
      <c r="B66" s="228">
        <f>'Données projet'!D74</f>
        <v>15</v>
      </c>
      <c r="C66" s="227">
        <v>150.0</v>
      </c>
      <c r="D66" s="230">
        <f t="shared" si="5"/>
        <v>2250</v>
      </c>
      <c r="E66" s="227">
        <f t="shared" si="6"/>
        <v>300</v>
      </c>
      <c r="F66" s="258"/>
      <c r="G66" s="259"/>
      <c r="H66" s="27"/>
      <c r="I66" s="222"/>
      <c r="J66" s="260"/>
      <c r="K66" s="215"/>
      <c r="L66" s="4"/>
      <c r="M66" s="4"/>
      <c r="N66" s="4"/>
      <c r="O66" s="186">
        <f>IF(O65+1&lt;=MIN('Données projet'!$E$9:$E$18),O65+1,"STOP")</f>
        <v>33</v>
      </c>
      <c r="P66" s="250">
        <f t="shared" si="4"/>
        <v>46.79424137</v>
      </c>
      <c r="Q66" s="216"/>
      <c r="R66" s="4"/>
      <c r="S66" s="4"/>
      <c r="T66" s="4"/>
      <c r="U66" s="4"/>
      <c r="V66" s="4"/>
      <c r="W66" s="4"/>
      <c r="X66" s="4"/>
      <c r="Y66" s="4"/>
      <c r="Z66" s="4"/>
      <c r="AA66" s="4"/>
      <c r="AB66" s="4"/>
      <c r="AC66" s="4"/>
      <c r="AD66" s="4"/>
      <c r="AE66" s="4"/>
      <c r="AF66" s="4"/>
      <c r="AG66" s="4"/>
      <c r="AH66" s="4"/>
      <c r="AI66" s="4"/>
      <c r="AJ66" s="4"/>
      <c r="AK66" s="4"/>
      <c r="AL66" s="4"/>
      <c r="AM66" s="4"/>
      <c r="AN66" s="4"/>
      <c r="AO66" s="4"/>
      <c r="AP66" s="4"/>
    </row>
    <row r="67" ht="15.75" customHeight="1">
      <c r="A67" s="231">
        <f>'Données projet'!A75</f>
        <v>75</v>
      </c>
      <c r="B67" s="231">
        <f>'Données projet'!D75</f>
        <v>14</v>
      </c>
      <c r="C67" s="227">
        <v>150.0</v>
      </c>
      <c r="D67" s="230">
        <f t="shared" si="5"/>
        <v>2100</v>
      </c>
      <c r="E67" s="227">
        <f t="shared" si="6"/>
        <v>280</v>
      </c>
      <c r="F67" s="258"/>
      <c r="G67" s="259"/>
      <c r="H67" s="27"/>
      <c r="I67" s="222"/>
      <c r="J67" s="260"/>
      <c r="K67" s="215"/>
      <c r="L67" s="4"/>
      <c r="M67" s="4"/>
      <c r="N67" s="4"/>
      <c r="O67" s="186">
        <f>IF(O66+1&lt;=MIN('Données projet'!$E$9:$E$18),O66+1,"STOP")</f>
        <v>34</v>
      </c>
      <c r="P67" s="250">
        <f t="shared" si="4"/>
        <v>44.77917835</v>
      </c>
      <c r="Q67" s="216"/>
      <c r="R67" s="4"/>
      <c r="S67" s="4"/>
      <c r="T67" s="4"/>
      <c r="U67" s="4"/>
      <c r="V67" s="4"/>
      <c r="W67" s="4"/>
      <c r="X67" s="4"/>
      <c r="Y67" s="4"/>
      <c r="Z67" s="4"/>
      <c r="AA67" s="4"/>
      <c r="AB67" s="4"/>
      <c r="AC67" s="4"/>
      <c r="AD67" s="4"/>
      <c r="AE67" s="4"/>
      <c r="AF67" s="4"/>
      <c r="AG67" s="4"/>
      <c r="AH67" s="4"/>
      <c r="AI67" s="4"/>
      <c r="AJ67" s="4"/>
      <c r="AK67" s="4"/>
      <c r="AL67" s="4"/>
      <c r="AM67" s="4"/>
      <c r="AN67" s="4"/>
      <c r="AO67" s="4"/>
      <c r="AP67" s="4"/>
    </row>
    <row r="68" ht="15.75" customHeight="1">
      <c r="A68" s="231">
        <f>'Données projet'!A76</f>
        <v>80</v>
      </c>
      <c r="B68" s="231">
        <f>'Données projet'!D76</f>
        <v>12</v>
      </c>
      <c r="C68" s="227">
        <v>150.0</v>
      </c>
      <c r="D68" s="230">
        <f t="shared" si="5"/>
        <v>1800</v>
      </c>
      <c r="E68" s="227">
        <f t="shared" si="6"/>
        <v>240</v>
      </c>
      <c r="F68" s="258"/>
      <c r="G68" s="259"/>
      <c r="H68" s="27"/>
      <c r="I68" s="222"/>
      <c r="J68" s="260"/>
      <c r="K68" s="215"/>
      <c r="L68" s="4"/>
      <c r="M68" s="4"/>
      <c r="N68" s="4"/>
      <c r="O68" s="186">
        <f>IF(O67+1&lt;=MIN('Données projet'!$E$9:$E$18),O67+1,"STOP")</f>
        <v>35</v>
      </c>
      <c r="P68" s="250">
        <f t="shared" si="4"/>
        <v>42.85088837</v>
      </c>
      <c r="Q68" s="216"/>
      <c r="R68" s="4"/>
      <c r="S68" s="4"/>
      <c r="T68" s="4"/>
      <c r="U68" s="4"/>
      <c r="V68" s="4"/>
      <c r="W68" s="4"/>
      <c r="X68" s="4"/>
      <c r="Y68" s="4"/>
      <c r="Z68" s="4"/>
      <c r="AA68" s="4"/>
      <c r="AB68" s="4"/>
      <c r="AC68" s="4"/>
      <c r="AD68" s="4"/>
      <c r="AE68" s="4"/>
      <c r="AF68" s="4"/>
      <c r="AG68" s="4"/>
      <c r="AH68" s="4"/>
      <c r="AI68" s="4"/>
      <c r="AJ68" s="4"/>
      <c r="AK68" s="4"/>
      <c r="AL68" s="4"/>
      <c r="AM68" s="4"/>
      <c r="AN68" s="4"/>
      <c r="AO68" s="4"/>
      <c r="AP68" s="4"/>
    </row>
    <row r="69" ht="15.75" customHeight="1">
      <c r="A69" s="231" t="str">
        <f>'Données projet'!A77</f>
        <v/>
      </c>
      <c r="B69" s="231" t="str">
        <f>'Données projet'!D77</f>
        <v/>
      </c>
      <c r="C69" s="222"/>
      <c r="D69" s="230">
        <f t="shared" si="5"/>
        <v>0</v>
      </c>
      <c r="E69" s="227"/>
      <c r="F69" s="258"/>
      <c r="G69" s="259"/>
      <c r="H69" s="27"/>
      <c r="I69" s="222"/>
      <c r="J69" s="260"/>
      <c r="K69" s="215"/>
      <c r="L69" s="4"/>
      <c r="M69" s="4"/>
      <c r="N69" s="4"/>
      <c r="O69" s="186">
        <f>IF(O68+1&lt;=MIN('Données projet'!$E$9:$E$18),O68+1,"STOP")</f>
        <v>36</v>
      </c>
      <c r="P69" s="250">
        <f t="shared" si="4"/>
        <v>41.00563481</v>
      </c>
      <c r="Q69" s="216"/>
      <c r="R69" s="4"/>
      <c r="S69" s="4"/>
      <c r="T69" s="4"/>
      <c r="U69" s="4"/>
      <c r="V69" s="4"/>
      <c r="W69" s="4"/>
      <c r="X69" s="4"/>
      <c r="Y69" s="4"/>
      <c r="Z69" s="4"/>
      <c r="AA69" s="4"/>
      <c r="AB69" s="4"/>
      <c r="AC69" s="4"/>
      <c r="AD69" s="4"/>
      <c r="AE69" s="4"/>
      <c r="AF69" s="4"/>
      <c r="AG69" s="4"/>
      <c r="AH69" s="4"/>
      <c r="AI69" s="4"/>
      <c r="AJ69" s="4"/>
      <c r="AK69" s="4"/>
      <c r="AL69" s="4"/>
      <c r="AM69" s="4"/>
      <c r="AN69" s="4"/>
      <c r="AO69" s="4"/>
      <c r="AP69" s="4"/>
    </row>
    <row r="70" ht="15.75" customHeight="1">
      <c r="A70" s="231" t="str">
        <f>'Données projet'!A78</f>
        <v/>
      </c>
      <c r="B70" s="231" t="str">
        <f>'Données projet'!D78</f>
        <v/>
      </c>
      <c r="C70" s="222"/>
      <c r="D70" s="230">
        <f t="shared" si="5"/>
        <v>0</v>
      </c>
      <c r="E70" s="227"/>
      <c r="F70" s="258"/>
      <c r="G70" s="259"/>
      <c r="H70" s="27"/>
      <c r="I70" s="222"/>
      <c r="J70" s="260"/>
      <c r="K70" s="215"/>
      <c r="L70" s="4"/>
      <c r="M70" s="4"/>
      <c r="N70" s="4"/>
      <c r="O70" s="186">
        <f>IF(O69+1&lt;=MIN('Données projet'!$E$9:$E$18),O69+1,"STOP")</f>
        <v>37</v>
      </c>
      <c r="P70" s="250">
        <f t="shared" si="4"/>
        <v>39.23984192</v>
      </c>
      <c r="Q70" s="216"/>
      <c r="R70" s="4"/>
      <c r="S70" s="4"/>
      <c r="T70" s="4"/>
      <c r="U70" s="4"/>
      <c r="V70" s="4"/>
      <c r="W70" s="4"/>
      <c r="X70" s="4"/>
      <c r="Y70" s="4"/>
      <c r="Z70" s="4"/>
      <c r="AA70" s="4"/>
      <c r="AB70" s="4"/>
      <c r="AC70" s="4"/>
      <c r="AD70" s="4"/>
      <c r="AE70" s="4"/>
      <c r="AF70" s="4"/>
      <c r="AG70" s="4"/>
      <c r="AH70" s="4"/>
      <c r="AI70" s="4"/>
      <c r="AJ70" s="4"/>
      <c r="AK70" s="4"/>
      <c r="AL70" s="4"/>
      <c r="AM70" s="4"/>
      <c r="AN70" s="4"/>
      <c r="AO70" s="4"/>
      <c r="AP70" s="4"/>
    </row>
    <row r="71" ht="15.75" customHeight="1">
      <c r="A71" s="231" t="str">
        <f>'Données projet'!A79</f>
        <v/>
      </c>
      <c r="B71" s="231" t="str">
        <f>'Données projet'!D79</f>
        <v/>
      </c>
      <c r="C71" s="222"/>
      <c r="D71" s="230">
        <f t="shared" si="5"/>
        <v>0</v>
      </c>
      <c r="E71" s="227"/>
      <c r="F71" s="258"/>
      <c r="G71" s="259"/>
      <c r="H71" s="27"/>
      <c r="I71" s="222"/>
      <c r="J71" s="260"/>
      <c r="K71" s="215"/>
      <c r="L71" s="4"/>
      <c r="M71" s="4"/>
      <c r="N71" s="4"/>
      <c r="O71" s="186">
        <f>IF(O70+1&lt;=MIN('Données projet'!$E$9:$E$18),O70+1,"STOP")</f>
        <v>38</v>
      </c>
      <c r="P71" s="250">
        <f t="shared" si="4"/>
        <v>37.55008796</v>
      </c>
      <c r="Q71" s="216"/>
      <c r="R71" s="4"/>
      <c r="S71" s="4"/>
      <c r="T71" s="4"/>
      <c r="U71" s="4"/>
      <c r="V71" s="4"/>
      <c r="W71" s="4"/>
      <c r="X71" s="4"/>
      <c r="Y71" s="4"/>
      <c r="Z71" s="4"/>
      <c r="AA71" s="4"/>
      <c r="AB71" s="4"/>
      <c r="AC71" s="4"/>
      <c r="AD71" s="4"/>
      <c r="AE71" s="4"/>
      <c r="AF71" s="4"/>
      <c r="AG71" s="4"/>
      <c r="AH71" s="4"/>
      <c r="AI71" s="4"/>
      <c r="AJ71" s="4"/>
      <c r="AK71" s="4"/>
      <c r="AL71" s="4"/>
      <c r="AM71" s="4"/>
      <c r="AN71" s="4"/>
      <c r="AO71" s="4"/>
      <c r="AP71" s="4"/>
    </row>
    <row r="72" ht="15.75" customHeight="1">
      <c r="A72" s="231" t="str">
        <f>'Données projet'!A80</f>
        <v/>
      </c>
      <c r="B72" s="231" t="str">
        <f>'Données projet'!D80</f>
        <v/>
      </c>
      <c r="C72" s="222"/>
      <c r="D72" s="230">
        <f t="shared" si="5"/>
        <v>0</v>
      </c>
      <c r="E72" s="227"/>
      <c r="F72" s="258"/>
      <c r="G72" s="259"/>
      <c r="H72" s="27"/>
      <c r="I72" s="222"/>
      <c r="J72" s="4"/>
      <c r="K72" s="215"/>
      <c r="L72" s="4"/>
      <c r="M72" s="4"/>
      <c r="N72" s="4"/>
      <c r="O72" s="186">
        <f>IF(O71+1&lt;=MIN('Données projet'!$E$9:$E$18),O71+1,"STOP")</f>
        <v>39</v>
      </c>
      <c r="P72" s="250">
        <f t="shared" si="4"/>
        <v>35.93309853</v>
      </c>
      <c r="Q72" s="216"/>
      <c r="R72" s="4"/>
      <c r="S72" s="4"/>
      <c r="T72" s="4"/>
      <c r="U72" s="4"/>
      <c r="V72" s="4"/>
      <c r="W72" s="4"/>
      <c r="X72" s="4"/>
      <c r="Y72" s="4"/>
      <c r="Z72" s="4"/>
      <c r="AA72" s="4"/>
      <c r="AB72" s="4"/>
      <c r="AC72" s="4"/>
      <c r="AD72" s="4"/>
      <c r="AE72" s="4"/>
      <c r="AF72" s="4"/>
      <c r="AG72" s="4"/>
      <c r="AH72" s="4"/>
      <c r="AI72" s="4"/>
      <c r="AJ72" s="4"/>
      <c r="AK72" s="4"/>
      <c r="AL72" s="4"/>
      <c r="AM72" s="4"/>
      <c r="AN72" s="4"/>
      <c r="AO72" s="4"/>
      <c r="AP72" s="4"/>
    </row>
    <row r="73" ht="15.75" customHeight="1">
      <c r="A73" s="231" t="str">
        <f>'Données projet'!A81</f>
        <v/>
      </c>
      <c r="B73" s="231" t="str">
        <f>'Données projet'!D81</f>
        <v/>
      </c>
      <c r="C73" s="222"/>
      <c r="D73" s="230">
        <f t="shared" si="5"/>
        <v>0</v>
      </c>
      <c r="E73" s="227"/>
      <c r="F73" s="258"/>
      <c r="G73" s="259"/>
      <c r="H73" s="27"/>
      <c r="I73" s="222"/>
      <c r="J73" s="4"/>
      <c r="K73" s="215"/>
      <c r="L73" s="4"/>
      <c r="M73" s="4"/>
      <c r="N73" s="4"/>
      <c r="O73" s="186">
        <f>IF(O72+1&lt;=MIN('Données projet'!$E$9:$E$18),O72+1,"STOP")</f>
        <v>40</v>
      </c>
      <c r="P73" s="250">
        <f t="shared" si="4"/>
        <v>34.38574022</v>
      </c>
      <c r="Q73" s="216"/>
      <c r="R73" s="4"/>
      <c r="S73" s="4"/>
      <c r="T73" s="4"/>
      <c r="U73" s="4"/>
      <c r="V73" s="4"/>
      <c r="W73" s="4"/>
      <c r="X73" s="4"/>
      <c r="Y73" s="4"/>
      <c r="Z73" s="4"/>
      <c r="AA73" s="4"/>
      <c r="AB73" s="4"/>
      <c r="AC73" s="4"/>
      <c r="AD73" s="4"/>
      <c r="AE73" s="4"/>
      <c r="AF73" s="4"/>
      <c r="AG73" s="4"/>
      <c r="AH73" s="4"/>
      <c r="AI73" s="4"/>
      <c r="AJ73" s="4"/>
      <c r="AK73" s="4"/>
      <c r="AL73" s="4"/>
      <c r="AM73" s="4"/>
      <c r="AN73" s="4"/>
      <c r="AO73" s="4"/>
      <c r="AP73" s="4"/>
    </row>
    <row r="74" ht="15.75" customHeight="1">
      <c r="A74" s="4"/>
      <c r="B74" s="4"/>
      <c r="C74" s="4"/>
      <c r="D74" s="4"/>
      <c r="E74" s="4"/>
      <c r="F74" s="216"/>
      <c r="G74" s="259"/>
      <c r="H74" s="27"/>
      <c r="I74" s="222"/>
      <c r="J74" s="4"/>
      <c r="K74" s="215"/>
      <c r="L74" s="4"/>
      <c r="M74" s="4"/>
      <c r="N74" s="4"/>
      <c r="O74" s="186">
        <f>IF(O73+1&lt;=MIN('Données projet'!$E$9:$E$18),O73+1,"STOP")</f>
        <v>41</v>
      </c>
      <c r="P74" s="250">
        <f t="shared" si="4"/>
        <v>32.90501456</v>
      </c>
      <c r="Q74" s="216"/>
      <c r="R74" s="4"/>
      <c r="S74" s="4"/>
      <c r="T74" s="4"/>
      <c r="U74" s="4"/>
      <c r="V74" s="4"/>
      <c r="W74" s="4"/>
      <c r="X74" s="4"/>
      <c r="Y74" s="4"/>
      <c r="Z74" s="4"/>
      <c r="AA74" s="4"/>
      <c r="AB74" s="4"/>
      <c r="AC74" s="4"/>
      <c r="AD74" s="4"/>
      <c r="AE74" s="4"/>
      <c r="AF74" s="4"/>
      <c r="AG74" s="4"/>
      <c r="AH74" s="4"/>
      <c r="AI74" s="4"/>
      <c r="AJ74" s="4"/>
      <c r="AK74" s="4"/>
      <c r="AL74" s="4"/>
      <c r="AM74" s="4"/>
      <c r="AN74" s="4"/>
      <c r="AO74" s="4"/>
      <c r="AP74" s="4"/>
    </row>
    <row r="75" ht="15.75" customHeight="1">
      <c r="A75" s="4"/>
      <c r="B75" s="4"/>
      <c r="C75" s="4"/>
      <c r="D75" s="4"/>
      <c r="E75" s="4"/>
      <c r="F75" s="216"/>
      <c r="G75" s="259"/>
      <c r="H75" s="27"/>
      <c r="I75" s="222"/>
      <c r="J75" s="4"/>
      <c r="K75" s="215"/>
      <c r="L75" s="4"/>
      <c r="M75" s="4"/>
      <c r="N75" s="4"/>
      <c r="O75" s="186">
        <f>IF(O74+1&lt;=MIN('Données projet'!$E$9:$E$18),O74+1,"STOP")</f>
        <v>42</v>
      </c>
      <c r="P75" s="250">
        <f t="shared" si="4"/>
        <v>31.48805221</v>
      </c>
      <c r="Q75" s="216"/>
      <c r="R75" s="4"/>
      <c r="S75" s="4"/>
      <c r="T75" s="4"/>
      <c r="U75" s="4"/>
      <c r="V75" s="4"/>
      <c r="W75" s="4"/>
      <c r="X75" s="4"/>
      <c r="Y75" s="4"/>
      <c r="Z75" s="4"/>
      <c r="AA75" s="4"/>
      <c r="AB75" s="4"/>
      <c r="AC75" s="4"/>
      <c r="AD75" s="4"/>
      <c r="AE75" s="4"/>
      <c r="AF75" s="4"/>
      <c r="AG75" s="4"/>
      <c r="AH75" s="4"/>
      <c r="AI75" s="4"/>
      <c r="AJ75" s="4"/>
      <c r="AK75" s="4"/>
      <c r="AL75" s="4"/>
      <c r="AM75" s="4"/>
      <c r="AN75" s="4"/>
      <c r="AO75" s="4"/>
      <c r="AP75" s="4"/>
    </row>
    <row r="76" ht="15.75" customHeight="1">
      <c r="A76" s="49" t="s">
        <v>21</v>
      </c>
      <c r="B76" s="220" t="str">
        <f>IF('Données projet'!B11="","",'Données projet'!B11)</f>
        <v>Alisier torminal</v>
      </c>
      <c r="C76" s="4"/>
      <c r="D76" s="4"/>
      <c r="E76" s="4"/>
      <c r="F76" s="216"/>
      <c r="G76" s="259"/>
      <c r="H76" s="27"/>
      <c r="I76" s="222"/>
      <c r="J76" s="4"/>
      <c r="K76" s="215"/>
      <c r="L76" s="4"/>
      <c r="M76" s="4"/>
      <c r="N76" s="4"/>
      <c r="O76" s="186">
        <f>IF(O75+1&lt;=MIN('Données projet'!$E$9:$E$18),O75+1,"STOP")</f>
        <v>43</v>
      </c>
      <c r="P76" s="250">
        <f t="shared" si="4"/>
        <v>30.13210738</v>
      </c>
      <c r="Q76" s="216"/>
      <c r="R76" s="4"/>
      <c r="S76" s="4"/>
      <c r="T76" s="4"/>
      <c r="U76" s="4"/>
      <c r="V76" s="4"/>
      <c r="W76" s="4"/>
      <c r="X76" s="4"/>
      <c r="Y76" s="4"/>
      <c r="Z76" s="4"/>
      <c r="AA76" s="4"/>
      <c r="AB76" s="4"/>
      <c r="AC76" s="4"/>
      <c r="AD76" s="4"/>
      <c r="AE76" s="4"/>
      <c r="AF76" s="4"/>
      <c r="AG76" s="4"/>
      <c r="AH76" s="4"/>
      <c r="AI76" s="4"/>
      <c r="AJ76" s="4"/>
      <c r="AK76" s="4"/>
      <c r="AL76" s="4"/>
      <c r="AM76" s="4"/>
      <c r="AN76" s="4"/>
      <c r="AO76" s="4"/>
      <c r="AP76" s="4"/>
    </row>
    <row r="77" ht="15.75" customHeight="1">
      <c r="A77" s="4"/>
      <c r="B77" s="4"/>
      <c r="C77" s="4"/>
      <c r="D77" s="4"/>
      <c r="E77" s="4"/>
      <c r="F77" s="216"/>
      <c r="G77" s="259"/>
      <c r="H77" s="27"/>
      <c r="I77" s="222"/>
      <c r="J77" s="4"/>
      <c r="K77" s="215"/>
      <c r="L77" s="4"/>
      <c r="M77" s="4"/>
      <c r="N77" s="4"/>
      <c r="O77" s="186">
        <f>IF(O76+1&lt;=MIN('Données projet'!$E$9:$E$18),O76+1,"STOP")</f>
        <v>44</v>
      </c>
      <c r="P77" s="250">
        <f t="shared" si="4"/>
        <v>28.83455252</v>
      </c>
      <c r="Q77" s="216"/>
      <c r="R77" s="4"/>
      <c r="S77" s="4"/>
      <c r="T77" s="4"/>
      <c r="U77" s="4"/>
      <c r="V77" s="4"/>
      <c r="W77" s="4"/>
      <c r="X77" s="4"/>
      <c r="Y77" s="4"/>
      <c r="Z77" s="4"/>
      <c r="AA77" s="4"/>
      <c r="AB77" s="4"/>
      <c r="AC77" s="4"/>
      <c r="AD77" s="4"/>
      <c r="AE77" s="4"/>
      <c r="AF77" s="4"/>
      <c r="AG77" s="4"/>
      <c r="AH77" s="4"/>
      <c r="AI77" s="4"/>
      <c r="AJ77" s="4"/>
      <c r="AK77" s="4"/>
      <c r="AL77" s="4"/>
      <c r="AM77" s="4"/>
      <c r="AN77" s="4"/>
      <c r="AO77" s="4"/>
      <c r="AP77" s="4"/>
    </row>
    <row r="78" ht="15.75" customHeight="1">
      <c r="A78" s="33" t="s">
        <v>52</v>
      </c>
      <c r="B78" s="57" t="s">
        <v>331</v>
      </c>
      <c r="C78" s="57" t="s">
        <v>332</v>
      </c>
      <c r="D78" s="33" t="s">
        <v>333</v>
      </c>
      <c r="E78" s="33" t="s">
        <v>334</v>
      </c>
      <c r="F78" s="255"/>
      <c r="G78" s="259"/>
      <c r="H78" s="27"/>
      <c r="I78" s="222"/>
      <c r="J78" s="4"/>
      <c r="K78" s="215"/>
      <c r="L78" s="4"/>
      <c r="M78" s="4"/>
      <c r="N78" s="4"/>
      <c r="O78" s="186">
        <f>IF(O77+1&lt;=MIN('Données projet'!$E$9:$E$18),O77+1,"STOP")</f>
        <v>45</v>
      </c>
      <c r="P78" s="250">
        <f t="shared" si="4"/>
        <v>27.59287322</v>
      </c>
      <c r="Q78" s="216"/>
      <c r="R78" s="4"/>
      <c r="S78" s="4"/>
      <c r="T78" s="4"/>
      <c r="U78" s="4"/>
      <c r="V78" s="4"/>
      <c r="W78" s="4"/>
      <c r="X78" s="4"/>
      <c r="Y78" s="4"/>
      <c r="Z78" s="4"/>
      <c r="AA78" s="4"/>
      <c r="AB78" s="4"/>
      <c r="AC78" s="4"/>
      <c r="AD78" s="4"/>
      <c r="AE78" s="4"/>
      <c r="AF78" s="4"/>
      <c r="AG78" s="4"/>
      <c r="AH78" s="4"/>
      <c r="AI78" s="4"/>
      <c r="AJ78" s="4"/>
      <c r="AK78" s="4"/>
      <c r="AL78" s="4"/>
      <c r="AM78" s="4"/>
      <c r="AN78" s="4"/>
      <c r="AO78" s="4"/>
      <c r="AP78" s="4"/>
    </row>
    <row r="79" ht="15.75" customHeight="1">
      <c r="A79" s="43">
        <v>0.0</v>
      </c>
      <c r="B79" s="224" t="s">
        <v>231</v>
      </c>
      <c r="C79" s="225" t="s">
        <v>231</v>
      </c>
      <c r="D79" s="226" t="s">
        <v>231</v>
      </c>
      <c r="E79" s="227">
        <f>1238/0.5</f>
        <v>2476</v>
      </c>
      <c r="F79" s="255"/>
      <c r="G79" s="259"/>
      <c r="H79" s="27"/>
      <c r="I79" s="222"/>
      <c r="J79" s="4"/>
      <c r="K79" s="215"/>
      <c r="L79" s="4"/>
      <c r="M79" s="4"/>
      <c r="N79" s="4"/>
      <c r="O79" s="186">
        <f>IF(O78+1&lt;=MIN('Données projet'!$E$9:$E$18),O78+1,"STOP")</f>
        <v>46</v>
      </c>
      <c r="P79" s="250">
        <f t="shared" si="4"/>
        <v>26.40466337</v>
      </c>
      <c r="Q79" s="216"/>
      <c r="R79" s="4"/>
      <c r="S79" s="4"/>
      <c r="T79" s="4"/>
      <c r="U79" s="4"/>
      <c r="V79" s="4"/>
      <c r="W79" s="4"/>
      <c r="X79" s="4"/>
      <c r="Y79" s="4"/>
      <c r="Z79" s="4"/>
      <c r="AA79" s="4"/>
      <c r="AB79" s="4"/>
      <c r="AC79" s="4"/>
      <c r="AD79" s="4"/>
      <c r="AE79" s="4"/>
      <c r="AF79" s="4"/>
      <c r="AG79" s="4"/>
      <c r="AH79" s="4"/>
      <c r="AI79" s="4"/>
      <c r="AJ79" s="4"/>
      <c r="AK79" s="4"/>
      <c r="AL79" s="4"/>
      <c r="AM79" s="4"/>
      <c r="AN79" s="4"/>
      <c r="AO79" s="4"/>
      <c r="AP79" s="4"/>
    </row>
    <row r="80" ht="15.75" customHeight="1">
      <c r="A80" s="43">
        <v>1.0</v>
      </c>
      <c r="B80" s="224" t="s">
        <v>231</v>
      </c>
      <c r="C80" s="225" t="s">
        <v>231</v>
      </c>
      <c r="D80" s="226" t="s">
        <v>231</v>
      </c>
      <c r="E80" s="227">
        <f>960/0.5</f>
        <v>1920</v>
      </c>
      <c r="F80" s="255"/>
      <c r="G80" s="4"/>
      <c r="H80" s="27"/>
      <c r="I80" s="222"/>
      <c r="J80" s="4"/>
      <c r="K80" s="215"/>
      <c r="L80" s="4"/>
      <c r="M80" s="4"/>
      <c r="N80" s="4"/>
      <c r="O80" s="186">
        <f>IF(O79+1&lt;=MIN('Données projet'!$E$9:$E$18),O79+1,"STOP")</f>
        <v>47</v>
      </c>
      <c r="P80" s="250">
        <f t="shared" si="4"/>
        <v>25.26762045</v>
      </c>
      <c r="Q80" s="216"/>
      <c r="R80" s="4"/>
      <c r="S80" s="4"/>
      <c r="T80" s="4"/>
      <c r="U80" s="4"/>
      <c r="V80" s="4"/>
      <c r="W80" s="4"/>
      <c r="X80" s="4"/>
      <c r="Y80" s="4"/>
      <c r="Z80" s="4"/>
      <c r="AA80" s="4"/>
      <c r="AB80" s="4"/>
      <c r="AC80" s="4"/>
      <c r="AD80" s="4"/>
      <c r="AE80" s="4"/>
      <c r="AF80" s="4"/>
      <c r="AG80" s="4"/>
      <c r="AH80" s="4"/>
      <c r="AI80" s="4"/>
      <c r="AJ80" s="4"/>
      <c r="AK80" s="4"/>
      <c r="AL80" s="4"/>
      <c r="AM80" s="4"/>
      <c r="AN80" s="4"/>
      <c r="AO80" s="4"/>
      <c r="AP80" s="4"/>
    </row>
    <row r="81" ht="15.75" customHeight="1">
      <c r="A81" s="43">
        <v>2.0</v>
      </c>
      <c r="B81" s="224" t="s">
        <v>231</v>
      </c>
      <c r="C81" s="225" t="s">
        <v>231</v>
      </c>
      <c r="D81" s="226" t="s">
        <v>231</v>
      </c>
      <c r="E81" s="227">
        <f>1031/0.5</f>
        <v>2062</v>
      </c>
      <c r="F81" s="255"/>
      <c r="G81" s="4"/>
      <c r="H81" s="27"/>
      <c r="I81" s="222"/>
      <c r="J81" s="4"/>
      <c r="K81" s="215"/>
      <c r="L81" s="4"/>
      <c r="M81" s="4"/>
      <c r="N81" s="4"/>
      <c r="O81" s="186">
        <f>IF(O80+1&lt;=MIN('Données projet'!$E$9:$E$18),O80+1,"STOP")</f>
        <v>48</v>
      </c>
      <c r="P81" s="250">
        <f t="shared" si="4"/>
        <v>24.1795411</v>
      </c>
      <c r="Q81" s="216"/>
      <c r="R81" s="4"/>
      <c r="S81" s="4"/>
      <c r="T81" s="4"/>
      <c r="U81" s="4"/>
      <c r="V81" s="4"/>
      <c r="W81" s="4"/>
      <c r="X81" s="4"/>
      <c r="Y81" s="4"/>
      <c r="Z81" s="4"/>
      <c r="AA81" s="4"/>
      <c r="AB81" s="4"/>
      <c r="AC81" s="4"/>
      <c r="AD81" s="4"/>
      <c r="AE81" s="4"/>
      <c r="AF81" s="4"/>
      <c r="AG81" s="4"/>
      <c r="AH81" s="4"/>
      <c r="AI81" s="4"/>
      <c r="AJ81" s="4"/>
      <c r="AK81" s="4"/>
      <c r="AL81" s="4"/>
      <c r="AM81" s="4"/>
      <c r="AN81" s="4"/>
      <c r="AO81" s="4"/>
      <c r="AP81" s="4"/>
    </row>
    <row r="82" ht="15.75" customHeight="1">
      <c r="A82" s="43">
        <v>3.0</v>
      </c>
      <c r="B82" s="224" t="s">
        <v>231</v>
      </c>
      <c r="C82" s="225" t="s">
        <v>231</v>
      </c>
      <c r="D82" s="226" t="s">
        <v>231</v>
      </c>
      <c r="E82" s="227">
        <f>1080/0.5</f>
        <v>2160</v>
      </c>
      <c r="F82" s="255"/>
      <c r="G82" s="4"/>
      <c r="H82" s="27"/>
      <c r="I82" s="222"/>
      <c r="J82" s="4"/>
      <c r="K82" s="215"/>
      <c r="L82" s="4"/>
      <c r="M82" s="4"/>
      <c r="N82" s="4"/>
      <c r="O82" s="186">
        <f>IF(O81+1&lt;=MIN('Données projet'!$E$9:$E$18),O81+1,"STOP")</f>
        <v>49</v>
      </c>
      <c r="P82" s="250">
        <f t="shared" si="4"/>
        <v>23.13831684</v>
      </c>
      <c r="Q82" s="216"/>
      <c r="R82" s="4"/>
      <c r="S82" s="4"/>
      <c r="T82" s="4"/>
      <c r="U82" s="4"/>
      <c r="V82" s="4"/>
      <c r="W82" s="4"/>
      <c r="X82" s="4"/>
      <c r="Y82" s="4"/>
      <c r="Z82" s="4"/>
      <c r="AA82" s="4"/>
      <c r="AB82" s="4"/>
      <c r="AC82" s="4"/>
      <c r="AD82" s="4"/>
      <c r="AE82" s="4"/>
      <c r="AF82" s="4"/>
      <c r="AG82" s="4"/>
      <c r="AH82" s="4"/>
      <c r="AI82" s="4"/>
      <c r="AJ82" s="4"/>
      <c r="AK82" s="4"/>
      <c r="AL82" s="4"/>
      <c r="AM82" s="4"/>
      <c r="AN82" s="4"/>
      <c r="AO82" s="4"/>
      <c r="AP82" s="4"/>
    </row>
    <row r="83" ht="15.75" customHeight="1">
      <c r="A83" s="43">
        <v>4.0</v>
      </c>
      <c r="B83" s="224" t="s">
        <v>231</v>
      </c>
      <c r="C83" s="225" t="s">
        <v>231</v>
      </c>
      <c r="D83" s="226" t="s">
        <v>231</v>
      </c>
      <c r="E83" s="227">
        <f>1120/0.5</f>
        <v>2240</v>
      </c>
      <c r="F83" s="255"/>
      <c r="G83" s="4"/>
      <c r="H83" s="27"/>
      <c r="I83" s="222"/>
      <c r="J83" s="4"/>
      <c r="K83" s="215"/>
      <c r="L83" s="4"/>
      <c r="M83" s="4"/>
      <c r="N83" s="4"/>
      <c r="O83" s="186">
        <f>IF(O82+1&lt;=MIN('Données projet'!$E$9:$E$18),O82+1,"STOP")</f>
        <v>50</v>
      </c>
      <c r="P83" s="250">
        <f t="shared" si="4"/>
        <v>22.14192999</v>
      </c>
      <c r="Q83" s="216"/>
      <c r="R83" s="4"/>
      <c r="S83" s="4"/>
      <c r="T83" s="4"/>
      <c r="U83" s="4"/>
      <c r="V83" s="4"/>
      <c r="W83" s="4"/>
      <c r="X83" s="4"/>
      <c r="Y83" s="4"/>
      <c r="Z83" s="4"/>
      <c r="AA83" s="4"/>
      <c r="AB83" s="4"/>
      <c r="AC83" s="4"/>
      <c r="AD83" s="4"/>
      <c r="AE83" s="4"/>
      <c r="AF83" s="4"/>
      <c r="AG83" s="4"/>
      <c r="AH83" s="4"/>
      <c r="AI83" s="4"/>
      <c r="AJ83" s="4"/>
      <c r="AK83" s="4"/>
      <c r="AL83" s="4"/>
      <c r="AM83" s="4"/>
      <c r="AN83" s="4"/>
      <c r="AO83" s="4"/>
      <c r="AP83" s="4"/>
    </row>
    <row r="84" ht="16.5" customHeight="1">
      <c r="A84" s="43">
        <v>5.0</v>
      </c>
      <c r="B84" s="224" t="s">
        <v>231</v>
      </c>
      <c r="C84" s="225" t="s">
        <v>231</v>
      </c>
      <c r="D84" s="226" t="s">
        <v>231</v>
      </c>
      <c r="E84" s="227">
        <f>3500/4/0.5</f>
        <v>1750</v>
      </c>
      <c r="F84" s="255"/>
      <c r="G84" s="19"/>
      <c r="H84" s="27"/>
      <c r="I84" s="222"/>
      <c r="J84" s="4"/>
      <c r="K84" s="215"/>
      <c r="L84" s="4"/>
      <c r="M84" s="4"/>
      <c r="N84" s="4"/>
      <c r="O84" s="186">
        <f>IF(O83+1&lt;=MIN('Données projet'!$E$9:$E$18),O83+1,"STOP")</f>
        <v>51</v>
      </c>
      <c r="P84" s="250">
        <f t="shared" si="4"/>
        <v>21.18844975</v>
      </c>
      <c r="Q84" s="216"/>
      <c r="R84" s="4"/>
      <c r="S84" s="4"/>
      <c r="T84" s="4"/>
      <c r="U84" s="4"/>
      <c r="V84" s="4"/>
      <c r="W84" s="4"/>
      <c r="X84" s="4"/>
      <c r="Y84" s="4"/>
      <c r="Z84" s="4"/>
      <c r="AA84" s="4"/>
      <c r="AB84" s="4"/>
      <c r="AC84" s="4"/>
      <c r="AD84" s="4"/>
      <c r="AE84" s="4"/>
      <c r="AF84" s="4"/>
      <c r="AG84" s="4"/>
      <c r="AH84" s="4"/>
      <c r="AI84" s="4"/>
      <c r="AJ84" s="4"/>
      <c r="AK84" s="4"/>
      <c r="AL84" s="4"/>
      <c r="AM84" s="4"/>
      <c r="AN84" s="4"/>
      <c r="AO84" s="4"/>
      <c r="AP84" s="4"/>
    </row>
    <row r="85" ht="16.5" customHeight="1">
      <c r="A85" s="231" t="str">
        <f>'Données projet'!A88</f>
        <v/>
      </c>
      <c r="B85" s="231" t="str">
        <f>'Données projet'!D88</f>
        <v/>
      </c>
      <c r="C85" s="222">
        <v>5.0</v>
      </c>
      <c r="D85" s="230">
        <f t="shared" ref="D85:D104" si="7">B85*C85</f>
        <v>0</v>
      </c>
      <c r="E85" s="227">
        <f t="shared" ref="E85:E89" si="8">20*B85</f>
        <v>0</v>
      </c>
      <c r="F85" s="258"/>
      <c r="G85" s="19"/>
      <c r="H85" s="27"/>
      <c r="I85" s="222"/>
      <c r="J85" s="4"/>
      <c r="K85" s="215"/>
      <c r="L85" s="4"/>
      <c r="M85" s="4"/>
      <c r="N85" s="4"/>
      <c r="O85" s="186">
        <f>IF(O84+1&lt;=MIN('Données projet'!$E$9:$E$18),O84+1,"STOP")</f>
        <v>52</v>
      </c>
      <c r="P85" s="250">
        <f t="shared" si="4"/>
        <v>20.27602847</v>
      </c>
      <c r="Q85" s="216"/>
      <c r="R85" s="4"/>
      <c r="S85" s="4"/>
      <c r="T85" s="4"/>
      <c r="U85" s="4"/>
      <c r="V85" s="4"/>
      <c r="W85" s="4"/>
      <c r="X85" s="4"/>
      <c r="Y85" s="4"/>
      <c r="Z85" s="4"/>
      <c r="AA85" s="4"/>
      <c r="AB85" s="4"/>
      <c r="AC85" s="4"/>
      <c r="AD85" s="4"/>
      <c r="AE85" s="4"/>
      <c r="AF85" s="4"/>
      <c r="AG85" s="4"/>
      <c r="AH85" s="4"/>
      <c r="AI85" s="4"/>
      <c r="AJ85" s="4"/>
      <c r="AK85" s="4"/>
      <c r="AL85" s="4"/>
      <c r="AM85" s="4"/>
      <c r="AN85" s="4"/>
      <c r="AO85" s="4"/>
      <c r="AP85" s="4"/>
    </row>
    <row r="86" ht="16.5" customHeight="1">
      <c r="A86" s="231" t="str">
        <f>'Données projet'!A89</f>
        <v/>
      </c>
      <c r="B86" s="231" t="str">
        <f>'Données projet'!D89</f>
        <v/>
      </c>
      <c r="C86" s="227">
        <v>15.0</v>
      </c>
      <c r="D86" s="230">
        <f t="shared" si="7"/>
        <v>0</v>
      </c>
      <c r="E86" s="227">
        <f t="shared" si="8"/>
        <v>0</v>
      </c>
      <c r="F86" s="258"/>
      <c r="G86" s="19"/>
      <c r="H86" s="27"/>
      <c r="I86" s="222"/>
      <c r="J86" s="4"/>
      <c r="K86" s="215"/>
      <c r="L86" s="4"/>
      <c r="M86" s="4"/>
      <c r="N86" s="4"/>
      <c r="O86" s="186">
        <f>IF(O85+1&lt;=MIN('Données projet'!$E$9:$E$18),O85+1,"STOP")</f>
        <v>53</v>
      </c>
      <c r="P86" s="250">
        <f t="shared" si="4"/>
        <v>19.40289806</v>
      </c>
      <c r="Q86" s="216"/>
      <c r="R86" s="4"/>
      <c r="S86" s="4"/>
      <c r="T86" s="4"/>
      <c r="U86" s="4"/>
      <c r="V86" s="4"/>
      <c r="W86" s="4"/>
      <c r="X86" s="4"/>
      <c r="Y86" s="4"/>
      <c r="Z86" s="4"/>
      <c r="AA86" s="4"/>
      <c r="AB86" s="4"/>
      <c r="AC86" s="4"/>
      <c r="AD86" s="4"/>
      <c r="AE86" s="4"/>
      <c r="AF86" s="4"/>
      <c r="AG86" s="4"/>
      <c r="AH86" s="4"/>
      <c r="AI86" s="4"/>
      <c r="AJ86" s="4"/>
      <c r="AK86" s="4"/>
      <c r="AL86" s="4"/>
      <c r="AM86" s="4"/>
      <c r="AN86" s="4"/>
      <c r="AO86" s="4"/>
      <c r="AP86" s="4"/>
    </row>
    <row r="87" ht="16.5" customHeight="1">
      <c r="A87" s="231" t="str">
        <f>'Données projet'!A90</f>
        <v/>
      </c>
      <c r="B87" s="231" t="str">
        <f>'Données projet'!D90</f>
        <v/>
      </c>
      <c r="C87" s="227">
        <v>50.0</v>
      </c>
      <c r="D87" s="230">
        <f t="shared" si="7"/>
        <v>0</v>
      </c>
      <c r="E87" s="227">
        <f t="shared" si="8"/>
        <v>0</v>
      </c>
      <c r="F87" s="258"/>
      <c r="G87" s="19"/>
      <c r="H87" s="27"/>
      <c r="I87" s="222"/>
      <c r="J87" s="4"/>
      <c r="K87" s="215"/>
      <c r="L87" s="4"/>
      <c r="M87" s="4"/>
      <c r="N87" s="4"/>
      <c r="O87" s="186">
        <f>IF(O86+1&lt;=MIN('Données projet'!$E$9:$E$18),O86+1,"STOP")</f>
        <v>54</v>
      </c>
      <c r="P87" s="250">
        <f t="shared" si="4"/>
        <v>18.56736656</v>
      </c>
      <c r="Q87" s="216"/>
      <c r="R87" s="4"/>
      <c r="S87" s="4"/>
      <c r="T87" s="4"/>
      <c r="U87" s="4"/>
      <c r="V87" s="4"/>
      <c r="W87" s="4"/>
      <c r="X87" s="4"/>
      <c r="Y87" s="4"/>
      <c r="Z87" s="4"/>
      <c r="AA87" s="4"/>
      <c r="AB87" s="4"/>
      <c r="AC87" s="4"/>
      <c r="AD87" s="4"/>
      <c r="AE87" s="4"/>
      <c r="AF87" s="4"/>
      <c r="AG87" s="4"/>
      <c r="AH87" s="4"/>
      <c r="AI87" s="4"/>
      <c r="AJ87" s="4"/>
      <c r="AK87" s="4"/>
      <c r="AL87" s="4"/>
      <c r="AM87" s="4"/>
      <c r="AN87" s="4"/>
      <c r="AO87" s="4"/>
      <c r="AP87" s="4"/>
    </row>
    <row r="88" ht="16.5" customHeight="1">
      <c r="A88" s="231" t="str">
        <f>'Données projet'!A91</f>
        <v/>
      </c>
      <c r="B88" s="231" t="str">
        <f>'Données projet'!D91</f>
        <v/>
      </c>
      <c r="C88" s="227">
        <v>200.0</v>
      </c>
      <c r="D88" s="230">
        <f t="shared" si="7"/>
        <v>0</v>
      </c>
      <c r="E88" s="227">
        <f t="shared" si="8"/>
        <v>0</v>
      </c>
      <c r="F88" s="258"/>
      <c r="G88" s="19"/>
      <c r="H88" s="27"/>
      <c r="I88" s="222"/>
      <c r="J88" s="4"/>
      <c r="K88" s="215"/>
      <c r="L88" s="4"/>
      <c r="M88" s="4"/>
      <c r="N88" s="4"/>
      <c r="O88" s="186">
        <f>IF(O87+1&lt;=MIN('Données projet'!$E$9:$E$18),O87+1,"STOP")</f>
        <v>55</v>
      </c>
      <c r="P88" s="250">
        <f t="shared" si="4"/>
        <v>17.76781489</v>
      </c>
      <c r="Q88" s="216"/>
      <c r="R88" s="4"/>
      <c r="S88" s="4"/>
      <c r="T88" s="4"/>
      <c r="U88" s="4"/>
      <c r="V88" s="4"/>
      <c r="W88" s="4"/>
      <c r="X88" s="4"/>
      <c r="Y88" s="4"/>
      <c r="Z88" s="4"/>
      <c r="AA88" s="4"/>
      <c r="AB88" s="4"/>
      <c r="AC88" s="4"/>
      <c r="AD88" s="4"/>
      <c r="AE88" s="4"/>
      <c r="AF88" s="4"/>
      <c r="AG88" s="4"/>
      <c r="AH88" s="4"/>
      <c r="AI88" s="4"/>
      <c r="AJ88" s="4"/>
      <c r="AK88" s="4"/>
      <c r="AL88" s="4"/>
      <c r="AM88" s="4"/>
      <c r="AN88" s="4"/>
      <c r="AO88" s="4"/>
      <c r="AP88" s="4"/>
    </row>
    <row r="89" ht="16.5" customHeight="1">
      <c r="A89" s="231" t="str">
        <f>'Données projet'!A92</f>
        <v/>
      </c>
      <c r="B89" s="231" t="str">
        <f>'Données projet'!D92</f>
        <v/>
      </c>
      <c r="C89" s="227">
        <v>350.0</v>
      </c>
      <c r="D89" s="230">
        <f t="shared" si="7"/>
        <v>0</v>
      </c>
      <c r="E89" s="227">
        <f t="shared" si="8"/>
        <v>0</v>
      </c>
      <c r="F89" s="258"/>
      <c r="G89" s="19"/>
      <c r="H89" s="27"/>
      <c r="I89" s="222"/>
      <c r="J89" s="4"/>
      <c r="K89" s="215"/>
      <c r="L89" s="4"/>
      <c r="M89" s="4"/>
      <c r="N89" s="4"/>
      <c r="O89" s="186">
        <f>IF(O88+1&lt;=MIN('Données projet'!$E$9:$E$18),O88+1,"STOP")</f>
        <v>56</v>
      </c>
      <c r="P89" s="250">
        <f t="shared" si="4"/>
        <v>17.00269368</v>
      </c>
      <c r="Q89" s="216"/>
      <c r="R89" s="4"/>
      <c r="S89" s="4"/>
      <c r="T89" s="4"/>
      <c r="U89" s="4"/>
      <c r="V89" s="4"/>
      <c r="W89" s="4"/>
      <c r="X89" s="4"/>
      <c r="Y89" s="4"/>
      <c r="Z89" s="4"/>
      <c r="AA89" s="4"/>
      <c r="AB89" s="4"/>
      <c r="AC89" s="4"/>
      <c r="AD89" s="4"/>
      <c r="AE89" s="4"/>
      <c r="AF89" s="4"/>
      <c r="AG89" s="4"/>
      <c r="AH89" s="4"/>
      <c r="AI89" s="4"/>
      <c r="AJ89" s="4"/>
      <c r="AK89" s="4"/>
      <c r="AL89" s="4"/>
      <c r="AM89" s="4"/>
      <c r="AN89" s="4"/>
      <c r="AO89" s="4"/>
      <c r="AP89" s="4"/>
    </row>
    <row r="90" ht="16.5" customHeight="1">
      <c r="A90" s="231" t="str">
        <f>'Données projet'!A93</f>
        <v/>
      </c>
      <c r="B90" s="231" t="str">
        <f>'Données projet'!D93</f>
        <v/>
      </c>
      <c r="C90" s="222"/>
      <c r="D90" s="230">
        <f t="shared" si="7"/>
        <v>0</v>
      </c>
      <c r="E90" s="227"/>
      <c r="F90" s="258"/>
      <c r="G90" s="19"/>
      <c r="H90" s="27"/>
      <c r="I90" s="222"/>
      <c r="J90" s="4"/>
      <c r="K90" s="215"/>
      <c r="L90" s="4"/>
      <c r="M90" s="4"/>
      <c r="N90" s="4"/>
      <c r="O90" s="186">
        <f>IF(O89+1&lt;=MIN('Données projet'!$E$9:$E$18),O89+1,"STOP")</f>
        <v>57</v>
      </c>
      <c r="P90" s="250">
        <f t="shared" si="4"/>
        <v>16.27052027</v>
      </c>
      <c r="Q90" s="216"/>
      <c r="R90" s="4"/>
      <c r="S90" s="4"/>
      <c r="T90" s="4"/>
      <c r="U90" s="4"/>
      <c r="V90" s="4"/>
      <c r="W90" s="4"/>
      <c r="X90" s="4"/>
      <c r="Y90" s="4"/>
      <c r="Z90" s="4"/>
      <c r="AA90" s="4"/>
      <c r="AB90" s="4"/>
      <c r="AC90" s="4"/>
      <c r="AD90" s="4"/>
      <c r="AE90" s="4"/>
      <c r="AF90" s="4"/>
      <c r="AG90" s="4"/>
      <c r="AH90" s="4"/>
      <c r="AI90" s="4"/>
      <c r="AJ90" s="4"/>
      <c r="AK90" s="4"/>
      <c r="AL90" s="4"/>
      <c r="AM90" s="4"/>
      <c r="AN90" s="4"/>
      <c r="AO90" s="4"/>
      <c r="AP90" s="4"/>
    </row>
    <row r="91" ht="15.75" customHeight="1">
      <c r="A91" s="231" t="str">
        <f>'Données projet'!A94</f>
        <v/>
      </c>
      <c r="B91" s="231" t="str">
        <f>'Données projet'!D94</f>
        <v/>
      </c>
      <c r="C91" s="222"/>
      <c r="D91" s="230">
        <f t="shared" si="7"/>
        <v>0</v>
      </c>
      <c r="E91" s="227"/>
      <c r="F91" s="258"/>
      <c r="G91" s="259"/>
      <c r="H91" s="27"/>
      <c r="I91" s="222"/>
      <c r="J91" s="4"/>
      <c r="K91" s="215"/>
      <c r="L91" s="4"/>
      <c r="M91" s="4"/>
      <c r="N91" s="4"/>
      <c r="O91" s="186">
        <f>IF(O90+1&lt;=MIN('Données projet'!$E$9:$E$18),O90+1,"STOP")</f>
        <v>58</v>
      </c>
      <c r="P91" s="250">
        <f t="shared" si="4"/>
        <v>15.56987585</v>
      </c>
      <c r="Q91" s="216"/>
      <c r="R91" s="4"/>
      <c r="S91" s="4"/>
      <c r="T91" s="4"/>
      <c r="U91" s="4"/>
      <c r="V91" s="4"/>
      <c r="W91" s="4"/>
      <c r="X91" s="4"/>
      <c r="Y91" s="4"/>
      <c r="Z91" s="4"/>
      <c r="AA91" s="4"/>
      <c r="AB91" s="4"/>
      <c r="AC91" s="4"/>
      <c r="AD91" s="4"/>
      <c r="AE91" s="4"/>
      <c r="AF91" s="4"/>
      <c r="AG91" s="4"/>
      <c r="AH91" s="4"/>
      <c r="AI91" s="4"/>
      <c r="AJ91" s="4"/>
      <c r="AK91" s="4"/>
      <c r="AL91" s="4"/>
      <c r="AM91" s="4"/>
      <c r="AN91" s="4"/>
      <c r="AO91" s="4"/>
      <c r="AP91" s="4"/>
    </row>
    <row r="92" ht="15.75" customHeight="1">
      <c r="A92" s="231" t="str">
        <f>'Données projet'!A95</f>
        <v/>
      </c>
      <c r="B92" s="231" t="str">
        <f>'Données projet'!D95</f>
        <v/>
      </c>
      <c r="C92" s="222"/>
      <c r="D92" s="230">
        <f t="shared" si="7"/>
        <v>0</v>
      </c>
      <c r="E92" s="227"/>
      <c r="F92" s="258"/>
      <c r="G92" s="259"/>
      <c r="H92" s="27"/>
      <c r="I92" s="222"/>
      <c r="J92" s="4"/>
      <c r="K92" s="215"/>
      <c r="L92" s="4"/>
      <c r="M92" s="4"/>
      <c r="N92" s="4"/>
      <c r="O92" s="186">
        <f>IF(O91+1&lt;=MIN('Données projet'!$E$9:$E$18),O91+1,"STOP")</f>
        <v>59</v>
      </c>
      <c r="P92" s="250">
        <f t="shared" si="4"/>
        <v>14.89940273</v>
      </c>
      <c r="Q92" s="216"/>
      <c r="R92" s="4"/>
      <c r="S92" s="4"/>
      <c r="T92" s="4"/>
      <c r="U92" s="4"/>
      <c r="V92" s="4"/>
      <c r="W92" s="4"/>
      <c r="X92" s="4"/>
      <c r="Y92" s="4"/>
      <c r="Z92" s="4"/>
      <c r="AA92" s="4"/>
      <c r="AB92" s="4"/>
      <c r="AC92" s="4"/>
      <c r="AD92" s="4"/>
      <c r="AE92" s="4"/>
      <c r="AF92" s="4"/>
      <c r="AG92" s="4"/>
      <c r="AH92" s="4"/>
      <c r="AI92" s="4"/>
      <c r="AJ92" s="4"/>
      <c r="AK92" s="4"/>
      <c r="AL92" s="4"/>
      <c r="AM92" s="4"/>
      <c r="AN92" s="4"/>
      <c r="AO92" s="4"/>
      <c r="AP92" s="4"/>
    </row>
    <row r="93" ht="15.75" customHeight="1">
      <c r="A93" s="231" t="str">
        <f>'Données projet'!A96</f>
        <v/>
      </c>
      <c r="B93" s="231" t="str">
        <f>'Données projet'!D96</f>
        <v/>
      </c>
      <c r="C93" s="222"/>
      <c r="D93" s="230">
        <f t="shared" si="7"/>
        <v>0</v>
      </c>
      <c r="E93" s="227"/>
      <c r="F93" s="258"/>
      <c r="G93" s="259"/>
      <c r="H93" s="27"/>
      <c r="I93" s="222"/>
      <c r="J93" s="4"/>
      <c r="K93" s="215"/>
      <c r="L93" s="4"/>
      <c r="M93" s="4"/>
      <c r="N93" s="4"/>
      <c r="O93" s="186">
        <f>IF(O92+1&lt;=MIN('Données projet'!$E$9:$E$18),O92+1,"STOP")</f>
        <v>60</v>
      </c>
      <c r="P93" s="250">
        <f t="shared" si="4"/>
        <v>14.25780166</v>
      </c>
      <c r="Q93" s="216"/>
      <c r="R93" s="4"/>
      <c r="S93" s="4"/>
      <c r="T93" s="4"/>
      <c r="U93" s="4"/>
      <c r="V93" s="4"/>
      <c r="W93" s="4"/>
      <c r="X93" s="4"/>
      <c r="Y93" s="4"/>
      <c r="Z93" s="4"/>
      <c r="AA93" s="4"/>
      <c r="AB93" s="4"/>
      <c r="AC93" s="4"/>
      <c r="AD93" s="4"/>
      <c r="AE93" s="4"/>
      <c r="AF93" s="4"/>
      <c r="AG93" s="4"/>
      <c r="AH93" s="4"/>
      <c r="AI93" s="4"/>
      <c r="AJ93" s="4"/>
      <c r="AK93" s="4"/>
      <c r="AL93" s="4"/>
      <c r="AM93" s="4"/>
      <c r="AN93" s="4"/>
      <c r="AO93" s="4"/>
      <c r="AP93" s="4"/>
    </row>
    <row r="94" ht="15.75" customHeight="1">
      <c r="A94" s="231" t="str">
        <f>'Données projet'!A97</f>
        <v/>
      </c>
      <c r="B94" s="231" t="str">
        <f>'Données projet'!D97</f>
        <v/>
      </c>
      <c r="C94" s="222"/>
      <c r="D94" s="230">
        <f t="shared" si="7"/>
        <v>0</v>
      </c>
      <c r="E94" s="227"/>
      <c r="F94" s="258"/>
      <c r="G94" s="259"/>
      <c r="H94" s="27"/>
      <c r="I94" s="222"/>
      <c r="J94" s="4"/>
      <c r="K94" s="215"/>
      <c r="L94" s="4"/>
      <c r="M94" s="4"/>
      <c r="N94" s="4"/>
      <c r="O94" s="186">
        <f>IF(O93+1&lt;=MIN('Données projet'!$E$9:$E$18),O93+1,"STOP")</f>
        <v>61</v>
      </c>
      <c r="P94" s="250">
        <f t="shared" si="4"/>
        <v>13.64382934</v>
      </c>
      <c r="Q94" s="216"/>
      <c r="R94" s="4"/>
      <c r="S94" s="4"/>
      <c r="T94" s="4"/>
      <c r="U94" s="4"/>
      <c r="V94" s="4"/>
      <c r="W94" s="4"/>
      <c r="X94" s="4"/>
      <c r="Y94" s="4"/>
      <c r="Z94" s="4"/>
      <c r="AA94" s="4"/>
      <c r="AB94" s="4"/>
      <c r="AC94" s="4"/>
      <c r="AD94" s="4"/>
      <c r="AE94" s="4"/>
      <c r="AF94" s="4"/>
      <c r="AG94" s="4"/>
      <c r="AH94" s="4"/>
      <c r="AI94" s="4"/>
      <c r="AJ94" s="4"/>
      <c r="AK94" s="4"/>
      <c r="AL94" s="4"/>
      <c r="AM94" s="4"/>
      <c r="AN94" s="4"/>
      <c r="AO94" s="4"/>
      <c r="AP94" s="4"/>
    </row>
    <row r="95" ht="15.75" customHeight="1">
      <c r="A95" s="231" t="str">
        <f>'Données projet'!A98</f>
        <v/>
      </c>
      <c r="B95" s="231" t="str">
        <f>'Données projet'!D98</f>
        <v/>
      </c>
      <c r="C95" s="222"/>
      <c r="D95" s="230">
        <f t="shared" si="7"/>
        <v>0</v>
      </c>
      <c r="E95" s="227"/>
      <c r="F95" s="258"/>
      <c r="G95" s="259"/>
      <c r="H95" s="27"/>
      <c r="I95" s="222"/>
      <c r="J95" s="4"/>
      <c r="K95" s="215"/>
      <c r="L95" s="4"/>
      <c r="M95" s="4"/>
      <c r="N95" s="4"/>
      <c r="O95" s="186">
        <f>IF(O94+1&lt;=MIN('Données projet'!$E$9:$E$18),O94+1,"STOP")</f>
        <v>62</v>
      </c>
      <c r="P95" s="250">
        <f t="shared" si="4"/>
        <v>13.05629602</v>
      </c>
      <c r="Q95" s="216"/>
      <c r="R95" s="4"/>
      <c r="S95" s="4"/>
      <c r="T95" s="4"/>
      <c r="U95" s="4"/>
      <c r="V95" s="4"/>
      <c r="W95" s="4"/>
      <c r="X95" s="4"/>
      <c r="Y95" s="4"/>
      <c r="Z95" s="4"/>
      <c r="AA95" s="4"/>
      <c r="AB95" s="4"/>
      <c r="AC95" s="4"/>
      <c r="AD95" s="4"/>
      <c r="AE95" s="4"/>
      <c r="AF95" s="4"/>
      <c r="AG95" s="4"/>
      <c r="AH95" s="4"/>
      <c r="AI95" s="4"/>
      <c r="AJ95" s="4"/>
      <c r="AK95" s="4"/>
      <c r="AL95" s="4"/>
      <c r="AM95" s="4"/>
      <c r="AN95" s="4"/>
      <c r="AO95" s="4"/>
      <c r="AP95" s="4"/>
    </row>
    <row r="96" ht="15.75" customHeight="1">
      <c r="A96" s="231" t="str">
        <f>'Données projet'!A99</f>
        <v/>
      </c>
      <c r="B96" s="231" t="str">
        <f>'Données projet'!D99</f>
        <v/>
      </c>
      <c r="C96" s="222"/>
      <c r="D96" s="230">
        <f t="shared" si="7"/>
        <v>0</v>
      </c>
      <c r="E96" s="227"/>
      <c r="F96" s="258"/>
      <c r="G96" s="259"/>
      <c r="H96" s="27"/>
      <c r="I96" s="222"/>
      <c r="J96" s="4"/>
      <c r="K96" s="215"/>
      <c r="L96" s="4"/>
      <c r="M96" s="4"/>
      <c r="N96" s="4"/>
      <c r="O96" s="186">
        <f>IF(O95+1&lt;=MIN('Données projet'!$E$9:$E$18),O95+1,"STOP")</f>
        <v>63</v>
      </c>
      <c r="P96" s="250">
        <f t="shared" si="4"/>
        <v>12.49406317</v>
      </c>
      <c r="Q96" s="216"/>
      <c r="R96" s="4"/>
      <c r="S96" s="4"/>
      <c r="T96" s="4"/>
      <c r="U96" s="4"/>
      <c r="V96" s="4"/>
      <c r="W96" s="4"/>
      <c r="X96" s="4"/>
      <c r="Y96" s="4"/>
      <c r="Z96" s="4"/>
      <c r="AA96" s="4"/>
      <c r="AB96" s="4"/>
      <c r="AC96" s="4"/>
      <c r="AD96" s="4"/>
      <c r="AE96" s="4"/>
      <c r="AF96" s="4"/>
      <c r="AG96" s="4"/>
      <c r="AH96" s="4"/>
      <c r="AI96" s="4"/>
      <c r="AJ96" s="4"/>
      <c r="AK96" s="4"/>
      <c r="AL96" s="4"/>
      <c r="AM96" s="4"/>
      <c r="AN96" s="4"/>
      <c r="AO96" s="4"/>
      <c r="AP96" s="4"/>
    </row>
    <row r="97" ht="15.75" customHeight="1">
      <c r="A97" s="231" t="str">
        <f>'Données projet'!A100</f>
        <v/>
      </c>
      <c r="B97" s="231" t="str">
        <f>'Données projet'!D100</f>
        <v/>
      </c>
      <c r="C97" s="222"/>
      <c r="D97" s="230">
        <f t="shared" si="7"/>
        <v>0</v>
      </c>
      <c r="E97" s="227"/>
      <c r="F97" s="258"/>
      <c r="G97" s="259"/>
      <c r="H97" s="27"/>
      <c r="I97" s="222"/>
      <c r="J97" s="4"/>
      <c r="K97" s="215"/>
      <c r="L97" s="4"/>
      <c r="M97" s="4"/>
      <c r="N97" s="4"/>
      <c r="O97" s="186">
        <f>IF(O96+1&lt;=MIN('Données projet'!$E$9:$E$18),O96+1,"STOP")</f>
        <v>64</v>
      </c>
      <c r="P97" s="250">
        <f t="shared" si="4"/>
        <v>11.95604131</v>
      </c>
      <c r="Q97" s="216"/>
      <c r="R97" s="4"/>
      <c r="S97" s="4"/>
      <c r="T97" s="4"/>
      <c r="U97" s="4"/>
      <c r="V97" s="4"/>
      <c r="W97" s="4"/>
      <c r="X97" s="4"/>
      <c r="Y97" s="4"/>
      <c r="Z97" s="4"/>
      <c r="AA97" s="4"/>
      <c r="AB97" s="4"/>
      <c r="AC97" s="4"/>
      <c r="AD97" s="4"/>
      <c r="AE97" s="4"/>
      <c r="AF97" s="4"/>
      <c r="AG97" s="4"/>
      <c r="AH97" s="4"/>
      <c r="AI97" s="4"/>
      <c r="AJ97" s="4"/>
      <c r="AK97" s="4"/>
      <c r="AL97" s="4"/>
      <c r="AM97" s="4"/>
      <c r="AN97" s="4"/>
      <c r="AO97" s="4"/>
      <c r="AP97" s="4"/>
    </row>
    <row r="98" ht="15.75" customHeight="1">
      <c r="A98" s="231" t="str">
        <f>'Données projet'!A101</f>
        <v/>
      </c>
      <c r="B98" s="231" t="str">
        <f>'Données projet'!D101</f>
        <v/>
      </c>
      <c r="C98" s="222"/>
      <c r="D98" s="230">
        <f t="shared" si="7"/>
        <v>0</v>
      </c>
      <c r="E98" s="227"/>
      <c r="F98" s="258"/>
      <c r="G98" s="259"/>
      <c r="H98" s="27"/>
      <c r="I98" s="222"/>
      <c r="J98" s="4"/>
      <c r="K98" s="215"/>
      <c r="L98" s="4"/>
      <c r="M98" s="4"/>
      <c r="N98" s="4"/>
      <c r="O98" s="186">
        <f>IF(O97+1&lt;=MIN('Données projet'!$E$9:$E$18),O97+1,"STOP")</f>
        <v>65</v>
      </c>
      <c r="P98" s="250">
        <f t="shared" si="4"/>
        <v>11.44118786</v>
      </c>
      <c r="Q98" s="216"/>
      <c r="R98" s="4"/>
      <c r="S98" s="4"/>
      <c r="T98" s="4"/>
      <c r="U98" s="4"/>
      <c r="V98" s="4"/>
      <c r="W98" s="4"/>
      <c r="X98" s="4"/>
      <c r="Y98" s="4"/>
      <c r="Z98" s="4"/>
      <c r="AA98" s="4"/>
      <c r="AB98" s="4"/>
      <c r="AC98" s="4"/>
      <c r="AD98" s="4"/>
      <c r="AE98" s="4"/>
      <c r="AF98" s="4"/>
      <c r="AG98" s="4"/>
      <c r="AH98" s="4"/>
      <c r="AI98" s="4"/>
      <c r="AJ98" s="4"/>
      <c r="AK98" s="4"/>
      <c r="AL98" s="4"/>
      <c r="AM98" s="4"/>
      <c r="AN98" s="4"/>
      <c r="AO98" s="4"/>
      <c r="AP98" s="4"/>
    </row>
    <row r="99" ht="15.75" customHeight="1">
      <c r="A99" s="231" t="str">
        <f>'Données projet'!A102</f>
        <v/>
      </c>
      <c r="B99" s="231" t="str">
        <f>'Données projet'!D102</f>
        <v/>
      </c>
      <c r="C99" s="222"/>
      <c r="D99" s="230">
        <f t="shared" si="7"/>
        <v>0</v>
      </c>
      <c r="E99" s="227"/>
      <c r="F99" s="258"/>
      <c r="G99" s="259"/>
      <c r="H99" s="27"/>
      <c r="I99" s="222"/>
      <c r="J99" s="4"/>
      <c r="K99" s="215"/>
      <c r="L99" s="4"/>
      <c r="M99" s="4"/>
      <c r="N99" s="4"/>
      <c r="O99" s="186">
        <f>IF(O98+1&lt;=MIN('Données projet'!$E$9:$E$18),O98+1,"STOP")</f>
        <v>66</v>
      </c>
      <c r="P99" s="250">
        <f t="shared" si="4"/>
        <v>10.94850513</v>
      </c>
      <c r="Q99" s="216"/>
      <c r="R99" s="4"/>
      <c r="S99" s="4"/>
      <c r="T99" s="4"/>
      <c r="U99" s="4"/>
      <c r="V99" s="4"/>
      <c r="W99" s="4"/>
      <c r="X99" s="4"/>
      <c r="Y99" s="4"/>
      <c r="Z99" s="4"/>
      <c r="AA99" s="4"/>
      <c r="AB99" s="4"/>
      <c r="AC99" s="4"/>
      <c r="AD99" s="4"/>
      <c r="AE99" s="4"/>
      <c r="AF99" s="4"/>
      <c r="AG99" s="4"/>
      <c r="AH99" s="4"/>
      <c r="AI99" s="4"/>
      <c r="AJ99" s="4"/>
      <c r="AK99" s="4"/>
      <c r="AL99" s="4"/>
      <c r="AM99" s="4"/>
      <c r="AN99" s="4"/>
      <c r="AO99" s="4"/>
      <c r="AP99" s="4"/>
    </row>
    <row r="100" ht="15.75" customHeight="1">
      <c r="A100" s="231" t="str">
        <f>'Données projet'!A103</f>
        <v/>
      </c>
      <c r="B100" s="231" t="str">
        <f>'Données projet'!D103</f>
        <v/>
      </c>
      <c r="C100" s="222"/>
      <c r="D100" s="230">
        <f t="shared" si="7"/>
        <v>0</v>
      </c>
      <c r="E100" s="227"/>
      <c r="F100" s="258"/>
      <c r="G100" s="259"/>
      <c r="H100" s="27"/>
      <c r="I100" s="222"/>
      <c r="J100" s="4"/>
      <c r="K100" s="215"/>
      <c r="L100" s="4"/>
      <c r="M100" s="4"/>
      <c r="N100" s="4"/>
      <c r="O100" s="186">
        <f>IF(O99+1&lt;=MIN('Données projet'!$E$9:$E$18),O99+1,"STOP")</f>
        <v>67</v>
      </c>
      <c r="P100" s="250">
        <f t="shared" si="4"/>
        <v>10.4770384</v>
      </c>
      <c r="Q100" s="216"/>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row>
    <row r="101" ht="15.75" customHeight="1">
      <c r="A101" s="231" t="str">
        <f>'Données projet'!A104</f>
        <v/>
      </c>
      <c r="B101" s="231" t="str">
        <f>'Données projet'!D104</f>
        <v/>
      </c>
      <c r="C101" s="222"/>
      <c r="D101" s="230">
        <f t="shared" si="7"/>
        <v>0</v>
      </c>
      <c r="E101" s="227"/>
      <c r="F101" s="258"/>
      <c r="G101" s="259"/>
      <c r="H101" s="27"/>
      <c r="I101" s="222"/>
      <c r="J101" s="4"/>
      <c r="K101" s="215"/>
      <c r="L101" s="4"/>
      <c r="M101" s="4"/>
      <c r="N101" s="4"/>
      <c r="O101" s="186">
        <f>IF(O100+1&lt;=MIN('Données projet'!$E$9:$E$18),O100+1,"STOP")</f>
        <v>68</v>
      </c>
      <c r="P101" s="250">
        <f t="shared" si="4"/>
        <v>10.02587407</v>
      </c>
      <c r="Q101" s="216"/>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row>
    <row r="102" ht="15.75" customHeight="1">
      <c r="A102" s="231" t="str">
        <f>'Données projet'!A105</f>
        <v/>
      </c>
      <c r="B102" s="231" t="str">
        <f>'Données projet'!D105</f>
        <v/>
      </c>
      <c r="C102" s="222"/>
      <c r="D102" s="230">
        <f t="shared" si="7"/>
        <v>0</v>
      </c>
      <c r="E102" s="227"/>
      <c r="F102" s="258"/>
      <c r="G102" s="259"/>
      <c r="H102" s="27"/>
      <c r="I102" s="222"/>
      <c r="J102" s="4"/>
      <c r="K102" s="215"/>
      <c r="L102" s="4"/>
      <c r="M102" s="4"/>
      <c r="N102" s="4"/>
      <c r="O102" s="186">
        <f>IF(O101+1&lt;=MIN('Données projet'!$E$9:$E$18),O101+1,"STOP")</f>
        <v>69</v>
      </c>
      <c r="P102" s="250">
        <f t="shared" si="4"/>
        <v>9.594137864</v>
      </c>
      <c r="Q102" s="216"/>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row>
    <row r="103" ht="15.75" customHeight="1">
      <c r="A103" s="231" t="str">
        <f>'Données projet'!A106</f>
        <v/>
      </c>
      <c r="B103" s="231" t="str">
        <f>'Données projet'!D106</f>
        <v/>
      </c>
      <c r="C103" s="222"/>
      <c r="D103" s="230">
        <f t="shared" si="7"/>
        <v>0</v>
      </c>
      <c r="E103" s="227"/>
      <c r="F103" s="258"/>
      <c r="G103" s="259"/>
      <c r="H103" s="27"/>
      <c r="I103" s="222"/>
      <c r="J103" s="4"/>
      <c r="K103" s="215"/>
      <c r="L103" s="4"/>
      <c r="M103" s="4"/>
      <c r="N103" s="4"/>
      <c r="O103" s="186">
        <f>IF(O102+1&lt;=MIN('Données projet'!$E$9:$E$18),O102+1,"STOP")</f>
        <v>70</v>
      </c>
      <c r="P103" s="250">
        <f t="shared" si="4"/>
        <v>9.180993171</v>
      </c>
      <c r="Q103" s="216"/>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row>
    <row r="104" ht="15.75" customHeight="1">
      <c r="A104" s="231" t="str">
        <f>'Données projet'!A107</f>
        <v/>
      </c>
      <c r="B104" s="231" t="str">
        <f>'Données projet'!D107</f>
        <v/>
      </c>
      <c r="C104" s="222"/>
      <c r="D104" s="230">
        <f t="shared" si="7"/>
        <v>0</v>
      </c>
      <c r="E104" s="227"/>
      <c r="F104" s="258"/>
      <c r="G104" s="259"/>
      <c r="H104" s="27"/>
      <c r="I104" s="222"/>
      <c r="J104" s="4"/>
      <c r="K104" s="215"/>
      <c r="L104" s="4"/>
      <c r="M104" s="4"/>
      <c r="N104" s="4"/>
      <c r="O104" s="186">
        <f>IF(O103+1&lt;=MIN('Données projet'!$E$9:$E$18),O103+1,"STOP")</f>
        <v>71</v>
      </c>
      <c r="P104" s="250">
        <f t="shared" si="4"/>
        <v>8.785639398</v>
      </c>
      <c r="Q104" s="216"/>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row>
    <row r="105" ht="15.75" customHeight="1">
      <c r="A105" s="4"/>
      <c r="B105" s="4"/>
      <c r="C105" s="4"/>
      <c r="D105" s="4"/>
      <c r="E105" s="4"/>
      <c r="F105" s="216"/>
      <c r="G105" s="259"/>
      <c r="H105" s="27"/>
      <c r="I105" s="222"/>
      <c r="J105" s="4"/>
      <c r="K105" s="215"/>
      <c r="L105" s="4"/>
      <c r="M105" s="4"/>
      <c r="N105" s="4"/>
      <c r="O105" s="186">
        <f>IF(O104+1&lt;=MIN('Données projet'!$E$9:$E$18),O104+1,"STOP")</f>
        <v>72</v>
      </c>
      <c r="P105" s="250">
        <f t="shared" si="4"/>
        <v>8.407310429</v>
      </c>
      <c r="Q105" s="216"/>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row>
    <row r="106" ht="15.75" customHeight="1">
      <c r="A106" s="4"/>
      <c r="B106" s="4"/>
      <c r="C106" s="4"/>
      <c r="D106" s="4"/>
      <c r="E106" s="4"/>
      <c r="F106" s="216"/>
      <c r="G106" s="259"/>
      <c r="H106" s="27"/>
      <c r="I106" s="222"/>
      <c r="J106" s="4"/>
      <c r="K106" s="215"/>
      <c r="L106" s="4"/>
      <c r="M106" s="4"/>
      <c r="N106" s="4"/>
      <c r="O106" s="186">
        <f>IF(O105+1&lt;=MIN('Données projet'!$E$9:$E$18),O105+1,"STOP")</f>
        <v>73</v>
      </c>
      <c r="P106" s="250">
        <f t="shared" si="4"/>
        <v>8.045273138</v>
      </c>
      <c r="Q106" s="216"/>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row>
    <row r="107" ht="15.75" customHeight="1">
      <c r="A107" s="49" t="s">
        <v>23</v>
      </c>
      <c r="B107" s="220" t="str">
        <f>IF('Données projet'!B12="","",'Données projet'!B12)</f>
        <v/>
      </c>
      <c r="C107" s="4"/>
      <c r="D107" s="4"/>
      <c r="E107" s="4"/>
      <c r="F107" s="216"/>
      <c r="G107" s="259"/>
      <c r="H107" s="27"/>
      <c r="I107" s="222"/>
      <c r="J107" s="4"/>
      <c r="K107" s="215"/>
      <c r="L107" s="4"/>
      <c r="M107" s="4"/>
      <c r="N107" s="4"/>
      <c r="O107" s="186">
        <f>IF(O106+1&lt;=MIN('Données projet'!$E$9:$E$18),O106+1,"STOP")</f>
        <v>74</v>
      </c>
      <c r="P107" s="250">
        <f t="shared" si="4"/>
        <v>7.698825969</v>
      </c>
      <c r="Q107" s="216"/>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row>
    <row r="108" ht="15.75" customHeight="1">
      <c r="A108" s="4"/>
      <c r="B108" s="4"/>
      <c r="C108" s="4"/>
      <c r="D108" s="4"/>
      <c r="E108" s="4"/>
      <c r="F108" s="216"/>
      <c r="G108" s="259"/>
      <c r="H108" s="27"/>
      <c r="I108" s="222"/>
      <c r="J108" s="4"/>
      <c r="K108" s="215"/>
      <c r="L108" s="4"/>
      <c r="M108" s="4"/>
      <c r="N108" s="4"/>
      <c r="O108" s="186">
        <f>IF(O107+1&lt;=MIN('Données projet'!$E$9:$E$18),O107+1,"STOP")</f>
        <v>75</v>
      </c>
      <c r="P108" s="250">
        <f t="shared" si="4"/>
        <v>7.367297578</v>
      </c>
      <c r="Q108" s="216"/>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row>
    <row r="109" ht="15.75" customHeight="1">
      <c r="A109" s="33" t="s">
        <v>52</v>
      </c>
      <c r="B109" s="57" t="s">
        <v>331</v>
      </c>
      <c r="C109" s="57" t="s">
        <v>332</v>
      </c>
      <c r="D109" s="33" t="s">
        <v>333</v>
      </c>
      <c r="E109" s="33" t="s">
        <v>334</v>
      </c>
      <c r="F109" s="255"/>
      <c r="G109" s="259"/>
      <c r="H109" s="27"/>
      <c r="I109" s="222"/>
      <c r="J109" s="4"/>
      <c r="K109" s="215"/>
      <c r="L109" s="4"/>
      <c r="M109" s="4"/>
      <c r="N109" s="4"/>
      <c r="O109" s="186">
        <f>IF(O108+1&lt;=MIN('Données projet'!$E$9:$E$18),O108+1,"STOP")</f>
        <v>76</v>
      </c>
      <c r="P109" s="250">
        <f t="shared" si="4"/>
        <v>7.050045529</v>
      </c>
      <c r="Q109" s="216"/>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row>
    <row r="110" ht="15.75" customHeight="1">
      <c r="A110" s="43">
        <v>0.0</v>
      </c>
      <c r="B110" s="224" t="s">
        <v>231</v>
      </c>
      <c r="C110" s="225" t="s">
        <v>231</v>
      </c>
      <c r="D110" s="226" t="s">
        <v>231</v>
      </c>
      <c r="E110" s="227"/>
      <c r="F110" s="255"/>
      <c r="G110" s="259"/>
      <c r="H110" s="27"/>
      <c r="I110" s="222"/>
      <c r="J110" s="4"/>
      <c r="K110" s="215"/>
      <c r="L110" s="4"/>
      <c r="M110" s="4"/>
      <c r="N110" s="4"/>
      <c r="O110" s="186">
        <f>IF(O109+1&lt;=MIN('Données projet'!$E$9:$E$18),O109+1,"STOP")</f>
        <v>77</v>
      </c>
      <c r="P110" s="250">
        <f t="shared" si="4"/>
        <v>6.746455052</v>
      </c>
      <c r="Q110" s="216"/>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row>
    <row r="111" ht="15.75" customHeight="1">
      <c r="A111" s="43">
        <v>1.0</v>
      </c>
      <c r="B111" s="224" t="s">
        <v>231</v>
      </c>
      <c r="C111" s="225" t="s">
        <v>231</v>
      </c>
      <c r="D111" s="226" t="s">
        <v>231</v>
      </c>
      <c r="E111" s="227"/>
      <c r="F111" s="255"/>
      <c r="G111" s="4"/>
      <c r="H111" s="27"/>
      <c r="I111" s="222"/>
      <c r="J111" s="4"/>
      <c r="K111" s="215"/>
      <c r="L111" s="4"/>
      <c r="M111" s="4"/>
      <c r="N111" s="4"/>
      <c r="O111" s="186">
        <f>IF(O110+1&lt;=MIN('Données projet'!$E$9:$E$18),O110+1,"STOP")</f>
        <v>78</v>
      </c>
      <c r="P111" s="250">
        <f t="shared" si="4"/>
        <v>6.455937849</v>
      </c>
      <c r="Q111" s="216"/>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row>
    <row r="112" ht="15.75" customHeight="1">
      <c r="A112" s="43">
        <v>2.0</v>
      </c>
      <c r="B112" s="224" t="s">
        <v>231</v>
      </c>
      <c r="C112" s="225" t="s">
        <v>231</v>
      </c>
      <c r="D112" s="226" t="s">
        <v>231</v>
      </c>
      <c r="E112" s="227"/>
      <c r="F112" s="255"/>
      <c r="G112" s="4"/>
      <c r="H112" s="27"/>
      <c r="I112" s="222"/>
      <c r="J112" s="4"/>
      <c r="K112" s="215"/>
      <c r="L112" s="4"/>
      <c r="M112" s="4"/>
      <c r="N112" s="4"/>
      <c r="O112" s="186">
        <f>IF(O111+1&lt;=MIN('Données projet'!$E$9:$E$18),O111+1,"STOP")</f>
        <v>79</v>
      </c>
      <c r="P112" s="250">
        <f t="shared" si="4"/>
        <v>6.177930956</v>
      </c>
      <c r="Q112" s="216"/>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row>
    <row r="113" ht="15.75" customHeight="1">
      <c r="A113" s="43">
        <v>3.0</v>
      </c>
      <c r="B113" s="224" t="s">
        <v>231</v>
      </c>
      <c r="C113" s="225" t="s">
        <v>231</v>
      </c>
      <c r="D113" s="226" t="s">
        <v>231</v>
      </c>
      <c r="E113" s="227"/>
      <c r="F113" s="255"/>
      <c r="G113" s="4"/>
      <c r="H113" s="27"/>
      <c r="I113" s="222"/>
      <c r="J113" s="4"/>
      <c r="K113" s="215"/>
      <c r="L113" s="4"/>
      <c r="M113" s="4"/>
      <c r="N113" s="4"/>
      <c r="O113" s="186">
        <f>IF(O112+1&lt;=MIN('Données projet'!$E$9:$E$18),O112+1,"STOP")</f>
        <v>80</v>
      </c>
      <c r="P113" s="250">
        <f t="shared" si="4"/>
        <v>5.911895652</v>
      </c>
      <c r="Q113" s="216"/>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row>
    <row r="114" ht="15.75" customHeight="1">
      <c r="A114" s="43">
        <v>4.0</v>
      </c>
      <c r="B114" s="224" t="s">
        <v>231</v>
      </c>
      <c r="C114" s="225" t="s">
        <v>231</v>
      </c>
      <c r="D114" s="226" t="s">
        <v>231</v>
      </c>
      <c r="E114" s="227"/>
      <c r="F114" s="255"/>
      <c r="G114" s="4"/>
      <c r="H114" s="27"/>
      <c r="I114" s="222"/>
      <c r="J114" s="4"/>
      <c r="K114" s="215"/>
      <c r="L114" s="4"/>
      <c r="M114" s="4"/>
      <c r="N114" s="4"/>
      <c r="O114" s="186" t="str">
        <f>IF(O113+1&lt;=MIN('Données projet'!$E$9:$E$18),O113+1,"STOP")</f>
        <v>STOP</v>
      </c>
      <c r="P114" s="250" t="str">
        <f t="shared" si="4"/>
        <v>#VALUE!</v>
      </c>
      <c r="Q114" s="216"/>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row>
    <row r="115" ht="16.5" customHeight="1">
      <c r="A115" s="43">
        <v>5.0</v>
      </c>
      <c r="B115" s="224" t="s">
        <v>231</v>
      </c>
      <c r="C115" s="225" t="s">
        <v>231</v>
      </c>
      <c r="D115" s="226" t="s">
        <v>231</v>
      </c>
      <c r="E115" s="227"/>
      <c r="F115" s="255"/>
      <c r="G115" s="19"/>
      <c r="H115" s="27"/>
      <c r="I115" s="222"/>
      <c r="J115" s="4"/>
      <c r="K115" s="215"/>
      <c r="L115" s="4"/>
      <c r="M115" s="4"/>
      <c r="N115" s="4"/>
      <c r="O115" s="186" t="str">
        <f>IF(O114+1&lt;=MIN('Données projet'!$E$9:$E$18),O114+1,"STOP")</f>
        <v>#VALUE!</v>
      </c>
      <c r="P115" s="250" t="str">
        <f t="shared" si="4"/>
        <v>#VALUE!</v>
      </c>
      <c r="Q115" s="216"/>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row>
    <row r="116" ht="16.5" customHeight="1">
      <c r="A116" s="231" t="str">
        <f>'Données projet'!A114</f>
        <v/>
      </c>
      <c r="B116" s="231" t="str">
        <f>'Données projet'!D114</f>
        <v/>
      </c>
      <c r="C116" s="222"/>
      <c r="D116" s="230">
        <f t="shared" ref="D116:D135" si="9">B116*C116</f>
        <v>0</v>
      </c>
      <c r="E116" s="227"/>
      <c r="F116" s="258"/>
      <c r="G116" s="19"/>
      <c r="H116" s="27"/>
      <c r="I116" s="222"/>
      <c r="J116" s="4"/>
      <c r="K116" s="215"/>
      <c r="L116" s="4"/>
      <c r="M116" s="4"/>
      <c r="N116" s="4"/>
      <c r="O116" s="186" t="str">
        <f>IF(O115+1&lt;=MIN('Données projet'!$E$9:$E$18),O115+1,"STOP")</f>
        <v>#VALUE!</v>
      </c>
      <c r="P116" s="250" t="str">
        <f t="shared" si="4"/>
        <v>#VALUE!</v>
      </c>
      <c r="Q116" s="216"/>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row>
    <row r="117" ht="16.5" customHeight="1">
      <c r="A117" s="231" t="str">
        <f>'Données projet'!A115</f>
        <v/>
      </c>
      <c r="B117" s="231" t="str">
        <f>'Données projet'!D115</f>
        <v/>
      </c>
      <c r="C117" s="222"/>
      <c r="D117" s="230">
        <f t="shared" si="9"/>
        <v>0</v>
      </c>
      <c r="E117" s="227"/>
      <c r="F117" s="258"/>
      <c r="G117" s="19"/>
      <c r="H117" s="27"/>
      <c r="I117" s="222"/>
      <c r="J117" s="4"/>
      <c r="K117" s="215"/>
      <c r="L117" s="4"/>
      <c r="M117" s="4"/>
      <c r="N117" s="4"/>
      <c r="O117" s="186" t="str">
        <f>IF(O116+1&lt;=MIN('Données projet'!$E$9:$E$18),O116+1,"STOP")</f>
        <v>#VALUE!</v>
      </c>
      <c r="P117" s="250" t="str">
        <f t="shared" si="4"/>
        <v>#VALUE!</v>
      </c>
      <c r="Q117" s="216"/>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row>
    <row r="118" ht="16.5" customHeight="1">
      <c r="A118" s="231" t="str">
        <f>'Données projet'!A116</f>
        <v/>
      </c>
      <c r="B118" s="231" t="str">
        <f>'Données projet'!D116</f>
        <v/>
      </c>
      <c r="C118" s="222"/>
      <c r="D118" s="230">
        <f t="shared" si="9"/>
        <v>0</v>
      </c>
      <c r="E118" s="227"/>
      <c r="F118" s="258"/>
      <c r="G118" s="19"/>
      <c r="H118" s="27"/>
      <c r="I118" s="222"/>
      <c r="J118" s="4"/>
      <c r="K118" s="215"/>
      <c r="L118" s="4"/>
      <c r="M118" s="4"/>
      <c r="N118" s="4"/>
      <c r="O118" s="186" t="str">
        <f>IF(O117+1&lt;=MIN('Données projet'!$E$9:$E$18),O117+1,"STOP")</f>
        <v>#VALUE!</v>
      </c>
      <c r="P118" s="250" t="str">
        <f t="shared" si="4"/>
        <v>#VALUE!</v>
      </c>
      <c r="Q118" s="216"/>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row>
    <row r="119" ht="16.5" customHeight="1">
      <c r="A119" s="231" t="str">
        <f>'Données projet'!A117</f>
        <v/>
      </c>
      <c r="B119" s="231" t="str">
        <f>'Données projet'!D117</f>
        <v/>
      </c>
      <c r="C119" s="222"/>
      <c r="D119" s="230">
        <f t="shared" si="9"/>
        <v>0</v>
      </c>
      <c r="E119" s="227"/>
      <c r="F119" s="258"/>
      <c r="G119" s="19"/>
      <c r="H119" s="27"/>
      <c r="I119" s="222"/>
      <c r="J119" s="4"/>
      <c r="K119" s="215"/>
      <c r="L119" s="4"/>
      <c r="M119" s="4"/>
      <c r="N119" s="4"/>
      <c r="O119" s="186" t="str">
        <f>IF(O118+1&lt;=MIN('Données projet'!$E$9:$E$18),O118+1,"STOP")</f>
        <v>#VALUE!</v>
      </c>
      <c r="P119" s="250" t="str">
        <f t="shared" si="4"/>
        <v>#VALUE!</v>
      </c>
      <c r="Q119" s="216"/>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row>
    <row r="120" ht="16.5" customHeight="1">
      <c r="A120" s="231" t="str">
        <f>'Données projet'!A118</f>
        <v/>
      </c>
      <c r="B120" s="231" t="str">
        <f>'Données projet'!D118</f>
        <v/>
      </c>
      <c r="C120" s="222"/>
      <c r="D120" s="230">
        <f t="shared" si="9"/>
        <v>0</v>
      </c>
      <c r="E120" s="227"/>
      <c r="F120" s="258"/>
      <c r="G120" s="19"/>
      <c r="H120" s="27"/>
      <c r="I120" s="222"/>
      <c r="J120" s="4"/>
      <c r="K120" s="215"/>
      <c r="L120" s="4"/>
      <c r="M120" s="4"/>
      <c r="N120" s="4"/>
      <c r="O120" s="186" t="str">
        <f>IF(O119+1&lt;=MIN('Données projet'!$E$9:$E$18),O119+1,"STOP")</f>
        <v>#VALUE!</v>
      </c>
      <c r="P120" s="250" t="str">
        <f t="shared" si="4"/>
        <v>#VALUE!</v>
      </c>
      <c r="Q120" s="216"/>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row>
    <row r="121" ht="16.5" customHeight="1">
      <c r="A121" s="231" t="str">
        <f>'Données projet'!A119</f>
        <v/>
      </c>
      <c r="B121" s="231" t="str">
        <f>'Données projet'!D119</f>
        <v/>
      </c>
      <c r="C121" s="222"/>
      <c r="D121" s="230">
        <f t="shared" si="9"/>
        <v>0</v>
      </c>
      <c r="E121" s="227"/>
      <c r="F121" s="258"/>
      <c r="G121" s="19"/>
      <c r="H121" s="27"/>
      <c r="I121" s="222"/>
      <c r="J121" s="4"/>
      <c r="K121" s="215"/>
      <c r="L121" s="4"/>
      <c r="M121" s="4"/>
      <c r="N121" s="4"/>
      <c r="O121" s="186" t="str">
        <f>IF(O120+1&lt;=MIN('Données projet'!$E$9:$E$18),O120+1,"STOP")</f>
        <v>#VALUE!</v>
      </c>
      <c r="P121" s="250" t="str">
        <f t="shared" si="4"/>
        <v>#VALUE!</v>
      </c>
      <c r="Q121" s="216"/>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row>
    <row r="122" ht="15.75" customHeight="1">
      <c r="A122" s="231" t="str">
        <f>'Données projet'!A120</f>
        <v/>
      </c>
      <c r="B122" s="231" t="str">
        <f>'Données projet'!D120</f>
        <v/>
      </c>
      <c r="C122" s="222"/>
      <c r="D122" s="230">
        <f t="shared" si="9"/>
        <v>0</v>
      </c>
      <c r="E122" s="227"/>
      <c r="F122" s="258"/>
      <c r="G122" s="259"/>
      <c r="H122" s="27"/>
      <c r="I122" s="222"/>
      <c r="J122" s="4"/>
      <c r="K122" s="215"/>
      <c r="L122" s="4"/>
      <c r="M122" s="4"/>
      <c r="N122" s="4"/>
      <c r="O122" s="186" t="str">
        <f>IF(O121+1&lt;=MIN('Données projet'!$E$9:$E$18),O121+1,"STOP")</f>
        <v>#VALUE!</v>
      </c>
      <c r="P122" s="250" t="str">
        <f t="shared" si="4"/>
        <v>#VALUE!</v>
      </c>
      <c r="Q122" s="216"/>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row>
    <row r="123" ht="15.75" customHeight="1">
      <c r="A123" s="231" t="str">
        <f>'Données projet'!A121</f>
        <v/>
      </c>
      <c r="B123" s="231" t="str">
        <f>'Données projet'!D121</f>
        <v/>
      </c>
      <c r="C123" s="222"/>
      <c r="D123" s="230">
        <f t="shared" si="9"/>
        <v>0</v>
      </c>
      <c r="E123" s="227"/>
      <c r="F123" s="258"/>
      <c r="G123" s="259"/>
      <c r="H123" s="27"/>
      <c r="I123" s="222"/>
      <c r="J123" s="4"/>
      <c r="K123" s="215"/>
      <c r="L123" s="4"/>
      <c r="M123" s="4"/>
      <c r="N123" s="4"/>
      <c r="O123" s="186" t="str">
        <f>IF(O122+1&lt;=MIN('Données projet'!$E$9:$E$18),O122+1,"STOP")</f>
        <v>#VALUE!</v>
      </c>
      <c r="P123" s="250" t="str">
        <f t="shared" si="4"/>
        <v>#VALUE!</v>
      </c>
      <c r="Q123" s="216"/>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row>
    <row r="124" ht="15.75" customHeight="1">
      <c r="A124" s="231" t="str">
        <f>'Données projet'!A122</f>
        <v/>
      </c>
      <c r="B124" s="231" t="str">
        <f>'Données projet'!D122</f>
        <v/>
      </c>
      <c r="C124" s="222"/>
      <c r="D124" s="230">
        <f t="shared" si="9"/>
        <v>0</v>
      </c>
      <c r="E124" s="227"/>
      <c r="F124" s="258"/>
      <c r="G124" s="259"/>
      <c r="H124" s="27"/>
      <c r="I124" s="222"/>
      <c r="J124" s="4"/>
      <c r="K124" s="215"/>
      <c r="L124" s="4"/>
      <c r="M124" s="4"/>
      <c r="N124" s="4"/>
      <c r="O124" s="186" t="str">
        <f>IF(O123+1&lt;=MIN('Données projet'!$E$9:$E$18),O123+1,"STOP")</f>
        <v>#VALUE!</v>
      </c>
      <c r="P124" s="250" t="str">
        <f t="shared" si="4"/>
        <v>#VALUE!</v>
      </c>
      <c r="Q124" s="216"/>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row>
    <row r="125" ht="15.75" customHeight="1">
      <c r="A125" s="231" t="str">
        <f>'Données projet'!A123</f>
        <v/>
      </c>
      <c r="B125" s="231" t="str">
        <f>'Données projet'!D123</f>
        <v/>
      </c>
      <c r="C125" s="222"/>
      <c r="D125" s="230">
        <f t="shared" si="9"/>
        <v>0</v>
      </c>
      <c r="E125" s="227"/>
      <c r="F125" s="258"/>
      <c r="G125" s="259"/>
      <c r="H125" s="27"/>
      <c r="I125" s="222"/>
      <c r="J125" s="4"/>
      <c r="K125" s="215"/>
      <c r="L125" s="4"/>
      <c r="M125" s="4"/>
      <c r="N125" s="4"/>
      <c r="O125" s="186" t="str">
        <f>IF(O124+1&lt;=MIN('Données projet'!$E$9:$E$18),O124+1,"STOP")</f>
        <v>#VALUE!</v>
      </c>
      <c r="P125" s="250" t="str">
        <f t="shared" si="4"/>
        <v>#VALUE!</v>
      </c>
      <c r="Q125" s="216"/>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row>
    <row r="126" ht="15.75" customHeight="1">
      <c r="A126" s="231" t="str">
        <f>'Données projet'!A124</f>
        <v/>
      </c>
      <c r="B126" s="231" t="str">
        <f>'Données projet'!D124</f>
        <v/>
      </c>
      <c r="C126" s="222"/>
      <c r="D126" s="230">
        <f t="shared" si="9"/>
        <v>0</v>
      </c>
      <c r="E126" s="227"/>
      <c r="F126" s="258"/>
      <c r="G126" s="259"/>
      <c r="H126" s="27"/>
      <c r="I126" s="222"/>
      <c r="J126" s="4"/>
      <c r="K126" s="215"/>
      <c r="L126" s="4"/>
      <c r="M126" s="4"/>
      <c r="N126" s="4"/>
      <c r="O126" s="186" t="str">
        <f>IF(O125+1&lt;=MIN('Données projet'!$E$9:$E$18),O125+1,"STOP")</f>
        <v>#VALUE!</v>
      </c>
      <c r="P126" s="250" t="str">
        <f t="shared" si="4"/>
        <v>#VALUE!</v>
      </c>
      <c r="Q126" s="216"/>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row>
    <row r="127" ht="15.75" customHeight="1">
      <c r="A127" s="231" t="str">
        <f>'Données projet'!A125</f>
        <v/>
      </c>
      <c r="B127" s="231" t="str">
        <f>'Données projet'!D125</f>
        <v/>
      </c>
      <c r="C127" s="222"/>
      <c r="D127" s="230">
        <f t="shared" si="9"/>
        <v>0</v>
      </c>
      <c r="E127" s="227"/>
      <c r="F127" s="258"/>
      <c r="G127" s="259"/>
      <c r="H127" s="27"/>
      <c r="I127" s="222"/>
      <c r="J127" s="4"/>
      <c r="K127" s="215"/>
      <c r="L127" s="4"/>
      <c r="M127" s="4"/>
      <c r="N127" s="4"/>
      <c r="O127" s="186" t="str">
        <f>IF(O126+1&lt;=MIN('Données projet'!$E$9:$E$18),O126+1,"STOP")</f>
        <v>#VALUE!</v>
      </c>
      <c r="P127" s="250" t="str">
        <f t="shared" si="4"/>
        <v>#VALUE!</v>
      </c>
      <c r="Q127" s="216"/>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row>
    <row r="128" ht="15.75" customHeight="1">
      <c r="A128" s="231" t="str">
        <f>'Données projet'!A126</f>
        <v/>
      </c>
      <c r="B128" s="231" t="str">
        <f>'Données projet'!D126</f>
        <v/>
      </c>
      <c r="C128" s="222"/>
      <c r="D128" s="230">
        <f t="shared" si="9"/>
        <v>0</v>
      </c>
      <c r="E128" s="227"/>
      <c r="F128" s="258"/>
      <c r="G128" s="259"/>
      <c r="H128" s="27"/>
      <c r="I128" s="222"/>
      <c r="J128" s="4"/>
      <c r="K128" s="215"/>
      <c r="L128" s="4"/>
      <c r="M128" s="4"/>
      <c r="N128" s="4"/>
      <c r="O128" s="186" t="str">
        <f>IF(O127+1&lt;=MIN('Données projet'!$E$9:$E$18),O127+1,"STOP")</f>
        <v>#VALUE!</v>
      </c>
      <c r="P128" s="250" t="str">
        <f t="shared" si="4"/>
        <v>#VALUE!</v>
      </c>
      <c r="Q128" s="216"/>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row>
    <row r="129" ht="15.75" customHeight="1">
      <c r="A129" s="231" t="str">
        <f>'Données projet'!A127</f>
        <v/>
      </c>
      <c r="B129" s="231" t="str">
        <f>'Données projet'!D127</f>
        <v/>
      </c>
      <c r="C129" s="222"/>
      <c r="D129" s="230">
        <f t="shared" si="9"/>
        <v>0</v>
      </c>
      <c r="E129" s="227"/>
      <c r="F129" s="258"/>
      <c r="G129" s="259"/>
      <c r="H129" s="27"/>
      <c r="I129" s="222"/>
      <c r="J129" s="4"/>
      <c r="K129" s="215"/>
      <c r="L129" s="4"/>
      <c r="M129" s="4"/>
      <c r="N129" s="4"/>
      <c r="O129" s="186" t="str">
        <f>IF(O128+1&lt;=MIN('Données projet'!$E$9:$E$18),O128+1,"STOP")</f>
        <v>#VALUE!</v>
      </c>
      <c r="P129" s="250" t="str">
        <f t="shared" si="4"/>
        <v>#VALUE!</v>
      </c>
      <c r="Q129" s="216"/>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row>
    <row r="130" ht="15.75" customHeight="1">
      <c r="A130" s="231" t="str">
        <f>'Données projet'!A128</f>
        <v/>
      </c>
      <c r="B130" s="231" t="str">
        <f>'Données projet'!D128</f>
        <v/>
      </c>
      <c r="C130" s="222"/>
      <c r="D130" s="230">
        <f t="shared" si="9"/>
        <v>0</v>
      </c>
      <c r="E130" s="227"/>
      <c r="F130" s="258"/>
      <c r="G130" s="259"/>
      <c r="H130" s="27"/>
      <c r="I130" s="222"/>
      <c r="J130" s="4"/>
      <c r="K130" s="215"/>
      <c r="L130" s="4"/>
      <c r="M130" s="4"/>
      <c r="N130" s="4"/>
      <c r="O130" s="186" t="str">
        <f>IF(O129+1&lt;=MIN('Données projet'!$E$9:$E$18),O129+1,"STOP")</f>
        <v>#VALUE!</v>
      </c>
      <c r="P130" s="250" t="str">
        <f t="shared" si="4"/>
        <v>#VALUE!</v>
      </c>
      <c r="Q130" s="216"/>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row>
    <row r="131" ht="15.75" customHeight="1">
      <c r="A131" s="231" t="str">
        <f>'Données projet'!A129</f>
        <v/>
      </c>
      <c r="B131" s="231" t="str">
        <f>'Données projet'!D129</f>
        <v/>
      </c>
      <c r="C131" s="222"/>
      <c r="D131" s="230">
        <f t="shared" si="9"/>
        <v>0</v>
      </c>
      <c r="E131" s="227"/>
      <c r="F131" s="258"/>
      <c r="G131" s="259"/>
      <c r="H131" s="27"/>
      <c r="I131" s="222"/>
      <c r="J131" s="4"/>
      <c r="K131" s="215"/>
      <c r="L131" s="4"/>
      <c r="M131" s="4"/>
      <c r="N131" s="4"/>
      <c r="O131" s="186" t="str">
        <f>IF(O130+1&lt;=MIN('Données projet'!$E$9:$E$18),O130+1,"STOP")</f>
        <v>#VALUE!</v>
      </c>
      <c r="P131" s="250" t="str">
        <f t="shared" si="4"/>
        <v>#VALUE!</v>
      </c>
      <c r="Q131" s="216"/>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row>
    <row r="132" ht="15.75" customHeight="1">
      <c r="A132" s="231" t="str">
        <f>'Données projet'!A130</f>
        <v/>
      </c>
      <c r="B132" s="231" t="str">
        <f>'Données projet'!D130</f>
        <v/>
      </c>
      <c r="C132" s="222"/>
      <c r="D132" s="230">
        <f t="shared" si="9"/>
        <v>0</v>
      </c>
      <c r="E132" s="227"/>
      <c r="F132" s="258"/>
      <c r="G132" s="259"/>
      <c r="H132" s="27"/>
      <c r="I132" s="222"/>
      <c r="J132" s="4"/>
      <c r="K132" s="215"/>
      <c r="L132" s="4"/>
      <c r="M132" s="4"/>
      <c r="N132" s="4"/>
      <c r="O132" s="186" t="str">
        <f>IF(O131+1&lt;=MIN('Données projet'!$E$9:$E$18),O131+1,"STOP")</f>
        <v>#VALUE!</v>
      </c>
      <c r="P132" s="250" t="str">
        <f t="shared" si="4"/>
        <v>#VALUE!</v>
      </c>
      <c r="Q132" s="216"/>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row>
    <row r="133" ht="15.75" customHeight="1">
      <c r="A133" s="231" t="str">
        <f>'Données projet'!A131</f>
        <v/>
      </c>
      <c r="B133" s="231" t="str">
        <f>'Données projet'!D131</f>
        <v/>
      </c>
      <c r="C133" s="222"/>
      <c r="D133" s="230">
        <f t="shared" si="9"/>
        <v>0</v>
      </c>
      <c r="E133" s="227"/>
      <c r="F133" s="258"/>
      <c r="G133" s="259"/>
      <c r="H133" s="27"/>
      <c r="I133" s="222"/>
      <c r="J133" s="4"/>
      <c r="K133" s="215"/>
      <c r="L133" s="4"/>
      <c r="M133" s="4"/>
      <c r="N133" s="4"/>
      <c r="O133" s="4"/>
      <c r="P133" s="4"/>
      <c r="Q133" s="216"/>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row>
    <row r="134" ht="15.75" customHeight="1">
      <c r="A134" s="231" t="str">
        <f>'Données projet'!A132</f>
        <v/>
      </c>
      <c r="B134" s="231" t="str">
        <f>'Données projet'!D132</f>
        <v/>
      </c>
      <c r="C134" s="222"/>
      <c r="D134" s="230">
        <f t="shared" si="9"/>
        <v>0</v>
      </c>
      <c r="E134" s="227"/>
      <c r="F134" s="258"/>
      <c r="G134" s="259"/>
      <c r="H134" s="27"/>
      <c r="I134" s="222"/>
      <c r="J134" s="4"/>
      <c r="K134" s="215"/>
      <c r="L134" s="4"/>
      <c r="M134" s="4"/>
      <c r="N134" s="4"/>
      <c r="O134" s="4"/>
      <c r="P134" s="4"/>
      <c r="Q134" s="216"/>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row>
    <row r="135" ht="15.75" customHeight="1">
      <c r="A135" s="231" t="str">
        <f>'Données projet'!A133</f>
        <v/>
      </c>
      <c r="B135" s="231" t="str">
        <f>'Données projet'!D133</f>
        <v/>
      </c>
      <c r="C135" s="222"/>
      <c r="D135" s="230">
        <f t="shared" si="9"/>
        <v>0</v>
      </c>
      <c r="E135" s="227"/>
      <c r="F135" s="258"/>
      <c r="G135" s="259"/>
      <c r="H135" s="27"/>
      <c r="I135" s="222"/>
      <c r="J135" s="4"/>
      <c r="K135" s="215"/>
      <c r="L135" s="4"/>
      <c r="M135" s="4"/>
      <c r="N135" s="4"/>
      <c r="O135" s="4"/>
      <c r="P135" s="4"/>
      <c r="Q135" s="216"/>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row>
    <row r="136" ht="15.75" customHeight="1">
      <c r="A136" s="4"/>
      <c r="B136" s="4"/>
      <c r="C136" s="4"/>
      <c r="D136" s="4"/>
      <c r="E136" s="4"/>
      <c r="F136" s="216"/>
      <c r="G136" s="259"/>
      <c r="H136" s="27"/>
      <c r="I136" s="222"/>
      <c r="J136" s="4"/>
      <c r="K136" s="215"/>
      <c r="L136" s="4"/>
      <c r="M136" s="4"/>
      <c r="N136" s="4"/>
      <c r="O136" s="4"/>
      <c r="P136" s="4"/>
      <c r="Q136" s="216"/>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row>
    <row r="137" ht="15.75" customHeight="1">
      <c r="A137" s="4"/>
      <c r="B137" s="4"/>
      <c r="C137" s="4"/>
      <c r="D137" s="4"/>
      <c r="E137" s="4"/>
      <c r="F137" s="216"/>
      <c r="G137" s="259"/>
      <c r="H137" s="27"/>
      <c r="I137" s="222"/>
      <c r="J137" s="4"/>
      <c r="K137" s="215"/>
      <c r="L137" s="4"/>
      <c r="M137" s="4"/>
      <c r="N137" s="4"/>
      <c r="O137" s="4"/>
      <c r="P137" s="4"/>
      <c r="Q137" s="216"/>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row>
    <row r="138" ht="15.75" customHeight="1">
      <c r="A138" s="49" t="s">
        <v>24</v>
      </c>
      <c r="B138" s="220" t="str">
        <f>IF('Données projet'!B13="","",'Données projet'!B13)</f>
        <v/>
      </c>
      <c r="C138" s="4"/>
      <c r="D138" s="4"/>
      <c r="E138" s="4"/>
      <c r="F138" s="216"/>
      <c r="G138" s="259"/>
      <c r="H138" s="27"/>
      <c r="I138" s="222"/>
      <c r="J138" s="4"/>
      <c r="K138" s="215"/>
      <c r="L138" s="4"/>
      <c r="M138" s="4"/>
      <c r="N138" s="4"/>
      <c r="O138" s="4"/>
      <c r="P138" s="4"/>
      <c r="Q138" s="216"/>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row>
    <row r="139" ht="15.75" customHeight="1">
      <c r="A139" s="4"/>
      <c r="B139" s="4"/>
      <c r="C139" s="4"/>
      <c r="D139" s="4"/>
      <c r="E139" s="4"/>
      <c r="F139" s="216"/>
      <c r="G139" s="259"/>
      <c r="H139" s="27"/>
      <c r="I139" s="222"/>
      <c r="J139" s="4"/>
      <c r="K139" s="215"/>
      <c r="L139" s="4"/>
      <c r="M139" s="4"/>
      <c r="N139" s="4"/>
      <c r="O139" s="4"/>
      <c r="P139" s="4"/>
      <c r="Q139" s="216"/>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row>
    <row r="140" ht="15.75" customHeight="1">
      <c r="A140" s="33" t="s">
        <v>52</v>
      </c>
      <c r="B140" s="57" t="s">
        <v>331</v>
      </c>
      <c r="C140" s="57" t="s">
        <v>332</v>
      </c>
      <c r="D140" s="33" t="s">
        <v>333</v>
      </c>
      <c r="E140" s="33" t="s">
        <v>334</v>
      </c>
      <c r="F140" s="255"/>
      <c r="G140" s="259"/>
      <c r="H140" s="27"/>
      <c r="I140" s="222"/>
      <c r="J140" s="4"/>
      <c r="K140" s="215"/>
      <c r="L140" s="4"/>
      <c r="M140" s="4"/>
      <c r="N140" s="4"/>
      <c r="O140" s="4"/>
      <c r="P140" s="4"/>
      <c r="Q140" s="216"/>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row>
    <row r="141" ht="15.75" customHeight="1">
      <c r="A141" s="43">
        <v>0.0</v>
      </c>
      <c r="B141" s="224" t="s">
        <v>231</v>
      </c>
      <c r="C141" s="225" t="s">
        <v>231</v>
      </c>
      <c r="D141" s="226" t="s">
        <v>231</v>
      </c>
      <c r="E141" s="227"/>
      <c r="F141" s="255"/>
      <c r="G141" s="259"/>
      <c r="H141" s="27"/>
      <c r="I141" s="222"/>
      <c r="J141" s="4"/>
      <c r="K141" s="215"/>
      <c r="L141" s="4"/>
      <c r="M141" s="4"/>
      <c r="N141" s="4"/>
      <c r="O141" s="4"/>
      <c r="P141" s="4"/>
      <c r="Q141" s="216"/>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row>
    <row r="142" ht="15.75" customHeight="1">
      <c r="A142" s="43">
        <v>1.0</v>
      </c>
      <c r="B142" s="224" t="s">
        <v>231</v>
      </c>
      <c r="C142" s="225" t="s">
        <v>231</v>
      </c>
      <c r="D142" s="226" t="s">
        <v>231</v>
      </c>
      <c r="E142" s="227"/>
      <c r="F142" s="255"/>
      <c r="G142" s="4"/>
      <c r="H142" s="27"/>
      <c r="I142" s="222"/>
      <c r="J142" s="4"/>
      <c r="K142" s="215"/>
      <c r="L142" s="4"/>
      <c r="M142" s="4"/>
      <c r="N142" s="4"/>
      <c r="O142" s="4"/>
      <c r="P142" s="4"/>
      <c r="Q142" s="216"/>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row>
    <row r="143" ht="15.75" customHeight="1">
      <c r="A143" s="43">
        <v>2.0</v>
      </c>
      <c r="B143" s="224" t="s">
        <v>231</v>
      </c>
      <c r="C143" s="225" t="s">
        <v>231</v>
      </c>
      <c r="D143" s="226" t="s">
        <v>231</v>
      </c>
      <c r="E143" s="227"/>
      <c r="F143" s="255"/>
      <c r="G143" s="4"/>
      <c r="H143" s="27"/>
      <c r="I143" s="222"/>
      <c r="J143" s="4"/>
      <c r="K143" s="215"/>
      <c r="L143" s="4"/>
      <c r="M143" s="4"/>
      <c r="N143" s="4"/>
      <c r="O143" s="4"/>
      <c r="P143" s="4"/>
      <c r="Q143" s="216"/>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row>
    <row r="144" ht="15.75" customHeight="1">
      <c r="A144" s="43">
        <v>3.0</v>
      </c>
      <c r="B144" s="224" t="s">
        <v>231</v>
      </c>
      <c r="C144" s="225" t="s">
        <v>231</v>
      </c>
      <c r="D144" s="226" t="s">
        <v>231</v>
      </c>
      <c r="E144" s="227"/>
      <c r="F144" s="255"/>
      <c r="G144" s="4"/>
      <c r="H144" s="27"/>
      <c r="I144" s="222"/>
      <c r="J144" s="4"/>
      <c r="K144" s="215"/>
      <c r="L144" s="4"/>
      <c r="M144" s="4"/>
      <c r="N144" s="4"/>
      <c r="O144" s="4"/>
      <c r="P144" s="4"/>
      <c r="Q144" s="216"/>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row>
    <row r="145" ht="15.75" customHeight="1">
      <c r="A145" s="43">
        <v>4.0</v>
      </c>
      <c r="B145" s="224" t="s">
        <v>231</v>
      </c>
      <c r="C145" s="225" t="s">
        <v>231</v>
      </c>
      <c r="D145" s="226" t="s">
        <v>231</v>
      </c>
      <c r="E145" s="227"/>
      <c r="F145" s="255"/>
      <c r="G145" s="4"/>
      <c r="H145" s="27"/>
      <c r="I145" s="222"/>
      <c r="J145" s="4"/>
      <c r="K145" s="215"/>
      <c r="L145" s="4"/>
      <c r="M145" s="4"/>
      <c r="N145" s="4"/>
      <c r="O145" s="4"/>
      <c r="P145" s="4"/>
      <c r="Q145" s="216"/>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row>
    <row r="146" ht="15.75" customHeight="1">
      <c r="A146" s="43">
        <v>5.0</v>
      </c>
      <c r="B146" s="224" t="s">
        <v>231</v>
      </c>
      <c r="C146" s="225" t="s">
        <v>231</v>
      </c>
      <c r="D146" s="226" t="s">
        <v>231</v>
      </c>
      <c r="E146" s="227"/>
      <c r="F146" s="255"/>
      <c r="G146" s="19"/>
      <c r="H146" s="27"/>
      <c r="I146" s="222"/>
      <c r="J146" s="4"/>
      <c r="K146" s="215"/>
      <c r="L146" s="4"/>
      <c r="M146" s="4"/>
      <c r="N146" s="4"/>
      <c r="O146" s="4"/>
      <c r="P146" s="4"/>
      <c r="Q146" s="216"/>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row>
    <row r="147" ht="15.75" customHeight="1">
      <c r="A147" s="43" t="str">
        <f>'Données projet'!A140</f>
        <v/>
      </c>
      <c r="B147" s="228" t="str">
        <f>'Données projet'!D140</f>
        <v/>
      </c>
      <c r="C147" s="222"/>
      <c r="D147" s="233">
        <f t="shared" ref="D147:D166" si="10">B147*C147</f>
        <v>0</v>
      </c>
      <c r="E147" s="227"/>
      <c r="F147" s="236"/>
      <c r="G147" s="19"/>
      <c r="H147" s="27"/>
      <c r="I147" s="222"/>
      <c r="J147" s="4"/>
      <c r="K147" s="215"/>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row>
    <row r="148" ht="15.75" customHeight="1">
      <c r="A148" s="43" t="str">
        <f>'Données projet'!A141</f>
        <v/>
      </c>
      <c r="B148" s="228" t="str">
        <f>'Données projet'!D141</f>
        <v/>
      </c>
      <c r="C148" s="222"/>
      <c r="D148" s="233">
        <f t="shared" si="10"/>
        <v>0</v>
      </c>
      <c r="E148" s="227"/>
      <c r="F148" s="236"/>
      <c r="G148" s="19"/>
      <c r="H148" s="27"/>
      <c r="I148" s="222"/>
      <c r="J148" s="4"/>
      <c r="K148" s="215"/>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row>
    <row r="149" ht="15.75" customHeight="1">
      <c r="A149" s="43" t="str">
        <f>'Données projet'!A142</f>
        <v/>
      </c>
      <c r="B149" s="228" t="str">
        <f>'Données projet'!D142</f>
        <v/>
      </c>
      <c r="C149" s="222"/>
      <c r="D149" s="233">
        <f t="shared" si="10"/>
        <v>0</v>
      </c>
      <c r="E149" s="227"/>
      <c r="F149" s="236"/>
      <c r="G149" s="19"/>
      <c r="H149" s="27"/>
      <c r="I149" s="222"/>
      <c r="J149" s="4"/>
      <c r="K149" s="215"/>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row>
    <row r="150" ht="15.75" customHeight="1">
      <c r="A150" s="43" t="str">
        <f>'Données projet'!A143</f>
        <v/>
      </c>
      <c r="B150" s="228" t="str">
        <f>'Données projet'!D143</f>
        <v/>
      </c>
      <c r="C150" s="222"/>
      <c r="D150" s="233">
        <f t="shared" si="10"/>
        <v>0</v>
      </c>
      <c r="E150" s="227"/>
      <c r="F150" s="236"/>
      <c r="G150" s="19"/>
      <c r="H150" s="27"/>
      <c r="I150" s="222"/>
      <c r="J150" s="4"/>
      <c r="K150" s="215"/>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row>
    <row r="151" ht="15.75" customHeight="1">
      <c r="A151" s="43" t="str">
        <f>'Données projet'!A144</f>
        <v/>
      </c>
      <c r="B151" s="228" t="str">
        <f>'Données projet'!D144</f>
        <v/>
      </c>
      <c r="C151" s="222"/>
      <c r="D151" s="233">
        <f t="shared" si="10"/>
        <v>0</v>
      </c>
      <c r="E151" s="227"/>
      <c r="F151" s="236"/>
      <c r="G151" s="19"/>
      <c r="H151" s="27"/>
      <c r="I151" s="222"/>
      <c r="J151" s="4"/>
      <c r="K151" s="215"/>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row>
    <row r="152" ht="15.75" customHeight="1">
      <c r="A152" s="43" t="str">
        <f>'Données projet'!A145</f>
        <v/>
      </c>
      <c r="B152" s="228" t="str">
        <f>'Données projet'!D145</f>
        <v/>
      </c>
      <c r="C152" s="222"/>
      <c r="D152" s="233">
        <f t="shared" si="10"/>
        <v>0</v>
      </c>
      <c r="E152" s="227"/>
      <c r="F152" s="236"/>
      <c r="G152" s="19"/>
      <c r="H152" s="27"/>
      <c r="I152" s="222"/>
      <c r="J152" s="4"/>
      <c r="K152" s="215"/>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row>
    <row r="153" ht="15.75" customHeight="1">
      <c r="A153" s="43" t="str">
        <f>'Données projet'!A146</f>
        <v/>
      </c>
      <c r="B153" s="228" t="str">
        <f>'Données projet'!D146</f>
        <v/>
      </c>
      <c r="C153" s="222"/>
      <c r="D153" s="233">
        <f t="shared" si="10"/>
        <v>0</v>
      </c>
      <c r="E153" s="227"/>
      <c r="F153" s="236"/>
      <c r="G153" s="247"/>
      <c r="H153" s="27"/>
      <c r="I153" s="222"/>
      <c r="J153" s="4"/>
      <c r="K153" s="215"/>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row>
    <row r="154" ht="15.75" customHeight="1">
      <c r="A154" s="43" t="str">
        <f>'Données projet'!A147</f>
        <v/>
      </c>
      <c r="B154" s="228" t="str">
        <f>'Données projet'!D147</f>
        <v/>
      </c>
      <c r="C154" s="222"/>
      <c r="D154" s="233">
        <f t="shared" si="10"/>
        <v>0</v>
      </c>
      <c r="E154" s="227"/>
      <c r="F154" s="236"/>
      <c r="G154" s="247"/>
      <c r="H154" s="27"/>
      <c r="I154" s="222"/>
      <c r="J154" s="4"/>
      <c r="K154" s="215"/>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row>
    <row r="155" ht="15.75" customHeight="1">
      <c r="A155" s="43" t="str">
        <f>'Données projet'!A148</f>
        <v/>
      </c>
      <c r="B155" s="228" t="str">
        <f>'Données projet'!D148</f>
        <v/>
      </c>
      <c r="C155" s="222"/>
      <c r="D155" s="233">
        <f t="shared" si="10"/>
        <v>0</v>
      </c>
      <c r="E155" s="227"/>
      <c r="F155" s="236"/>
      <c r="G155" s="247"/>
      <c r="H155" s="27"/>
      <c r="I155" s="222"/>
      <c r="J155" s="4"/>
      <c r="K155" s="215"/>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row>
    <row r="156" ht="15.75" customHeight="1">
      <c r="A156" s="43" t="str">
        <f>'Données projet'!A149</f>
        <v/>
      </c>
      <c r="B156" s="228" t="str">
        <f>'Données projet'!D149</f>
        <v/>
      </c>
      <c r="C156" s="222"/>
      <c r="D156" s="233">
        <f t="shared" si="10"/>
        <v>0</v>
      </c>
      <c r="E156" s="227"/>
      <c r="F156" s="236"/>
      <c r="G156" s="247"/>
      <c r="H156" s="27"/>
      <c r="I156" s="222"/>
      <c r="J156" s="4"/>
      <c r="K156" s="215"/>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row>
    <row r="157" ht="15.75" customHeight="1">
      <c r="A157" s="43" t="str">
        <f>'Données projet'!A150</f>
        <v/>
      </c>
      <c r="B157" s="228" t="str">
        <f>'Données projet'!D150</f>
        <v/>
      </c>
      <c r="C157" s="222"/>
      <c r="D157" s="233">
        <f t="shared" si="10"/>
        <v>0</v>
      </c>
      <c r="E157" s="227"/>
      <c r="F157" s="236"/>
      <c r="G157" s="247"/>
      <c r="H157" s="27"/>
      <c r="I157" s="222"/>
      <c r="J157" s="4"/>
      <c r="K157" s="215"/>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row>
    <row r="158" ht="15.75" customHeight="1">
      <c r="A158" s="43" t="str">
        <f>'Données projet'!A151</f>
        <v/>
      </c>
      <c r="B158" s="228" t="str">
        <f>'Données projet'!D151</f>
        <v/>
      </c>
      <c r="C158" s="222"/>
      <c r="D158" s="233">
        <f t="shared" si="10"/>
        <v>0</v>
      </c>
      <c r="E158" s="227"/>
      <c r="F158" s="236"/>
      <c r="G158" s="247"/>
      <c r="H158" s="27"/>
      <c r="I158" s="222"/>
      <c r="J158" s="4"/>
      <c r="K158" s="215"/>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row>
    <row r="159" ht="15.75" customHeight="1">
      <c r="A159" s="43" t="str">
        <f>'Données projet'!A152</f>
        <v/>
      </c>
      <c r="B159" s="228" t="str">
        <f>'Données projet'!D152</f>
        <v/>
      </c>
      <c r="C159" s="222"/>
      <c r="D159" s="233">
        <f t="shared" si="10"/>
        <v>0</v>
      </c>
      <c r="E159" s="227"/>
      <c r="F159" s="236"/>
      <c r="G159" s="247"/>
      <c r="H159" s="27"/>
      <c r="I159" s="222"/>
      <c r="J159" s="4"/>
      <c r="K159" s="215"/>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row>
    <row r="160" ht="15.75" customHeight="1">
      <c r="A160" s="43" t="str">
        <f>'Données projet'!A153</f>
        <v/>
      </c>
      <c r="B160" s="228" t="str">
        <f>'Données projet'!D153</f>
        <v/>
      </c>
      <c r="C160" s="222"/>
      <c r="D160" s="233">
        <f t="shared" si="10"/>
        <v>0</v>
      </c>
      <c r="E160" s="227"/>
      <c r="F160" s="236"/>
      <c r="G160" s="247"/>
      <c r="H160" s="27"/>
      <c r="I160" s="222"/>
      <c r="J160" s="4"/>
      <c r="K160" s="215"/>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row>
    <row r="161" ht="15.75" customHeight="1">
      <c r="A161" s="43" t="str">
        <f>'Données projet'!A154</f>
        <v/>
      </c>
      <c r="B161" s="228" t="str">
        <f>'Données projet'!D154</f>
        <v/>
      </c>
      <c r="C161" s="222"/>
      <c r="D161" s="233">
        <f t="shared" si="10"/>
        <v>0</v>
      </c>
      <c r="E161" s="227"/>
      <c r="F161" s="236"/>
      <c r="G161" s="247"/>
      <c r="H161" s="27"/>
      <c r="I161" s="222"/>
      <c r="J161" s="4"/>
      <c r="K161" s="215"/>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row>
    <row r="162" ht="15.75" customHeight="1">
      <c r="A162" s="43" t="str">
        <f>'Données projet'!A155</f>
        <v/>
      </c>
      <c r="B162" s="228" t="str">
        <f>'Données projet'!D155</f>
        <v/>
      </c>
      <c r="C162" s="222"/>
      <c r="D162" s="233">
        <f t="shared" si="10"/>
        <v>0</v>
      </c>
      <c r="E162" s="227"/>
      <c r="F162" s="236"/>
      <c r="G162" s="247"/>
      <c r="H162" s="27"/>
      <c r="I162" s="222"/>
      <c r="J162" s="4"/>
      <c r="K162" s="215"/>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row>
    <row r="163" ht="15.75" customHeight="1">
      <c r="A163" s="43" t="str">
        <f>'Données projet'!A156</f>
        <v/>
      </c>
      <c r="B163" s="228" t="str">
        <f>'Données projet'!D156</f>
        <v/>
      </c>
      <c r="C163" s="222"/>
      <c r="D163" s="233">
        <f t="shared" si="10"/>
        <v>0</v>
      </c>
      <c r="E163" s="227"/>
      <c r="F163" s="236"/>
      <c r="G163" s="247"/>
      <c r="H163" s="27"/>
      <c r="I163" s="222"/>
      <c r="J163" s="4"/>
      <c r="K163" s="215"/>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row>
    <row r="164" ht="15.75" customHeight="1">
      <c r="A164" s="43" t="str">
        <f>'Données projet'!A157</f>
        <v/>
      </c>
      <c r="B164" s="228" t="str">
        <f>'Données projet'!D157</f>
        <v/>
      </c>
      <c r="C164" s="222"/>
      <c r="D164" s="233">
        <f t="shared" si="10"/>
        <v>0</v>
      </c>
      <c r="E164" s="227"/>
      <c r="F164" s="236"/>
      <c r="G164" s="247"/>
      <c r="H164" s="27"/>
      <c r="I164" s="222"/>
      <c r="J164" s="4"/>
      <c r="K164" s="215"/>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row>
    <row r="165" ht="15.75" customHeight="1">
      <c r="A165" s="43" t="str">
        <f>'Données projet'!A158</f>
        <v/>
      </c>
      <c r="B165" s="228" t="str">
        <f>'Données projet'!D158</f>
        <v/>
      </c>
      <c r="C165" s="222"/>
      <c r="D165" s="233">
        <f t="shared" si="10"/>
        <v>0</v>
      </c>
      <c r="E165" s="227"/>
      <c r="F165" s="236"/>
      <c r="G165" s="247"/>
      <c r="H165" s="27"/>
      <c r="I165" s="222"/>
      <c r="J165" s="4"/>
      <c r="K165" s="215"/>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row>
    <row r="166" ht="15.75" customHeight="1">
      <c r="A166" s="43" t="str">
        <f>'Données projet'!A159</f>
        <v/>
      </c>
      <c r="B166" s="228" t="str">
        <f>'Données projet'!D159</f>
        <v/>
      </c>
      <c r="C166" s="222"/>
      <c r="D166" s="233">
        <f t="shared" si="10"/>
        <v>0</v>
      </c>
      <c r="E166" s="227"/>
      <c r="F166" s="236"/>
      <c r="G166" s="247"/>
      <c r="H166" s="27"/>
      <c r="I166" s="222"/>
      <c r="J166" s="4"/>
      <c r="K166" s="215"/>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row>
    <row r="167" ht="15.75" customHeight="1">
      <c r="A167" s="4"/>
      <c r="B167" s="4"/>
      <c r="C167" s="4"/>
      <c r="D167" s="4"/>
      <c r="E167" s="4"/>
      <c r="F167" s="216"/>
      <c r="G167" s="247"/>
      <c r="H167" s="27"/>
      <c r="I167" s="222"/>
      <c r="J167" s="4"/>
      <c r="K167" s="215"/>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row>
    <row r="168" ht="15.75" customHeight="1">
      <c r="A168" s="4"/>
      <c r="B168" s="4"/>
      <c r="C168" s="4"/>
      <c r="D168" s="4"/>
      <c r="E168" s="4"/>
      <c r="F168" s="216"/>
      <c r="G168" s="247"/>
      <c r="H168" s="27"/>
      <c r="I168" s="222"/>
      <c r="J168" s="4"/>
      <c r="K168" s="215"/>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row>
    <row r="169" ht="15.75" customHeight="1">
      <c r="A169" s="49" t="s">
        <v>25</v>
      </c>
      <c r="B169" s="220" t="str">
        <f>IF('Données projet'!B14="","",'Données projet'!B14)</f>
        <v/>
      </c>
      <c r="C169" s="4"/>
      <c r="D169" s="4"/>
      <c r="E169" s="4"/>
      <c r="F169" s="216"/>
      <c r="G169" s="247"/>
      <c r="H169" s="27"/>
      <c r="I169" s="222"/>
      <c r="J169" s="4"/>
      <c r="K169" s="215"/>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row>
    <row r="170" ht="15.75" customHeight="1">
      <c r="A170" s="4"/>
      <c r="B170" s="4"/>
      <c r="C170" s="4"/>
      <c r="D170" s="4"/>
      <c r="E170" s="4"/>
      <c r="F170" s="216"/>
      <c r="G170" s="247"/>
      <c r="H170" s="27"/>
      <c r="I170" s="222"/>
      <c r="J170" s="4"/>
      <c r="K170" s="215"/>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row>
    <row r="171" ht="15.75" customHeight="1">
      <c r="A171" s="33" t="s">
        <v>52</v>
      </c>
      <c r="B171" s="57" t="s">
        <v>331</v>
      </c>
      <c r="C171" s="57" t="s">
        <v>332</v>
      </c>
      <c r="D171" s="33" t="s">
        <v>333</v>
      </c>
      <c r="E171" s="33" t="s">
        <v>334</v>
      </c>
      <c r="F171" s="255"/>
      <c r="G171" s="247"/>
      <c r="H171" s="27"/>
      <c r="I171" s="222"/>
      <c r="J171" s="4"/>
      <c r="K171" s="215"/>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row>
    <row r="172" ht="15.75" customHeight="1">
      <c r="A172" s="43">
        <v>0.0</v>
      </c>
      <c r="B172" s="224" t="s">
        <v>231</v>
      </c>
      <c r="C172" s="225" t="s">
        <v>231</v>
      </c>
      <c r="D172" s="226" t="s">
        <v>231</v>
      </c>
      <c r="E172" s="227"/>
      <c r="F172" s="255"/>
      <c r="G172" s="247"/>
      <c r="H172" s="27"/>
      <c r="I172" s="222"/>
      <c r="J172" s="4"/>
      <c r="K172" s="215"/>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row>
    <row r="173" ht="15.75" customHeight="1">
      <c r="A173" s="43">
        <v>1.0</v>
      </c>
      <c r="B173" s="224" t="s">
        <v>231</v>
      </c>
      <c r="C173" s="225" t="s">
        <v>231</v>
      </c>
      <c r="D173" s="226" t="s">
        <v>231</v>
      </c>
      <c r="E173" s="227"/>
      <c r="F173" s="255"/>
      <c r="G173" s="4"/>
      <c r="H173" s="27"/>
      <c r="I173" s="222"/>
      <c r="J173" s="4"/>
      <c r="K173" s="215"/>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row>
    <row r="174" ht="15.75" customHeight="1">
      <c r="A174" s="43">
        <v>2.0</v>
      </c>
      <c r="B174" s="224" t="s">
        <v>231</v>
      </c>
      <c r="C174" s="225" t="s">
        <v>231</v>
      </c>
      <c r="D174" s="226" t="s">
        <v>231</v>
      </c>
      <c r="E174" s="227"/>
      <c r="F174" s="255"/>
      <c r="G174" s="4"/>
      <c r="H174" s="27"/>
      <c r="I174" s="222"/>
      <c r="J174" s="4"/>
      <c r="K174" s="215"/>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row>
    <row r="175" ht="15.75" customHeight="1">
      <c r="A175" s="43">
        <v>3.0</v>
      </c>
      <c r="B175" s="224" t="s">
        <v>231</v>
      </c>
      <c r="C175" s="225" t="s">
        <v>231</v>
      </c>
      <c r="D175" s="226" t="s">
        <v>231</v>
      </c>
      <c r="E175" s="227"/>
      <c r="F175" s="255"/>
      <c r="G175" s="4"/>
      <c r="H175" s="27"/>
      <c r="I175" s="222"/>
      <c r="J175" s="4"/>
      <c r="K175" s="215"/>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row>
    <row r="176" ht="15.75" customHeight="1">
      <c r="A176" s="43">
        <v>4.0</v>
      </c>
      <c r="B176" s="224" t="s">
        <v>231</v>
      </c>
      <c r="C176" s="225" t="s">
        <v>231</v>
      </c>
      <c r="D176" s="226" t="s">
        <v>231</v>
      </c>
      <c r="E176" s="227"/>
      <c r="F176" s="255"/>
      <c r="G176" s="4"/>
      <c r="H176" s="27"/>
      <c r="I176" s="222"/>
      <c r="J176" s="4"/>
      <c r="K176" s="215"/>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row>
    <row r="177" ht="15.0" customHeight="1">
      <c r="A177" s="43">
        <v>5.0</v>
      </c>
      <c r="B177" s="224" t="s">
        <v>231</v>
      </c>
      <c r="C177" s="225" t="s">
        <v>231</v>
      </c>
      <c r="D177" s="226" t="s">
        <v>231</v>
      </c>
      <c r="E177" s="227"/>
      <c r="F177" s="255"/>
      <c r="G177" s="19"/>
      <c r="H177" s="27"/>
      <c r="I177" s="222"/>
      <c r="J177" s="4"/>
      <c r="K177" s="215"/>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row>
    <row r="178" ht="15.75" customHeight="1">
      <c r="A178" s="231" t="str">
        <f>'Données projet'!A166</f>
        <v/>
      </c>
      <c r="B178" s="231" t="str">
        <f>'Données projet'!D166</f>
        <v/>
      </c>
      <c r="C178" s="227"/>
      <c r="D178" s="230">
        <f t="shared" ref="D178:D197" si="11">B178*C178</f>
        <v>0</v>
      </c>
      <c r="E178" s="227"/>
      <c r="F178" s="258"/>
      <c r="G178" s="19"/>
      <c r="H178" s="27"/>
      <c r="I178" s="222"/>
      <c r="J178" s="4"/>
      <c r="K178" s="215"/>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row>
    <row r="179" ht="15.75" customHeight="1">
      <c r="A179" s="231" t="str">
        <f>'Données projet'!A167</f>
        <v/>
      </c>
      <c r="B179" s="231" t="str">
        <f>'Données projet'!D167</f>
        <v/>
      </c>
      <c r="C179" s="227"/>
      <c r="D179" s="230">
        <f t="shared" si="11"/>
        <v>0</v>
      </c>
      <c r="E179" s="227"/>
      <c r="F179" s="258"/>
      <c r="G179" s="19"/>
      <c r="H179" s="27"/>
      <c r="I179" s="222"/>
      <c r="J179" s="4"/>
      <c r="K179" s="215"/>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row>
    <row r="180" ht="15.75" customHeight="1">
      <c r="A180" s="231" t="str">
        <f>'Données projet'!A168</f>
        <v/>
      </c>
      <c r="B180" s="231" t="str">
        <f>'Données projet'!D168</f>
        <v/>
      </c>
      <c r="C180" s="227"/>
      <c r="D180" s="230">
        <f t="shared" si="11"/>
        <v>0</v>
      </c>
      <c r="E180" s="227"/>
      <c r="F180" s="258"/>
      <c r="G180" s="19"/>
      <c r="H180" s="27"/>
      <c r="I180" s="222"/>
      <c r="J180" s="4"/>
      <c r="K180" s="215"/>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row>
    <row r="181" ht="15.75" customHeight="1">
      <c r="A181" s="231" t="str">
        <f>'Données projet'!A169</f>
        <v/>
      </c>
      <c r="B181" s="231" t="str">
        <f>'Données projet'!D169</f>
        <v/>
      </c>
      <c r="C181" s="227"/>
      <c r="D181" s="230">
        <f t="shared" si="11"/>
        <v>0</v>
      </c>
      <c r="E181" s="227"/>
      <c r="F181" s="258"/>
      <c r="G181" s="19"/>
      <c r="H181" s="27"/>
      <c r="I181" s="222"/>
      <c r="J181" s="4"/>
      <c r="K181" s="215"/>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row>
    <row r="182" ht="15.75" customHeight="1">
      <c r="A182" s="231" t="str">
        <f>'Données projet'!A170</f>
        <v/>
      </c>
      <c r="B182" s="231" t="str">
        <f>'Données projet'!D170</f>
        <v/>
      </c>
      <c r="C182" s="227"/>
      <c r="D182" s="230">
        <f t="shared" si="11"/>
        <v>0</v>
      </c>
      <c r="E182" s="227"/>
      <c r="F182" s="258"/>
      <c r="G182" s="19"/>
      <c r="H182" s="27"/>
      <c r="I182" s="222"/>
      <c r="J182" s="4"/>
      <c r="K182" s="215"/>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row>
    <row r="183" ht="15.75" customHeight="1">
      <c r="A183" s="231" t="str">
        <f>'Données projet'!A171</f>
        <v/>
      </c>
      <c r="B183" s="231" t="str">
        <f>'Données projet'!D171</f>
        <v/>
      </c>
      <c r="C183" s="227"/>
      <c r="D183" s="230">
        <f t="shared" si="11"/>
        <v>0</v>
      </c>
      <c r="E183" s="227"/>
      <c r="F183" s="258"/>
      <c r="G183" s="19"/>
      <c r="H183" s="27"/>
      <c r="I183" s="222"/>
      <c r="J183" s="4"/>
      <c r="K183" s="215"/>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row>
    <row r="184" ht="15.75" customHeight="1">
      <c r="A184" s="231" t="str">
        <f>'Données projet'!A172</f>
        <v/>
      </c>
      <c r="B184" s="231" t="str">
        <f>'Données projet'!D172</f>
        <v/>
      </c>
      <c r="C184" s="227"/>
      <c r="D184" s="230">
        <f t="shared" si="11"/>
        <v>0</v>
      </c>
      <c r="E184" s="227"/>
      <c r="F184" s="258"/>
      <c r="G184" s="259"/>
      <c r="H184" s="27"/>
      <c r="I184" s="222"/>
      <c r="J184" s="4"/>
      <c r="K184" s="215"/>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row>
    <row r="185" ht="15.75" customHeight="1">
      <c r="A185" s="231" t="str">
        <f>'Données projet'!A173</f>
        <v/>
      </c>
      <c r="B185" s="231" t="str">
        <f>'Données projet'!D173</f>
        <v/>
      </c>
      <c r="C185" s="227"/>
      <c r="D185" s="230">
        <f t="shared" si="11"/>
        <v>0</v>
      </c>
      <c r="E185" s="227"/>
      <c r="F185" s="258"/>
      <c r="G185" s="259"/>
      <c r="H185" s="27"/>
      <c r="I185" s="222"/>
      <c r="J185" s="4"/>
      <c r="K185" s="215"/>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row>
    <row r="186" ht="15.75" customHeight="1">
      <c r="A186" s="231" t="str">
        <f>'Données projet'!A174</f>
        <v/>
      </c>
      <c r="B186" s="231" t="str">
        <f>'Données projet'!D174</f>
        <v/>
      </c>
      <c r="C186" s="227"/>
      <c r="D186" s="230">
        <f t="shared" si="11"/>
        <v>0</v>
      </c>
      <c r="E186" s="227"/>
      <c r="F186" s="258"/>
      <c r="G186" s="259"/>
      <c r="H186" s="27"/>
      <c r="I186" s="222"/>
      <c r="J186" s="4"/>
      <c r="K186" s="215"/>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row>
    <row r="187" ht="15.75" customHeight="1">
      <c r="A187" s="231" t="str">
        <f>'Données projet'!A175</f>
        <v/>
      </c>
      <c r="B187" s="231" t="str">
        <f>'Données projet'!D175</f>
        <v/>
      </c>
      <c r="C187" s="227"/>
      <c r="D187" s="230">
        <f t="shared" si="11"/>
        <v>0</v>
      </c>
      <c r="E187" s="227"/>
      <c r="F187" s="258"/>
      <c r="G187" s="259"/>
      <c r="H187" s="27"/>
      <c r="I187" s="222"/>
      <c r="J187" s="4"/>
      <c r="K187" s="215"/>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row>
    <row r="188" ht="15.75" customHeight="1">
      <c r="A188" s="231" t="str">
        <f>'Données projet'!A176</f>
        <v/>
      </c>
      <c r="B188" s="231" t="str">
        <f>'Données projet'!D176</f>
        <v/>
      </c>
      <c r="C188" s="227"/>
      <c r="D188" s="230">
        <f t="shared" si="11"/>
        <v>0</v>
      </c>
      <c r="E188" s="227"/>
      <c r="F188" s="258"/>
      <c r="G188" s="259"/>
      <c r="H188" s="27"/>
      <c r="I188" s="222"/>
      <c r="J188" s="4"/>
      <c r="K188" s="215"/>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row>
    <row r="189" ht="15.75" customHeight="1">
      <c r="A189" s="231" t="str">
        <f>'Données projet'!A177</f>
        <v/>
      </c>
      <c r="B189" s="231" t="str">
        <f>'Données projet'!D177</f>
        <v/>
      </c>
      <c r="C189" s="227"/>
      <c r="D189" s="230">
        <f t="shared" si="11"/>
        <v>0</v>
      </c>
      <c r="E189" s="227"/>
      <c r="F189" s="258"/>
      <c r="G189" s="259"/>
      <c r="H189" s="27"/>
      <c r="I189" s="222"/>
      <c r="J189" s="4"/>
      <c r="K189" s="215"/>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row>
    <row r="190" ht="15.75" customHeight="1">
      <c r="A190" s="231" t="str">
        <f>'Données projet'!A178</f>
        <v/>
      </c>
      <c r="B190" s="231" t="str">
        <f>'Données projet'!D178</f>
        <v/>
      </c>
      <c r="C190" s="227"/>
      <c r="D190" s="230">
        <f t="shared" si="11"/>
        <v>0</v>
      </c>
      <c r="E190" s="227"/>
      <c r="F190" s="258"/>
      <c r="G190" s="259"/>
      <c r="H190" s="27"/>
      <c r="I190" s="222"/>
      <c r="J190" s="4"/>
      <c r="K190" s="215"/>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row>
    <row r="191" ht="15.75" customHeight="1">
      <c r="A191" s="231" t="str">
        <f>'Données projet'!A179</f>
        <v/>
      </c>
      <c r="B191" s="231" t="str">
        <f>'Données projet'!D179</f>
        <v/>
      </c>
      <c r="C191" s="227"/>
      <c r="D191" s="230">
        <f t="shared" si="11"/>
        <v>0</v>
      </c>
      <c r="E191" s="227"/>
      <c r="F191" s="258"/>
      <c r="G191" s="259"/>
      <c r="H191" s="27"/>
      <c r="I191" s="222"/>
      <c r="J191" s="4"/>
      <c r="K191" s="215"/>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row>
    <row r="192" ht="15.75" customHeight="1">
      <c r="A192" s="231" t="str">
        <f>'Données projet'!A180</f>
        <v/>
      </c>
      <c r="B192" s="231" t="str">
        <f>'Données projet'!D180</f>
        <v/>
      </c>
      <c r="C192" s="227"/>
      <c r="D192" s="230">
        <f t="shared" si="11"/>
        <v>0</v>
      </c>
      <c r="E192" s="227"/>
      <c r="F192" s="258"/>
      <c r="G192" s="259"/>
      <c r="H192" s="27"/>
      <c r="I192" s="222"/>
      <c r="J192" s="4"/>
      <c r="K192" s="215"/>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row>
    <row r="193" ht="15.75" customHeight="1">
      <c r="A193" s="231" t="str">
        <f>'Données projet'!A181</f>
        <v/>
      </c>
      <c r="B193" s="231" t="str">
        <f>'Données projet'!D181</f>
        <v/>
      </c>
      <c r="C193" s="227"/>
      <c r="D193" s="230">
        <f t="shared" si="11"/>
        <v>0</v>
      </c>
      <c r="E193" s="227"/>
      <c r="F193" s="258"/>
      <c r="G193" s="259"/>
      <c r="H193" s="27"/>
      <c r="I193" s="222"/>
      <c r="J193" s="4"/>
      <c r="K193" s="215"/>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row>
    <row r="194" ht="15.75" customHeight="1">
      <c r="A194" s="231" t="str">
        <f>'Données projet'!A182</f>
        <v/>
      </c>
      <c r="B194" s="231" t="str">
        <f>'Données projet'!D182</f>
        <v/>
      </c>
      <c r="C194" s="227"/>
      <c r="D194" s="230">
        <f t="shared" si="11"/>
        <v>0</v>
      </c>
      <c r="E194" s="227"/>
      <c r="F194" s="258"/>
      <c r="G194" s="259"/>
      <c r="H194" s="27"/>
      <c r="I194" s="222"/>
      <c r="J194" s="4"/>
      <c r="K194" s="215"/>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row>
    <row r="195" ht="15.75" customHeight="1">
      <c r="A195" s="231" t="str">
        <f>'Données projet'!A183</f>
        <v/>
      </c>
      <c r="B195" s="231" t="str">
        <f>'Données projet'!D183</f>
        <v/>
      </c>
      <c r="C195" s="227"/>
      <c r="D195" s="230">
        <f t="shared" si="11"/>
        <v>0</v>
      </c>
      <c r="E195" s="227"/>
      <c r="F195" s="258"/>
      <c r="G195" s="259"/>
      <c r="H195" s="27"/>
      <c r="I195" s="222"/>
      <c r="J195" s="4"/>
      <c r="K195" s="215"/>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row>
    <row r="196" ht="15.75" customHeight="1">
      <c r="A196" s="231" t="str">
        <f>'Données projet'!A184</f>
        <v/>
      </c>
      <c r="B196" s="231" t="str">
        <f>'Données projet'!D184</f>
        <v/>
      </c>
      <c r="C196" s="227"/>
      <c r="D196" s="230">
        <f t="shared" si="11"/>
        <v>0</v>
      </c>
      <c r="E196" s="227"/>
      <c r="F196" s="258"/>
      <c r="G196" s="259"/>
      <c r="H196" s="27"/>
      <c r="I196" s="222"/>
      <c r="J196" s="4"/>
      <c r="K196" s="215"/>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row>
    <row r="197" ht="15.75" customHeight="1">
      <c r="A197" s="231" t="str">
        <f>'Données projet'!A185</f>
        <v/>
      </c>
      <c r="B197" s="231" t="str">
        <f>'Données projet'!D185</f>
        <v/>
      </c>
      <c r="C197" s="227"/>
      <c r="D197" s="230">
        <f t="shared" si="11"/>
        <v>0</v>
      </c>
      <c r="E197" s="227"/>
      <c r="F197" s="258"/>
      <c r="G197" s="259"/>
      <c r="H197" s="27"/>
      <c r="I197" s="222"/>
      <c r="J197" s="4"/>
      <c r="K197" s="215"/>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row>
    <row r="198" ht="15.75" customHeight="1">
      <c r="A198" s="4"/>
      <c r="B198" s="4"/>
      <c r="C198" s="4"/>
      <c r="D198" s="4"/>
      <c r="E198" s="4"/>
      <c r="F198" s="216"/>
      <c r="G198" s="259"/>
      <c r="H198" s="27"/>
      <c r="I198" s="222"/>
      <c r="J198" s="4"/>
      <c r="K198" s="215"/>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row>
    <row r="199" ht="15.75" customHeight="1">
      <c r="A199" s="4"/>
      <c r="B199" s="4"/>
      <c r="C199" s="4"/>
      <c r="D199" s="4"/>
      <c r="E199" s="4"/>
      <c r="F199" s="216"/>
      <c r="G199" s="259"/>
      <c r="H199" s="27"/>
      <c r="I199" s="222"/>
      <c r="J199" s="4"/>
      <c r="K199" s="215"/>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row>
    <row r="200" ht="15.75" customHeight="1">
      <c r="A200" s="49" t="s">
        <v>26</v>
      </c>
      <c r="B200" s="220" t="str">
        <f>IF('Données projet'!$B$15="","",'Données projet'!$B$15)</f>
        <v/>
      </c>
      <c r="C200" s="4"/>
      <c r="D200" s="4"/>
      <c r="E200" s="4"/>
      <c r="F200" s="216"/>
      <c r="G200" s="259"/>
      <c r="H200" s="27"/>
      <c r="I200" s="222"/>
      <c r="J200" s="4"/>
      <c r="K200" s="215"/>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row>
    <row r="201" ht="15.75" customHeight="1">
      <c r="A201" s="49"/>
      <c r="B201" s="4"/>
      <c r="C201" s="4"/>
      <c r="D201" s="4"/>
      <c r="E201" s="4"/>
      <c r="F201" s="216"/>
      <c r="G201" s="259"/>
      <c r="H201" s="27"/>
      <c r="I201" s="222"/>
      <c r="J201" s="4"/>
      <c r="K201" s="215"/>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row>
    <row r="202" ht="15.75" customHeight="1">
      <c r="A202" s="33" t="s">
        <v>52</v>
      </c>
      <c r="B202" s="57" t="s">
        <v>331</v>
      </c>
      <c r="C202" s="57" t="s">
        <v>332</v>
      </c>
      <c r="D202" s="33" t="s">
        <v>333</v>
      </c>
      <c r="E202" s="33" t="s">
        <v>334</v>
      </c>
      <c r="F202" s="255"/>
      <c r="G202" s="259"/>
      <c r="H202" s="27"/>
      <c r="I202" s="222"/>
      <c r="J202" s="4"/>
      <c r="K202" s="215"/>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row>
    <row r="203" ht="15.75" customHeight="1">
      <c r="A203" s="43">
        <v>0.0</v>
      </c>
      <c r="B203" s="224" t="s">
        <v>231</v>
      </c>
      <c r="C203" s="225" t="s">
        <v>231</v>
      </c>
      <c r="D203" s="226" t="s">
        <v>231</v>
      </c>
      <c r="E203" s="227"/>
      <c r="F203" s="255"/>
      <c r="G203" s="259"/>
      <c r="H203" s="27"/>
      <c r="I203" s="222"/>
      <c r="J203" s="4"/>
      <c r="K203" s="215"/>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row>
    <row r="204" ht="15.75" customHeight="1">
      <c r="A204" s="43">
        <v>1.0</v>
      </c>
      <c r="B204" s="224" t="s">
        <v>231</v>
      </c>
      <c r="C204" s="225" t="s">
        <v>231</v>
      </c>
      <c r="D204" s="226" t="s">
        <v>231</v>
      </c>
      <c r="E204" s="227"/>
      <c r="F204" s="255"/>
      <c r="G204" s="4"/>
      <c r="H204" s="27"/>
      <c r="I204" s="222"/>
      <c r="J204" s="4"/>
      <c r="K204" s="215"/>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row>
    <row r="205" ht="15.75" customHeight="1">
      <c r="A205" s="43">
        <v>2.0</v>
      </c>
      <c r="B205" s="224" t="s">
        <v>231</v>
      </c>
      <c r="C205" s="225" t="s">
        <v>231</v>
      </c>
      <c r="D205" s="226" t="s">
        <v>231</v>
      </c>
      <c r="E205" s="227"/>
      <c r="F205" s="255"/>
      <c r="G205" s="4"/>
      <c r="H205" s="27"/>
      <c r="I205" s="222"/>
      <c r="J205" s="4"/>
      <c r="K205" s="215"/>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row>
    <row r="206" ht="15.75" customHeight="1">
      <c r="A206" s="43">
        <v>3.0</v>
      </c>
      <c r="B206" s="224" t="s">
        <v>231</v>
      </c>
      <c r="C206" s="225" t="s">
        <v>231</v>
      </c>
      <c r="D206" s="226" t="s">
        <v>231</v>
      </c>
      <c r="E206" s="227"/>
      <c r="F206" s="255"/>
      <c r="G206" s="4"/>
      <c r="H206" s="27"/>
      <c r="I206" s="222"/>
      <c r="J206" s="4"/>
      <c r="K206" s="215"/>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row>
    <row r="207" ht="15.75" customHeight="1">
      <c r="A207" s="43">
        <v>4.0</v>
      </c>
      <c r="B207" s="224" t="s">
        <v>231</v>
      </c>
      <c r="C207" s="225" t="s">
        <v>231</v>
      </c>
      <c r="D207" s="226" t="s">
        <v>231</v>
      </c>
      <c r="E207" s="227"/>
      <c r="F207" s="255"/>
      <c r="G207" s="4"/>
      <c r="H207" s="27"/>
      <c r="I207" s="222"/>
      <c r="J207" s="4"/>
      <c r="K207" s="215"/>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row>
    <row r="208" ht="15.75" customHeight="1">
      <c r="A208" s="43">
        <v>5.0</v>
      </c>
      <c r="B208" s="224" t="s">
        <v>231</v>
      </c>
      <c r="C208" s="225" t="s">
        <v>231</v>
      </c>
      <c r="D208" s="226" t="s">
        <v>231</v>
      </c>
      <c r="E208" s="227"/>
      <c r="F208" s="255"/>
      <c r="G208" s="19"/>
      <c r="H208" s="27"/>
      <c r="I208" s="222"/>
      <c r="J208" s="4"/>
      <c r="K208" s="215"/>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row>
    <row r="209" ht="15.75" customHeight="1">
      <c r="A209" s="231" t="str">
        <f>'Données projet'!A192</f>
        <v/>
      </c>
      <c r="B209" s="231" t="str">
        <f>'Données projet'!D192</f>
        <v/>
      </c>
      <c r="C209" s="227"/>
      <c r="D209" s="230">
        <f t="shared" ref="D209:D228" si="12">B209*C209</f>
        <v>0</v>
      </c>
      <c r="E209" s="227"/>
      <c r="F209" s="258"/>
      <c r="G209" s="19"/>
      <c r="H209" s="27"/>
      <c r="I209" s="222"/>
      <c r="J209" s="4"/>
      <c r="K209" s="215"/>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row>
    <row r="210" ht="15.75" customHeight="1">
      <c r="A210" s="231" t="str">
        <f>'Données projet'!A193</f>
        <v/>
      </c>
      <c r="B210" s="231" t="str">
        <f>'Données projet'!D193</f>
        <v/>
      </c>
      <c r="C210" s="227"/>
      <c r="D210" s="230">
        <f t="shared" si="12"/>
        <v>0</v>
      </c>
      <c r="E210" s="227"/>
      <c r="F210" s="258"/>
      <c r="G210" s="19"/>
      <c r="H210" s="27"/>
      <c r="I210" s="222"/>
      <c r="J210" s="4"/>
      <c r="K210" s="215"/>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row>
    <row r="211" ht="15.75" customHeight="1">
      <c r="A211" s="231" t="str">
        <f>'Données projet'!A194</f>
        <v/>
      </c>
      <c r="B211" s="231" t="str">
        <f>'Données projet'!D194</f>
        <v/>
      </c>
      <c r="C211" s="227"/>
      <c r="D211" s="230">
        <f t="shared" si="12"/>
        <v>0</v>
      </c>
      <c r="E211" s="227"/>
      <c r="F211" s="258"/>
      <c r="G211" s="19"/>
      <c r="H211" s="27"/>
      <c r="I211" s="222"/>
      <c r="J211" s="4"/>
      <c r="K211" s="215"/>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row>
    <row r="212" ht="15.75" customHeight="1">
      <c r="A212" s="231" t="str">
        <f>'Données projet'!A195</f>
        <v/>
      </c>
      <c r="B212" s="231" t="str">
        <f>'Données projet'!D195</f>
        <v/>
      </c>
      <c r="C212" s="227"/>
      <c r="D212" s="230">
        <f t="shared" si="12"/>
        <v>0</v>
      </c>
      <c r="E212" s="227"/>
      <c r="F212" s="258"/>
      <c r="G212" s="19"/>
      <c r="H212" s="27"/>
      <c r="I212" s="222"/>
      <c r="J212" s="4"/>
      <c r="K212" s="215"/>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row>
    <row r="213" ht="15.75" customHeight="1">
      <c r="A213" s="231" t="str">
        <f>'Données projet'!A196</f>
        <v/>
      </c>
      <c r="B213" s="231" t="str">
        <f>'Données projet'!D196</f>
        <v/>
      </c>
      <c r="C213" s="227"/>
      <c r="D213" s="230">
        <f t="shared" si="12"/>
        <v>0</v>
      </c>
      <c r="E213" s="227"/>
      <c r="F213" s="258"/>
      <c r="G213" s="19"/>
      <c r="H213" s="27"/>
      <c r="I213" s="222"/>
      <c r="J213" s="4"/>
      <c r="K213" s="215"/>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row>
    <row r="214" ht="15.75" customHeight="1">
      <c r="A214" s="231" t="str">
        <f>'Données projet'!A197</f>
        <v/>
      </c>
      <c r="B214" s="231" t="str">
        <f>'Données projet'!D197</f>
        <v/>
      </c>
      <c r="C214" s="227"/>
      <c r="D214" s="230">
        <f t="shared" si="12"/>
        <v>0</v>
      </c>
      <c r="E214" s="227"/>
      <c r="F214" s="258"/>
      <c r="G214" s="19"/>
      <c r="H214" s="27"/>
      <c r="I214" s="222"/>
      <c r="J214" s="4"/>
      <c r="K214" s="215"/>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row>
    <row r="215" ht="15.75" customHeight="1">
      <c r="A215" s="231" t="str">
        <f>'Données projet'!A198</f>
        <v/>
      </c>
      <c r="B215" s="231" t="str">
        <f>'Données projet'!D198</f>
        <v/>
      </c>
      <c r="C215" s="227"/>
      <c r="D215" s="230">
        <f t="shared" si="12"/>
        <v>0</v>
      </c>
      <c r="E215" s="227"/>
      <c r="F215" s="258"/>
      <c r="G215" s="259"/>
      <c r="H215" s="27"/>
      <c r="I215" s="222"/>
      <c r="J215" s="4"/>
      <c r="K215" s="215"/>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row>
    <row r="216" ht="15.75" customHeight="1">
      <c r="A216" s="231" t="str">
        <f>'Données projet'!A199</f>
        <v/>
      </c>
      <c r="B216" s="231" t="str">
        <f>'Données projet'!D199</f>
        <v/>
      </c>
      <c r="C216" s="227"/>
      <c r="D216" s="230">
        <f t="shared" si="12"/>
        <v>0</v>
      </c>
      <c r="E216" s="227"/>
      <c r="F216" s="258"/>
      <c r="G216" s="259"/>
      <c r="H216" s="27"/>
      <c r="I216" s="222"/>
      <c r="J216" s="4"/>
      <c r="K216" s="215"/>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row>
    <row r="217" ht="15.75" customHeight="1">
      <c r="A217" s="231" t="str">
        <f>'Données projet'!A200</f>
        <v/>
      </c>
      <c r="B217" s="231" t="str">
        <f>'Données projet'!D200</f>
        <v/>
      </c>
      <c r="C217" s="227"/>
      <c r="D217" s="230">
        <f t="shared" si="12"/>
        <v>0</v>
      </c>
      <c r="E217" s="227"/>
      <c r="F217" s="258"/>
      <c r="G217" s="259"/>
      <c r="H217" s="27"/>
      <c r="I217" s="222"/>
      <c r="J217" s="4"/>
      <c r="K217" s="215"/>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row>
    <row r="218" ht="15.75" customHeight="1">
      <c r="A218" s="231" t="str">
        <f>'Données projet'!A201</f>
        <v/>
      </c>
      <c r="B218" s="231" t="str">
        <f>'Données projet'!D201</f>
        <v/>
      </c>
      <c r="C218" s="227"/>
      <c r="D218" s="230">
        <f t="shared" si="12"/>
        <v>0</v>
      </c>
      <c r="E218" s="227"/>
      <c r="F218" s="258"/>
      <c r="G218" s="259"/>
      <c r="H218" s="27"/>
      <c r="I218" s="222"/>
      <c r="J218" s="4"/>
      <c r="K218" s="215"/>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row>
    <row r="219" ht="15.75" customHeight="1">
      <c r="A219" s="231" t="str">
        <f>'Données projet'!A202</f>
        <v/>
      </c>
      <c r="B219" s="231" t="str">
        <f>'Données projet'!D202</f>
        <v/>
      </c>
      <c r="C219" s="227"/>
      <c r="D219" s="230">
        <f t="shared" si="12"/>
        <v>0</v>
      </c>
      <c r="E219" s="227"/>
      <c r="F219" s="258"/>
      <c r="G219" s="259"/>
      <c r="H219" s="27"/>
      <c r="I219" s="222"/>
      <c r="J219" s="4"/>
      <c r="K219" s="215"/>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row>
    <row r="220" ht="15.75" customHeight="1">
      <c r="A220" s="231" t="str">
        <f>'Données projet'!A203</f>
        <v/>
      </c>
      <c r="B220" s="231" t="str">
        <f>'Données projet'!D203</f>
        <v/>
      </c>
      <c r="C220" s="227"/>
      <c r="D220" s="230">
        <f t="shared" si="12"/>
        <v>0</v>
      </c>
      <c r="E220" s="227"/>
      <c r="F220" s="258"/>
      <c r="G220" s="259"/>
      <c r="H220" s="4"/>
      <c r="I220" s="4"/>
      <c r="J220" s="4"/>
      <c r="K220" s="215"/>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row>
    <row r="221" ht="15.75" customHeight="1">
      <c r="A221" s="231" t="str">
        <f>'Données projet'!A204</f>
        <v/>
      </c>
      <c r="B221" s="231" t="str">
        <f>'Données projet'!D204</f>
        <v/>
      </c>
      <c r="C221" s="227"/>
      <c r="D221" s="230">
        <f t="shared" si="12"/>
        <v>0</v>
      </c>
      <c r="E221" s="227"/>
      <c r="F221" s="258"/>
      <c r="G221" s="259"/>
      <c r="H221" s="4"/>
      <c r="I221" s="4"/>
      <c r="J221" s="4"/>
      <c r="K221" s="215"/>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row>
    <row r="222" ht="15.75" customHeight="1">
      <c r="A222" s="231" t="str">
        <f>'Données projet'!A205</f>
        <v/>
      </c>
      <c r="B222" s="231" t="str">
        <f>'Données projet'!D205</f>
        <v/>
      </c>
      <c r="C222" s="227"/>
      <c r="D222" s="230">
        <f t="shared" si="12"/>
        <v>0</v>
      </c>
      <c r="E222" s="227"/>
      <c r="F222" s="258"/>
      <c r="G222" s="259"/>
      <c r="H222" s="4"/>
      <c r="I222" s="4"/>
      <c r="J222" s="4"/>
      <c r="K222" s="215"/>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row>
    <row r="223" ht="15.75" customHeight="1">
      <c r="A223" s="231" t="str">
        <f>'Données projet'!A206</f>
        <v/>
      </c>
      <c r="B223" s="231" t="str">
        <f>'Données projet'!D206</f>
        <v/>
      </c>
      <c r="C223" s="227"/>
      <c r="D223" s="230">
        <f t="shared" si="12"/>
        <v>0</v>
      </c>
      <c r="E223" s="227"/>
      <c r="F223" s="258"/>
      <c r="G223" s="259"/>
      <c r="H223" s="4"/>
      <c r="I223" s="4"/>
      <c r="J223" s="4"/>
      <c r="K223" s="215"/>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row>
    <row r="224" ht="15.75" customHeight="1">
      <c r="A224" s="231" t="str">
        <f>'Données projet'!A207</f>
        <v/>
      </c>
      <c r="B224" s="231" t="str">
        <f>'Données projet'!D207</f>
        <v/>
      </c>
      <c r="C224" s="227"/>
      <c r="D224" s="230">
        <f t="shared" si="12"/>
        <v>0</v>
      </c>
      <c r="E224" s="227"/>
      <c r="F224" s="258"/>
      <c r="G224" s="259"/>
      <c r="H224" s="4"/>
      <c r="I224" s="4"/>
      <c r="J224" s="4"/>
      <c r="K224" s="215"/>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row>
    <row r="225" ht="15.75" customHeight="1">
      <c r="A225" s="231" t="str">
        <f>'Données projet'!A208</f>
        <v/>
      </c>
      <c r="B225" s="231" t="str">
        <f>'Données projet'!D208</f>
        <v/>
      </c>
      <c r="C225" s="227"/>
      <c r="D225" s="230">
        <f t="shared" si="12"/>
        <v>0</v>
      </c>
      <c r="E225" s="227"/>
      <c r="F225" s="258"/>
      <c r="G225" s="259"/>
      <c r="H225" s="4"/>
      <c r="I225" s="4"/>
      <c r="J225" s="4"/>
      <c r="K225" s="215"/>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row>
    <row r="226" ht="15.75" customHeight="1">
      <c r="A226" s="231" t="str">
        <f>'Données projet'!A209</f>
        <v/>
      </c>
      <c r="B226" s="231" t="str">
        <f>'Données projet'!D209</f>
        <v/>
      </c>
      <c r="C226" s="227"/>
      <c r="D226" s="230">
        <f t="shared" si="12"/>
        <v>0</v>
      </c>
      <c r="E226" s="227"/>
      <c r="F226" s="258"/>
      <c r="G226" s="259"/>
      <c r="H226" s="4"/>
      <c r="I226" s="4"/>
      <c r="J226" s="4"/>
      <c r="K226" s="215"/>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row>
    <row r="227" ht="15.75" customHeight="1">
      <c r="A227" s="231" t="str">
        <f>'Données projet'!A210</f>
        <v/>
      </c>
      <c r="B227" s="231" t="str">
        <f>'Données projet'!D210</f>
        <v/>
      </c>
      <c r="C227" s="227"/>
      <c r="D227" s="230">
        <f t="shared" si="12"/>
        <v>0</v>
      </c>
      <c r="E227" s="227"/>
      <c r="F227" s="258"/>
      <c r="G227" s="259"/>
      <c r="H227" s="4"/>
      <c r="I227" s="4"/>
      <c r="J227" s="4"/>
      <c r="K227" s="215"/>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row>
    <row r="228" ht="15.75" customHeight="1">
      <c r="A228" s="231" t="str">
        <f>'Données projet'!A211</f>
        <v/>
      </c>
      <c r="B228" s="231" t="str">
        <f>'Données projet'!D211</f>
        <v/>
      </c>
      <c r="C228" s="227"/>
      <c r="D228" s="230">
        <f t="shared" si="12"/>
        <v>0</v>
      </c>
      <c r="E228" s="227"/>
      <c r="F228" s="258"/>
      <c r="G228" s="259"/>
      <c r="H228" s="4"/>
      <c r="I228" s="4"/>
      <c r="J228" s="4"/>
      <c r="K228" s="215"/>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row>
    <row r="229" ht="15.75" customHeight="1">
      <c r="A229" s="4"/>
      <c r="B229" s="4"/>
      <c r="C229" s="4"/>
      <c r="D229" s="4"/>
      <c r="E229" s="4"/>
      <c r="F229" s="216"/>
      <c r="G229" s="259"/>
      <c r="H229" s="4"/>
      <c r="I229" s="4"/>
      <c r="J229" s="4"/>
      <c r="K229" s="215"/>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row>
    <row r="230" ht="15.75" customHeight="1">
      <c r="A230" s="4"/>
      <c r="B230" s="4"/>
      <c r="C230" s="4"/>
      <c r="D230" s="4"/>
      <c r="E230" s="4"/>
      <c r="F230" s="216"/>
      <c r="G230" s="259"/>
      <c r="H230" s="4"/>
      <c r="I230" s="4"/>
      <c r="J230" s="4"/>
      <c r="K230" s="215"/>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row>
    <row r="231" ht="15.75" customHeight="1">
      <c r="A231" s="49" t="s">
        <v>27</v>
      </c>
      <c r="B231" s="220" t="str">
        <f>IF('Données projet'!$B$16="","",'Données projet'!$B$16)</f>
        <v/>
      </c>
      <c r="C231" s="4"/>
      <c r="D231" s="4"/>
      <c r="E231" s="4"/>
      <c r="F231" s="216"/>
      <c r="G231" s="259"/>
      <c r="H231" s="4"/>
      <c r="I231" s="4"/>
      <c r="J231" s="4"/>
      <c r="K231" s="215"/>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row>
    <row r="232" ht="15.75" customHeight="1">
      <c r="A232" s="49"/>
      <c r="B232" s="4"/>
      <c r="C232" s="4"/>
      <c r="D232" s="4"/>
      <c r="E232" s="4"/>
      <c r="F232" s="216"/>
      <c r="G232" s="259"/>
      <c r="H232" s="4"/>
      <c r="I232" s="4"/>
      <c r="J232" s="4"/>
      <c r="K232" s="215"/>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row>
    <row r="233" ht="15.75" customHeight="1">
      <c r="A233" s="33" t="s">
        <v>52</v>
      </c>
      <c r="B233" s="57" t="s">
        <v>331</v>
      </c>
      <c r="C233" s="57" t="s">
        <v>332</v>
      </c>
      <c r="D233" s="33" t="s">
        <v>333</v>
      </c>
      <c r="E233" s="33" t="s">
        <v>334</v>
      </c>
      <c r="F233" s="255"/>
      <c r="G233" s="259"/>
      <c r="H233" s="4"/>
      <c r="I233" s="4"/>
      <c r="J233" s="4"/>
      <c r="K233" s="215"/>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row>
    <row r="234" ht="15.75" customHeight="1">
      <c r="A234" s="43">
        <v>0.0</v>
      </c>
      <c r="B234" s="224" t="s">
        <v>231</v>
      </c>
      <c r="C234" s="225" t="s">
        <v>231</v>
      </c>
      <c r="D234" s="226" t="s">
        <v>231</v>
      </c>
      <c r="E234" s="227"/>
      <c r="F234" s="255"/>
      <c r="G234" s="259"/>
      <c r="H234" s="4"/>
      <c r="I234" s="4"/>
      <c r="J234" s="4"/>
      <c r="K234" s="215"/>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row>
    <row r="235" ht="15.75" customHeight="1">
      <c r="A235" s="43">
        <v>1.0</v>
      </c>
      <c r="B235" s="224" t="s">
        <v>231</v>
      </c>
      <c r="C235" s="225" t="s">
        <v>231</v>
      </c>
      <c r="D235" s="226" t="s">
        <v>231</v>
      </c>
      <c r="E235" s="227"/>
      <c r="F235" s="255"/>
      <c r="G235" s="4"/>
      <c r="H235" s="4"/>
      <c r="I235" s="4"/>
      <c r="J235" s="4"/>
      <c r="K235" s="215"/>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row>
    <row r="236" ht="15.75" customHeight="1">
      <c r="A236" s="43">
        <v>2.0</v>
      </c>
      <c r="B236" s="224" t="s">
        <v>231</v>
      </c>
      <c r="C236" s="225" t="s">
        <v>231</v>
      </c>
      <c r="D236" s="226" t="s">
        <v>231</v>
      </c>
      <c r="E236" s="227"/>
      <c r="F236" s="255"/>
      <c r="G236" s="4"/>
      <c r="H236" s="4"/>
      <c r="I236" s="4"/>
      <c r="J236" s="4"/>
      <c r="K236" s="215"/>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row>
    <row r="237" ht="15.75" customHeight="1">
      <c r="A237" s="43">
        <v>3.0</v>
      </c>
      <c r="B237" s="224" t="s">
        <v>231</v>
      </c>
      <c r="C237" s="225" t="s">
        <v>231</v>
      </c>
      <c r="D237" s="226" t="s">
        <v>231</v>
      </c>
      <c r="E237" s="227"/>
      <c r="F237" s="255"/>
      <c r="G237" s="4"/>
      <c r="H237" s="4"/>
      <c r="I237" s="4"/>
      <c r="J237" s="4"/>
      <c r="K237" s="215"/>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row>
    <row r="238" ht="15.75" customHeight="1">
      <c r="A238" s="43">
        <v>4.0</v>
      </c>
      <c r="B238" s="224" t="s">
        <v>231</v>
      </c>
      <c r="C238" s="225" t="s">
        <v>231</v>
      </c>
      <c r="D238" s="226" t="s">
        <v>231</v>
      </c>
      <c r="E238" s="227"/>
      <c r="F238" s="255"/>
      <c r="G238" s="4"/>
      <c r="H238" s="4"/>
      <c r="I238" s="4"/>
      <c r="J238" s="4"/>
      <c r="K238" s="215"/>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row>
    <row r="239" ht="15.75" customHeight="1">
      <c r="A239" s="43">
        <v>5.0</v>
      </c>
      <c r="B239" s="224" t="s">
        <v>231</v>
      </c>
      <c r="C239" s="225" t="s">
        <v>231</v>
      </c>
      <c r="D239" s="226" t="s">
        <v>231</v>
      </c>
      <c r="E239" s="227"/>
      <c r="F239" s="255"/>
      <c r="G239" s="19"/>
      <c r="H239" s="4"/>
      <c r="I239" s="4"/>
      <c r="J239" s="4"/>
      <c r="K239" s="215"/>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row>
    <row r="240" ht="15.75" customHeight="1">
      <c r="A240" s="231" t="str">
        <f>'Données projet'!A218</f>
        <v/>
      </c>
      <c r="B240" s="231" t="str">
        <f>'Données projet'!D218</f>
        <v/>
      </c>
      <c r="C240" s="227"/>
      <c r="D240" s="230">
        <f t="shared" ref="D240:D259" si="13">B240*C240</f>
        <v>0</v>
      </c>
      <c r="E240" s="227"/>
      <c r="F240" s="258"/>
      <c r="G240" s="19"/>
      <c r="H240" s="4"/>
      <c r="I240" s="4"/>
      <c r="J240" s="4"/>
      <c r="K240" s="215"/>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row>
    <row r="241" ht="15.75" customHeight="1">
      <c r="A241" s="231" t="str">
        <f>'Données projet'!A219</f>
        <v/>
      </c>
      <c r="B241" s="231" t="str">
        <f>'Données projet'!D219</f>
        <v/>
      </c>
      <c r="C241" s="227"/>
      <c r="D241" s="230">
        <f t="shared" si="13"/>
        <v>0</v>
      </c>
      <c r="E241" s="227"/>
      <c r="F241" s="258"/>
      <c r="G241" s="19"/>
      <c r="H241" s="4"/>
      <c r="I241" s="4"/>
      <c r="J241" s="4"/>
      <c r="K241" s="215"/>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row>
    <row r="242" ht="15.75" customHeight="1">
      <c r="A242" s="231" t="str">
        <f>'Données projet'!A220</f>
        <v/>
      </c>
      <c r="B242" s="231" t="str">
        <f>'Données projet'!D220</f>
        <v/>
      </c>
      <c r="C242" s="227"/>
      <c r="D242" s="230">
        <f t="shared" si="13"/>
        <v>0</v>
      </c>
      <c r="E242" s="227"/>
      <c r="F242" s="258"/>
      <c r="G242" s="19"/>
      <c r="H242" s="4"/>
      <c r="I242" s="4"/>
      <c r="J242" s="4"/>
      <c r="K242" s="215"/>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row>
    <row r="243" ht="15.75" customHeight="1">
      <c r="A243" s="231" t="str">
        <f>'Données projet'!A221</f>
        <v/>
      </c>
      <c r="B243" s="231" t="str">
        <f>'Données projet'!D221</f>
        <v/>
      </c>
      <c r="C243" s="227"/>
      <c r="D243" s="230">
        <f t="shared" si="13"/>
        <v>0</v>
      </c>
      <c r="E243" s="227"/>
      <c r="F243" s="258"/>
      <c r="G243" s="19"/>
      <c r="H243" s="4"/>
      <c r="I243" s="4"/>
      <c r="J243" s="4"/>
      <c r="K243" s="215"/>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row>
    <row r="244" ht="15.75" customHeight="1">
      <c r="A244" s="231" t="str">
        <f>'Données projet'!A222</f>
        <v/>
      </c>
      <c r="B244" s="231" t="str">
        <f>'Données projet'!D222</f>
        <v/>
      </c>
      <c r="C244" s="227"/>
      <c r="D244" s="230">
        <f t="shared" si="13"/>
        <v>0</v>
      </c>
      <c r="E244" s="227"/>
      <c r="F244" s="258"/>
      <c r="G244" s="19"/>
      <c r="H244" s="4"/>
      <c r="I244" s="4"/>
      <c r="J244" s="4"/>
      <c r="K244" s="215"/>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row>
    <row r="245" ht="15.75" customHeight="1">
      <c r="A245" s="231" t="str">
        <f>'Données projet'!A223</f>
        <v/>
      </c>
      <c r="B245" s="231" t="str">
        <f>'Données projet'!D223</f>
        <v/>
      </c>
      <c r="C245" s="227"/>
      <c r="D245" s="230">
        <f t="shared" si="13"/>
        <v>0</v>
      </c>
      <c r="E245" s="227"/>
      <c r="F245" s="258"/>
      <c r="G245" s="19"/>
      <c r="H245" s="4"/>
      <c r="I245" s="4"/>
      <c r="J245" s="4"/>
      <c r="K245" s="215"/>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row>
    <row r="246" ht="15.75" customHeight="1">
      <c r="A246" s="231" t="str">
        <f>'Données projet'!A224</f>
        <v/>
      </c>
      <c r="B246" s="231" t="str">
        <f>'Données projet'!D224</f>
        <v/>
      </c>
      <c r="C246" s="227"/>
      <c r="D246" s="230">
        <f t="shared" si="13"/>
        <v>0</v>
      </c>
      <c r="E246" s="227"/>
      <c r="F246" s="258"/>
      <c r="G246" s="259"/>
      <c r="H246" s="4"/>
      <c r="I246" s="4"/>
      <c r="J246" s="4"/>
      <c r="K246" s="215"/>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row>
    <row r="247" ht="15.75" customHeight="1">
      <c r="A247" s="231" t="str">
        <f>'Données projet'!A225</f>
        <v/>
      </c>
      <c r="B247" s="231" t="str">
        <f>'Données projet'!D225</f>
        <v/>
      </c>
      <c r="C247" s="227"/>
      <c r="D247" s="230">
        <f t="shared" si="13"/>
        <v>0</v>
      </c>
      <c r="E247" s="227"/>
      <c r="F247" s="258"/>
      <c r="G247" s="259"/>
      <c r="H247" s="4"/>
      <c r="I247" s="4"/>
      <c r="J247" s="4"/>
      <c r="K247" s="215"/>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row>
    <row r="248" ht="15.75" customHeight="1">
      <c r="A248" s="231" t="str">
        <f>'Données projet'!A226</f>
        <v/>
      </c>
      <c r="B248" s="231" t="str">
        <f>'Données projet'!D226</f>
        <v/>
      </c>
      <c r="C248" s="227"/>
      <c r="D248" s="230">
        <f t="shared" si="13"/>
        <v>0</v>
      </c>
      <c r="E248" s="227"/>
      <c r="F248" s="258"/>
      <c r="G248" s="259"/>
      <c r="H248" s="4"/>
      <c r="I248" s="4"/>
      <c r="J248" s="4"/>
      <c r="K248" s="215"/>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row>
    <row r="249" ht="15.75" customHeight="1">
      <c r="A249" s="231" t="str">
        <f>'Données projet'!A227</f>
        <v/>
      </c>
      <c r="B249" s="231" t="str">
        <f>'Données projet'!D227</f>
        <v/>
      </c>
      <c r="C249" s="227"/>
      <c r="D249" s="230">
        <f t="shared" si="13"/>
        <v>0</v>
      </c>
      <c r="E249" s="227"/>
      <c r="F249" s="258"/>
      <c r="G249" s="259"/>
      <c r="H249" s="4"/>
      <c r="I249" s="4"/>
      <c r="J249" s="4"/>
      <c r="K249" s="215"/>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row>
    <row r="250" ht="15.75" customHeight="1">
      <c r="A250" s="231" t="str">
        <f>'Données projet'!A228</f>
        <v/>
      </c>
      <c r="B250" s="231" t="str">
        <f>'Données projet'!D228</f>
        <v/>
      </c>
      <c r="C250" s="227"/>
      <c r="D250" s="230">
        <f t="shared" si="13"/>
        <v>0</v>
      </c>
      <c r="E250" s="227"/>
      <c r="F250" s="258"/>
      <c r="G250" s="259"/>
      <c r="H250" s="4"/>
      <c r="I250" s="4"/>
      <c r="J250" s="4"/>
      <c r="K250" s="215"/>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row>
    <row r="251" ht="15.75" customHeight="1">
      <c r="A251" s="231" t="str">
        <f>'Données projet'!A229</f>
        <v/>
      </c>
      <c r="B251" s="231" t="str">
        <f>'Données projet'!D229</f>
        <v/>
      </c>
      <c r="C251" s="227"/>
      <c r="D251" s="230">
        <f t="shared" si="13"/>
        <v>0</v>
      </c>
      <c r="E251" s="227"/>
      <c r="F251" s="258"/>
      <c r="G251" s="259"/>
      <c r="H251" s="4"/>
      <c r="I251" s="4"/>
      <c r="J251" s="4"/>
      <c r="K251" s="215"/>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row>
    <row r="252" ht="15.75" customHeight="1">
      <c r="A252" s="231" t="str">
        <f>'Données projet'!A230</f>
        <v/>
      </c>
      <c r="B252" s="231" t="str">
        <f>'Données projet'!D230</f>
        <v/>
      </c>
      <c r="C252" s="227"/>
      <c r="D252" s="230">
        <f t="shared" si="13"/>
        <v>0</v>
      </c>
      <c r="E252" s="227"/>
      <c r="F252" s="258"/>
      <c r="G252" s="259"/>
      <c r="H252" s="4"/>
      <c r="I252" s="4"/>
      <c r="J252" s="4"/>
      <c r="K252" s="215"/>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row>
    <row r="253" ht="15.75" customHeight="1">
      <c r="A253" s="231" t="str">
        <f>'Données projet'!A231</f>
        <v/>
      </c>
      <c r="B253" s="231" t="str">
        <f>'Données projet'!D231</f>
        <v/>
      </c>
      <c r="C253" s="227"/>
      <c r="D253" s="230">
        <f t="shared" si="13"/>
        <v>0</v>
      </c>
      <c r="E253" s="227"/>
      <c r="F253" s="258"/>
      <c r="G253" s="259"/>
      <c r="H253" s="4"/>
      <c r="I253" s="4"/>
      <c r="J253" s="4"/>
      <c r="K253" s="215"/>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row>
    <row r="254" ht="15.75" customHeight="1">
      <c r="A254" s="231" t="str">
        <f>'Données projet'!A232</f>
        <v/>
      </c>
      <c r="B254" s="231" t="str">
        <f>'Données projet'!D232</f>
        <v/>
      </c>
      <c r="C254" s="227"/>
      <c r="D254" s="230">
        <f t="shared" si="13"/>
        <v>0</v>
      </c>
      <c r="E254" s="227"/>
      <c r="F254" s="258"/>
      <c r="G254" s="259"/>
      <c r="H254" s="4"/>
      <c r="I254" s="4"/>
      <c r="J254" s="4"/>
      <c r="K254" s="215"/>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row>
    <row r="255" ht="15.75" customHeight="1">
      <c r="A255" s="231" t="str">
        <f>'Données projet'!A233</f>
        <v/>
      </c>
      <c r="B255" s="231" t="str">
        <f>'Données projet'!D233</f>
        <v/>
      </c>
      <c r="C255" s="227"/>
      <c r="D255" s="230">
        <f t="shared" si="13"/>
        <v>0</v>
      </c>
      <c r="E255" s="227"/>
      <c r="F255" s="258"/>
      <c r="G255" s="259"/>
      <c r="H255" s="4"/>
      <c r="I255" s="4"/>
      <c r="J255" s="4"/>
      <c r="K255" s="215"/>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row>
    <row r="256" ht="15.75" customHeight="1">
      <c r="A256" s="231" t="str">
        <f>'Données projet'!A234</f>
        <v/>
      </c>
      <c r="B256" s="231" t="str">
        <f>'Données projet'!D234</f>
        <v/>
      </c>
      <c r="C256" s="227"/>
      <c r="D256" s="230">
        <f t="shared" si="13"/>
        <v>0</v>
      </c>
      <c r="E256" s="227"/>
      <c r="F256" s="258"/>
      <c r="G256" s="259"/>
      <c r="H256" s="4"/>
      <c r="I256" s="4"/>
      <c r="J256" s="4"/>
      <c r="K256" s="215"/>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row>
    <row r="257" ht="15.75" customHeight="1">
      <c r="A257" s="231" t="str">
        <f>'Données projet'!A235</f>
        <v/>
      </c>
      <c r="B257" s="231" t="str">
        <f>'Données projet'!D235</f>
        <v/>
      </c>
      <c r="C257" s="227"/>
      <c r="D257" s="230">
        <f t="shared" si="13"/>
        <v>0</v>
      </c>
      <c r="E257" s="227"/>
      <c r="F257" s="258"/>
      <c r="G257" s="259"/>
      <c r="H257" s="4"/>
      <c r="I257" s="4"/>
      <c r="J257" s="4"/>
      <c r="K257" s="215"/>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row>
    <row r="258" ht="15.75" customHeight="1">
      <c r="A258" s="231" t="str">
        <f>'Données projet'!A236</f>
        <v/>
      </c>
      <c r="B258" s="231" t="str">
        <f>'Données projet'!D236</f>
        <v/>
      </c>
      <c r="C258" s="227"/>
      <c r="D258" s="230">
        <f t="shared" si="13"/>
        <v>0</v>
      </c>
      <c r="E258" s="227"/>
      <c r="F258" s="258"/>
      <c r="G258" s="259"/>
      <c r="H258" s="4"/>
      <c r="I258" s="4"/>
      <c r="J258" s="4"/>
      <c r="K258" s="215"/>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row>
    <row r="259" ht="15.75" customHeight="1">
      <c r="A259" s="231" t="str">
        <f>'Données projet'!A237</f>
        <v/>
      </c>
      <c r="B259" s="231" t="str">
        <f>'Données projet'!D237</f>
        <v/>
      </c>
      <c r="C259" s="227"/>
      <c r="D259" s="230">
        <f t="shared" si="13"/>
        <v>0</v>
      </c>
      <c r="E259" s="227"/>
      <c r="F259" s="258"/>
      <c r="G259" s="259"/>
      <c r="H259" s="4"/>
      <c r="I259" s="4"/>
      <c r="J259" s="4"/>
      <c r="K259" s="215"/>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row>
    <row r="260" ht="15.75" customHeight="1">
      <c r="A260" s="4"/>
      <c r="B260" s="4"/>
      <c r="C260" s="4"/>
      <c r="D260" s="4"/>
      <c r="E260" s="4"/>
      <c r="F260" s="216"/>
      <c r="G260" s="259"/>
      <c r="H260" s="4"/>
      <c r="I260" s="4"/>
      <c r="J260" s="4"/>
      <c r="K260" s="215"/>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row>
    <row r="261" ht="15.75" customHeight="1">
      <c r="A261" s="4"/>
      <c r="B261" s="4"/>
      <c r="C261" s="4"/>
      <c r="D261" s="4"/>
      <c r="E261" s="4"/>
      <c r="F261" s="216"/>
      <c r="G261" s="259"/>
      <c r="H261" s="4"/>
      <c r="I261" s="4"/>
      <c r="J261" s="4"/>
      <c r="K261" s="215"/>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row>
    <row r="262" ht="15.75" customHeight="1">
      <c r="A262" s="49" t="s">
        <v>28</v>
      </c>
      <c r="B262" s="220" t="str">
        <f>IF('Données projet'!$B$17="","",'Données projet'!$B$17)</f>
        <v/>
      </c>
      <c r="C262" s="4"/>
      <c r="D262" s="4"/>
      <c r="E262" s="4"/>
      <c r="F262" s="216"/>
      <c r="G262" s="259"/>
      <c r="H262" s="4"/>
      <c r="I262" s="4"/>
      <c r="J262" s="4"/>
      <c r="K262" s="215"/>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row>
    <row r="263" ht="15.75" customHeight="1">
      <c r="A263" s="49"/>
      <c r="B263" s="4"/>
      <c r="C263" s="4"/>
      <c r="D263" s="4"/>
      <c r="E263" s="4"/>
      <c r="F263" s="216"/>
      <c r="G263" s="259"/>
      <c r="H263" s="4"/>
      <c r="I263" s="4"/>
      <c r="J263" s="4"/>
      <c r="K263" s="215"/>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row>
    <row r="264" ht="15.75" customHeight="1">
      <c r="A264" s="33" t="s">
        <v>52</v>
      </c>
      <c r="B264" s="57" t="s">
        <v>331</v>
      </c>
      <c r="C264" s="57" t="s">
        <v>332</v>
      </c>
      <c r="D264" s="33" t="s">
        <v>333</v>
      </c>
      <c r="E264" s="33" t="s">
        <v>334</v>
      </c>
      <c r="F264" s="255"/>
      <c r="G264" s="259"/>
      <c r="H264" s="4"/>
      <c r="I264" s="4"/>
      <c r="J264" s="4"/>
      <c r="K264" s="215"/>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row>
    <row r="265" ht="15.75" customHeight="1">
      <c r="A265" s="43">
        <v>0.0</v>
      </c>
      <c r="B265" s="224" t="s">
        <v>231</v>
      </c>
      <c r="C265" s="225" t="s">
        <v>231</v>
      </c>
      <c r="D265" s="226" t="s">
        <v>231</v>
      </c>
      <c r="E265" s="227"/>
      <c r="F265" s="255"/>
      <c r="G265" s="259"/>
      <c r="H265" s="4"/>
      <c r="I265" s="4"/>
      <c r="J265" s="4"/>
      <c r="K265" s="215"/>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row>
    <row r="266" ht="15.75" customHeight="1">
      <c r="A266" s="43">
        <v>1.0</v>
      </c>
      <c r="B266" s="224" t="s">
        <v>231</v>
      </c>
      <c r="C266" s="225" t="s">
        <v>231</v>
      </c>
      <c r="D266" s="226" t="s">
        <v>231</v>
      </c>
      <c r="E266" s="227"/>
      <c r="F266" s="255"/>
      <c r="G266" s="4"/>
      <c r="H266" s="4"/>
      <c r="I266" s="4"/>
      <c r="J266" s="4"/>
      <c r="K266" s="215"/>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row>
    <row r="267" ht="15.75" customHeight="1">
      <c r="A267" s="43">
        <v>2.0</v>
      </c>
      <c r="B267" s="224" t="s">
        <v>231</v>
      </c>
      <c r="C267" s="225" t="s">
        <v>231</v>
      </c>
      <c r="D267" s="226" t="s">
        <v>231</v>
      </c>
      <c r="E267" s="227"/>
      <c r="F267" s="255"/>
      <c r="G267" s="4"/>
      <c r="H267" s="4"/>
      <c r="I267" s="4"/>
      <c r="J267" s="4"/>
      <c r="K267" s="215"/>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row>
    <row r="268" ht="15.75" customHeight="1">
      <c r="A268" s="43">
        <v>3.0</v>
      </c>
      <c r="B268" s="224" t="s">
        <v>231</v>
      </c>
      <c r="C268" s="225" t="s">
        <v>231</v>
      </c>
      <c r="D268" s="226" t="s">
        <v>231</v>
      </c>
      <c r="E268" s="227"/>
      <c r="F268" s="255"/>
      <c r="G268" s="4"/>
      <c r="H268" s="4"/>
      <c r="I268" s="4"/>
      <c r="J268" s="4"/>
      <c r="K268" s="215"/>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row>
    <row r="269" ht="15.75" customHeight="1">
      <c r="A269" s="43">
        <v>4.0</v>
      </c>
      <c r="B269" s="224" t="s">
        <v>231</v>
      </c>
      <c r="C269" s="225" t="s">
        <v>231</v>
      </c>
      <c r="D269" s="226" t="s">
        <v>231</v>
      </c>
      <c r="E269" s="227"/>
      <c r="F269" s="255"/>
      <c r="G269" s="4"/>
      <c r="H269" s="4"/>
      <c r="I269" s="4"/>
      <c r="J269" s="4"/>
      <c r="K269" s="215"/>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row>
    <row r="270" ht="15.75" customHeight="1">
      <c r="A270" s="43">
        <v>5.0</v>
      </c>
      <c r="B270" s="224" t="s">
        <v>231</v>
      </c>
      <c r="C270" s="225" t="s">
        <v>231</v>
      </c>
      <c r="D270" s="226" t="s">
        <v>231</v>
      </c>
      <c r="E270" s="227"/>
      <c r="F270" s="255"/>
      <c r="G270" s="19"/>
      <c r="H270" s="4"/>
      <c r="I270" s="4"/>
      <c r="J270" s="4"/>
      <c r="K270" s="215"/>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row>
    <row r="271" ht="15.75" customHeight="1">
      <c r="A271" s="231" t="str">
        <f>'Données projet'!A244</f>
        <v/>
      </c>
      <c r="B271" s="231" t="str">
        <f>'Données projet'!D244</f>
        <v/>
      </c>
      <c r="C271" s="227"/>
      <c r="D271" s="230">
        <f t="shared" ref="D271:D290" si="14">B271*C271</f>
        <v>0</v>
      </c>
      <c r="E271" s="227"/>
      <c r="F271" s="258"/>
      <c r="G271" s="19"/>
      <c r="H271" s="4"/>
      <c r="I271" s="4"/>
      <c r="J271" s="4"/>
      <c r="K271" s="215"/>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row>
    <row r="272" ht="15.75" customHeight="1">
      <c r="A272" s="231" t="str">
        <f>'Données projet'!A245</f>
        <v/>
      </c>
      <c r="B272" s="231" t="str">
        <f>'Données projet'!D245</f>
        <v/>
      </c>
      <c r="C272" s="227"/>
      <c r="D272" s="230">
        <f t="shared" si="14"/>
        <v>0</v>
      </c>
      <c r="E272" s="227"/>
      <c r="F272" s="258"/>
      <c r="G272" s="19"/>
      <c r="H272" s="4"/>
      <c r="I272" s="4"/>
      <c r="J272" s="4"/>
      <c r="K272" s="215"/>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row>
    <row r="273" ht="15.75" customHeight="1">
      <c r="A273" s="231" t="str">
        <f>'Données projet'!A246</f>
        <v/>
      </c>
      <c r="B273" s="231" t="str">
        <f>'Données projet'!D246</f>
        <v/>
      </c>
      <c r="C273" s="227"/>
      <c r="D273" s="230">
        <f t="shared" si="14"/>
        <v>0</v>
      </c>
      <c r="E273" s="227"/>
      <c r="F273" s="258"/>
      <c r="G273" s="19"/>
      <c r="H273" s="4"/>
      <c r="I273" s="4"/>
      <c r="J273" s="4"/>
      <c r="K273" s="215"/>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row>
    <row r="274" ht="15.75" customHeight="1">
      <c r="A274" s="231" t="str">
        <f>'Données projet'!A247</f>
        <v/>
      </c>
      <c r="B274" s="231" t="str">
        <f>'Données projet'!D247</f>
        <v/>
      </c>
      <c r="C274" s="227"/>
      <c r="D274" s="230">
        <f t="shared" si="14"/>
        <v>0</v>
      </c>
      <c r="E274" s="227"/>
      <c r="F274" s="258"/>
      <c r="G274" s="19"/>
      <c r="H274" s="4"/>
      <c r="I274" s="4"/>
      <c r="J274" s="4"/>
      <c r="K274" s="215"/>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row>
    <row r="275" ht="15.75" customHeight="1">
      <c r="A275" s="231" t="str">
        <f>'Données projet'!A248</f>
        <v/>
      </c>
      <c r="B275" s="231" t="str">
        <f>'Données projet'!D248</f>
        <v/>
      </c>
      <c r="C275" s="227"/>
      <c r="D275" s="230">
        <f t="shared" si="14"/>
        <v>0</v>
      </c>
      <c r="E275" s="227"/>
      <c r="F275" s="258"/>
      <c r="G275" s="19"/>
      <c r="H275" s="4"/>
      <c r="I275" s="4"/>
      <c r="J275" s="4"/>
      <c r="K275" s="215"/>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row>
    <row r="276" ht="15.75" customHeight="1">
      <c r="A276" s="231" t="str">
        <f>'Données projet'!A249</f>
        <v/>
      </c>
      <c r="B276" s="231" t="str">
        <f>'Données projet'!D249</f>
        <v/>
      </c>
      <c r="C276" s="227"/>
      <c r="D276" s="230">
        <f t="shared" si="14"/>
        <v>0</v>
      </c>
      <c r="E276" s="227"/>
      <c r="F276" s="258"/>
      <c r="G276" s="19"/>
      <c r="H276" s="4"/>
      <c r="I276" s="4"/>
      <c r="J276" s="4"/>
      <c r="K276" s="215"/>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row>
    <row r="277" ht="15.75" customHeight="1">
      <c r="A277" s="231" t="str">
        <f>'Données projet'!A250</f>
        <v/>
      </c>
      <c r="B277" s="231" t="str">
        <f>'Données projet'!D250</f>
        <v/>
      </c>
      <c r="C277" s="227"/>
      <c r="D277" s="230">
        <f t="shared" si="14"/>
        <v>0</v>
      </c>
      <c r="E277" s="227"/>
      <c r="F277" s="258"/>
      <c r="G277" s="259"/>
      <c r="H277" s="4"/>
      <c r="I277" s="4"/>
      <c r="J277" s="4"/>
      <c r="K277" s="215"/>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row>
    <row r="278" ht="15.75" customHeight="1">
      <c r="A278" s="231" t="str">
        <f>'Données projet'!A251</f>
        <v/>
      </c>
      <c r="B278" s="231" t="str">
        <f>'Données projet'!D251</f>
        <v/>
      </c>
      <c r="C278" s="227"/>
      <c r="D278" s="230">
        <f t="shared" si="14"/>
        <v>0</v>
      </c>
      <c r="E278" s="227"/>
      <c r="F278" s="258"/>
      <c r="G278" s="259"/>
      <c r="H278" s="4"/>
      <c r="I278" s="4"/>
      <c r="J278" s="4"/>
      <c r="K278" s="215"/>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row>
    <row r="279" ht="15.75" customHeight="1">
      <c r="A279" s="231" t="str">
        <f>'Données projet'!A252</f>
        <v/>
      </c>
      <c r="B279" s="231" t="str">
        <f>'Données projet'!D252</f>
        <v/>
      </c>
      <c r="C279" s="227"/>
      <c r="D279" s="230">
        <f t="shared" si="14"/>
        <v>0</v>
      </c>
      <c r="E279" s="227"/>
      <c r="F279" s="258"/>
      <c r="G279" s="259"/>
      <c r="H279" s="4"/>
      <c r="I279" s="4"/>
      <c r="J279" s="4"/>
      <c r="K279" s="215"/>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row>
    <row r="280" ht="15.75" customHeight="1">
      <c r="A280" s="231" t="str">
        <f>'Données projet'!A253</f>
        <v/>
      </c>
      <c r="B280" s="231" t="str">
        <f>'Données projet'!D253</f>
        <v/>
      </c>
      <c r="C280" s="227"/>
      <c r="D280" s="230">
        <f t="shared" si="14"/>
        <v>0</v>
      </c>
      <c r="E280" s="227"/>
      <c r="F280" s="258"/>
      <c r="G280" s="259"/>
      <c r="H280" s="4"/>
      <c r="I280" s="4"/>
      <c r="J280" s="4"/>
      <c r="K280" s="215"/>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row>
    <row r="281" ht="15.75" customHeight="1">
      <c r="A281" s="231" t="str">
        <f>'Données projet'!A254</f>
        <v/>
      </c>
      <c r="B281" s="231" t="str">
        <f>'Données projet'!D254</f>
        <v/>
      </c>
      <c r="C281" s="227"/>
      <c r="D281" s="230">
        <f t="shared" si="14"/>
        <v>0</v>
      </c>
      <c r="E281" s="227"/>
      <c r="F281" s="258"/>
      <c r="G281" s="259"/>
      <c r="H281" s="4"/>
      <c r="I281" s="4"/>
      <c r="J281" s="4"/>
      <c r="K281" s="215"/>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row>
    <row r="282" ht="15.75" customHeight="1">
      <c r="A282" s="231" t="str">
        <f>'Données projet'!A255</f>
        <v/>
      </c>
      <c r="B282" s="231" t="str">
        <f>'Données projet'!D255</f>
        <v/>
      </c>
      <c r="C282" s="227"/>
      <c r="D282" s="230">
        <f t="shared" si="14"/>
        <v>0</v>
      </c>
      <c r="E282" s="227"/>
      <c r="F282" s="258"/>
      <c r="G282" s="259"/>
      <c r="H282" s="4"/>
      <c r="I282" s="4"/>
      <c r="J282" s="4"/>
      <c r="K282" s="215"/>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row>
    <row r="283" ht="15.75" customHeight="1">
      <c r="A283" s="231" t="str">
        <f>'Données projet'!A256</f>
        <v/>
      </c>
      <c r="B283" s="231" t="str">
        <f>'Données projet'!D256</f>
        <v/>
      </c>
      <c r="C283" s="227"/>
      <c r="D283" s="230">
        <f t="shared" si="14"/>
        <v>0</v>
      </c>
      <c r="E283" s="227"/>
      <c r="F283" s="258"/>
      <c r="G283" s="259"/>
      <c r="H283" s="4"/>
      <c r="I283" s="4"/>
      <c r="J283" s="4"/>
      <c r="K283" s="215"/>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row>
    <row r="284" ht="15.75" customHeight="1">
      <c r="A284" s="231" t="str">
        <f>'Données projet'!A257</f>
        <v/>
      </c>
      <c r="B284" s="231" t="str">
        <f>'Données projet'!D257</f>
        <v/>
      </c>
      <c r="C284" s="227"/>
      <c r="D284" s="230">
        <f t="shared" si="14"/>
        <v>0</v>
      </c>
      <c r="E284" s="227"/>
      <c r="F284" s="258"/>
      <c r="G284" s="259"/>
      <c r="H284" s="4"/>
      <c r="I284" s="4"/>
      <c r="J284" s="4"/>
      <c r="K284" s="215"/>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row>
    <row r="285" ht="15.75" customHeight="1">
      <c r="A285" s="231" t="str">
        <f>'Données projet'!A258</f>
        <v/>
      </c>
      <c r="B285" s="231" t="str">
        <f>'Données projet'!D258</f>
        <v/>
      </c>
      <c r="C285" s="227"/>
      <c r="D285" s="230">
        <f t="shared" si="14"/>
        <v>0</v>
      </c>
      <c r="E285" s="227"/>
      <c r="F285" s="258"/>
      <c r="G285" s="259"/>
      <c r="H285" s="4"/>
      <c r="I285" s="4"/>
      <c r="J285" s="4"/>
      <c r="K285" s="215"/>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row>
    <row r="286" ht="15.75" customHeight="1">
      <c r="A286" s="231" t="str">
        <f>'Données projet'!A259</f>
        <v/>
      </c>
      <c r="B286" s="231" t="str">
        <f>'Données projet'!D259</f>
        <v/>
      </c>
      <c r="C286" s="227"/>
      <c r="D286" s="230">
        <f t="shared" si="14"/>
        <v>0</v>
      </c>
      <c r="E286" s="227"/>
      <c r="F286" s="258"/>
      <c r="G286" s="259"/>
      <c r="H286" s="4"/>
      <c r="I286" s="4"/>
      <c r="J286" s="4"/>
      <c r="K286" s="215"/>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row>
    <row r="287" ht="15.75" customHeight="1">
      <c r="A287" s="231" t="str">
        <f>'Données projet'!A260</f>
        <v/>
      </c>
      <c r="B287" s="231" t="str">
        <f>'Données projet'!D260</f>
        <v/>
      </c>
      <c r="C287" s="227"/>
      <c r="D287" s="230">
        <f t="shared" si="14"/>
        <v>0</v>
      </c>
      <c r="E287" s="227"/>
      <c r="F287" s="258"/>
      <c r="G287" s="259"/>
      <c r="H287" s="4"/>
      <c r="I287" s="4"/>
      <c r="J287" s="4"/>
      <c r="K287" s="215"/>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row>
    <row r="288" ht="15.75" customHeight="1">
      <c r="A288" s="231" t="str">
        <f>'Données projet'!A261</f>
        <v/>
      </c>
      <c r="B288" s="231" t="str">
        <f>'Données projet'!D261</f>
        <v/>
      </c>
      <c r="C288" s="227"/>
      <c r="D288" s="230">
        <f t="shared" si="14"/>
        <v>0</v>
      </c>
      <c r="E288" s="227"/>
      <c r="F288" s="258"/>
      <c r="G288" s="259"/>
      <c r="H288" s="4"/>
      <c r="I288" s="4"/>
      <c r="J288" s="4"/>
      <c r="K288" s="215"/>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row>
    <row r="289" ht="15.75" customHeight="1">
      <c r="A289" s="231" t="str">
        <f>'Données projet'!A262</f>
        <v/>
      </c>
      <c r="B289" s="231" t="str">
        <f>'Données projet'!D262</f>
        <v/>
      </c>
      <c r="C289" s="227"/>
      <c r="D289" s="230">
        <f t="shared" si="14"/>
        <v>0</v>
      </c>
      <c r="E289" s="227"/>
      <c r="F289" s="258"/>
      <c r="G289" s="259"/>
      <c r="H289" s="4"/>
      <c r="I289" s="4"/>
      <c r="J289" s="4"/>
      <c r="K289" s="215"/>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row>
    <row r="290" ht="15.75" customHeight="1">
      <c r="A290" s="231" t="str">
        <f>'Données projet'!A263</f>
        <v/>
      </c>
      <c r="B290" s="231" t="str">
        <f>'Données projet'!D263</f>
        <v/>
      </c>
      <c r="C290" s="227"/>
      <c r="D290" s="230">
        <f t="shared" si="14"/>
        <v>0</v>
      </c>
      <c r="E290" s="227"/>
      <c r="F290" s="258"/>
      <c r="G290" s="259"/>
      <c r="H290" s="4"/>
      <c r="I290" s="4"/>
      <c r="J290" s="4"/>
      <c r="K290" s="215"/>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row>
    <row r="291" ht="15.75" customHeight="1">
      <c r="A291" s="4"/>
      <c r="B291" s="4"/>
      <c r="C291" s="4"/>
      <c r="D291" s="4"/>
      <c r="E291" s="4"/>
      <c r="F291" s="216"/>
      <c r="G291" s="259"/>
      <c r="H291" s="4"/>
      <c r="I291" s="4"/>
      <c r="J291" s="4"/>
      <c r="K291" s="215"/>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row>
    <row r="292" ht="15.75" customHeight="1">
      <c r="A292" s="4"/>
      <c r="B292" s="4"/>
      <c r="C292" s="4"/>
      <c r="D292" s="4"/>
      <c r="E292" s="4"/>
      <c r="F292" s="216"/>
      <c r="G292" s="259"/>
      <c r="H292" s="4"/>
      <c r="I292" s="4"/>
      <c r="J292" s="4"/>
      <c r="K292" s="215"/>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row>
    <row r="293" ht="15.75" customHeight="1">
      <c r="A293" s="49" t="s">
        <v>29</v>
      </c>
      <c r="B293" s="220" t="str">
        <f>IF('Données projet'!$B$18="","",'Données projet'!$B$18)</f>
        <v/>
      </c>
      <c r="C293" s="4"/>
      <c r="D293" s="4"/>
      <c r="E293" s="4"/>
      <c r="F293" s="216"/>
      <c r="G293" s="259"/>
      <c r="H293" s="4"/>
      <c r="I293" s="4"/>
      <c r="J293" s="4"/>
      <c r="K293" s="215"/>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row>
    <row r="294" ht="15.75" customHeight="1">
      <c r="A294" s="49"/>
      <c r="B294" s="4"/>
      <c r="C294" s="4"/>
      <c r="D294" s="4"/>
      <c r="E294" s="4"/>
      <c r="F294" s="216"/>
      <c r="G294" s="259"/>
      <c r="H294" s="4"/>
      <c r="I294" s="4"/>
      <c r="J294" s="4"/>
      <c r="K294" s="215"/>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row>
    <row r="295" ht="15.75" customHeight="1">
      <c r="A295" s="33" t="s">
        <v>52</v>
      </c>
      <c r="B295" s="57" t="s">
        <v>331</v>
      </c>
      <c r="C295" s="57" t="s">
        <v>332</v>
      </c>
      <c r="D295" s="33" t="s">
        <v>333</v>
      </c>
      <c r="E295" s="33" t="s">
        <v>334</v>
      </c>
      <c r="F295" s="255"/>
      <c r="G295" s="259"/>
      <c r="H295" s="4"/>
      <c r="I295" s="4"/>
      <c r="J295" s="4"/>
      <c r="K295" s="215"/>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row>
    <row r="296" ht="15.75" customHeight="1">
      <c r="A296" s="43">
        <v>0.0</v>
      </c>
      <c r="B296" s="224" t="s">
        <v>231</v>
      </c>
      <c r="C296" s="225" t="s">
        <v>231</v>
      </c>
      <c r="D296" s="226" t="s">
        <v>231</v>
      </c>
      <c r="E296" s="227"/>
      <c r="F296" s="255"/>
      <c r="G296" s="259"/>
      <c r="H296" s="4"/>
      <c r="I296" s="4"/>
      <c r="J296" s="4"/>
      <c r="K296" s="215"/>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row>
    <row r="297" ht="15.75" customHeight="1">
      <c r="A297" s="43">
        <v>1.0</v>
      </c>
      <c r="B297" s="224" t="s">
        <v>231</v>
      </c>
      <c r="C297" s="225" t="s">
        <v>231</v>
      </c>
      <c r="D297" s="226" t="s">
        <v>231</v>
      </c>
      <c r="E297" s="227"/>
      <c r="F297" s="255"/>
      <c r="G297" s="4"/>
      <c r="H297" s="4"/>
      <c r="I297" s="4"/>
      <c r="J297" s="4"/>
      <c r="K297" s="215"/>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row>
    <row r="298" ht="15.75" customHeight="1">
      <c r="A298" s="43">
        <v>2.0</v>
      </c>
      <c r="B298" s="224" t="s">
        <v>231</v>
      </c>
      <c r="C298" s="225" t="s">
        <v>231</v>
      </c>
      <c r="D298" s="226" t="s">
        <v>231</v>
      </c>
      <c r="E298" s="227"/>
      <c r="F298" s="255"/>
      <c r="G298" s="4"/>
      <c r="H298" s="4"/>
      <c r="I298" s="4"/>
      <c r="J298" s="4"/>
      <c r="K298" s="215"/>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row>
    <row r="299" ht="15.75" customHeight="1">
      <c r="A299" s="43">
        <v>3.0</v>
      </c>
      <c r="B299" s="224" t="s">
        <v>231</v>
      </c>
      <c r="C299" s="225" t="s">
        <v>231</v>
      </c>
      <c r="D299" s="226" t="s">
        <v>231</v>
      </c>
      <c r="E299" s="227"/>
      <c r="F299" s="255"/>
      <c r="G299" s="4"/>
      <c r="H299" s="4"/>
      <c r="I299" s="4"/>
      <c r="J299" s="4"/>
      <c r="K299" s="215"/>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row>
    <row r="300" ht="15.75" customHeight="1">
      <c r="A300" s="43">
        <v>4.0</v>
      </c>
      <c r="B300" s="224" t="s">
        <v>231</v>
      </c>
      <c r="C300" s="225" t="s">
        <v>231</v>
      </c>
      <c r="D300" s="226" t="s">
        <v>231</v>
      </c>
      <c r="E300" s="227"/>
      <c r="F300" s="255"/>
      <c r="G300" s="4"/>
      <c r="H300" s="4"/>
      <c r="I300" s="4"/>
      <c r="J300" s="4"/>
      <c r="K300" s="215"/>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row>
    <row r="301" ht="15.75" customHeight="1">
      <c r="A301" s="43">
        <v>5.0</v>
      </c>
      <c r="B301" s="224" t="s">
        <v>231</v>
      </c>
      <c r="C301" s="225" t="s">
        <v>231</v>
      </c>
      <c r="D301" s="226" t="s">
        <v>231</v>
      </c>
      <c r="E301" s="227"/>
      <c r="F301" s="255"/>
      <c r="G301" s="19"/>
      <c r="H301" s="4"/>
      <c r="I301" s="4"/>
      <c r="J301" s="4"/>
      <c r="K301" s="215"/>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row>
    <row r="302" ht="15.75" customHeight="1">
      <c r="A302" s="231" t="str">
        <f>'Données projet'!A270</f>
        <v/>
      </c>
      <c r="B302" s="231" t="str">
        <f>'Données projet'!D270</f>
        <v/>
      </c>
      <c r="C302" s="222"/>
      <c r="D302" s="233">
        <f t="shared" ref="D302:D321" si="15">B302*C302</f>
        <v>0</v>
      </c>
      <c r="E302" s="227"/>
      <c r="F302" s="236"/>
      <c r="G302" s="19"/>
      <c r="H302" s="4"/>
      <c r="I302" s="4"/>
      <c r="J302" s="4"/>
      <c r="K302" s="215"/>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row>
    <row r="303" ht="15.75" customHeight="1">
      <c r="A303" s="231" t="str">
        <f>'Données projet'!A271</f>
        <v/>
      </c>
      <c r="B303" s="231" t="str">
        <f>'Données projet'!D271</f>
        <v/>
      </c>
      <c r="C303" s="222"/>
      <c r="D303" s="233">
        <f t="shared" si="15"/>
        <v>0</v>
      </c>
      <c r="E303" s="227"/>
      <c r="F303" s="236"/>
      <c r="G303" s="19"/>
      <c r="H303" s="4"/>
      <c r="I303" s="4"/>
      <c r="J303" s="4"/>
      <c r="K303" s="215"/>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row>
    <row r="304" ht="15.75" customHeight="1">
      <c r="A304" s="231" t="str">
        <f>'Données projet'!A272</f>
        <v/>
      </c>
      <c r="B304" s="231" t="str">
        <f>'Données projet'!D272</f>
        <v/>
      </c>
      <c r="C304" s="222"/>
      <c r="D304" s="233">
        <f t="shared" si="15"/>
        <v>0</v>
      </c>
      <c r="E304" s="227"/>
      <c r="F304" s="236"/>
      <c r="G304" s="19"/>
      <c r="H304" s="4"/>
      <c r="I304" s="4"/>
      <c r="J304" s="4"/>
      <c r="K304" s="215"/>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row>
    <row r="305" ht="15.75" customHeight="1">
      <c r="A305" s="231" t="str">
        <f>'Données projet'!A273</f>
        <v/>
      </c>
      <c r="B305" s="231" t="str">
        <f>'Données projet'!D273</f>
        <v/>
      </c>
      <c r="C305" s="222"/>
      <c r="D305" s="233">
        <f t="shared" si="15"/>
        <v>0</v>
      </c>
      <c r="E305" s="227"/>
      <c r="F305" s="236"/>
      <c r="G305" s="19"/>
      <c r="H305" s="4"/>
      <c r="I305" s="4"/>
      <c r="J305" s="4"/>
      <c r="K305" s="215"/>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row>
    <row r="306" ht="15.75" customHeight="1">
      <c r="A306" s="231" t="str">
        <f>'Données projet'!A274</f>
        <v/>
      </c>
      <c r="B306" s="231" t="str">
        <f>'Données projet'!D274</f>
        <v/>
      </c>
      <c r="C306" s="222"/>
      <c r="D306" s="233">
        <f t="shared" si="15"/>
        <v>0</v>
      </c>
      <c r="E306" s="227"/>
      <c r="F306" s="236"/>
      <c r="G306" s="19"/>
      <c r="H306" s="4"/>
      <c r="I306" s="4"/>
      <c r="J306" s="4"/>
      <c r="K306" s="215"/>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row>
    <row r="307" ht="15.75" customHeight="1">
      <c r="A307" s="231" t="str">
        <f>'Données projet'!A275</f>
        <v/>
      </c>
      <c r="B307" s="231" t="str">
        <f>'Données projet'!D275</f>
        <v/>
      </c>
      <c r="C307" s="222"/>
      <c r="D307" s="233">
        <f t="shared" si="15"/>
        <v>0</v>
      </c>
      <c r="E307" s="227"/>
      <c r="F307" s="236"/>
      <c r="G307" s="19"/>
      <c r="H307" s="4"/>
      <c r="I307" s="4"/>
      <c r="J307" s="4"/>
      <c r="K307" s="215"/>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row>
    <row r="308" ht="15.75" customHeight="1">
      <c r="A308" s="231" t="str">
        <f>'Données projet'!A276</f>
        <v/>
      </c>
      <c r="B308" s="231" t="str">
        <f>'Données projet'!D276</f>
        <v/>
      </c>
      <c r="C308" s="222"/>
      <c r="D308" s="233">
        <f t="shared" si="15"/>
        <v>0</v>
      </c>
      <c r="E308" s="227"/>
      <c r="F308" s="236"/>
      <c r="G308" s="247"/>
      <c r="H308" s="4"/>
      <c r="I308" s="4"/>
      <c r="J308" s="4"/>
      <c r="K308" s="215"/>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row>
    <row r="309" ht="15.75" customHeight="1">
      <c r="A309" s="231" t="str">
        <f>'Données projet'!A277</f>
        <v/>
      </c>
      <c r="B309" s="231" t="str">
        <f>'Données projet'!D277</f>
        <v/>
      </c>
      <c r="C309" s="222"/>
      <c r="D309" s="233">
        <f t="shared" si="15"/>
        <v>0</v>
      </c>
      <c r="E309" s="227"/>
      <c r="F309" s="236"/>
      <c r="G309" s="247"/>
      <c r="H309" s="4"/>
      <c r="I309" s="4"/>
      <c r="J309" s="4"/>
      <c r="K309" s="215"/>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row>
    <row r="310" ht="15.75" customHeight="1">
      <c r="A310" s="231" t="str">
        <f>'Données projet'!A278</f>
        <v/>
      </c>
      <c r="B310" s="231" t="str">
        <f>'Données projet'!D278</f>
        <v/>
      </c>
      <c r="C310" s="222"/>
      <c r="D310" s="233">
        <f t="shared" si="15"/>
        <v>0</v>
      </c>
      <c r="E310" s="227"/>
      <c r="F310" s="236"/>
      <c r="G310" s="247"/>
      <c r="H310" s="4"/>
      <c r="I310" s="4"/>
      <c r="J310" s="4"/>
      <c r="K310" s="215"/>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row>
    <row r="311" ht="15.75" customHeight="1">
      <c r="A311" s="231" t="str">
        <f>'Données projet'!A279</f>
        <v/>
      </c>
      <c r="B311" s="231" t="str">
        <f>'Données projet'!D279</f>
        <v/>
      </c>
      <c r="C311" s="222"/>
      <c r="D311" s="233">
        <f t="shared" si="15"/>
        <v>0</v>
      </c>
      <c r="E311" s="227"/>
      <c r="F311" s="236"/>
      <c r="G311" s="247"/>
      <c r="H311" s="4"/>
      <c r="I311" s="4"/>
      <c r="J311" s="4"/>
      <c r="K311" s="215"/>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row>
    <row r="312" ht="15.75" customHeight="1">
      <c r="A312" s="231" t="str">
        <f>'Données projet'!A280</f>
        <v/>
      </c>
      <c r="B312" s="231" t="str">
        <f>'Données projet'!D280</f>
        <v/>
      </c>
      <c r="C312" s="222"/>
      <c r="D312" s="233">
        <f t="shared" si="15"/>
        <v>0</v>
      </c>
      <c r="E312" s="227"/>
      <c r="F312" s="236"/>
      <c r="G312" s="247"/>
      <c r="H312" s="4"/>
      <c r="I312" s="4"/>
      <c r="J312" s="4"/>
      <c r="K312" s="215"/>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row>
    <row r="313" ht="15.75" customHeight="1">
      <c r="A313" s="231" t="str">
        <f>'Données projet'!A281</f>
        <v/>
      </c>
      <c r="B313" s="231" t="str">
        <f>'Données projet'!D281</f>
        <v/>
      </c>
      <c r="C313" s="222"/>
      <c r="D313" s="233">
        <f t="shared" si="15"/>
        <v>0</v>
      </c>
      <c r="E313" s="227"/>
      <c r="F313" s="236"/>
      <c r="G313" s="247"/>
      <c r="H313" s="4"/>
      <c r="I313" s="4"/>
      <c r="J313" s="4"/>
      <c r="K313" s="215"/>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row>
    <row r="314" ht="15.75" customHeight="1">
      <c r="A314" s="231" t="str">
        <f>'Données projet'!A282</f>
        <v/>
      </c>
      <c r="B314" s="231" t="str">
        <f>'Données projet'!D282</f>
        <v/>
      </c>
      <c r="C314" s="222"/>
      <c r="D314" s="233">
        <f t="shared" si="15"/>
        <v>0</v>
      </c>
      <c r="E314" s="227"/>
      <c r="F314" s="236"/>
      <c r="G314" s="247"/>
      <c r="H314" s="4"/>
      <c r="I314" s="4"/>
      <c r="J314" s="4"/>
      <c r="K314" s="215"/>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row>
    <row r="315" ht="15.75" customHeight="1">
      <c r="A315" s="231" t="str">
        <f>'Données projet'!A283</f>
        <v/>
      </c>
      <c r="B315" s="231" t="str">
        <f>'Données projet'!D283</f>
        <v/>
      </c>
      <c r="C315" s="222"/>
      <c r="D315" s="233">
        <f t="shared" si="15"/>
        <v>0</v>
      </c>
      <c r="E315" s="227"/>
      <c r="F315" s="236"/>
      <c r="G315" s="247"/>
      <c r="H315" s="4"/>
      <c r="I315" s="4"/>
      <c r="J315" s="4"/>
      <c r="K315" s="215"/>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row>
    <row r="316" ht="15.75" customHeight="1">
      <c r="A316" s="231" t="str">
        <f>'Données projet'!A284</f>
        <v/>
      </c>
      <c r="B316" s="231" t="str">
        <f>'Données projet'!D284</f>
        <v/>
      </c>
      <c r="C316" s="222"/>
      <c r="D316" s="233">
        <f t="shared" si="15"/>
        <v>0</v>
      </c>
      <c r="E316" s="227"/>
      <c r="F316" s="236"/>
      <c r="G316" s="247"/>
      <c r="H316" s="4"/>
      <c r="I316" s="4"/>
      <c r="J316" s="4"/>
      <c r="K316" s="215"/>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row>
    <row r="317" ht="15.75" customHeight="1">
      <c r="A317" s="231" t="str">
        <f>'Données projet'!A285</f>
        <v/>
      </c>
      <c r="B317" s="231" t="str">
        <f>'Données projet'!D285</f>
        <v/>
      </c>
      <c r="C317" s="222"/>
      <c r="D317" s="233">
        <f t="shared" si="15"/>
        <v>0</v>
      </c>
      <c r="E317" s="227"/>
      <c r="F317" s="236"/>
      <c r="G317" s="247"/>
      <c r="H317" s="4"/>
      <c r="I317" s="4"/>
      <c r="J317" s="4"/>
      <c r="K317" s="215"/>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row>
    <row r="318" ht="15.75" customHeight="1">
      <c r="A318" s="231" t="str">
        <f>'Données projet'!A286</f>
        <v/>
      </c>
      <c r="B318" s="231" t="str">
        <f>'Données projet'!D286</f>
        <v/>
      </c>
      <c r="C318" s="222"/>
      <c r="D318" s="233">
        <f t="shared" si="15"/>
        <v>0</v>
      </c>
      <c r="E318" s="227"/>
      <c r="F318" s="236"/>
      <c r="G318" s="247"/>
      <c r="H318" s="4"/>
      <c r="I318" s="4"/>
      <c r="J318" s="4"/>
      <c r="K318" s="215"/>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row>
    <row r="319" ht="15.75" customHeight="1">
      <c r="A319" s="231" t="str">
        <f>'Données projet'!A287</f>
        <v/>
      </c>
      <c r="B319" s="231" t="str">
        <f>'Données projet'!D287</f>
        <v/>
      </c>
      <c r="C319" s="222"/>
      <c r="D319" s="233">
        <f t="shared" si="15"/>
        <v>0</v>
      </c>
      <c r="E319" s="227"/>
      <c r="F319" s="236"/>
      <c r="G319" s="247"/>
      <c r="H319" s="4"/>
      <c r="I319" s="4"/>
      <c r="J319" s="4"/>
      <c r="K319" s="215"/>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row>
    <row r="320" ht="15.75" customHeight="1">
      <c r="A320" s="231" t="str">
        <f>'Données projet'!A288</f>
        <v/>
      </c>
      <c r="B320" s="231" t="str">
        <f>'Données projet'!D288</f>
        <v/>
      </c>
      <c r="C320" s="222"/>
      <c r="D320" s="233">
        <f t="shared" si="15"/>
        <v>0</v>
      </c>
      <c r="E320" s="227"/>
      <c r="F320" s="236"/>
      <c r="G320" s="247"/>
      <c r="H320" s="4"/>
      <c r="I320" s="4"/>
      <c r="J320" s="4"/>
      <c r="K320" s="215"/>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row>
    <row r="321" ht="15.75" customHeight="1">
      <c r="A321" s="231" t="str">
        <f>'Données projet'!A289</f>
        <v/>
      </c>
      <c r="B321" s="231" t="str">
        <f>'Données projet'!D289</f>
        <v/>
      </c>
      <c r="C321" s="261"/>
      <c r="D321" s="233">
        <f t="shared" si="15"/>
        <v>0</v>
      </c>
      <c r="E321" s="227"/>
      <c r="F321" s="236"/>
      <c r="G321" s="247"/>
      <c r="H321" s="4"/>
      <c r="I321" s="4"/>
      <c r="J321" s="4"/>
      <c r="K321" s="215"/>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row>
    <row r="322" ht="15.75" customHeight="1">
      <c r="A322" s="4"/>
      <c r="B322" s="4"/>
      <c r="C322" s="4"/>
      <c r="D322" s="4"/>
      <c r="E322" s="4"/>
      <c r="F322" s="4"/>
      <c r="G322" s="247"/>
      <c r="H322" s="4"/>
      <c r="I322" s="4"/>
      <c r="J322" s="4"/>
      <c r="K322" s="215"/>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row>
    <row r="323" ht="15.75" customHeight="1">
      <c r="A323" s="4"/>
      <c r="B323" s="4"/>
      <c r="C323" s="4"/>
      <c r="D323" s="4"/>
      <c r="E323" s="4"/>
      <c r="F323" s="4"/>
      <c r="G323" s="247"/>
      <c r="H323" s="4"/>
      <c r="I323" s="4"/>
      <c r="J323" s="4"/>
      <c r="K323" s="215"/>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row>
    <row r="324" ht="15.75" customHeight="1">
      <c r="A324" s="4"/>
      <c r="B324" s="4"/>
      <c r="C324" s="4"/>
      <c r="D324" s="4"/>
      <c r="E324" s="4"/>
      <c r="F324" s="4"/>
      <c r="G324" s="247"/>
      <c r="H324" s="4"/>
      <c r="I324" s="4"/>
      <c r="J324" s="4"/>
      <c r="K324" s="215"/>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row>
    <row r="325" ht="15.75" customHeight="1">
      <c r="A325" s="4"/>
      <c r="B325" s="4"/>
      <c r="C325" s="4"/>
      <c r="D325" s="4"/>
      <c r="E325" s="4"/>
      <c r="F325" s="4"/>
      <c r="G325" s="247"/>
      <c r="H325" s="4"/>
      <c r="I325" s="4"/>
      <c r="J325" s="4"/>
      <c r="K325" s="215"/>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row>
    <row r="326" ht="15.75" customHeight="1">
      <c r="A326" s="4"/>
      <c r="B326" s="4"/>
      <c r="C326" s="4"/>
      <c r="D326" s="4"/>
      <c r="E326" s="4"/>
      <c r="F326" s="4"/>
      <c r="G326" s="247"/>
      <c r="H326" s="4"/>
      <c r="I326" s="4"/>
      <c r="J326" s="4"/>
      <c r="K326" s="215"/>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row>
    <row r="327" ht="15.75" customHeight="1">
      <c r="A327" s="4"/>
      <c r="B327" s="4"/>
      <c r="C327" s="4"/>
      <c r="D327" s="4"/>
      <c r="E327" s="4"/>
      <c r="F327" s="4"/>
      <c r="G327" s="247"/>
      <c r="H327" s="4"/>
      <c r="I327" s="4"/>
      <c r="J327" s="4"/>
      <c r="K327" s="215"/>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row>
  </sheetData>
  <mergeCells count="16">
    <mergeCell ref="B2:P2"/>
    <mergeCell ref="H4:I4"/>
    <mergeCell ref="K4:L4"/>
    <mergeCell ref="R7:V7"/>
    <mergeCell ref="G15:G20"/>
    <mergeCell ref="L16:M16"/>
    <mergeCell ref="L17:M17"/>
    <mergeCell ref="T26:V26"/>
    <mergeCell ref="S27:V27"/>
    <mergeCell ref="L18:M18"/>
    <mergeCell ref="L19:M19"/>
    <mergeCell ref="L23:N23"/>
    <mergeCell ref="T23:V23"/>
    <mergeCell ref="T24:V24"/>
    <mergeCell ref="T25:V25"/>
    <mergeCell ref="L26:P27"/>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2021-02-01T08:22:39Z</dcterms:created>
  <dc:creator>OCCI_OG</dc:creator>
</cp:coreProperties>
</file>